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raction and classification (" sheetId="1" r:id="rId3"/>
    <sheet state="visible" name="Consolidated extraction and cla" sheetId="2" r:id="rId4"/>
    <sheet state="visible" name="Michael F." sheetId="3" r:id="rId5"/>
    <sheet state="visible" name="Michael U." sheetId="4" r:id="rId6"/>
    <sheet state="visible" name="Robert" sheetId="5" r:id="rId7"/>
    <sheet state="visible" name="Fabian F." sheetId="6" r:id="rId8"/>
    <sheet state="visible" name="Bogdan M." sheetId="7" r:id="rId9"/>
    <sheet state="visible" name="Backward snowball sampling" sheetId="8" r:id="rId10"/>
    <sheet state="visible" name="Snowball check" sheetId="9" r:id="rId11"/>
  </sheets>
  <definedNames>
    <definedName hidden="1" localSheetId="7" name="_xlnm._FilterDatabase">'Backward snowball sampling'!$E$1:$E$1015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G1">
      <text>
        <t xml:space="preserve">S: studied in that area
E: effect on that area</t>
      </text>
    </comment>
    <comment authorId="0" ref="AI1">
      <text>
        <t xml:space="preserve">Cognition: "The collection of mental processes and activities used in perceiving, remebering, thinking, and understanding, and the act of using those processes"</t>
      </text>
    </comment>
    <comment authorId="0" ref="G2">
      <text>
        <t xml:space="preserve">Software Requirements</t>
      </text>
    </comment>
    <comment authorId="0" ref="H2">
      <text>
        <t xml:space="preserve">Software Design</t>
      </text>
    </comment>
    <comment authorId="0" ref="I2">
      <text>
        <t xml:space="preserve">Software Construction</t>
      </text>
    </comment>
    <comment authorId="0" ref="J2">
      <text>
        <t xml:space="preserve">Software Testing</t>
      </text>
    </comment>
    <comment authorId="0" ref="K2">
      <text>
        <t xml:space="preserve">Software Maintenance</t>
      </text>
    </comment>
    <comment authorId="0" ref="L2">
      <text>
        <t xml:space="preserve">Software Configuration Management</t>
      </text>
    </comment>
    <comment authorId="0" ref="M2">
      <text>
        <t xml:space="preserve">Software Engineering Management</t>
      </text>
    </comment>
    <comment authorId="0" ref="N2">
      <text>
        <t xml:space="preserve">Software Engineering Process</t>
      </text>
    </comment>
    <comment authorId="0" ref="O2">
      <text>
        <t xml:space="preserve">Software Engineering Models and Methods</t>
      </text>
    </comment>
    <comment authorId="0" ref="P2">
      <text>
        <t xml:space="preserve">Software Quality</t>
      </text>
    </comment>
    <comment authorId="0" ref="Q2">
      <text>
        <t xml:space="preserve">Software Engineering Professional Practice</t>
      </text>
    </comment>
    <comment authorId="0" ref="R2">
      <text>
        <t xml:space="preserve">Software Engineering Econ</t>
      </text>
    </comment>
    <comment authorId="0" ref="S2">
      <text>
        <t xml:space="preserve">Computing Foundations</t>
      </text>
    </comment>
    <comment authorId="0" ref="T2">
      <text>
        <t xml:space="preserve">Mathematical Foundations</t>
      </text>
    </comment>
    <comment authorId="0" ref="U2">
      <text>
        <t xml:space="preserve">Engineering Foundations</t>
      </text>
    </comment>
    <comment authorId="0" ref="W2">
      <text>
        <t xml:space="preserve">underlying psychological concept</t>
      </text>
    </comment>
    <comment authorId="0" ref="X2">
      <text>
        <t xml:space="preserve">What is measured, can also be a proxy for an underlying psychological measure</t>
      </text>
    </comment>
    <comment authorId="0" ref="Y2">
      <text>
        <t xml:space="preserve">How the measurement is done</t>
      </text>
    </comment>
    <comment authorId="0" ref="AJ2">
      <text>
        <t xml:space="preserve">Attention: "A state of focused awareness on a subset of the available perceptual information"</t>
      </text>
    </comment>
    <comment authorId="0" ref="AK2">
      <text>
        <t xml:space="preserve">Selective attention: "Selective attention describes the process by which individuals focus information processing on a specific set of sensory stimuli at a moment in time".</t>
      </text>
    </comment>
    <comment authorId="0" ref="AL2">
      <text>
        <t xml:space="preserve">Divided attention: Attending to or giving attention to multiple sources of information at once at the same time or performing more than one task. Also referred to as multitasking.</t>
      </text>
    </comment>
    <comment authorId="0" ref="AM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N2">
      <text>
        <t xml:space="preserve">Memory: "The mental capacity to encode, store, and retrieve information"</t>
      </text>
    </comment>
    <comment authorId="0" ref="AO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P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Q2">
      <text>
        <t xml:space="preserve">Long-term memory: The portion of the memory system responsible for holding information for more than a period of seconds or minutes; virtually permanent storage information"</t>
      </text>
    </comment>
    <comment authorId="0" ref="AR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S2">
      <text>
        <t xml:space="preserve">Intrinsic cognitive load: "Intrinsic cognitive load refers to the load imposed by cognitive processes evoked by task-inherent characteristics, or in short: the load that relates to task complexity"</t>
      </text>
    </comment>
    <comment authorId="0" ref="AT2">
      <text>
        <t xml:space="preserve">Extraneous cognitive load: ...extraneous cognitive load is imposed by cognitive processes that do not contribute to performing a task and that are evoked by the design of the task,</t>
      </text>
    </comment>
    <comment authorId="0" ref="AU2">
      <text>
        <t xml:space="preserve">Emotion: "A complex pattern of changes, including physiological arousal, feelings, cognitive processes, and behavioral reactions, made in response to a situation perceived to be personally significant"</t>
      </text>
    </comment>
    <comment authorId="0" ref="AV2">
      <text>
        <t xml:space="preserve">Motivation: "The process of starting, directing, and maintaining physical and psychological activities; includes mechanisms involved in preferences for one activity over another and the vigor and persistence of responses"</t>
      </text>
    </comment>
    <comment authorId="0" ref="AW2">
      <text>
        <t xml:space="preserve">Intrinsic motivation: Intrinsic motivation describes the will to act because of the appeal of the action itself.</t>
      </text>
    </comment>
    <comment authorId="0" ref="AX2">
      <text>
        <t xml:space="preserve">Extrinsic motivation: Extrinsic motivation describes the will to act because the action leads to a specific outcome.</t>
      </text>
    </comment>
    <comment authorId="0" ref="AY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Z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BA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B2">
      <text>
        <t xml:space="preserve">Arousal: "Arousal generally refers to the experience of increased physiological (inside-the-body) activity. This can include an increased (faster) heart rate, perspiration, and rapid breathing"</t>
      </text>
    </comment>
    <comment authorId="0" ref="BC2">
      <text>
        <t xml:space="preserve">Attitude: "..a psychological tendency that is expressed by evaluating a particular entity with some degree of favor or disfavor"</t>
      </text>
    </comment>
    <comment authorId="0" ref="BD2">
      <text>
        <t xml:space="preserve">Perception: "The processes that organize information in the sensory image and interpret it as having been produced by properties of objects or events in the external, three-dimensional world."</t>
      </text>
    </comment>
    <comment authorId="0" ref="BE2">
      <text>
        <t xml:space="preserve">Problem solving: "Thinking that is directed toward solving specific problems and that moves from an initial state to a goal state by means of a set of mental operations",</t>
      </text>
    </comment>
    <comment authorId="0" ref="BF2">
      <text>
        <t xml:space="preserve">Reasoning: "The process of thinking in which conclusions are drawn from a set of facts; thinking directed toward a given goal or objective" – e.g. deductive or inductive reasoning.</t>
      </text>
    </comment>
    <comment authorId="0" ref="BG2">
      <text>
        <t xml:space="preserve">Decision making: "The process of choosing between alternatives; selecting or rejecting available options".</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Q2">
      <text>
        <t xml:space="preserve">Data is rich; analysis is based on human interpretation.
e.g. interview transcript, video recording, direct observation</t>
      </text>
    </comment>
    <comment authorId="0" ref="BR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S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T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U2">
      <text>
        <t xml:space="preserve">The researcher observes the participant in a chosen context for a limited period of time.
e.g. 2-hour observation in the workplace</t>
      </text>
    </comment>
    <comment authorId="0" ref="BV2">
      <text>
        <t xml:space="preserve">Data is on a numeric scale; analysis is based on statistical properties.
e.g. data on a 5-item scale, data on a known scale from a measurement device</t>
      </text>
    </comment>
    <comment authorId="0" ref="BW2">
      <text>
        <t xml:space="preserve">Participants perform a task and predefined measurements are obtained.
e.g. working memory task, executive functions task</t>
      </text>
    </comment>
    <comment authorId="0" ref="BX2">
      <text>
        <t xml:space="preserve">Measurements are obtained from participants' bodies.
e.g. EEG, fMRI, heart rate</t>
      </text>
    </comment>
    <comment authorId="0" ref="BY2">
      <text>
        <t xml:space="preserve">Raters (often participants but not always) assess predefined measures on predefined scales.
e.g. questionnaire, based on self-reports, at least at nominal scale</t>
      </text>
    </comment>
    <comment authorId="0" ref="BZ2">
      <text>
        <t xml:space="preserve">Participants' visible behaviour is coded into numeric data according to a predefined scheme automatically or manually.
e.g. Eye-tracking, mouse movements, pen movement, gestures, speech, linguistic</t>
      </text>
    </comment>
    <comment authorId="0" ref="B3">
      <text>
        <t xml:space="preserve">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text>
    </comment>
    <comment authorId="0" ref="AA3">
      <text>
        <t xml:space="preserve">n=96
	-Michael Unterkalmsteiner</t>
      </text>
    </comment>
    <comment authorId="0" ref="AB3">
      <text>
        <t xml:space="preserve">n=16
	-Michael Unterkalmsteiner</t>
      </text>
    </comment>
    <comment authorId="0" ref="AD3">
      <text>
        <t xml:space="preserve">controlled experiment
	-Michael Unterkalmsteiner</t>
      </text>
    </comment>
    <comment authorId="0" ref="AA4">
      <text>
        <t xml:space="preserve">N=10
	-Michael Unterkalmsteiner</t>
      </text>
    </comment>
    <comment authorId="0" ref="AD4">
      <text>
        <t xml:space="preserve">controlled experiment
	-Michael Unterkalmsteiner</t>
      </text>
    </comment>
    <comment authorId="0" ref="AA5">
      <text>
        <t xml:space="preserve">n=43
	-Michael Unterkalmsteiner</t>
      </text>
    </comment>
    <comment authorId="0" ref="AD5">
      <text>
        <t xml:space="preserve">controlled experiment
	-Michael Unterkalmsteiner</t>
      </text>
    </comment>
    <comment authorId="0" ref="AA6">
      <text>
        <t xml:space="preserve">N=22
	-Michael Unterkalmsteiner</t>
      </text>
    </comment>
    <comment authorId="0" ref="AB6">
      <text>
        <t xml:space="preserve">n=24
	-Michael Unterkalmsteiner</t>
      </text>
    </comment>
    <comment authorId="0" ref="AD6">
      <text>
        <t xml:space="preserve">Controlled experiment
	-Michael Unterkalmsteiner</t>
      </text>
    </comment>
    <comment authorId="0" ref="B7">
      <text>
        <t xml:space="preserve">Not classifiable: cognitive fit
	-Michael Unterkalmsteiner
MUN: added knowledge as category</t>
      </text>
    </comment>
    <comment authorId="0" ref="AD7">
      <text>
        <t xml:space="preserve">n=77 total in 2 experiments, students
	-Robert Feldt</t>
      </text>
    </comment>
    <comment authorId="0" ref="AD8">
      <text>
        <t xml:space="preserve">Post-task interview study; qualitative analysis
	-Fabian Fagerholm</t>
      </text>
    </comment>
    <comment authorId="0" ref="AD9">
      <text>
        <t xml:space="preserve">Experiment (N=46)
	-Michael Felderer</t>
      </text>
    </comment>
    <comment authorId="0" ref="M10">
      <text>
        <t xml:space="preserve">Effort estimation
	-Michael Unterkalmsteiner</t>
      </text>
    </comment>
    <comment authorId="0" ref="AD10">
      <text>
        <t xml:space="preserve">n=23, controlled experiment
	-Michael Unterkalmsteiner</t>
      </text>
    </comment>
    <comment authorId="0" ref="B11">
      <text>
        <t xml:space="preserve">Same problem as with Aranda2010
	-Michael Unterkalmsteiner
MUN: classified as Aranda2006, done by Fabian</t>
      </text>
    </comment>
    <comment authorId="0" ref="G11">
      <text>
        <t xml:space="preserve">Elicitation
	-Michael Unterkalmsteiner</t>
      </text>
    </comment>
    <comment authorId="0" ref="B12">
      <text>
        <t xml:space="preserve">Same as Aranda2010 (MUN)
	-Michael Unterkalmsteiner</t>
      </text>
    </comment>
    <comment authorId="0" ref="AB12">
      <text>
        <t xml:space="preserve">The provided examples have an industrial flavor</t>
      </text>
    </comment>
    <comment authorId="0" ref="B13">
      <text>
        <t xml:space="preserve">See Aranda2010 in Michael U.
	-Michael Unterkalmsteiner</t>
      </text>
    </comment>
    <comment authorId="0" ref="AA13">
      <text>
        <t xml:space="preserve">The focus was on industry, but there were some student participants.
	-Fabian Fagerholm</t>
      </text>
    </comment>
    <comment authorId="0" ref="B14">
      <text>
        <t xml:space="preserve">See Aranda2006
	-Michael Unterkalmsteiner</t>
      </text>
    </comment>
    <comment authorId="0" ref="V14">
      <text>
        <t xml:space="preserve">In Aranda2006, the same authors state that the underlying theory is Jung's theory of psychological types.
	-Fabian Fagerholm</t>
      </text>
    </comment>
    <comment authorId="0" ref="AH14">
      <text>
        <t xml:space="preserve">This paper is very similar to Aranda2006.
	-Fabian Fagerholm</t>
      </text>
    </comment>
    <comment authorId="0" ref="B15">
      <text>
        <t xml:space="preserve">Not classifiable. See page 107 in the pdf where the FS model is explained. I'm not sure if/how we should/could break that model down to fit into the taxonomy.
	-Michael Unterkalmsteiner
MUN: Classified as Aranda2006, done by Fabian </t>
      </text>
    </comment>
    <comment authorId="0" ref="G15">
      <text>
        <t xml:space="preserve">Requirements elicitation were clients and analysts are geographically distributed.
	-Michael Unterkalmsteiner</t>
      </text>
    </comment>
    <comment authorId="0" ref="Q15">
      <text>
        <t xml:space="preserve">E: cognitive styles are not considered in this KA, maybe they should.
	-Michael Unterkalmsteiner</t>
      </text>
    </comment>
    <comment authorId="0" ref="AD15">
      <text>
        <t xml:space="preserve">n=24
	-Michael Unterkalmsteiner</t>
      </text>
    </comment>
    <comment authorId="0" ref="B16">
      <text>
        <t xml:space="preserve">Not classifiable
	-Michael Unterkalmsteiner
BMR: the paper is about a theory of understanding SE concepts in the context of developers transitioning to OOP. 
Can be included as Knowledge (Technical Tacit Knowledge)  or excluded (IC1a - educational aspects)
</t>
      </text>
    </comment>
    <comment authorId="0" ref="X16">
      <text>
        <t xml:space="preserve">OO concept knowledge and OO concept organization were defined and validated for the study
</t>
      </text>
    </comment>
    <comment authorId="0" ref="Z16">
      <text>
        <t xml:space="preserve">The concept knowledge scores were higher for concepts that were perceived as having very high or very low novelty; lower for average novelty.
</t>
      </text>
    </comment>
    <comment authorId="0" ref="AD16">
      <text>
        <t xml:space="preserve">Survey, N=81 participants; from 16 companies (pg8).
Obs = 729 observations (they count as 81 respondents * 9 concepts) (pg9)
</t>
      </text>
    </comment>
    <comment authorId="0" ref="H17">
      <text>
        <t xml:space="preserve">The effect of cognitive biases on building a Decision Support System.</t>
      </text>
    </comment>
    <comment authorId="0" ref="W17">
      <text>
        <t xml:space="preserve">Includes a Taxonomy of cognitive biases.
</t>
      </text>
    </comment>
    <comment authorId="0" ref="Z17">
      <text>
        <t xml:space="preserve">Cognitive biases are the basis for the new method
</t>
      </text>
    </comment>
    <comment authorId="0" ref="AC17">
      <text>
        <t xml:space="preserve">DSS development methodology.
</t>
      </text>
    </comment>
    <comment authorId="0" ref="AD17">
      <text>
        <t xml:space="preserve">Case study. 
Context: Consulting company.
Unit of analysis = system development process
data collection = participant observation
</t>
      </text>
    </comment>
    <comment authorId="0" ref="AD18">
      <text>
        <t xml:space="preserve">N=3, students, "pilot evaluation"
	-Robert Feldt</t>
      </text>
    </comment>
    <comment authorId="0" ref="I20">
      <text>
        <t xml:space="preserve">In particular, the workflow in version control.
	-Michael Unterkalmsteiner</t>
      </text>
    </comment>
    <comment authorId="0" ref="B21">
      <text>
        <t xml:space="preserve">Problem solving or knowledge?
	-Michael Unterkalmsteiner
BMR: technical tacit knowledge. Program comprehension on new code, measured by eye-tracking and comprehension summaries.</t>
      </text>
    </comment>
    <comment authorId="0" ref="K21">
      <text>
        <t xml:space="preserve">Program comprehension.
</t>
      </text>
    </comment>
    <comment authorId="0" ref="Z21">
      <text>
        <t xml:space="preserve">Eye tracking assumed to be an indicator of underlying cognitive processes</t>
      </text>
    </comment>
    <comment authorId="0" ref="AD21">
      <text>
        <t xml:space="preserve">Experiment
N=16 participants (high-school)
Self-assessed experience (cumulative number of months?)
</t>
      </text>
    </comment>
    <comment authorId="0" ref="Z22">
      <text>
        <t xml:space="preserve">Eye tracking assumed to be an indicator of underlying cognitive processes
</t>
      </text>
    </comment>
    <comment authorId="0" ref="AA22">
      <text>
        <t xml:space="preserve">Not directly stated, but I see no indication that this was done in industry.</t>
      </text>
    </comment>
    <comment authorId="0" ref="AD22">
      <text>
        <t xml:space="preserve">Experiment. N= 14 participants (8 experienced and 6 novices)
</t>
      </text>
    </comment>
    <comment authorId="0" ref="B23">
      <text>
        <t xml:space="preserve">Not sure where to put cognitive styles.
	-Michael Unterkalmsteiner
MUN: classified as knowledge by Fabian</t>
      </text>
    </comment>
    <comment authorId="0" ref="AD23">
      <text>
        <t xml:space="preserve">Quasi-controlled experiment
	-Fabian Fagerholm</t>
      </text>
    </comment>
    <comment authorId="0" ref="B25">
      <text>
        <t xml:space="preserve">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text>
    </comment>
    <comment authorId="0" ref="AD25">
      <text>
        <t xml:space="preserve">formative study with four PhD students
	-Michael Felderer</t>
      </text>
    </comment>
    <comment authorId="0" ref="B26">
      <text>
        <t xml:space="preserve">Not sure if we can lump this together with attention?
	-Michael Unterkalmsteiner</t>
      </text>
    </comment>
    <comment authorId="0" ref="B27">
      <text>
        <t xml:space="preserve">Not sure where to put this. Is program comprehension technical tacit knowledge?
	-Michael Unterkalmsteiner</t>
      </text>
    </comment>
    <comment authorId="0" ref="B28">
      <text>
        <t xml:space="preserve">Exclude? No aspects extracted.
	-Michael Unterkalmsteiner
The aspect is Attention I would say</t>
      </text>
    </comment>
    <comment authorId="0" ref="AC28">
      <text>
        <t xml:space="preserve">In addition research questions are stated but not investigated
	-Michael Felderer</t>
      </text>
    </comment>
    <comment authorId="0" ref="B29">
      <text>
        <t xml:space="preserve">Exclude as not cognitive aspect identified?
	-Michael Unterkalmsteiner
Also related to security knowledge and learning, no specific aspect but cogniting and learning (knowledge) on a general level are addressed</t>
      </text>
    </comment>
    <comment authorId="0" ref="F29">
      <text>
        <t xml:space="preserve">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text>
    </comment>
    <comment authorId="0" ref="G29">
      <text>
        <t xml:space="preserve">requirements pattern
	-Michael Felderer</t>
      </text>
    </comment>
    <comment authorId="0" ref="V29">
      <text>
        <t xml:space="preserve">explains how humans interact with abstracts
	-Michael Felderer</t>
      </text>
    </comment>
    <comment authorId="0" ref="AG29">
      <text>
        <t xml:space="preserve">We motivate this discussion
	-Michael Felderer</t>
      </text>
    </comment>
    <comment authorId="0" ref="F30">
      <text>
        <t xml:space="preserve">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text>
    </comment>
    <comment authorId="0" ref="V32">
      <text>
        <t xml:space="preserve">not directly a cognitive theory
	-Michael Felderer</t>
      </text>
    </comment>
    <comment authorId="0" ref="B33">
      <text>
        <t xml:space="preserve">Problem solving or knowledge or both?
	-Michael Unterkalmsteiner
Both I would say, problem solving and knowledge</t>
      </text>
    </comment>
    <comment authorId="0" ref="AD33">
      <text>
        <t xml:space="preserve">experiment (n=51)
	-Michael Felderer
comparing students and professionals
	-Michael Felderer</t>
      </text>
    </comment>
    <comment authorId="0" ref="AA34">
      <text>
        <t xml:space="preserve">n=57 + 66 in replication study
	-Michael Unterkalmsteiner</t>
      </text>
    </comment>
    <comment authorId="0" ref="AD34">
      <text>
        <t xml:space="preserve">Controlled experiment
	-Michael Unterkalmsteiner</t>
      </text>
    </comment>
    <comment authorId="0" ref="F35">
      <text>
        <t xml:space="preserve">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text>
    </comment>
    <comment authorId="0" ref="AD35">
      <text>
        <t xml:space="preserve">n(total)=64,
	-Michael Unterkalmsteiner</t>
      </text>
    </comment>
    <comment authorId="0" ref="AA36">
      <text>
        <t xml:space="preserve">n=29
	-Michael Unterkalmsteiner</t>
      </text>
    </comment>
    <comment authorId="0" ref="AB36">
      <text>
        <t xml:space="preserve">n=34+32
	-Michael Unterkalmsteiner</t>
      </text>
    </comment>
    <comment authorId="0" ref="AD36">
      <text>
        <t xml:space="preserve">Experiment
	-Michael Unterkalmsteiner</t>
      </text>
    </comment>
    <comment authorId="0" ref="AD37">
      <text>
        <t xml:space="preserve">Case Study
	-Michael Felderer</t>
      </text>
    </comment>
    <comment authorId="0" ref="AA38">
      <text>
        <t xml:space="preserve">n=28
	-Michael Unterkalmsteiner</t>
      </text>
    </comment>
    <comment authorId="0" ref="AB38">
      <text>
        <t xml:space="preserve">n=36
	-Michael Unterkalmsteiner</t>
      </text>
    </comment>
    <comment authorId="0" ref="AD38">
      <text>
        <t xml:space="preserve">Experiment
	-Michael Unterkalmsteiner</t>
      </text>
    </comment>
    <comment authorId="0" ref="W39">
      <text>
        <t xml:space="preserve">perform SLR in cognitive psychology to define cognitive bias metric set
	-Michael Felderer</t>
      </text>
    </comment>
    <comment authorId="0" ref="AC39">
      <text>
        <t xml:space="preserve">Research in progress
	-Michael Felderer</t>
      </text>
    </comment>
    <comment authorId="0" ref="AB40">
      <text>
        <t xml:space="preserve">n=unclear
	-Michael Unterkalmsteiner</t>
      </text>
    </comment>
    <comment authorId="0" ref="AD40">
      <text>
        <t xml:space="preserve">Research method not clear
	-Michael Unterkalmsteiner</t>
      </text>
    </comment>
    <comment authorId="0" ref="AD41">
      <text>
        <t xml:space="preserve">N=30, spread over 3 projects
	-Robert Feldt
Also pilot study with quite a few students
	-Robert Feldt
N=28 students
	-Robert Feldt</t>
      </text>
    </comment>
    <comment authorId="0" ref="B43">
      <text>
        <t xml:space="preserve">Similar problem as with cognitive styles: don't know how to classify.
	-Michael Unterkalmsteiner
Cognition and Knowledge?</t>
      </text>
    </comment>
    <comment authorId="0" ref="AD43">
      <text>
        <t xml:space="preserve">Case Study
	-Michael Felderer</t>
      </text>
    </comment>
    <comment authorId="0" ref="B44">
      <text>
        <t xml:space="preserve">Not classifiable: cognitive fit
	-Michael Unterkalmsteiner
MFD: I see cognition and stress here
MUN: exclude then, because emotion is not part of the taxonomy we publish (we just added it here in order to see how much we miss)?</t>
      </text>
    </comment>
    <comment authorId="0" ref="AD44">
      <text>
        <t xml:space="preserve">Survey (N=123)
	-Michael Felderer</t>
      </text>
    </comment>
    <comment authorId="0" ref="B45">
      <text>
        <t xml:space="preserve">Not classifiable
	-Michael Unterkalmsteiner
Can it be classified as "Knowledge"?</t>
      </text>
    </comment>
    <comment authorId="0" ref="AD45">
      <text>
        <t xml:space="preserve">Case Study
	-Michael Felderer</t>
      </text>
    </comment>
    <comment authorId="0" ref="G46">
      <text>
        <t xml:space="preserve">Main area according to paper. However I do not see how the study rules out cognitive biases related to other areas affecting the result (error count).
	-Fabian Fagerholm</t>
      </text>
    </comment>
    <comment authorId="0" ref="X46">
      <text>
        <t xml:space="preserve">The details on the survey statements are very unclear.
	-Fabian Fagerholm</t>
      </text>
    </comment>
    <comment authorId="0" ref="AH46">
      <text>
        <t xml:space="preserve">The authors claim that the biases apply to the requirements phase, but I do not see how the study design ensured that the biases did not occur during another phase.
	-Fabian Fagerholm</t>
      </text>
    </comment>
    <comment authorId="0" ref="B47">
      <text>
        <t xml:space="preserve">Not sure about this one. I've equaled cognitive capital (level of expterise, tenure) with knowledge in our taxonomy.
	-Michael Unterkalmsteiner</t>
      </text>
    </comment>
    <comment authorId="0" ref="Q47">
      <text>
        <t xml:space="preserve">This seems to be closest, but this paper is hard to fit to the SWEBOK.
	-Fabian Fagerholm</t>
      </text>
    </comment>
    <comment authorId="0" ref="W47">
      <text>
        <t xml:space="preserve">These may be understood as group- or organisation-level concepts, but were measured here on the individual level and assumed to aggregate from the individual level.
	-Fabian Fagerholm</t>
      </text>
    </comment>
    <comment authorId="0" ref="AB47">
      <text>
        <t xml:space="preserve">The context was OSS communities and seems to be closest to industry.
	-Fabian Fagerholm</t>
      </text>
    </comment>
    <comment authorId="0" ref="AD47">
      <text>
        <t xml:space="preserve">Survey
	-Fabian Fagerholm</t>
      </text>
    </comment>
    <comment authorId="0" ref="B48">
      <text>
        <t xml:space="preserve">Also not sure here which aspect: problems solving or knowledge or both.
	-Michael Unterkalmsteiner
Both Knowledge and Problem Solving</t>
      </text>
    </comment>
    <comment authorId="0" ref="I48">
      <text>
        <t xml:space="preserve">program comprehension
	-Michael Felderer</t>
      </text>
    </comment>
    <comment authorId="0" ref="AD48">
      <text>
        <t xml:space="preserve">Observational Study
	-Michael Felderer</t>
      </text>
    </comment>
    <comment authorId="0" ref="B49">
      <text>
        <t xml:space="preserve">No measures extracted?
	-Michael Unterkalmsteiner
Also Knowledge</t>
      </text>
    </comment>
    <comment authorId="0" ref="H49">
      <text>
        <t xml:space="preserve">collaboration structure in software development teams
	-Michael Felderer</t>
      </text>
    </comment>
    <comment authorId="0" ref="M49">
      <text>
        <t xml:space="preserve">collaboration structure in software development teams
	-Michael Felderer</t>
      </text>
    </comment>
    <comment authorId="0" ref="AB49">
      <text>
        <t xml:space="preserve">230 development teams producing open source software
	-Michael Felderer</t>
      </text>
    </comment>
    <comment authorId="0" ref="AD49">
      <text>
        <t xml:space="preserve">controlled experiment
	-Michael Felderer</t>
      </text>
    </comment>
    <comment authorId="0" ref="AD50">
      <text>
        <t xml:space="preserve">N=16, interview study
	-Robert Feldt</t>
      </text>
    </comment>
    <comment authorId="0" ref="AA51">
      <text>
        <t xml:space="preserve">Not clear, but there is no indication  of an industrial context.
</t>
      </text>
    </comment>
    <comment authorId="0" ref="AD51">
      <text>
        <t xml:space="preserve">Experiment. N=30 participants (15 procedural and 15 OO experts).
</t>
      </text>
    </comment>
    <comment authorId="0" ref="B52">
      <text>
        <t xml:space="preserve">Problem solving or knowledge?
	-Michael Unterkalmsteiner
BMR: knowledge (understanding an UML diagram). The variable measured was the understanding of the diagram. Participants were not asked to solve problems.</t>
      </text>
    </comment>
    <comment authorId="0" ref="K52">
      <text>
        <t xml:space="preserve">Understandability and maintainability
</t>
      </text>
    </comment>
    <comment authorId="0" ref="AA52">
      <text>
        <t xml:space="preserve">4 of the 5 experiments were in universities, with student subjects. 
5th was with industrial subjects (no indication of industrial context though).
</t>
      </text>
    </comment>
    <comment authorId="0" ref="AD52">
      <text>
        <t xml:space="preserve">5 Experiments
Relatively small statechart diagrams (10-25 states). 2x2 experimental design (2 domains, with and without composite states).
</t>
      </text>
    </comment>
    <comment authorId="0" ref="K53">
      <text>
        <t xml:space="preserve">Maintenance tasks.
</t>
      </text>
    </comment>
    <comment authorId="0" ref="AA53">
      <text>
        <t xml:space="preserve">Professional programmers as experimental subjects. Context appears to be academic, however.</t>
      </text>
    </comment>
    <comment authorId="0" ref="AD53">
      <text>
        <t xml:space="preserve">2 Experiments (Understanding and modification)
9 programs (FORTRAN) between 36 and 57 statements</t>
      </text>
    </comment>
    <comment authorId="0" ref="B54">
      <text>
        <t xml:space="preserve">Exclude? No cognitive concepts identified.
	-Michael Unterkalmsteiner
BMR: Agreed. The individual level (where cognitive factors would be present) is focused on behaviour.
</t>
      </text>
    </comment>
    <comment authorId="0" ref="H54">
      <text>
        <t xml:space="preserve">Requirements and high-level design decision on subsequent processes.</t>
      </text>
    </comment>
    <comment authorId="0" ref="N54">
      <text>
        <t xml:space="preserve">Requirements and high-level design decision on subsequent processes.</t>
      </text>
    </comment>
    <comment authorId="0" ref="AB54">
      <text>
        <t xml:space="preserve">On site interviews with systems engineers, senior software designers, and project manager.
</t>
      </text>
    </comment>
    <comment authorId="0" ref="AD54">
      <text>
        <t xml:space="preserve">Interview study - 17 projects</t>
      </text>
    </comment>
    <comment authorId="0" ref="AD55">
      <text>
        <t xml:space="preserve">Multiple-case study.
	-Fabian Fagerholm</t>
      </text>
    </comment>
    <comment authorId="0" ref="AD56">
      <text>
        <t xml:space="preserve">n=6, grounded theory, interviews
	-Michael Unterkalmsteiner</t>
      </text>
    </comment>
    <comment authorId="0" ref="I57">
      <text>
        <t xml:space="preserve">Programming task, though it appears to be more about learning how to program.
</t>
      </text>
    </comment>
    <comment authorId="0" ref="AD57">
      <text>
        <t xml:space="preserve">Experimental study - program memorization - 24 participants
Pascal programs - avg 24 lines
task was memorization
</t>
      </text>
    </comment>
    <comment authorId="0" ref="AD58">
      <text>
        <t xml:space="preserve">N=18
	-Michael Unterkalmsteiner</t>
      </text>
    </comment>
    <comment authorId="0" ref="K59">
      <text>
        <t xml:space="preserve">Program comprehension
	-Michael Unterkalmsteiner</t>
      </text>
    </comment>
    <comment authorId="0" ref="AA59">
      <text>
        <t xml:space="preserve">n=3, experiment
	-Michael Unterkalmsteiner</t>
      </text>
    </comment>
    <comment authorId="0" ref="B60">
      <text>
        <t xml:space="preserve">Same as Binkley2002. Where do we put comprehension of X?
	-Michael Unterkalmsteiner</t>
      </text>
    </comment>
    <comment authorId="0" ref="B61">
      <text>
        <t xml:space="preserve">Maybe exclude as only marginally relevant and does not fit in the taxonomy?
	-Michael Unterkalmsteiner</t>
      </text>
    </comment>
    <comment authorId="0" ref="AC61">
      <text>
        <t xml:space="preserve">The authors state they did a case study, but context is unclear (who did what).
	-Michael Unterkalmsteiner</t>
      </text>
    </comment>
    <comment authorId="0" ref="F62">
      <text>
        <t xml:space="preserve">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text>
    </comment>
    <comment authorId="0" ref="B63">
      <text>
        <t xml:space="preserve">No cognitive aspect extracted. Exclude?
	-Michael Unterkalmsteiner</t>
      </text>
    </comment>
    <comment authorId="0" ref="F63">
      <text>
        <t xml:space="preserve">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text>
    </comment>
    <comment authorId="0" ref="B64">
      <text>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text>
    </comment>
    <comment authorId="0" ref="AC64">
      <text>
        <t xml:space="preserve">proposal of adding inner icons to data graphic symbol
	-Michael Felderer</t>
      </text>
    </comment>
    <comment authorId="0" ref="AG64">
      <text>
        <t xml:space="preserve">provides opinion on physics of notation
	-Michael Felderer</t>
      </text>
    </comment>
    <comment authorId="0" ref="AD65">
      <text>
        <t xml:space="preserve">Controlled experiment
	-Fabian Fagerholm</t>
      </text>
    </comment>
    <comment authorId="0" ref="B66">
      <text>
        <t xml:space="preserve">Hm, should this paper even be selected? Looking at the cognitive measure and assessment, the effectiveness of the tool is evaluated, not, e.g., the effect of object churn on cognitive effort.
	-Michael Unterkalmsteiner
I agree and have marked the paper for exclusion. -Fabian</t>
      </text>
    </comment>
    <comment authorId="0" ref="AA66">
      <text>
        <t xml:space="preserve">The researchers evaluated the tool/method themselves.
	-Fabian Fagerholm</t>
      </text>
    </comment>
    <comment authorId="0" ref="AD66">
      <text>
        <t xml:space="preserve">Empirical in the sense that the tool/method was applied to real software.
	-Fabian Fagerholm</t>
      </text>
    </comment>
    <comment authorId="0" ref="B67">
      <text>
        <t xml:space="preserve">Same is Binkley2002
	-Michael Unterkalmsteiner</t>
      </text>
    </comment>
    <comment authorId="0" ref="B69">
      <text>
        <t xml:space="preserve">Not classifiable (similar to all other program comprehrension papers). Or we lump it also under tacit technichal knowledge.
	-Michael Unterkalmsteiner</t>
      </text>
    </comment>
    <comment authorId="0" ref="B70">
      <text>
        <t xml:space="preserve">Again, hard to say where to put since many higher level functions are described, but for me is not clear into which base category they fall (or if we miss a base category).
	-Michael Unterkalmsteiner</t>
      </text>
    </comment>
    <comment authorId="0" ref="D70">
      <text>
        <t xml:space="preserve">Not sure what this is.
	-Fabian Fagerholm</t>
      </text>
    </comment>
    <comment authorId="0" ref="V71">
      <text>
        <t xml:space="preserve">This is not explicitly stated but the underlying theory could be summarised as cognitive load.
	-Fabian Fagerholm</t>
      </text>
    </comment>
    <comment authorId="0" ref="AD71">
      <text>
        <t xml:space="preserve">Quasi-controlled experiment with tasks
	-Fabian Fagerholm</t>
      </text>
    </comment>
    <comment authorId="0" ref="B72">
      <text>
        <t xml:space="preserve">Cognitive aspect not clear from extracted data
	-Michael Unterkalmsteiner</t>
      </text>
    </comment>
    <comment authorId="0" ref="AD72">
      <text>
        <t xml:space="preserve">exploratory empirical analysis of two data sets from several hundreds of change tasks and eighty developers working on open and closed source projects
	-Michael Felderer</t>
      </text>
    </comment>
    <comment authorId="0" ref="B73">
      <text>
        <t xml:space="preserve">The extracted data looks like a copy and paste error from Leveson2000 (the paper above this one in the original ordering). Need to extract again.
	-Michael Unterkalmsteiner
MUN: I was wrong, the extracted data is from the correct paper (Furuta1994)</t>
      </text>
    </comment>
    <comment authorId="0" ref="I74">
      <text>
        <t xml:space="preserve">Even though cognitive load in the context of software use is studied, the use is software development (visual programming language). Hence relevant.
	-Michael Unterkalmsteiner</t>
      </text>
    </comment>
    <comment authorId="0" ref="AD74">
      <text>
        <t xml:space="preserve">n=8
	-Michael Unterkalmsteiner</t>
      </text>
    </comment>
    <comment authorId="0" ref="I75">
      <text>
        <t xml:space="preserve">Since it is a visual programing language for UI's. Could be argued to be design also...
	-Robert Feldt</t>
      </text>
    </comment>
    <comment authorId="0" ref="W75">
      <text>
        <t xml:space="preserve">I don't judge "task performance" to be a CogPsych concept; too general.
	-Robert Feldt</t>
      </text>
    </comment>
    <comment authorId="0" ref="AD75">
      <text>
        <t xml:space="preserve">Not a full-blown experiment, more like an early pilot study with paper prototypes. N=8
	-Robert Feldt</t>
      </text>
    </comment>
    <comment authorId="0" ref="AD76">
      <text>
        <t xml:space="preserve">experiment (n=64)
	-Michael Felderer</t>
      </text>
    </comment>
    <comment authorId="0" ref="B77">
      <text>
        <t xml:space="preserve">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text>
    </comment>
    <comment authorId="0" ref="Y77">
      <text>
        <t xml:space="preserve">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text>
    </comment>
    <comment authorId="0" ref="AD77">
      <text>
        <t xml:space="preserve">experiment with 46 programs
	-Michael Felderer</t>
      </text>
    </comment>
    <comment authorId="0" ref="AA78">
      <text>
        <t xml:space="preserve">n=24
	-Michael Unterkalmsteiner</t>
      </text>
    </comment>
    <comment authorId="0" ref="AD78">
      <text>
        <t xml:space="preserve">Experiment
	-Michael Unterkalmsteiner</t>
      </text>
    </comment>
    <comment authorId="0" ref="B79">
      <text>
        <t xml:space="preserve">Same issues as with Yang1996
	-Michael Unterkalmsteiner</t>
      </text>
    </comment>
    <comment authorId="0" ref="H79">
      <text>
        <t xml:space="preserve">The paper is quite abstract, but the focus is on notation for capturing information in programming, so design and construction are the most fitting categories
	-Michael Unterkalmsteiner</t>
      </text>
    </comment>
    <comment authorId="0" ref="B80">
      <text>
        <t xml:space="preserve">See Green1989
	-Michael Unterkalmsteiner</t>
      </text>
    </comment>
    <comment authorId="0" ref="B81">
      <text>
        <t xml:space="preserve">Can this be classified as cognitive load?
	-Michael Unterkalmsteiner
MUN: classified as Gruhn2007</t>
      </text>
    </comment>
    <comment authorId="0" ref="B82">
      <text>
        <t xml:space="preserve">Do we throw that together with cognitive load? In the sense that the representation of some information is cognitive complex, leading to higher cognitive load?
	-Michael Unterkalmsteiner
MUN: no measures extracted, still classified as qual. measures?</t>
      </text>
    </comment>
    <comment authorId="0" ref="AC82">
      <text>
        <t xml:space="preserve">Theory development without validation
	-Fabian Fagerholm</t>
      </text>
    </comment>
    <comment authorId="0" ref="AD83">
      <text>
        <t xml:space="preserve">Think aloud protocols from 8 professional programmers. Lift control problem
</t>
      </text>
    </comment>
    <comment authorId="0" ref="B84">
      <text>
        <t xml:space="preserve">Problem solving or knowledge?
	-Michael Unterkalmsteiner
MUN: Classified as problem solving.</t>
      </text>
    </comment>
    <comment authorId="0" ref="AD84">
      <text>
        <t xml:space="preserve">N=41, industry developers
	-Robert Feldt</t>
      </text>
    </comment>
    <comment authorId="0" ref="H85">
      <text>
        <t xml:space="preserve">Tasks are about understanding and integrating design artefacts
</t>
      </text>
    </comment>
    <comment authorId="0" ref="AD85">
      <text>
        <t xml:space="preserve">Experiment - 32 students</t>
      </text>
    </comment>
    <comment authorId="0" ref="B86">
      <text>
        <t xml:space="preserve">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text>
    </comment>
    <comment authorId="0" ref="AB86">
      <text>
        <t xml:space="preserve">Case study conducted in a development team - even if the system being developed was for a university
</t>
      </text>
    </comment>
    <comment authorId="0" ref="AD86">
      <text>
        <t xml:space="preserve">Case study.</t>
      </text>
    </comment>
    <comment authorId="0" ref="B87">
      <text>
        <t xml:space="preserve">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text>
    </comment>
    <comment authorId="0" ref="AC87">
      <text>
        <t xml:space="preserve">Proposes the use of the ACT-R cognitive architecture
</t>
      </text>
    </comment>
    <comment authorId="0" ref="B88">
      <text>
        <t xml:space="preserve">Where to place cognitive fit?
	-Michael Unterkalmsteiner</t>
      </text>
    </comment>
    <comment authorId="0" ref="AD88">
      <text>
        <t xml:space="preserve">The empirical part is not directly related to the cognitive aspects; the connection is made by argument and the cognitive aspects are more philosophical.
	-Fabian Fagerholm</t>
      </text>
    </comment>
    <comment authorId="0" ref="B89">
      <text>
        <t xml:space="preserve">Not classifiable: cognitive fit
	-Michael Unterkalmsteiner
MUN: classified as knowledge</t>
      </text>
    </comment>
    <comment authorId="0" ref="AD89">
      <text>
        <t xml:space="preserve">Experiment, N=18 (+2 for pilot study)
	-Robert Feldt</t>
      </text>
    </comment>
    <comment authorId="0" ref="B90">
      <text>
        <t xml:space="preserve">Same as Binkley2002
	-Michael Unterkalmsteiner</t>
      </text>
    </comment>
    <comment authorId="0" ref="B91">
      <text>
        <t xml:space="preserve">Not classifiable. Perception, as we defined it, is not the right fit. However, looking at my comments, mabe a candidate to exclude anyway.
	-Michael Unterkalmsteiner</t>
      </text>
    </comment>
    <comment authorId="0" ref="P91">
      <text>
        <t xml:space="preserve">Perceived software quality
	-Michael Unterkalmsteiner</t>
      </text>
    </comment>
    <comment authorId="0" ref="Y91">
      <text>
        <t xml:space="preserve">Study has an experiment, but what is measured is perceived software quality, not the *process* how software quality is perceived. Maybe this is also the case for the follow-up paper, Hoffman2011.
	-Michael Unterkalmsteiner</t>
      </text>
    </comment>
    <comment authorId="0" ref="AD91">
      <text>
        <t xml:space="preserve">n=?, experiment
	-Michael Unterkalmsteiner</t>
      </text>
    </comment>
    <comment authorId="0" ref="AB92">
      <text>
        <t xml:space="preserve">experiment with professional software evaluators
	-Michael Felderer</t>
      </text>
    </comment>
    <comment authorId="0" ref="AD92">
      <text>
        <t xml:space="preserve">experiment
	-Michael Felderer</t>
      </text>
    </comment>
    <comment authorId="0" ref="B93">
      <text>
        <t xml:space="preserve">Not sure how to classify cognitive issues.
	-Michael Unterkalmsteiner
This is about Cognition in general, there is also an implicit relation to Attention I think</t>
      </text>
    </comment>
    <comment authorId="0" ref="AD93">
      <text>
        <t xml:space="preserve">action research with 8 developers of a case company
	-Michael Felderer</t>
      </text>
    </comment>
    <comment authorId="0" ref="B94">
      <text>
        <t xml:space="preserve">Could be problems solving or knowledge... need to check fulltext
	-Michael Unterkalmsteiner
I would relate the paper to both issues, Knowledge and Problem Solving</t>
      </text>
    </comment>
    <comment authorId="0" ref="AD94">
      <text>
        <t xml:space="preserve">Experiment with 4 experts and 4 novices
	-Michael Felderer</t>
      </text>
    </comment>
    <comment authorId="0" ref="B95">
      <text>
        <t xml:space="preserve">Good example of a paper where cognitive concepts are deeply embedded in the narrative and hard to extract.
	-Fabian Fagerholm</t>
      </text>
    </comment>
    <comment authorId="0" ref="AD95">
      <text>
        <t xml:space="preserve">The empirical part is minor.
	-Fabian Fagerholm</t>
      </text>
    </comment>
    <comment authorId="0" ref="B96">
      <text>
        <t xml:space="preserve">Does this fall under knowledge?
	-Michael Unterkalmsteiner</t>
      </text>
    </comment>
    <comment authorId="0" ref="B97">
      <text>
        <t xml:space="preserve">Same issue as with Yang1996.
	-Michael Unterkalmsteiner</t>
      </text>
    </comment>
    <comment authorId="0" ref="G97">
      <text>
        <t xml:space="preserve">Comprehening requirements specifications
	-Michael Unterkalmsteiner</t>
      </text>
    </comment>
    <comment authorId="0" ref="F98">
      <text>
        <t xml:space="preserve">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text>
    </comment>
    <comment authorId="0" ref="AD98">
      <text>
        <t xml:space="preserve">experiment (N=2)
	-Michael Felderer</t>
      </text>
    </comment>
    <comment authorId="0" ref="H100">
      <text>
        <t xml:space="preserve">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text>
    </comment>
    <comment authorId="0" ref="AB100">
      <text>
        <t xml:space="preserve">The paper concerns industry but has no empirical data.
	-Fabian Fagerholm</t>
      </text>
    </comment>
    <comment authorId="0" ref="AD101">
      <text>
        <t xml:space="preserve">Action research, case study in company (n=1)
	-Michael Unterkalmsteiner</t>
      </text>
    </comment>
    <comment authorId="0" ref="AJ101">
      <text>
        <t xml:space="preserve">"The model explains knowledge management as a sensemaking process unfolding in the interaction
between collective and individual cognition."
	-Michael Unterkalmsteiner</t>
      </text>
    </comment>
    <comment authorId="0" ref="AD102">
      <text>
        <t xml:space="preserve">Study itself is empirical but cognitive aspect only used in analysis so debatable. Refine categories?
	-Robert Feldt</t>
      </text>
    </comment>
    <comment authorId="0" ref="AI102">
      <text>
        <t xml:space="preserve">Theoretical model to understand knowledge construction and management in SW projects
	-Michael Felderer</t>
      </text>
    </comment>
    <comment authorId="0" ref="B103">
      <text>
        <t xml:space="preserve">Same as Gordon1979
	-Michael Unterkalmsteiner
This one refers to cognitive concepts so it should be kept</t>
      </text>
    </comment>
    <comment authorId="0" ref="G104">
      <text>
        <t xml:space="preserve">The paper talks about software development in general, hence I picked all 5 major areas. Also, the paper talk about the effects of considering cogntive aspects on software development. Hence E.
	-Michael Unterkalmsteiner</t>
      </text>
    </comment>
    <comment authorId="0" ref="AA104">
      <text>
        <t xml:space="preserve">No empirical study
	-Michael Unterkalmsteiner</t>
      </text>
    </comment>
    <comment authorId="0" ref="B105">
      <text>
        <t xml:space="preserve">Problem solving or knowledge?
	-Michael Unterkalmsteiner
Problem solving and knowledge</t>
      </text>
    </comment>
    <comment authorId="0" ref="AD105">
      <text>
        <t xml:space="preserve">n=12
	-Michael Felderer</t>
      </text>
    </comment>
    <comment authorId="0" ref="AD106">
      <text>
        <t xml:space="preserve">5 cases of onboarding for SW maintenance, data collection: semi-structured interviews, observation of sessions, and document analysis
	-Robert Feldt</t>
      </text>
    </comment>
    <comment authorId="0" ref="F107">
      <text>
        <t xml:space="preserve">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text>
    </comment>
    <comment authorId="0" ref="B108">
      <text>
        <t xml:space="preserve">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text>
    </comment>
    <comment authorId="0" ref="G108">
      <text>
        <t xml:space="preserve">implications on RE
	-Michael Felderer</t>
      </text>
    </comment>
    <comment authorId="0" ref="Q108">
      <text>
        <t xml:space="preserve">implications on training
	-Michael Felderer</t>
      </text>
    </comment>
    <comment authorId="0" ref="AD108">
      <text>
        <t xml:space="preserve">Experiment (n=78)
	-Michael Felderer</t>
      </text>
    </comment>
    <comment authorId="0" ref="AD109">
      <text>
        <t xml:space="preserve">case studies, two subjects
	-Michael Felderer</t>
      </text>
    </comment>
    <comment authorId="0" ref="B110">
      <text>
        <t xml:space="preserve">Not sure if this falls under attention...
	-Michael Unterkalmsteiner</t>
      </text>
    </comment>
    <comment authorId="0" ref="AB111">
      <text>
        <t xml:space="preserve">n=6 professional programmers
	-Michael Unterkalmsteiner</t>
      </text>
    </comment>
    <comment authorId="0" ref="AD111">
      <text>
        <t xml:space="preserve">Observational study
	-Michael Unterkalmsteiner</t>
      </text>
    </comment>
    <comment authorId="0" ref="B113">
      <text>
        <t xml:space="preserve">Not sure how to classify, maybe decision making?
	-Michael Unterkalmsteiner</t>
      </text>
    </comment>
    <comment authorId="0" ref="G114">
      <text>
        <t xml:space="preserve">The paper includes a case study that looks at teaching of requirements engineering
	-Fabian Fagerholm</t>
      </text>
    </comment>
    <comment authorId="0" ref="AA114">
      <text>
        <t xml:space="preserve">It remains unclear what the context should be considered as.
	-Fabian Fagerholm</t>
      </text>
    </comment>
    <comment authorId="0" ref="AH114">
      <text>
        <t xml:space="preserve">This was a very problematic paper to extract from. The cognitive aspects are weaved deeply into the paper and do not map easily to our extraction structure. Many details are obscure. At the same time, it seems quite relevant to our study.
	-Fabian Fagerholm</t>
      </text>
    </comment>
    <comment authorId="0" ref="H115">
      <text>
        <t xml:space="preserve">Not so clear as the diagram type is irrelevant for this study.
	-Michael Unterkalmsteiner</t>
      </text>
    </comment>
    <comment authorId="0" ref="AA115">
      <text>
        <t xml:space="preserve">n=23
	-Michael Unterkalmsteiner</t>
      </text>
    </comment>
    <comment authorId="0" ref="AD115">
      <text>
        <t xml:space="preserve">Controlled experiment
	-Michael Unterkalmsteiner</t>
      </text>
    </comment>
    <comment authorId="0" ref="K116">
      <text>
        <t xml:space="preserve">On the basis that it deals with program understanding and recall
</t>
      </text>
    </comment>
    <comment authorId="0" ref="AD116">
      <text>
        <t xml:space="preserve">Experiment - 4 programs (about 20 lines)
student participants: 31
</t>
      </text>
    </comment>
    <comment authorId="0" ref="K117">
      <text>
        <t xml:space="preserve">Widespread use of Models for communication in a variety of subareas
</t>
      </text>
    </comment>
    <comment authorId="0" ref="AD117">
      <text>
        <t xml:space="preserve">Experiment - 4 participants</t>
      </text>
    </comment>
    <comment authorId="0" ref="B119">
      <text>
        <t xml:space="preserve">Not classifiable
	-Michael Unterkalmsteiner
Agreed. It appears to be more about design and communicating design. May connect to requirements, but not much is said about the cognition aspect. 
      - Bogdan Marculescu
</t>
      </text>
    </comment>
    <comment authorId="0" ref="H119">
      <text>
        <t xml:space="preserve">Appears to focus on design, with elements of requirements elicitation.
</t>
      </text>
    </comment>
    <comment authorId="0" ref="AA119">
      <text>
        <t xml:space="preserve">Initial observations appear to be in industry, follow-ups with students</t>
      </text>
    </comment>
    <comment authorId="0" ref="AB119">
      <text>
        <t xml:space="preserve">Initial observations appear to be in industry, follow-ups with students</t>
      </text>
    </comment>
    <comment authorId="0" ref="K120">
      <text>
        <t xml:space="preserve">I'm basing this on the understanding- memorization dynamic
</t>
      </text>
    </comment>
    <comment authorId="0" ref="AD120">
      <text>
        <t xml:space="preserve">Experiment 1 - 31 line program
53 subjects (3 levels of expertise)
Experiment 2 - 22 subjects
Recall reserved words
</t>
      </text>
    </comment>
    <comment authorId="0" ref="B121">
      <text>
        <t xml:space="preserve">Not sure where to put cognitive styles.
	-Michael Unterkalmsteiner</t>
      </text>
    </comment>
    <comment authorId="0" ref="Y121">
      <text>
        <t xml:space="preserve">It is somewhat unclear in the paper how the assessment of cognitive style was performed.
	-Fabian Fagerholm</t>
      </text>
    </comment>
    <comment authorId="0" ref="B122">
      <text>
        <t xml:space="preserve">Not classifiable
	-Michael Unterkalmsteiner</t>
      </text>
    </comment>
    <comment authorId="0" ref="F122">
      <text>
        <t xml:space="preserve">"[...]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text>
    </comment>
    <comment authorId="0" ref="AD122">
      <text>
        <t xml:space="preserve">n=4, case study.
	-Michael Unterkalmsteiner</t>
      </text>
    </comment>
    <comment authorId="0" ref="AD123">
      <text>
        <t xml:space="preserve">Quasi-controlled experiment with qualitative data
	-Fabian Fagerholm</t>
      </text>
    </comment>
    <comment authorId="0" ref="G124">
      <text>
        <t xml:space="preserve">The effect of framing (a cognitive bias) desiderata as requirements or ideas on the creativity/originality/innovation of design.
	-Michael Unterkalmsteiner</t>
      </text>
    </comment>
    <comment authorId="0" ref="X124">
      <text>
        <t xml:space="preserve">Design artifact is proxy for measure
	-Michael Unterkalmsteiner</t>
      </text>
    </comment>
    <comment authorId="0" ref="AD124">
      <text>
        <t xml:space="preserve">Experimentation with students (n=42)
	-Michael Unterkalmsteiner</t>
      </text>
    </comment>
    <comment authorId="0" ref="AJ124">
      <text>
        <t xml:space="preserve">Initial investigation into a theory of the effect of framing of desiderata?
	-Michael Unterkalmsteiner</t>
      </text>
    </comment>
    <comment authorId="0" ref="B126">
      <text>
        <t xml:space="preserve">Same as with complexity: lump under load?
	-Michael Unterkalmsteiner</t>
      </text>
    </comment>
    <comment authorId="0" ref="B127">
      <text>
        <t xml:space="preserve">Same as Moody2008
	-Michael Unterkalmsteiner</t>
      </text>
    </comment>
    <comment authorId="0" ref="B128">
      <text>
        <t xml:space="preserve">Not sure about this one. But maybe we can consider cognitive effectiveness and cognitive load as complementary concepts?
	-Michael Unterkalmsteiner</t>
      </text>
    </comment>
    <comment authorId="0" ref="W128">
      <text>
        <t xml:space="preserve">Defined in the Physics of Notations as speed, ease and accuracy with which a representation can be processed by the human mind.
	-Fabian Fagerholm</t>
      </text>
    </comment>
    <comment authorId="0" ref="AD128">
      <text>
        <t xml:space="preserve">Theoretical analysis and validation
	-Fabian Fagerholm</t>
      </text>
    </comment>
    <comment authorId="0" ref="AD129">
      <text>
        <t xml:space="preserve">N=30
	-Robert Feldt</t>
      </text>
    </comment>
    <comment authorId="0" ref="B130">
      <text>
        <t xml:space="preserve">Not classifiable.
	-Michael Unterkalmsteiner</t>
      </text>
    </comment>
    <comment authorId="0" ref="M130">
      <text>
        <t xml:space="preserve">E
	-Michael Unterkalmsteiner</t>
      </text>
    </comment>
    <comment authorId="0" ref="Q130">
      <text>
        <t xml:space="preserve">E
	-Michael Unterkalmsteiner</t>
      </text>
    </comment>
    <comment authorId="0" ref="AD130">
      <text>
        <t xml:space="preserve">Interviews n=10, Survey n=846
	-Michael Unterkalmsteiner</t>
      </text>
    </comment>
    <comment authorId="0" ref="AD132">
      <text>
        <t xml:space="preserve">n=84
	-Michael Unterkalmsteiner</t>
      </text>
    </comment>
    <comment authorId="0" ref="B133">
      <text>
        <t xml:space="preserve">Does this fit into knowledge?
	-Michael Unterkalmsteiner</t>
      </text>
    </comment>
    <comment authorId="0" ref="AD133">
      <text>
        <t xml:space="preserve">Survey
	-Fabian Fagerholm</t>
      </text>
    </comment>
    <comment authorId="0" ref="AD134">
      <text>
        <t xml:space="preserve">N=47, experiment with interviews for data collection
	-Robert Feldt
60% from industry, rest from academia
	-Robert Feldt</t>
      </text>
    </comment>
    <comment authorId="0" ref="B135">
      <text>
        <t xml:space="preserve">Problem solving, decision making or knowledge?
	-Michael Unterkalmsteiner
I would again say Problem Solving and Knowledge, but not Decision Making: "perform complex tasks, sub-vocal utterances (electrical signals sent to the tongue, lips, or vocal cords) can be detected."</t>
      </text>
    </comment>
    <comment authorId="0" ref="B137">
      <text>
        <t xml:space="preserve">really no assessment?
	-Michael Unterkalmsteiner
Task was performed, this was added</t>
      </text>
    </comment>
    <comment authorId="0" ref="AD137">
      <text>
        <t xml:space="preserve">two experiments
	-Michael Felderer</t>
      </text>
    </comment>
    <comment authorId="0" ref="AD138">
      <text>
        <t xml:space="preserve">Questionnaire, Case study; Qualitative analysis
	-Fabian Fagerholm</t>
      </text>
    </comment>
    <comment authorId="0" ref="F139">
      <text>
        <t xml:space="preserve">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text>
    </comment>
    <comment authorId="0" ref="M139">
      <text>
        <t xml:space="preserve">E
	-Michael Unterkalmsteiner</t>
      </text>
    </comment>
    <comment authorId="0" ref="AB139">
      <text>
        <t xml:space="preserve">They study open source projects.
	-Michael Unterkalmsteiner</t>
      </text>
    </comment>
    <comment authorId="0" ref="B140">
      <text>
        <t xml:space="preserve">really no assessment?
	-Michael Unterkalmsteiner
Programming task was performed, this has been added</t>
      </text>
    </comment>
    <comment authorId="0" ref="AD140">
      <text>
        <t xml:space="preserve">Controlled experiment
	-Michael Felderer</t>
      </text>
    </comment>
    <comment authorId="0" ref="AB141">
      <text>
        <t xml:space="preserve">n=10
	-Michael Unterkalmsteiner</t>
      </text>
    </comment>
    <comment authorId="0" ref="AD141">
      <text>
        <t xml:space="preserve">Observational study
	-Michael Unterkalmsteiner</t>
      </text>
    </comment>
    <comment authorId="0" ref="I142">
      <text>
        <t xml:space="preserve">Can also be design, but subjects were observed while programming, not designing.
	-Michael Unterkalmsteiner</t>
      </text>
    </comment>
    <comment authorId="0" ref="AA142">
      <text>
        <t xml:space="preserve">Distribution not clear but 10 in total
	-Michael Unterkalmsteiner</t>
      </text>
    </comment>
    <comment authorId="0" ref="AD142">
      <text>
        <t xml:space="preserve">Observational study
	-Michael Unterkalmsteiner</t>
      </text>
    </comment>
    <comment authorId="0" ref="AA143">
      <text>
        <t xml:space="preserve">10 in the observational study, 227 in survey. Not clear whether from academia or industry.
	-Michael Unterkalmsteiner</t>
      </text>
    </comment>
    <comment authorId="0" ref="AD143">
      <text>
        <t xml:space="preserve">Observational study / survey
	-Michael Unterkalmsteiner</t>
      </text>
    </comment>
    <comment authorId="0" ref="B144">
      <text>
        <t xml:space="preserve">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text>
    </comment>
    <comment authorId="0" ref="W144">
      <text>
        <t xml:space="preserve">Refers to trust derived from a cognitive appraisal of an actor (i.e. based on their skills, competencies, perceived social similarity, etc.). The cognitive concept here is softer than in some other cases.
	-Fabian Fagerholm</t>
      </text>
    </comment>
    <comment authorId="0" ref="AD144">
      <text>
        <t xml:space="preserve">Case study
	-Fabian Fagerholm</t>
      </text>
    </comment>
    <comment authorId="0" ref="AC145">
      <text>
        <t xml:space="preserve">Presentation of the approach
	-Michael Felderer</t>
      </text>
    </comment>
    <comment authorId="0" ref="AF146">
      <text>
        <t xml:space="preserve">Theory-building
	-Fabian Fagerholm</t>
      </text>
    </comment>
    <comment authorId="0" ref="B147">
      <text>
        <t xml:space="preserve">Only classified as cognitive bias. What is effectuation?
	-Michael Unterkalmsteiner</t>
      </text>
    </comment>
    <comment authorId="0" ref="D147">
      <text>
        <t xml:space="preserve">Proceedings of the 20th International Conference on Evaluation and Assessment in Software Engineering
	-Fabian Fagerholm</t>
      </text>
    </comment>
    <comment authorId="0" ref="W147">
      <text>
        <t xml:space="preserve">Effectuation can be seen as a decision-making theory.
	-Fabian Fagerholm</t>
      </text>
    </comment>
    <comment authorId="0" ref="AD147">
      <text>
        <t xml:space="preserve">Action research / case study
	-Fabian Fagerholm</t>
      </text>
    </comment>
    <comment authorId="0" ref="AD148">
      <text>
        <t xml:space="preserve">Case study
	-Fabian Fagerholm</t>
      </text>
    </comment>
    <comment authorId="0" ref="B149">
      <text>
        <t xml:space="preserve">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text>
    </comment>
    <comment authorId="0" ref="AA149">
      <text>
        <t xml:space="preserve">Experiments carried out in academic setting
</t>
      </text>
    </comment>
    <comment authorId="0" ref="AD149">
      <text>
        <t xml:space="preserve">4 Experiments - 2 universities
74 participants in total
</t>
      </text>
    </comment>
    <comment authorId="0" ref="I150">
      <text>
        <t xml:space="preserve">Mostly theoretical, but examples deal with design and matching a solution to a problem.
</t>
      </text>
    </comment>
    <comment authorId="0" ref="B151">
      <text>
        <t xml:space="preserve">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text>
    </comment>
    <comment authorId="0" ref="K151">
      <text>
        <t xml:space="preserve">Studies developers engaged in a change task on an open source system
</t>
      </text>
    </comment>
    <comment authorId="0" ref="AD151">
      <text>
        <t xml:space="preserve">Experiment with 5 devs performing a change task on a medium-size open source system.
</t>
      </text>
    </comment>
    <comment authorId="0" ref="B153">
      <text>
        <t xml:space="preserve">Hm, not sure. Does this fall under problem solving?
	-Michael Unterkalmsteiner</t>
      </text>
    </comment>
    <comment authorId="0" ref="BZ153">
      <text>
        <t xml:space="preserve">No evaluation is actually performed; this is just the eye-tracking data that the tool is able to acquire.</t>
      </text>
    </comment>
    <comment authorId="0" ref="AD154">
      <text>
        <t xml:space="preserve">Experiment, n=24
	-Michael Unterkalmsteiner</t>
      </text>
    </comment>
    <comment authorId="0" ref="AI154">
      <text>
        <t xml:space="preserve">Theory, hypotheses and validation
	-Michael Unterkalmsteiner</t>
      </text>
    </comment>
    <comment authorId="0" ref="B155">
      <text>
        <t xml:space="preserve">Cognitive complexity lumped under load?
	-Michael Unterkalmsteiner</t>
      </text>
    </comment>
    <comment authorId="0" ref="AD155">
      <text>
        <t xml:space="preserve">Empirical data is used; however, this data is from synthetic experiments rather than field data.
	-Fabian Fagerholm</t>
      </text>
    </comment>
    <comment authorId="0" ref="B156">
      <text>
        <t xml:space="preserve">Problem solving or knowledge?
	-Michael Unterkalmsteiner
Both Problem solving and Knowledge
</t>
      </text>
    </comment>
    <comment authorId="0" ref="AD156">
      <text>
        <t xml:space="preserve">Experiment (n=28)
	-Michael Felderer</t>
      </text>
    </comment>
    <comment authorId="0" ref="B157">
      <text>
        <t xml:space="preserve">Problem solving or knowledge?
	-Michael Unterkalmsteiner
Both Problem Solving and Knowledge</t>
      </text>
    </comment>
    <comment authorId="0" ref="AD157">
      <text>
        <t xml:space="preserve">Experiment (n=29)
	-Michael Felderer</t>
      </text>
    </comment>
    <comment authorId="0" ref="B158">
      <text>
        <t xml:space="preserve">Problem solving or knowledge?
	-Michael Unterkalmsteiner
Both Problem Solving and Knowledge</t>
      </text>
    </comment>
    <comment authorId="0" ref="AD158">
      <text>
        <t xml:space="preserve">experiment
	-Michael Felderer</t>
      </text>
    </comment>
    <comment authorId="0" ref="AD159">
      <text>
        <t xml:space="preserve">Experiment (n=15)
	-Michael Felderer</t>
      </text>
    </comment>
    <comment authorId="0" ref="B160">
      <text>
        <t xml:space="preserve">Problem solving or knowledge?
	-Michael Unterkalmsteiner
Both Problem Solving and Comprehension</t>
      </text>
    </comment>
    <comment authorId="0" ref="X160">
      <text>
        <t xml:space="preserve">Section III.D. comprises detailled definition of concrete metrics
	-Michael Felderer</t>
      </text>
    </comment>
    <comment authorId="0" ref="AD160">
      <text>
        <t xml:space="preserve">Experiment (n=15)
	-Michael Felderer</t>
      </text>
    </comment>
    <comment authorId="0" ref="G161">
      <text>
        <t xml:space="preserve">Continuous Traceability
	-Michael Felderer</t>
      </text>
    </comment>
    <comment authorId="0" ref="I161">
      <text>
        <t xml:space="preserve">Code summarization, code recommendation
	-Michael Felderer</t>
      </text>
    </comment>
    <comment authorId="0" ref="AC161">
      <text>
        <t xml:space="preserve">Application scenarios
	-Michael Felderer</t>
      </text>
    </comment>
    <comment authorId="0" ref="B162">
      <text>
        <t xml:space="preserve">Not sure about this one, if it is classifiable.
	-Michael Unterkalmsteiner</t>
      </text>
    </comment>
    <comment authorId="0" ref="AA162">
      <text>
        <t xml:space="preserve">n=6
	-Michael Unterkalmsteiner</t>
      </text>
    </comment>
    <comment authorId="0" ref="AD162">
      <text>
        <t xml:space="preserve">not really sure what this is... observational studyy?
	-Michael Unterkalmsteiner</t>
      </text>
    </comment>
    <comment authorId="0" ref="B163">
      <text>
        <t xml:space="preserve">This is part of a book so I did not download it but read it in html on SpringerLink: https://link-springer-com.proxy.lib.chalmers.se/chapter/10.1007/978-3-319-19243-7_9
	-Robert Feldt</t>
      </text>
    </comment>
    <comment authorId="0" ref="F163">
      <text>
        <t xml:space="preserve">This is a position paper summarizing two earlier studies by the authors. Consider including them instead?
	-Robert Feldt</t>
      </text>
    </comment>
    <comment authorId="0" ref="AB164">
      <text>
        <t xml:space="preserve">participants from company
	-Michael Felderer</t>
      </text>
    </comment>
    <comment authorId="0" ref="AD164">
      <text>
        <t xml:space="preserve">experiment
	-Michael Felderer</t>
      </text>
    </comment>
    <comment authorId="0" ref="AB165">
      <text>
        <t xml:space="preserve">Most subjects were students but apparently there were also "experts".
	-Fabian Fagerholm</t>
      </text>
    </comment>
    <comment authorId="0" ref="AD165">
      <text>
        <t xml:space="preserve">The experiments have also been reported elsewhere.
	-Fabian Fagerholm</t>
      </text>
    </comment>
    <comment authorId="0" ref="AD167">
      <text>
        <t xml:space="preserve">Report is on 3 studies, not clear who and how many participated.
	-Michael Unterkalmsteiner</t>
      </text>
    </comment>
    <comment authorId="0" ref="B168">
      <text>
        <t xml:space="preserve">Found self-archived preprint, likely to be close enough to actual paper.
	-Fabian Fagerholm</t>
      </text>
    </comment>
    <comment authorId="0" ref="F168">
      <text>
        <t xml:space="preserve">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text>
    </comment>
    <comment authorId="0" ref="AD169">
      <text>
        <t xml:space="preserve">Experiment - 8 conflicting and 8 non-conflicting models
24 subjects (grad students and faculty)
</t>
      </text>
    </comment>
    <comment authorId="0" ref="B171">
      <text>
        <t xml:space="preserve">Not classifiable
	-Michael Unterkalmsteiner
Agreed. Cognitive maps are used as a tool to argue for a particular type of user-developer communication. 
     - Bogdan Marculescu</t>
      </text>
    </comment>
    <comment authorId="0" ref="I171">
      <text>
        <t xml:space="preserve">They say system investigation, analysis, design, and implementation </t>
      </text>
    </comment>
    <comment authorId="0" ref="X172">
      <text>
        <t xml:space="preserve">Table 3
	-Michael Felderer</t>
      </text>
    </comment>
    <comment authorId="0" ref="AD172">
      <text>
        <t xml:space="preserve">Interviews, n=21
	-Michael Felderer</t>
      </text>
    </comment>
    <comment authorId="0" ref="AD173">
      <text>
        <t xml:space="preserve">n=5, observational study
	-Michael Unterkalmsteiner</t>
      </text>
    </comment>
    <comment authorId="0" ref="B174">
      <text>
        <t xml:space="preserve">Problem solving or knowledge?
	-Michael Unterkalmsteiner
Knowledge. The goal is measuring comprehension. Tasks are used to trigger brain activity that would be recorded by the fMRI. 
   - Bogdan Marculescu</t>
      </text>
    </comment>
    <comment authorId="0" ref="K174">
      <text>
        <t xml:space="preserve">Due to focus on program comprehension.
</t>
      </text>
    </comment>
    <comment authorId="0" ref="AD174">
      <text>
        <t xml:space="preserve">Pilot studies are discussed, but the fMRI experiment seems to be ongoing at the time of writing
 and no results are discussed.
</t>
      </text>
    </comment>
    <comment authorId="0" ref="BI174">
      <text>
        <t xml:space="preserve">The paper proposes a method to assess knowledge by assigning tasks to participants. The tasks would then trigger brain activity to be measured by the fMRI. The goal is to assess comprehension, hence assignment to knowledge.
</t>
      </text>
    </comment>
    <comment authorId="0" ref="K175">
      <text>
        <t xml:space="preserve">Put this here since program comprehesion is about reading, not writing code (which would then be SC).
	-Michael Unterkalmsteiner</t>
      </text>
    </comment>
    <comment authorId="0" ref="AD175">
      <text>
        <t xml:space="preserve">n=17, controlled experiment
	-Michael Unterkalmsteiner</t>
      </text>
    </comment>
    <comment authorId="0" ref="AD176">
      <text>
        <t xml:space="preserve">Controlled experiment
	-Fabian Fagerholm</t>
      </text>
    </comment>
    <comment authorId="0" ref="B177">
      <text>
        <t xml:space="preserve">Where to put cognitive fit?
	-Michael Unterkalmsteiner</t>
      </text>
    </comment>
    <comment authorId="0" ref="AD177">
      <text>
        <t xml:space="preserve">Two experiments with different kinds of controls
	-Fabian Fagerholm</t>
      </text>
    </comment>
    <comment authorId="0" ref="B178">
      <text>
        <t xml:space="preserve">Not classifiable: cognitive fit
	-Michael Unterkalmsteiner
MUN: problem solving</t>
      </text>
    </comment>
    <comment authorId="0" ref="AD178">
      <text>
        <t xml:space="preserve">N=76 IT professionals
	-Robert Feldt</t>
      </text>
    </comment>
    <comment authorId="0" ref="AB179">
      <text>
        <t xml:space="preserve">Unclear where the engineers come from but I assume the term is not used on students
	-Robert Feldt</t>
      </text>
    </comment>
    <comment authorId="0" ref="AD179">
      <text>
        <t xml:space="preserve">Unclear how many engineers were involved
	-Robert Feldt</t>
      </text>
    </comment>
    <comment authorId="0" ref="B180">
      <text>
        <t xml:space="preserve">Not sure it this one is about cognitive biases. Exclude?
	-Michael Unterkalmsteiner
Yes, exclude. The biases discussed are intentional. We could consider whether this would somehow go under emotions/motivation, but the paper doesn't really go into those things. -Fabian</t>
      </text>
    </comment>
    <comment authorId="0" ref="AD180">
      <text>
        <t xml:space="preserve">Survey
	-Fabian Fagerholm</t>
      </text>
    </comment>
    <comment authorId="0" ref="B181">
      <text>
        <t xml:space="preserve">Where to put cognitive fit?
	-Michael Unterkalmsteiner</t>
      </text>
    </comment>
    <comment authorId="0" ref="AD181">
      <text>
        <t xml:space="preserve">Experiment
	-Fabian Fagerholm</t>
      </text>
    </comment>
    <comment authorId="0" ref="AD182">
      <text>
        <t xml:space="preserve">Experiment (n=41)
	-Michael Felderer</t>
      </text>
    </comment>
    <comment authorId="0" ref="B183">
      <text>
        <t xml:space="preserve">Not classifiable: cognitive fit
	-Michael Unterkalmsteiner
Also Knowledge because it investigates "the role of programming knowledge in program comprehension"</t>
      </text>
    </comment>
    <comment authorId="0" ref="G184">
      <text>
        <t xml:space="preserve">S
	-Michael Unterkalmsteiner</t>
      </text>
    </comment>
    <comment authorId="0" ref="H184">
      <text>
        <t xml:space="preserve">S
	-Michael Unterkalmsteiner</t>
      </text>
    </comment>
    <comment authorId="0" ref="I184">
      <text>
        <t xml:space="preserve">S
	-Michael Unterkalmsteiner</t>
      </text>
    </comment>
    <comment authorId="0" ref="J184">
      <text>
        <t xml:space="preserve">S
	-Michael Unterkalmsteiner</t>
      </text>
    </comment>
    <comment authorId="0" ref="K184">
      <text>
        <t xml:space="preserve">S
	-Michael Unterkalmsteiner</t>
      </text>
    </comment>
    <comment authorId="0" ref="M184">
      <text>
        <t xml:space="preserve">E
	-Michael Unterkalmsteiner</t>
      </text>
    </comment>
    <comment authorId="0" ref="AD184">
      <text>
        <t xml:space="preserve">19 companies, 29 projects, n=200. Interviews and questionnaire
	-Michael Unterkalmsteiner</t>
      </text>
    </comment>
    <comment authorId="0" ref="AI184">
      <text>
        <t xml:space="preserve">Not sure how to describe this... maybe a data point to a not yet formulated theory?
	-Michael Unterkalmsteiner</t>
      </text>
    </comment>
    <comment authorId="0" ref="B185">
      <text>
        <t xml:space="preserve">Should be excluded EC7
	-Michael Unterkalmsteiner</t>
      </text>
    </comment>
    <comment authorId="0" ref="B186">
      <text>
        <t xml:space="preserve">Problem solving or knowledge?
	-Michael Unterkalmsteiner
Knowledge, comprehension done via visualisation</t>
      </text>
    </comment>
    <comment authorId="0" ref="W186">
      <text>
        <t xml:space="preserve">Fig. 2 provides a comprehensive overview
	-Michael Felderer</t>
      </text>
    </comment>
    <comment authorId="0" ref="AD187">
      <text>
        <t xml:space="preserve">Controlled experiment
	-Fabian Fagerholm</t>
      </text>
    </comment>
    <comment authorId="0" ref="AD188">
      <text>
        <t xml:space="preserve">N=17, 6 industry subjects and 11 students, experiments using the newly proposed query/modeling language
	-Robert Feldt</t>
      </text>
    </comment>
    <comment authorId="0" ref="G189">
      <text>
        <t xml:space="preserve">Page 8: explicitly stated that UML models are used in this paper in the requirements analysis context, not design.
	-Michael Unterkalmsteiner</t>
      </text>
    </comment>
    <comment authorId="0" ref="O189">
      <text>
        <t xml:space="preserve">E
	-Michael Unterkalmsteiner</t>
      </text>
    </comment>
    <comment authorId="0" ref="AD189">
      <text>
        <t xml:space="preserve">n=74, experiment
	-Michael Unterkalmsteiner</t>
      </text>
    </comment>
    <comment authorId="0" ref="B190">
      <text>
        <t xml:space="preserve">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text>
    </comment>
    <comment authorId="0" ref="W190">
      <text>
        <t xml:space="preserve">"Findings on cognitive style beyond the scope of the paper"
	-Michael Felderer</t>
      </text>
    </comment>
    <comment authorId="0" ref="AD190">
      <text>
        <t xml:space="preserve">Experiment (N=40)
	-Michael Felderer</t>
      </text>
    </comment>
    <comment authorId="0" ref="F192">
      <text>
        <t xml:space="preserve">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text>
    </comment>
    <comment authorId="0" ref="B193">
      <text>
        <t xml:space="preserve">Decision making, problem solving, knowledge or something else?
	-Michael Unterkalmsteiner
Knowledge and Problem Solving</t>
      </text>
    </comment>
    <comment authorId="0" ref="AD193">
      <text>
        <t xml:space="preserve">Experiment (N=43)
	-Michael Felderer</t>
      </text>
    </comment>
    <comment authorId="0" ref="AA194">
      <text>
        <t xml:space="preserve">2 experiments. n=27, n=56
	-Michael Unterkalmsteiner</t>
      </text>
    </comment>
    <comment authorId="0" ref="AD194">
      <text>
        <t xml:space="preserve">Experiment
	-Michael Unterkalmsteiner</t>
      </text>
    </comment>
    <comment authorId="0" ref="B195">
      <text>
        <t xml:space="preserve">Same issues as with Sheetz2001
	-Michael Unterkalmsteiner</t>
      </text>
    </comment>
    <comment authorId="0" ref="AA195">
      <text>
        <t xml:space="preserve">n=6
	-Michael Unterkalmsteiner</t>
      </text>
    </comment>
    <comment authorId="0" ref="AD195">
      <text>
        <t xml:space="preserve">not sure, observational study?
	-Michael Unterkalmsteiner</t>
      </text>
    </comment>
    <comment authorId="0" ref="H196">
      <text>
        <t xml:space="preserve">Focus is on sw reuse but I say this relates both to design and coding
	-Robert Feldt</t>
      </text>
    </comment>
    <comment authorId="0" ref="AF196">
      <text>
        <t xml:space="preserve">They only argue for and motivate their approach, no empirical study.
	-Robert Feldt</t>
      </text>
    </comment>
    <comment authorId="0" ref="B197">
      <text>
        <t xml:space="preserve">Not classifiable. Exclude since distributed cognition is a concept that affects a group of people, not individuals?
	-Michael Unterkalmsteiner
Agreed. 
     - Bogdan Marculescu.</t>
      </text>
    </comment>
    <comment authorId="0" ref="D197">
      <text>
        <t xml:space="preserve">Is this peer reviewed?
</t>
      </text>
    </comment>
    <comment authorId="0" ref="F197">
      <text>
        <t xml:space="preserve">Excluded because not peer reviewed
</t>
      </text>
    </comment>
    <comment authorId="0" ref="AF197">
      <text>
        <t xml:space="preserve">Proposes distributed cognition as a lens through which to analyze open source projects, but does not contain the results of such analyses.
</t>
      </text>
    </comment>
    <comment authorId="0" ref="AD198">
      <text>
        <t xml:space="preserve">n=13, students, user study
	-Robert Feldt</t>
      </text>
    </comment>
    <comment authorId="0" ref="B199">
      <text>
        <t xml:space="preserve">No data extracted, hence not classifiable. Seems relevant, though.
	-Michael Unterkalmsteiner
Agreed. Seems to be an overview of assumptions at the time. </t>
      </text>
    </comment>
    <comment authorId="0" ref="I199">
      <text>
        <t xml:space="preserve">About programming in general. Not really connected to specific software activities.
</t>
      </text>
    </comment>
    <comment authorId="0" ref="B200">
      <text>
        <t xml:space="preserve">Exclude? Does not map to any concept in the taxonomy.
	-Michael Unterkalmsteiner
Agreed. It is also, arguably, more about project management, with software engineering as more of a motivation. 
- Bogdan Marculescu
</t>
      </text>
    </comment>
    <comment authorId="0" ref="M200">
      <text>
        <t xml:space="preserve">Project status, process bottlenecks, current tasks.
</t>
      </text>
    </comment>
    <comment authorId="0" ref="N200">
      <text>
        <t xml:space="preserve">Project status, process bottlenecks, current tasks.
</t>
      </text>
    </comment>
    <comment authorId="0" ref="AB200">
      <text>
        <t xml:space="preserve">Several development teams from IBM
</t>
      </text>
    </comment>
    <comment authorId="0" ref="AD200">
      <text>
        <t xml:space="preserve">Mixed method in IBM. 150 contributors in 30 functional teams.
archival data, semi-structured interviews (9), web-based survey (21 responses detailed case, 98 other).
Another survey with 1082 participants</t>
      </text>
    </comment>
    <comment authorId="0" ref="J201">
      <text>
        <t xml:space="preserve">The paper does not really explain WHY they animate/vsualize program execution. Accordint to the paper keywords, it is testing/debugging. E.
	-Michael Unterkalmsteiner</t>
      </text>
    </comment>
    <comment authorId="0" ref="B202">
      <text>
        <t xml:space="preserve">No cognitive aspect extracted. Exclude?
	-Michael Unterkalmsteiner
MFD: Initial state paper but relevant
MUN: Yes, but cognition is the top category. If a paper does not fall into this, it is excluded. Then, it must be classified into one of the lower levels. Which one?</t>
      </text>
    </comment>
    <comment authorId="0" ref="AC202">
      <text>
        <t xml:space="preserve">proposes a solution
	-Michael Felderer</t>
      </text>
    </comment>
    <comment authorId="0" ref="B203">
      <text>
        <t xml:space="preserve">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text>
    </comment>
    <comment authorId="0" ref="F203">
      <text>
        <t xml:space="preserve">Exclude: Fails IC1 as it does not aim to contribute to SE.</t>
      </text>
    </comment>
    <comment authorId="0" ref="AD203">
      <text>
        <t xml:space="preserve">Survey
	-Fabian Fagerholm</t>
      </text>
    </comment>
    <comment authorId="0" ref="B204">
      <text>
        <t xml:space="preserve">Measurement not clear
	-Michael Unterkalmsteiner
Quantitative and Qualitative Measure</t>
      </text>
    </comment>
    <comment authorId="0" ref="AD204">
      <text>
        <t xml:space="preserve">Experiment
	-Michael Felderer</t>
      </text>
    </comment>
    <comment authorId="0" ref="K205">
      <text>
        <t xml:space="preserve">Debugging.
</t>
      </text>
    </comment>
    <comment authorId="0" ref="AC205">
      <text>
        <t xml:space="preserve">State Government Computer centre, Brisbane, Queensland
</t>
      </text>
    </comment>
    <comment authorId="0" ref="AD205">
      <text>
        <t xml:space="preserve">Exploratory study, verbal protocol analysis, 16 programmers.</t>
      </text>
    </comment>
    <comment authorId="0" ref="B206">
      <text>
        <t xml:space="preserve">Is program comprehension problem solving or knowledge or both?
	-Michael Unterkalmsteiner</t>
      </text>
    </comment>
    <comment authorId="0" ref="AD206">
      <text>
        <t xml:space="preserve">Code comprehension task with think aloud protocol
	-Fabian Fagerholm</t>
      </text>
    </comment>
    <comment authorId="0" ref="B207">
      <text>
        <t xml:space="preserve">see von Mayrhauser1993a
	-Michael Unterkalmsteiner</t>
      </text>
    </comment>
    <comment authorId="0" ref="F207">
      <text>
        <t xml:space="preserve">This reports on the same study as vonMayrhauser1993a, but it seems to be expanded. The text has many similarities but there is some additional analysis and figures.
	-Fabian Fagerholm</t>
      </text>
    </comment>
    <comment authorId="0" ref="AD207">
      <text>
        <t xml:space="preserve">Code comprehension task with think aloud protocol
	-Fabian Fagerholm</t>
      </text>
    </comment>
    <comment authorId="0" ref="V208">
      <text>
        <t xml:space="preserve">Figure 1
	-Michael Felderer</t>
      </text>
    </comment>
    <comment authorId="0" ref="AD208">
      <text>
        <t xml:space="preserve">observational field study
	-Michael Felderer</t>
      </text>
    </comment>
    <comment authorId="0" ref="AD209">
      <text>
        <t xml:space="preserve">observational case study
	-Michael Felderer</t>
      </text>
    </comment>
    <comment authorId="0" ref="V210">
      <text>
        <t xml:space="preserve">Figure 1
	-Michael Felderer</t>
      </text>
    </comment>
    <comment authorId="0" ref="AD210">
      <text>
        <t xml:space="preserve">observational case study
	-Michael Felderer</t>
      </text>
    </comment>
    <comment authorId="0" ref="AD211">
      <text>
        <t xml:space="preserve">n=2, observational field study
	-Michael Unterkalmsteiner</t>
      </text>
    </comment>
    <comment authorId="0" ref="AD212">
      <text>
        <t xml:space="preserve">observational case study
	-Michael Felderer</t>
      </text>
    </comment>
    <comment authorId="0" ref="AD213">
      <text>
        <t xml:space="preserve">observational case study
	-Michael Felderer</t>
      </text>
    </comment>
    <comment authorId="0" ref="B214">
      <text>
        <t xml:space="preserve">Problem solving or knowledge or both?
	-Michael Unterkalmsteiner
Problem Solving and Knowledge</t>
      </text>
    </comment>
    <comment authorId="0" ref="AD214">
      <text>
        <t xml:space="preserve">field study with 6 participants
	-Michael Felderer</t>
      </text>
    </comment>
    <comment authorId="0" ref="AD215">
      <text>
        <t xml:space="preserve">Quasi-controlled experiment
	-Fabian Fagerholm</t>
      </text>
    </comment>
    <comment authorId="0" ref="BW215">
      <text>
        <t xml:space="preserve">Note that what is measured is the performance of the approach, not, e.g. the extent of cognitive errors.
	-Michael Unterkalmsteiner</t>
      </text>
    </comment>
    <comment authorId="0" ref="F216">
      <text>
        <t xml:space="preserve">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text>
    </comment>
    <comment authorId="0" ref="AA216">
      <text>
        <t xml:space="preserve">Not clearly specified
	-Fabian Fagerholm</t>
      </text>
    </comment>
    <comment authorId="0" ref="AD216">
      <text>
        <t xml:space="preserve">Quasi-controlled experiment (post-task measurement)
	-Fabian Fagerholm</t>
      </text>
    </comment>
    <comment authorId="0" ref="K217">
      <text>
        <t xml:space="preserve">Program comprehension. </t>
      </text>
    </comment>
    <comment authorId="0" ref="AA217">
      <text>
        <t xml:space="preserve">All participants students and faculty members (for the experienced group)
</t>
      </text>
    </comment>
    <comment authorId="0" ref="AD217">
      <text>
        <t xml:space="preserve">Experiment 1. Recall of a small program (Pascal - 23 lines) - memorization + 1 sentence summary
36 participants (12 of each beginner, intermediate, experienced)
Experiment 2 - recall cards
12 participants, experienced
</t>
      </text>
    </comment>
    <comment authorId="0" ref="B218">
      <text>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text>
    </comment>
    <comment authorId="0" ref="K218">
      <text>
        <t xml:space="preserve">Comprehension and modification of code.
</t>
      </text>
    </comment>
    <comment authorId="0" ref="AD218">
      <text>
        <t xml:space="preserve">Experiment 1 - compare programs that accomplish the same thing with and without beacon operations
80 subjects in total.
Experiment 2 - prototypical vs non-prototypical
76 subjects
Experiment 3 - beacon intrusion
76 subjects
Experiment 4 - defective sort
160 subjects</t>
      </text>
    </comment>
    <comment authorId="0" ref="B220">
      <text>
        <t xml:space="preserve">Not clear which cognitive aspect is at play.
	-Michael Unterkalmsteiner
Not entirely sure either. The examination was on knowledge or memory (exams and retention exams). I would say knowledge more than memory.
- Bogdan Marculescu
</t>
      </text>
    </comment>
    <comment authorId="0" ref="I220">
      <text>
        <t xml:space="preserve">Writing queries in SQL and TABLET
</t>
      </text>
    </comment>
    <comment authorId="0" ref="AD220">
      <text>
        <t xml:space="preserve">Experiments comparing SQL and TABLET
1st 1978 - 72 undergraduates
2nd 1979 - 78 participants</t>
      </text>
    </comment>
    <comment authorId="0" ref="B221">
      <text>
        <t xml:space="preserve">Not classifiable.
	-Michael Unterkalmsteiner
Agreed. The method used appears to focus on designing interfaces more than anything that has to do with cognition.</t>
      </text>
    </comment>
    <comment authorId="0" ref="I221">
      <text>
        <t xml:space="preserve">Critique and iteration over a UI
</t>
      </text>
    </comment>
    <comment authorId="0" ref="AE221">
      <text>
        <t xml:space="preserve">Evaluations of UIs by small teams of engineers:
1. 7 tasks, 3 engineers
2. 4 tasks, 3 team members
3. 2 tasks, 6 team members</t>
      </text>
    </comment>
    <comment authorId="0" ref="B222">
      <text>
        <t xml:space="preserve">Not sure where to put cognitive style papers. Reasoning/Problem solving?
Also measurement not clear.
	-Michael Unterkalmsteiner</t>
      </text>
    </comment>
    <comment authorId="0" ref="AD222">
      <text>
        <t xml:space="preserve">Controlled experiment
	-Fabian Fagerholm</t>
      </text>
    </comment>
    <comment authorId="0" ref="AH222">
      <text>
        <t xml:space="preserve">It should be noted that hemisphericity is a problematic idea.
	-Fabian Fagerholm</t>
      </text>
    </comment>
    <comment authorId="0" ref="Q223">
      <text>
        <t xml:space="preserve">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text>
    </comment>
    <comment authorId="0" ref="AD223">
      <text>
        <t xml:space="preserve">Experiment
	-Fabian Fagerholm</t>
      </text>
    </comment>
    <comment authorId="0" ref="H224">
      <text>
        <t xml:space="preserve">design advices
	-Michael Felderer</t>
      </text>
    </comment>
    <comment authorId="0" ref="AG224">
      <text>
        <t xml:space="preserve">states believes
	-Michael Felderer</t>
      </text>
    </comment>
    <comment authorId="0" ref="F225">
      <text>
        <t xml:space="preserve">Good overview of perceptual theory
	-Fabian Fagerholm</t>
      </text>
    </comment>
    <comment authorId="0" ref="AF225">
      <text>
        <t xml:space="preserve">There is some validation in this paper in the form of an evaluation of two UML tools using guidelines for UML diagrams based on theory of visual perception, but the main focus of the paper is on the development of the guidelines from theory.
	-Fabian Fagerholm</t>
      </text>
    </comment>
    <comment authorId="0" ref="AD226">
      <text>
        <t xml:space="preserve">case study
	-Michael Felderer</t>
      </text>
    </comment>
    <comment authorId="0" ref="B227">
      <text>
        <t xml:space="preserve">Not clear from the extracted data to what it maps
	-Michael Unterkalmsteiner</t>
      </text>
    </comment>
    <comment authorId="0" ref="I227">
      <text>
        <t xml:space="preserve">secure software development
	-Michael Felderer</t>
      </text>
    </comment>
    <comment authorId="0" ref="V227">
      <text>
        <t xml:space="preserve">Developed in the following paper:
Ko, A. and Myers, B. A framework and methodology for studying the causes of software errors in programming systems – Journal of Visual Languages and Computing 16(2005), pp. 41-84 (2005)
	-Michael Felderer</t>
      </text>
    </comment>
    <comment authorId="0" ref="AD227">
      <text>
        <t xml:space="preserve">case study with two open source software systems
	-Michael Felderer</t>
      </text>
    </comment>
    <comment authorId="0" ref="AD228">
      <text>
        <t xml:space="preserve">n=20, students
	-Robert Feldt</t>
      </text>
    </comment>
    <comment authorId="0" ref="B229">
      <text>
        <t xml:space="preserve">Not classifiable, not from the extracted data. Looking at the fulltext, given thjat the paper does not explain cognitive dimensions, I would exclude it now as it cannot be classified nor does it justify to change the taxonomy.
	-Michael Unterkalmsteiner</t>
      </text>
    </comment>
    <comment authorId="0" ref="F229">
      <text>
        <t xml:space="preserve">Excluded because not clear what cognitive concepts are investigated.
</t>
      </text>
    </comment>
    <comment authorId="0" ref="B230">
      <text>
        <t xml:space="preserve">Problem solving or knowledge?
	-Michael Unterkalmsteiner
Problem solving and Knowledge</t>
      </text>
    </comment>
    <comment authorId="0" ref="AD230">
      <text>
        <t xml:space="preserve">experiment (n=9)
	-Michael Felderer</t>
      </text>
    </comment>
    <comment authorId="0" ref="AD232">
      <text>
        <t xml:space="preserve">Qualitative, observational study; tool evaluation
	-Fabian Fagerholm</t>
      </text>
    </comment>
    <comment authorId="0" ref="B233">
      <text>
        <t xml:space="preserve">Exclude? See added value.
	-Michael Unterkalmsteiner</t>
      </text>
    </comment>
    <comment authorId="0" ref="AD233">
      <text>
        <t xml:space="preserve">they reuse existing data sets, N=62 projects in one dataset, unclear in the other
	-Robert Feldt</t>
      </text>
    </comment>
    <comment authorId="0" ref="M234">
      <text>
        <t xml:space="preserve">E
	-Michael Unterkalmsteiner</t>
      </text>
    </comment>
    <comment authorId="0" ref="AD234">
      <text>
        <t xml:space="preserve">n=35
	-Michael Unterkalmsteiner</t>
      </text>
    </comment>
    <comment authorId="0" ref="B235">
      <text>
        <t xml:space="preserve">Cognitive space/growth not classifiable
	-Michael Unterkalmsteiner
Knowledge, Problem Solving</t>
      </text>
    </comment>
    <comment authorId="0" ref="V235">
      <text>
        <t xml:space="preserve">Figure 7
	-Michael Felderer</t>
      </text>
    </comment>
    <comment authorId="0" ref="B236">
      <text>
        <t xml:space="preserve">Not classifiable
	-Michael Unterkalmsteiner
Problem Solving</t>
      </text>
    </comment>
    <comment authorId="0" ref="V236">
      <text>
        <t xml:space="preserve">Figure 1
	-Michael Felderer</t>
      </text>
    </comment>
    <comment authorId="0" ref="AD236">
      <text>
        <t xml:space="preserve">Experiment
	-Michael Felderer</t>
      </text>
    </comment>
    <comment authorId="0" ref="AA237">
      <text>
        <t xml:space="preserve">Theoretical paper, no subjects
	-Michael Unterkalmsteiner</t>
      </text>
    </comment>
    <comment authorId="0" ref="BF246">
      <text>
        <t xml:space="preserve">In their reports, students had to give explanation of rationale behind chosen requirements.</t>
      </text>
    </comment>
    <comment authorId="0" ref="BY246">
      <text>
        <t xml:space="preserve">subjective ratings by judges, who could choose from three possible options for each cognitive bias: bias present; bias absent; cannot decide.</t>
      </text>
    </comment>
    <comment authorId="0" ref="BI257">
      <text>
        <t xml:space="preserve">"Relying on past experience."</t>
      </text>
    </comment>
    <comment authorId="0" ref="I275">
      <text>
        <t xml:space="preserve">the focus in this paper is on SE tools</t>
      </text>
    </comment>
    <comment authorId="0" ref="AD275">
      <text>
        <t xml:space="preserve">exploratory case study, few participants.</t>
      </text>
    </comment>
    <comment authorId="0" ref="AT275">
      <text>
        <t xml:space="preserve">cognitive load caused by the SE tools in use</t>
      </text>
    </comment>
    <comment authorId="0" ref="W282">
      <text>
        <t xml:space="preserve">The author mentions several examples like: anti-engineering bias, Dunning-Kruger effect, halo effect, optimism bias, ... but does not provide too much depth on most of these.</t>
      </text>
    </comment>
    <comment authorId="0" ref="BC282">
      <text>
        <t xml:space="preserve">mentions i.a. "beliefs" of individuals in an organisation</t>
      </text>
    </comment>
    <comment authorId="0" ref="BQ282">
      <text>
        <t xml:space="preserve">observations based on author's own experiences, no "explicit participants"</t>
      </text>
    </comment>
    <comment authorId="0" ref="F293">
      <text>
        <t xml:space="preserve">Excluded, since it is clearly user-centered. The study is focused on user-cognition.</t>
      </text>
    </comment>
    <comment authorId="0" ref="F311">
      <text>
        <t xml:space="preserve">Excluded, because this paper focuses on the oil and gas industry.</t>
      </text>
    </comment>
    <comment authorId="0" ref="AA325">
      <text>
        <t xml:space="preserve">9 women: academic/student projects
134 men: 32% academic projects, 9% industrial, rest not possible to identify.
(put here only to Academia, as study focuses on women)</t>
      </text>
    </comment>
    <comment authorId="0" ref="W331">
      <text>
        <t xml:space="preserve">Despite not explicitly called "attention", this paper investigates task interruption / task switching as form of sequential multitasking (=divided attention). It mentions 'memory' and 'cognitive load', but does not go into detail.</t>
      </text>
    </comment>
    <comment authorId="0" ref="AL331">
      <text>
        <t xml:space="preserve">Divided attention (multitasking) in a sense that interruption = form of task switching = sequential multitasking.</t>
      </text>
    </comment>
    <comment authorId="0" ref="BQ331">
      <text>
        <t xml:space="preserve">open-ended questions in the survey</t>
      </text>
    </comment>
    <comment authorId="0" ref="BV331">
      <text>
        <t xml:space="preserve">longitudinal data analysis of recorded task logs</t>
      </text>
    </comment>
    <comment authorId="0" ref="BY331">
      <text>
        <t xml:space="preserve">survey on developers' perception of task switching and interruptions (multiple choice, Likert scale)</t>
      </text>
    </comment>
    <comment authorId="0" ref="AB338">
      <text>
        <t xml:space="preserve">From paper: "people with varying experience levels from professional to hobby programmers." 
But it is targetting industry and not education.</t>
      </text>
    </comment>
    <comment authorId="0" ref="AJ338">
      <text>
        <t xml:space="preserve">In the context of correlations between working continuously for a certain amount of time and failure rates.</t>
      </text>
    </comment>
    <comment authorId="0" ref="AV338">
      <text>
        <t xml:space="preserve">Not discussed in detail, but mentioned related to lower efficiency at beginning of the week.</t>
      </text>
    </comment>
    <comment authorId="0" ref="AA342">
      <text>
        <t xml:space="preserve">participants were students, mainly from an Information Technology course</t>
      </text>
    </comment>
    <comment authorId="0" ref="AB342">
      <text>
        <t xml:space="preserve">No industry participants, but industry is targetted by this paper.</t>
      </text>
    </comment>
    <comment authorId="0" ref="BW342">
      <text>
        <t xml:space="preserve">for measuring accuracy and efficiency</t>
      </text>
    </comment>
    <comment authorId="0" ref="BY342">
      <text>
        <t xml:space="preserve">for measuring confidence (Likert-scale)</t>
      </text>
    </comment>
    <comment authorId="0" ref="F354">
      <text>
        <t xml:space="preserve">Excluded based on EC10. 
This paper introduces a framework for model transformation and claims that it reduces the cognitive complexity for developers. But it does not focus on cognitive aspects themselves.</t>
      </text>
    </comment>
    <comment authorId="0" ref="AC355">
      <text>
        <t xml:space="preserve">Focuses on a description for an empirical study.</t>
      </text>
    </comment>
    <comment authorId="0" ref="BW368">
      <text>
        <t xml:space="preserve">Tasks are not identical for each participant, since not set by the researcher, but referring to task and obtained score on crowdsourcing platform.</t>
      </text>
    </comment>
    <comment authorId="0" ref="V378">
      <text>
        <t xml:space="preserve">This is a cognitive theory on interruptions. They mention it in the beginning and the whole paper then deals with interruptions, without explicitly going back to the theory again.</t>
      </text>
    </comment>
    <comment authorId="0" ref="Y378">
      <text>
        <t xml:space="preserve">"recorded tasks" --&gt; from task-based bug tracking and project management tool, which is in use at the company they've looked at.</t>
      </text>
    </comment>
    <comment authorId="0" ref="AL378">
      <text>
        <t xml:space="preserve">See also Abad2018a. Divided attention in the sense of task switching (= sequential multitasking).</t>
      </text>
    </comment>
    <comment authorId="0" ref="BQ378">
      <text>
        <t xml:space="preserve">open-ended questions in the survey</t>
      </text>
    </comment>
    <comment authorId="0" ref="BV378">
      <text>
        <t xml:space="preserve">statistical analysis based on task recordings (concerning interruptions)</t>
      </text>
    </comment>
    <comment authorId="0" ref="BY378">
      <text>
        <t xml:space="preserve">mutliple-choice, Likert scale</t>
      </text>
    </comment>
    <comment authorId="0" ref="AB379">
      <text>
        <t xml:space="preserve">Survey of 53 software developers.</t>
      </text>
    </comment>
    <comment authorId="0" ref="AC379">
      <text>
        <t xml:space="preserve">Provides a proposed visualisation technique which is then empirically evaluated.</t>
      </text>
    </comment>
    <comment authorId="0" ref="AN379">
      <text>
        <t xml:space="preserve">Refers to recall after task switching</t>
      </text>
    </comment>
    <comment authorId="0" ref="AB383">
      <text>
        <t xml:space="preserve">Interviewed managers and engineers with past experiences in job/project rotation.</t>
      </text>
    </comment>
    <comment authorId="0" ref="AD383">
      <text>
        <t xml:space="preserve">Limited original study - but an extension of previous work</t>
      </text>
    </comment>
    <comment authorId="0" ref="AF383">
      <text>
        <t xml:space="preserve">Used two types of studies: systematic literature review and qualitative industrial case studies</t>
      </text>
    </comment>
    <comment authorId="0" ref="F388">
      <text>
        <t xml:space="preserve">Excluded based on EC11. 
This is an opinion paper on how microservices relate to service-oriented architecture. "Cognitive load" mentioned in abstract, but not discussed anywhere else.</t>
      </text>
    </comment>
    <comment authorId="0" ref="Q389">
      <text>
        <t xml:space="preserve">Due to the individual developers cognition that can be effected by stress.</t>
      </text>
    </comment>
    <comment authorId="0" ref="AA389">
      <text>
        <t xml:space="preserve">No participants were used in this paper.</t>
      </text>
    </comment>
    <comment authorId="0" ref="W402">
      <text>
        <t xml:space="preserve">Also mentions working memory capacity, although not discussed anymore later on. Assessing also long term memory.</t>
      </text>
    </comment>
    <comment authorId="0" ref="AA402">
      <text>
        <t xml:space="preserve">They state that the "target audience" of the experiment were students and professionals. But the actual study is then only performed in an industrial context.</t>
      </text>
    </comment>
    <comment authorId="0" ref="AH402">
      <text>
        <t xml:space="preserve">But they name several shortcomings of this initial experiment round, which could be improved for a second run of the experiment.</t>
      </text>
    </comment>
    <comment authorId="0" ref="AN402">
      <text>
        <t xml:space="preserve">working memory and long-term memory mentioned, but results not specifically evaluated into those directions.</t>
      </text>
    </comment>
    <comment authorId="0" ref="BY402">
      <text>
        <t xml:space="preserve">closed task-related questions;
confidence-level: scale from 0 to 5.</t>
      </text>
    </comment>
    <comment authorId="0" ref="F403">
      <text>
        <t xml:space="preserve">Excluded on the basis of EC10 since the paper focuses on the performance of an error finding tool than any cognitive aspects.</t>
      </text>
    </comment>
    <comment authorId="0" ref="AG407">
      <text>
        <t xml:space="preserve">Since it is not obvious, how the author came to these conclusions / guidelines, it might be categorised as an opinion paper.</t>
      </text>
    </comment>
    <comment authorId="0" ref="BI407">
      <text>
        <t xml:space="preserve">in the sense of model comprehension</t>
      </text>
    </comment>
    <comment authorId="0" ref="AB409">
      <text>
        <t xml:space="preserve">Data was gathered from an industry on what kind of quality assurance measures should be used. This was not a direct part of any empirical study but rather a step towards building the research questions.</t>
      </text>
    </comment>
    <comment authorId="0" ref="AH417">
      <text>
        <t xml:space="preserve">Their conclusions are drawn from reviewing the current literature and applying their framework onto it.</t>
      </text>
    </comment>
    <comment authorId="0" ref="BI417">
      <text>
        <t xml:space="preserve">"Tester Artifact Comprehension dimension" -- otherwise not clearly treated in this work.</t>
      </text>
    </comment>
    <comment authorId="0" ref="AB418">
      <text>
        <t xml:space="preserve">15 software developers.</t>
      </text>
    </comment>
    <comment authorId="0" ref="AA427">
      <text>
        <t xml:space="preserve">PhD Students</t>
      </text>
    </comment>
    <comment authorId="0" ref="AC427">
      <text>
        <t xml:space="preserve">because it is proposing a "method to analyse and visualise information flow in a component-based system [...]"
            -- Bettina (during verification)</t>
      </text>
    </comment>
    <comment authorId="0" ref="BT427">
      <text>
        <t xml:space="preserve">Similar to "think-aloud" method: Participants' comments were recorded while getting familiar with the prototype and also during the interviews.
-- Bettina (during verification)</t>
      </text>
    </comment>
    <comment authorId="0" ref="BY427">
      <text>
        <t xml:space="preserve">closed questions during interview, rating on a Likert-scale
-- Bettina (during verification)</t>
      </text>
    </comment>
    <comment authorId="0" ref="AE478">
      <text>
        <t xml:space="preserve">" [...] builds upon our experience [...] "</t>
      </text>
    </comment>
    <comment authorId="0" ref="I509">
      <text>
        <t xml:space="preserve">"programmers"</t>
      </text>
    </comment>
    <comment authorId="0" ref="K509">
      <text>
        <t xml:space="preserve">program comprehension</t>
      </text>
    </comment>
    <comment authorId="0" ref="AL509">
      <text>
        <t xml:space="preserve">Brodmann area 6 active. 
See discussion in section 6.1 of paper.</t>
      </text>
    </comment>
    <comment authorId="0" ref="BI509">
      <text>
        <t xml:space="preserve">program comprehension</t>
      </text>
    </comment>
    <comment authorId="0" ref="BW509">
      <text>
        <t xml:space="preserve">The participants are performing tasks, but it is not their "task performance" which is measured, but instead the brain regions that were active during solving the task.</t>
      </text>
    </comment>
    <comment authorId="0" ref="BX509">
      <text>
        <t xml:space="preserve">fMRI</t>
      </text>
    </comment>
    <comment authorId="0" ref="BY509">
      <text>
        <t xml:space="preserve">Questionnaire to assess the participants' prior programming experience and level of knowledge in Java programming language.</t>
      </text>
    </comment>
    <comment authorId="0" ref="F510">
      <text>
        <t xml:space="preserve">Excluded due to the papers main focus on the automatic detection of task switching and not the cognitive effects of the switching itself. Although mentioned briefly at the end of the paper it is not central to the study.</t>
      </text>
    </comment>
    <comment authorId="0" ref="I519">
      <text>
        <t xml:space="preserve">i.a. "time to generate a program"</t>
      </text>
    </comment>
    <comment authorId="0" ref="V519">
      <text>
        <t xml:space="preserve">just mentioned to create the basis for the discussion</t>
      </text>
    </comment>
    <comment authorId="0" ref="F520">
      <text>
        <t xml:space="preserve">Excluded on the basis of IC1b. The paper focuses on empirical methods that could be used to evaluate tools. Although the development is briefly mentioned the paper is centralised around the testing of the tools for the end user rather than any cognitive aspects of SE.</t>
      </text>
    </comment>
    <comment authorId="0" ref="AC530">
      <text>
        <t xml:space="preserve">Proposing Example-Driven Modeling (EDM).</t>
      </text>
    </comment>
    <comment authorId="0" ref="V554">
      <text>
        <t xml:space="preserve">More theories are mentioned, but those two are what this paper is based on.</t>
      </text>
    </comment>
    <comment authorId="0" ref="AF554">
      <text>
        <t xml:space="preserve">The presented conceptual model might qualify this paper as philosophical paper.</t>
      </text>
    </comment>
    <comment authorId="0" ref="AV554">
      <text>
        <t xml:space="preserve">Motivation is the main category here, but this paper could possibly go into the sub-categories (intr./extr. motivation, reward, appr. avoid. motiv.) as well.</t>
      </text>
    </comment>
    <comment authorId="0" ref="BY554">
      <text>
        <t xml:space="preserve">7-point Likert scale</t>
      </text>
    </comment>
    <comment authorId="0" ref="F565">
      <text>
        <t xml:space="preserve">Excluded based on EC7.
This is a literature survey on visual programming.</t>
      </text>
    </comment>
    <comment authorId="0" ref="F567">
      <text>
        <t xml:space="preserve">Excluded on the basis of IC1a) the paper focuses on the development of a tool for better teaching. It is aimed at students and teachers rather than any SE activity.</t>
      </text>
    </comment>
    <comment authorId="0" ref="M591">
      <text>
        <t xml:space="preserve">related to cost and schedule planning</t>
      </text>
    </comment>
    <comment authorId="0" ref="Q591">
      <text>
        <t xml:space="preserve">developers perform task difficulty estimation as part of development process</t>
      </text>
    </comment>
    <comment authorId="0" ref="AR591">
      <text>
        <t xml:space="preserve">mental effort, task-difficulty</t>
      </text>
    </comment>
    <comment authorId="0" ref="BY591">
      <text>
        <t xml:space="preserve">Begel and Zimmermann's scale</t>
      </text>
    </comment>
    <comment authorId="0" ref="AB605">
      <text>
        <t xml:space="preserve">based one experiences of the authors in this field</t>
      </text>
    </comment>
    <comment authorId="0" ref="BI605">
      <text>
        <t xml:space="preserve">tools providing developer with "domain knowledge"</t>
      </text>
    </comment>
    <comment authorId="0" ref="F615">
      <text>
        <t xml:space="preserve">Fails IC1, the paper focuses on multi-agent systems rather than any SE activities.</t>
      </text>
    </comment>
    <comment authorId="0" ref="F623">
      <text>
        <t xml:space="preserve">Excluding based on EC11. 
This paper does not investigate cognitive concepts in SE, but it is way more located on the technological front.</t>
      </text>
    </comment>
    <comment authorId="0" ref="F639">
      <text>
        <t xml:space="preserve">Exclude based on a combination of EC6 (method paper) and EC10 (cognitive concept just passive motivation).
The aim might be to reduce cognitive load and they mention "the engineers' mental capadity" in the abstract, but what they actually do is developping a classification technique for software systems.</t>
      </text>
    </comment>
    <comment authorId="0" ref="F643">
      <text>
        <t xml:space="preserve">Excluded on the basis of IC1 and EC10. The paper does not seem to be highlighting the improvement of any particular SE activity. Furthermore cognitive concepts are not being approached. More of an analysis of the best reverse engineering techniques.</t>
      </text>
    </comment>
    <comment authorId="0" ref="AJ657">
      <text>
        <t xml:space="preserve">visual attention (via percentage dwell time)</t>
      </text>
    </comment>
    <comment authorId="0" ref="AR657">
      <text>
        <t xml:space="preserve">via blink rate</t>
      </text>
    </comment>
    <comment authorId="0" ref="AY657">
      <text>
        <t xml:space="preserve">cognitive load as an indicator of stress</t>
      </text>
    </comment>
    <comment authorId="0" ref="BI657">
      <text>
        <t xml:space="preserve">paper does not make any further classification of "knowledge", instead it focuses on "expertise" as a whole.</t>
      </text>
    </comment>
    <comment authorId="0" ref="BW657">
      <text>
        <t xml:space="preserve">debugging task: three code snippets of increasing difficulty in C#</t>
      </text>
    </comment>
    <comment authorId="0" ref="BZ657">
      <text>
        <t xml:space="preserve">eye-tracking</t>
      </text>
    </comment>
    <comment authorId="0" ref="F665">
      <text>
        <t xml:space="preserve">Failed at IC1. The paper researches the cognitive aspect of AI on technicians in the maintenance industry. It has not been mentioned for application in the software engineering realm therefore the findings become irrelevant.</t>
      </text>
    </comment>
    <comment authorId="0" ref="Y681">
      <text>
        <t xml:space="preserve">understandability efficiency = "accuracy of describing entry versus exit behaviour per unit of time"</t>
      </text>
    </comment>
    <comment authorId="0" ref="AR681">
      <text>
        <t xml:space="preserve">"UML diagram understandability is related to cognitive load". But not directly measured here!</t>
      </text>
    </comment>
    <comment authorId="0" ref="BI681">
      <text>
        <t xml:space="preserve">Knowledge and expertise in the context of model understanding.</t>
      </text>
    </comment>
    <comment authorId="0" ref="BW681">
      <text>
        <t xml:space="preserve">predicting output of different models, answering a questionnaire</t>
      </text>
    </comment>
    <comment authorId="0" ref="I682">
      <text>
        <t xml:space="preserve">Includes construction design and debugging</t>
      </text>
    </comment>
    <comment authorId="0" ref="F689">
      <text>
        <t xml:space="preserve">Exclude based on EC10. 
"Cognitive load" might be a passive motivation here, but the paper does not appear to investigate cognitive concepts as their main point. It is more about comparing natural languages with programming languages. The research questions do not address any cognitive concepts either.</t>
      </text>
    </comment>
    <comment authorId="0" ref="F697">
      <text>
        <t xml:space="preserve">Excluded on the basis of EX10 as well as failure of the IC1b as it the paper compares modelling tools rather than the cognitive aspects of the use of these tools 
-- I had longer hesitation when confirming this exclusion, but agree that it is definitely on the borderline (see also remark in Trello card). So I think it is okay to exclude it. -- Bettina (during verification)</t>
      </text>
    </comment>
    <comment authorId="0" ref="AB702">
      <text>
        <t xml:space="preserve">Participants are advanced SE students, but they have software development experience in industry. 
The researchers checked the consistency of the results with the head designer of the discussed system.
Stakeholders in the video are professionals from industry.</t>
      </text>
    </comment>
    <comment authorId="0" ref="BI702">
      <text>
        <t xml:space="preserve">gaining an understanding of the requirements</t>
      </text>
    </comment>
    <comment authorId="0" ref="BT702">
      <text>
        <t xml:space="preserve">annotating the video = written version of "think-aloud" method</t>
      </text>
    </comment>
    <comment authorId="0" ref="BY702">
      <text>
        <t xml:space="preserve">some parts of the questionnaire are "yes/no" or on a "score scale", opinion scores</t>
      </text>
    </comment>
    <comment authorId="0" ref="F703">
      <text>
        <t xml:space="preserve">Excluded on the basis of IC1, the paper focuses on general IT uses and not Software Engineering processes. Furthermore it includes the end users cognitive process rather than the cognitive effects of designing the software.</t>
      </text>
    </comment>
    <comment authorId="0" ref="H713">
      <text>
        <t xml:space="preserve">interface design, web design</t>
      </text>
    </comment>
    <comment authorId="0" ref="Y713">
      <text>
        <t xml:space="preserve">The task performance is evaluated based on the websites' "ground-truth aesthetic ratings". For more info: see paper.</t>
      </text>
    </comment>
    <comment authorId="0" ref="AB713">
      <text>
        <t xml:space="preserve">Participants are split into novices and experts (based on demographic data). They only keep people that have either no design experience at all or that have two years or more professional experience.</t>
      </text>
    </comment>
    <comment authorId="0" ref="BG713">
      <text>
        <t xml:space="preserve">in the sense of: which website has the visually more appealing design out of the two displayed ones.
--&gt; removed this after discussion during verification process. Decision making as such is not investigated.</t>
      </text>
    </comment>
    <comment authorId="0" ref="BZ714">
      <text>
        <t xml:space="preserve">i.a. developer's behaviour in IDE.</t>
      </text>
    </comment>
    <comment authorId="0" ref="F718">
      <text>
        <t xml:space="preserve">Exclude based on ICa.
This philosophical paper is focused on educational aspects.</t>
      </text>
    </comment>
    <comment authorId="0" ref="F719">
      <text>
        <t xml:space="preserve">This paper was tricky to exclude but ultimately excluded since it did not focus solely on SE activities and was aimed at cyber security attacks and application in the military intelligence field. Cognitive models were sparsely used as well.</t>
      </text>
    </comment>
    <comment authorId="0" ref="F731">
      <text>
        <t xml:space="preserve">Exclude based on EC11 and partly EC7.
This paper starts with two literature reviews and does not have any clear focus on cognitive concepts in SE. As the title says, it is about quality evaluation in model-driven engineering.</t>
      </text>
    </comment>
    <comment authorId="0" ref="F737">
      <text>
        <t xml:space="preserve">Excluded since this paper focuses on which tools should be used to measure the readability of software. It compares various measuring tools that can help deduce code readability for teaching purposes, as well as some brief mention of software maintenance. But since it does not focus on the actual improvement of SE activities but rather how which tools to use to measure them, this paper has been excluded.</t>
      </text>
    </comment>
    <comment authorId="0" ref="F747">
      <text>
        <t xml:space="preserve">Exclude this based on EC10.
This paper is about model transformations and not about cognitive concepts. At some point it states that this CoqTL "aims to lighten the cognitive load of MT developers", but that is just one motivation. The whole paper is a technological solution proposal, about their suggestion of CoqTL, a domain-specific language.</t>
      </text>
    </comment>
    <comment authorId="0" ref="F751">
      <text>
        <t xml:space="preserve">Excluded with reference to EC10, the paper talks about improving the quality of BDD testing but does not measure any cognitive concepts in detail.</t>
      </text>
    </comment>
    <comment authorId="0" ref="F767">
      <text>
        <t xml:space="preserve">Exclude based on EC6.
Presented method of Client-Insourcing could reduce cognitive load in maintenance tasks. But there is no focus on its actual impact nor on any cognitive concepts.</t>
      </text>
    </comment>
    <comment authorId="0" ref="BC771">
      <text>
        <t xml:space="preserve">Due to the mention of positive and negative sentiment analysis in the messages.</t>
      </text>
    </comment>
    <comment authorId="0" ref="BY771">
      <text>
        <t xml:space="preserve">In this case the ratings are used by the researchers</t>
      </text>
    </comment>
    <comment authorId="0" ref="F787">
      <text>
        <t xml:space="preserve">This paper fails IC1.
On top of that, there is no hint of any cognitive concepts, either (exclude also based on EC11).</t>
      </text>
    </comment>
    <comment authorId="0" ref="F788">
      <text>
        <t xml:space="preserve">Excluded since the paper is not about SE activities but about information systems development. It does contain information about code reviewing and developer activities but contains no new data and is a brief literature review.</t>
      </text>
    </comment>
    <comment authorId="0" ref="F810">
      <text>
        <t xml:space="preserve">Exclude based on EC11.
This paper is not about cognitive concepts of software developers. The focus is more towards the end-user and on how to develop serious games. It can also be seen as a method paper (EC6), which describes the use of design patterns in serious game development.</t>
      </text>
    </comment>
    <comment authorId="0" ref="F815">
      <text>
        <t xml:space="preserve">Excluded since it failed inclusion criteria. Paper focuses on general collaboration tools, not in SE</t>
      </text>
    </comment>
    <comment authorId="0" ref="AA824">
      <text>
        <t xml:space="preserve">6 students and 4 PhDs/postdocs</t>
      </text>
    </comment>
    <comment authorId="0" ref="AB824">
      <text>
        <t xml:space="preserve">2 professionals</t>
      </text>
    </comment>
    <comment authorId="0" ref="AR824">
      <text>
        <t xml:space="preserve">Not individually investigated, but states that the classification of issues can reduce cognitive load.</t>
      </text>
    </comment>
    <comment authorId="0" ref="BF824">
      <text>
        <t xml:space="preserve">reasoning in finding issues in process model</t>
      </text>
    </comment>
    <comment authorId="0" ref="BI824">
      <text>
        <t xml:space="preserve">Domain knowledge not further investigated, but identified as being essential for process model understanding.</t>
      </text>
    </comment>
    <comment authorId="0" ref="BT824">
      <text>
        <t xml:space="preserve">think-aloud</t>
      </text>
    </comment>
    <comment authorId="0" ref="BY824">
      <text>
        <t xml:space="preserve">seven-point Likert scale, but only for gathering information on their background (experience in process modelling, domain knowledge).</t>
      </text>
    </comment>
    <comment authorId="0" ref="F827">
      <text>
        <t xml:space="preserve">Fails inclusion criteria, looks at mental models in education not related to any SE activities.</t>
      </text>
    </comment>
    <comment authorId="0" ref="F843">
      <text>
        <t xml:space="preserve">I was hesitating to include this, since it may fail IC1c, as it is focused mainly on the emotional aspect of using TDD. But they have a (very brief) look at the performance, so I decided to keep this paper.
-- After discussion: Exclude this paper based on IC1c.</t>
      </text>
    </comment>
    <comment authorId="0" ref="I843">
      <text>
        <t xml:space="preserve">Test-Driven Development.
Investigating also the implementation phase.</t>
      </text>
    </comment>
    <comment authorId="0" ref="J843">
      <text>
        <t xml:space="preserve">Test-Driven Development. Investigating also the testing phase.</t>
      </text>
    </comment>
    <comment authorId="0" ref="AA843">
      <text>
        <t xml:space="preserve">final-year undergraduate students</t>
      </text>
    </comment>
    <comment authorId="0" ref="AB843">
      <text>
        <t xml:space="preserve">the students are treated as "proxy of novice developers"</t>
      </text>
    </comment>
    <comment authorId="0" ref="AU843">
      <text>
        <t xml:space="preserve">like pleasure, dominance, liking</t>
      </text>
    </comment>
    <comment authorId="0" ref="BC843">
      <text>
        <t xml:space="preserve">liking</t>
      </text>
    </comment>
    <comment authorId="0" ref="BW843">
      <text>
        <t xml:space="preserve">Not analysed in depth, but just to check for performance differences between TDD and other approaches.</t>
      </text>
    </comment>
    <comment authorId="0" ref="BY843">
      <text>
        <t xml:space="preserve">Self-Assessment Manikin (SAM), extended by liking dimension.
For each dimension: nine-point rating scale.</t>
      </text>
    </comment>
    <comment authorId="0" ref="F846">
      <text>
        <t xml:space="preserve">A chapter in a book that describes the use of a tool, rather than any improvements in the SE realm.</t>
      </text>
    </comment>
    <comment authorId="0" ref="X865">
      <text>
        <t xml:space="preserve">Task performance: duration until model understood, achieved score in questions, response time (to questions).
Eye movements: number of fixations, length of gaze path in respective model.</t>
      </text>
    </comment>
    <comment authorId="0" ref="AA865">
      <text>
        <t xml:space="preserve">20 students, 12 academics</t>
      </text>
    </comment>
    <comment authorId="0" ref="AB865">
      <text>
        <t xml:space="preserve">4 professionals</t>
      </text>
    </comment>
    <comment authorId="0" ref="BI865">
      <text>
        <t xml:space="preserve">model comprehension</t>
      </text>
    </comment>
    <comment authorId="0" ref="BW865">
      <text>
        <t xml:space="preserve">Four comprehension questions after each model, possible ansers: True, False, Uncertain.</t>
      </text>
    </comment>
    <comment authorId="0" ref="BZ865">
      <text>
        <t xml:space="preserve">eye tracking</t>
      </text>
    </comment>
    <comment authorId="0" ref="F866">
      <text>
        <t xml:space="preserve">Failure of inclusion criteria.</t>
      </text>
    </comment>
    <comment authorId="0" ref="F875">
      <text>
        <t xml:space="preserve">Exclude based on IC1a: Focus on education in CS.
This paper is describing the attempt to implement TDD in a second semester course. It reports on student performance and feedback.</t>
      </text>
    </comment>
    <comment authorId="0" ref="F889">
      <text>
        <t xml:space="preserve">Exclude based on IC1b.
This paper investigates the use of a tool called "the Highlighter" in process modeling, and NOT its development. There is no specific focus on SE. Furthermore, the tool might be motivated by cognitive aspects, but they are not investigated in any detail (EC6 / EC10).</t>
      </text>
    </comment>
    <comment authorId="0" ref="F897">
      <text>
        <t xml:space="preserve">Exclude, because it fails IC1. The focus of this paper is not on SE, but generally on "conceptual engineering design". It introduces some prescriptive model, but cognitive concepts are not investigated. Therfore, it can also be excluded based on EC11.</t>
      </text>
    </comment>
    <comment authorId="0" ref="F910">
      <text>
        <t xml:space="preserve">Excluded on the basis of IC1 since the paper talks about the perceived usability of different SCRUM tools. EC10 since cognitive load is mentioned but not an active part of the paper.</t>
      </text>
    </comment>
    <comment authorId="0" ref="F935">
      <text>
        <t xml:space="preserve">Exclude based on EC10: Cognitive concepts (e.g. code readability, knowledge exchange) are just a passive motivation. 
In fact, this paper can be seen as a method paper (EC6), since it is proposing an approach to improve the knowledge exchange between domain experts and programmers, but not investigating cognitive concepts any further.</t>
      </text>
    </comment>
    <comment authorId="0" ref="F951">
      <text>
        <t xml:space="preserve">Excluded as it fails the inclusion criteria. The paper revolves around a particular solution for designing Intelligent Adaptive Distributed software Systems. Although it mentions the developers it does not focus on any SE processes.</t>
      </text>
    </comment>
    <comment authorId="0" ref="F976">
      <text>
        <t xml:space="preserve">Exclude based on EC10 and partly EC11. The paper is presenting an extension to BPMN for including security requirements into the model. Except from one brief mention of possible reduction of cognitive load, cognitive concepts are not considered or evaluated in any detail in this article. 
Additionally, it does not clearly meet IC1, since there is no clear focus on SE activities. The participants are CS students (and teachers), but the paper is very general about BPM.</t>
      </text>
    </comment>
    <comment authorId="0" ref="BW1000">
      <text>
        <t xml:space="preserve">Task-performance is not a central measure here, but it is assessed which tasks they completed succesfully (independently) to find out which knowledge-transfer techniques were the most effective.
-- Bettina (Added during verification)</t>
      </text>
    </comment>
    <comment authorId="0" ref="F1007">
      <text>
        <t xml:space="preserve">Exclude, because it fails IC1. 
There is no clear focus on the SE area, but on "employee experience" at a digital workplace in general. This book chapter describes an "employee experience framework". 
It would also be excluded based on EC11, because cognitive concepts as such are not investigated.</t>
      </text>
    </comment>
    <comment authorId="0" ref="F1019">
      <text>
        <t xml:space="preserve">Excluded as this chapter focuses on a description of IT services. While it talks about software engineering principles it does not focus on any cognitive concepts.</t>
      </text>
    </comment>
    <comment authorId="0" ref="F1055">
      <text>
        <t xml:space="preserve">Exclude based on EC11.
This chapter is about user-oriented evaluation of reliability of cloud services and not about cognitive concepts in SE.</t>
      </text>
    </comment>
    <comment authorId="0" ref="F1058">
      <text>
        <t xml:space="preserve">This paper fails IC1 as it does not apply to any SWEBOK category.</t>
      </text>
    </comment>
    <comment authorId="0" ref="F1079">
      <text>
        <t xml:space="preserve">Exclude, because it fails IC1.
This paper is not about software engineers, but about cyber defense analysts in Security Operations Centers. The focus is therefore network monitoring and not software development.</t>
      </text>
    </comment>
    <comment authorId="0" ref="F1085">
      <text>
        <t xml:space="preserve">Excluded on the basis of IC1, although the paper talks about process modelling it does not directly relate to any modelling that may occur in the SE landscape.</t>
      </text>
    </comment>
    <comment authorId="0" ref="F1106">
      <text>
        <t xml:space="preserve">Exclude based on EC6 (method paper) and/or EC10.
This paper presents an approach, which can make debugging of distributed web applications easier. Reduction of cognitive load could be a motivation for this proposal, but cognitive concepts are not investigated any further here.</t>
      </text>
    </comment>
    <comment authorId="0" ref="F1110">
      <text>
        <t xml:space="preserve">Excluded on the basis of IC1</t>
      </text>
    </comment>
    <comment authorId="0" ref="F1155">
      <text>
        <t xml:space="preserve">Exclude, because it fails IC1.
This paper has no clear link to cognitive concepts in SE. It presents a prototype of a forgetful information system, which can be used by knowledge workers.</t>
      </text>
    </comment>
    <comment authorId="0" ref="F1166">
      <text>
        <t xml:space="preserve">Excluded on the basis of IC1 - looks at general Business Modelling improvements and not related to SE activities.</t>
      </text>
    </comment>
    <comment authorId="0" ref="F1202">
      <text>
        <t xml:space="preserve">Exclude, because it fails IC1.
This paper is located in the information security area, but it is mainly about user authentication.</t>
      </text>
    </comment>
    <comment authorId="0" ref="F1218">
      <text>
        <t xml:space="preserve">Exclude, because paper fails IC1.
This article is about Binary Decision Diagrams. It does not investigate cognitive concepts in SE at all.</t>
      </text>
    </comment>
    <comment authorId="0" ref="F1225">
      <text>
        <t xml:space="preserve">Exclude, because it fails IC1.
This paper is not about software architecture, but about architecture as such (buildings etc.).</t>
      </text>
    </comment>
    <comment authorId="0" ref="F1230">
      <text>
        <t xml:space="preserve">Exclude based on EC10.
This one-page paper proposes an environment to visualise the software development process, which i.a. synchronises code entities with original user requirements. Cognitive aspects could be a passive motivation for the suggested approach, but cognitive concepts as such are not investigated in this article.</t>
      </text>
    </comment>
    <comment authorId="0" ref="F1245">
      <text>
        <t xml:space="preserve">Exclude based on EC10 (and EC6).
The paper proposes an approach, which supports decision-making during code reuse activities. The reduction of cognitive burden on the software developer during code reuse tasks is a motivation for the suggested recommendation system, but it is not the main point. The paper is more about the proposed system itself. Cognitive concepts as such are not investigated here.</t>
      </text>
    </comment>
    <comment authorId="0" ref="F1250">
      <text>
        <t xml:space="preserve">Exclude, because paper fails IC1.
This article is focused on the usage of screen readers and accessibility of web pages. It is user-focused and does not investigate cognitive concepts in the context of software development.</t>
      </text>
    </comment>
    <comment authorId="0" ref="F1259">
      <text>
        <t xml:space="preserve">Exclude, because paper fails IC1. 
The article is about design principles for touchscreen-based mobile devices and therefore clearly user-focused. 
It is not addressing any cognitive aspects of developers during SE activities.</t>
      </text>
    </comment>
    <comment authorId="0" ref="A238">
      <text>
        <t xml:space="preserve">Phase 2 done summer 2020 begins here.
	-Fabian Fagerholm</t>
      </text>
    </comment>
    <comment authorId="0" ref="A1">
      <text>
        <t xml:space="preserve">Phase 2 done summer 2020 begins here.
	-Fabian Fagerholm
----
Definitions for these?
	-Michael Unterkalmsteiner</t>
      </text>
    </comment>
  </commentList>
</comments>
</file>

<file path=xl/comments2.xml><?xml version="1.0" encoding="utf-8"?>
<comments xmlns:r="http://schemas.openxmlformats.org/officeDocument/2006/relationships" xmlns="http://schemas.openxmlformats.org/spreadsheetml/2006/main">
  <authors>
    <author/>
  </authors>
  <commentList>
    <comment authorId="0" ref="G1">
      <text>
        <t xml:space="preserve">S: studied in that area
E: effect on that area</t>
      </text>
    </comment>
    <comment authorId="0" ref="AI1">
      <text>
        <t xml:space="preserve">Cognition: "The collection of mental processes and activities used in perceiving, remebering, thinking, and understanding, and the act of using those processes"</t>
      </text>
    </comment>
    <comment authorId="0" ref="G2">
      <text>
        <t xml:space="preserve">Software Requirements</t>
      </text>
    </comment>
    <comment authorId="0" ref="H2">
      <text>
        <t xml:space="preserve">Software Design</t>
      </text>
    </comment>
    <comment authorId="0" ref="I2">
      <text>
        <t xml:space="preserve">Software Construction</t>
      </text>
    </comment>
    <comment authorId="0" ref="J2">
      <text>
        <t xml:space="preserve">Software Testing</t>
      </text>
    </comment>
    <comment authorId="0" ref="K2">
      <text>
        <t xml:space="preserve">Software Maintenance</t>
      </text>
    </comment>
    <comment authorId="0" ref="L2">
      <text>
        <t xml:space="preserve">Software Configuration Management</t>
      </text>
    </comment>
    <comment authorId="0" ref="M2">
      <text>
        <t xml:space="preserve">Software Engineering Management</t>
      </text>
    </comment>
    <comment authorId="0" ref="N2">
      <text>
        <t xml:space="preserve">Software Engineering Process</t>
      </text>
    </comment>
    <comment authorId="0" ref="O2">
      <text>
        <t xml:space="preserve">Software Engineering Models and Methods</t>
      </text>
    </comment>
    <comment authorId="0" ref="P2">
      <text>
        <t xml:space="preserve">Software Quality</t>
      </text>
    </comment>
    <comment authorId="0" ref="Q2">
      <text>
        <t xml:space="preserve">Software Engineering Professional Practice</t>
      </text>
    </comment>
    <comment authorId="0" ref="R2">
      <text>
        <t xml:space="preserve">Software Engineering Econ</t>
      </text>
    </comment>
    <comment authorId="0" ref="S2">
      <text>
        <t xml:space="preserve">Computing Foundations</t>
      </text>
    </comment>
    <comment authorId="0" ref="T2">
      <text>
        <t xml:space="preserve">Mathematical Foundations</t>
      </text>
    </comment>
    <comment authorId="0" ref="U2">
      <text>
        <t xml:space="preserve">Engineering Foundations</t>
      </text>
    </comment>
    <comment authorId="0" ref="W2">
      <text>
        <t xml:space="preserve">underlying psychological concept</t>
      </text>
    </comment>
    <comment authorId="0" ref="X2">
      <text>
        <t xml:space="preserve">What is measured, can also be a proxy for an underlying psychological measure</t>
      </text>
    </comment>
    <comment authorId="0" ref="Y2">
      <text>
        <t xml:space="preserve">How the measurement is done</t>
      </text>
    </comment>
    <comment authorId="0" ref="AJ2">
      <text>
        <t xml:space="preserve">Attention: "A state of focused awareness on a subset of the available perceptual information"</t>
      </text>
    </comment>
    <comment authorId="0" ref="AK2">
      <text>
        <t xml:space="preserve">Selective attention: "Selective attention describes the process by which individuals focus information processing on a specific set of sensory stimuli at a moment in time".</t>
      </text>
    </comment>
    <comment authorId="0" ref="AL2">
      <text>
        <t xml:space="preserve">Divided attention: Attending to or giving attention to multiple sources of information at once at the same time or performing more than one task. Also referred to as multitasking.</t>
      </text>
    </comment>
    <comment authorId="0" ref="AM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N2">
      <text>
        <t xml:space="preserve">Memory: "The mental capacity to encode, store, and retrieve information"</t>
      </text>
    </comment>
    <comment authorId="0" ref="AO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P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Q2">
      <text>
        <t xml:space="preserve">Long-term memory: The portion of the memory system responsible for holding information for more than a period of seconds or minutes; virtually permanent storage information"</t>
      </text>
    </comment>
    <comment authorId="0" ref="AR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S2">
      <text>
        <t xml:space="preserve">Intrinsic cognitive load: "Intrinsic cognitive load refers to the load imposed by cognitive processes evoked by task-inherent characteristics, or in short: the load that relates to task complexity"</t>
      </text>
    </comment>
    <comment authorId="0" ref="AT2">
      <text>
        <t xml:space="preserve">Extraneous cognitive load: ...extraneous cognitive load is imposed by cognitive processes that do not contribute to performing a task and that are evoked by the design of the task,</t>
      </text>
    </comment>
    <comment authorId="0" ref="AU2">
      <text>
        <t xml:space="preserve">Emotion: "A complex pattern of changes, including physiological arousal, feelings, cognitive processes, and behavioral reactions, made in response to a situation perceived to be personally significant"</t>
      </text>
    </comment>
    <comment authorId="0" ref="AV2">
      <text>
        <t xml:space="preserve">Motivation: "The process of starting, directing, and maintaining physical and psychological activities; includes mechanisms involved in preferences for one activity over another and the vigor and persistence of responses"</t>
      </text>
    </comment>
    <comment authorId="0" ref="AW2">
      <text>
        <t xml:space="preserve">Intrinsic motivation: Intrinsic motivation describes the will to act because of the appeal of the action itself.</t>
      </text>
    </comment>
    <comment authorId="0" ref="AX2">
      <text>
        <t xml:space="preserve">Extrinsic motivation: Extrinsic motivation describes the will to act because the action leads to a specific outcome.</t>
      </text>
    </comment>
    <comment authorId="0" ref="AY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Z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BA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B2">
      <text>
        <t xml:space="preserve">Arousal: "Arousal generally refers to the experience of increased physiological (inside-the-body) activity. This can include an increased (faster) heart rate, perspiration, and rapid breathing"</t>
      </text>
    </comment>
    <comment authorId="0" ref="BC2">
      <text>
        <t xml:space="preserve">Attitude: "..a psychological tendency that is expressed by evaluating a particular entity with some degree of favor or disfavor"</t>
      </text>
    </comment>
    <comment authorId="0" ref="BD2">
      <text>
        <t xml:space="preserve">Perception: "The processes that organize information in the sensory image and interpret it as having been produced by properties of objects or events in the external, three-dimensional world."</t>
      </text>
    </comment>
    <comment authorId="0" ref="BE2">
      <text>
        <t xml:space="preserve">Problem solving: "Thinking that is directed toward solving specific problems and that moves from an initial state to a goal state by means of a set of mental operations",</t>
      </text>
    </comment>
    <comment authorId="0" ref="BF2">
      <text>
        <t xml:space="preserve">Reasoning: "The process of thinking in which conclusions are drawn from a set of facts; thinking directed toward a given goal or objective" – e.g. deductive or inductive reasoning.</t>
      </text>
    </comment>
    <comment authorId="0" ref="BG2">
      <text>
        <t xml:space="preserve">Decision making: "The process of choosing between alternatives; selecting or rejecting available options".</t>
      </text>
    </comment>
    <comment authorId="0" ref="BH2">
      <text>
        <t xml:space="preserve">General errors: Errors stemming from cognitive phenomena such as perceptual distortions, inaccurate judgement, illogical interpretation, or, generally, irrationality</t>
      </text>
    </comment>
    <comment authorId="0" ref="BI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J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K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L2">
      <text>
        <t xml:space="preserve">Tacit knowledge: Tacit knowledge is highly personal and  hard to formalize, making it difficult to communicate or share with others. Subjective insights, intuitions, and hunches fall into this category of knowledge. </t>
      </text>
    </comment>
    <comment authorId="0" ref="BM2">
      <text>
        <t xml:space="preserve">Technical Tacit knowledge: "..the technical dimension, which encompasses the kind of informal personal skills or crafts often referred to as "know-how.""</t>
      </text>
    </comment>
    <comment authorId="0" ref="BN2">
      <text>
        <t xml:space="preserve">Cognitive Tacit knowledge: "...the cognitive dimension. It consists of beliefs, ideals, values, schemata, and mental models which are deeply ingrained in us and which we often take for granted."</t>
      </text>
    </comment>
    <comment authorId="0" ref="BO2">
      <text>
        <t xml:space="preserve">Cognitive control: "Cognitive control is required for the flexible allocation of mental resources in the service of goal-directed behavior"</t>
      </text>
    </comment>
    <comment authorId="0" ref="BP2">
      <text>
        <t xml:space="preserve">Executive functions: "Executive functions are processes that control and regulate thought and action"</t>
      </text>
    </comment>
    <comment authorId="0" ref="BQ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S2">
      <text>
        <t xml:space="preserve">Data is rich; analysis is based on human interpretation.
e.g. interview transcript, video recording, direct observation</t>
      </text>
    </comment>
    <comment authorId="0" ref="BT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U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V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W2">
      <text>
        <t xml:space="preserve">The researcher observes the participant in a chosen context for a limited period of time.
e.g. 2-hour observation in the workplace</t>
      </text>
    </comment>
    <comment authorId="0" ref="BX2">
      <text>
        <t xml:space="preserve">Data is on a numeric scale; analysis is based on statistical properties.
e.g. data on a 5-item scale, data on a known scale from a measurement device</t>
      </text>
    </comment>
    <comment authorId="0" ref="BY2">
      <text>
        <t xml:space="preserve">Participants perform a task and predefined measurements are obtained.
e.g. working memory task, executive functions task</t>
      </text>
    </comment>
    <comment authorId="0" ref="BZ2">
      <text>
        <t xml:space="preserve">Measurements are obtained from participants' bodies.
e.g. EEG, fMRI, heart rate</t>
      </text>
    </comment>
    <comment authorId="0" ref="CA2">
      <text>
        <t xml:space="preserve">Raters (often participants but not always) assess predefined measures on predefined scales.
e.g. questionnaire, based on self-reports, at least at nominal scale</t>
      </text>
    </comment>
    <comment authorId="0" ref="CB2">
      <text>
        <t xml:space="preserve">Participants' visible behaviour is coded into numeric data according to a predefined scheme automatically or manually.
e.g. Eye-tracking, mouse movements, pen movement, gestures, speech, linguistic</t>
      </text>
    </comment>
    <comment authorId="0" ref="B3">
      <text>
        <t xml:space="preserve">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text>
    </comment>
    <comment authorId="0" ref="AA3">
      <text>
        <t xml:space="preserve">n=96
	-Michael Unterkalmsteiner</t>
      </text>
    </comment>
    <comment authorId="0" ref="AB3">
      <text>
        <t xml:space="preserve">n=16
	-Michael Unterkalmsteiner</t>
      </text>
    </comment>
    <comment authorId="0" ref="AD3">
      <text>
        <t xml:space="preserve">controlled experiment
	-Michael Unterkalmsteiner</t>
      </text>
    </comment>
    <comment authorId="0" ref="AA4">
      <text>
        <t xml:space="preserve">N=10
	-Michael Unterkalmsteiner</t>
      </text>
    </comment>
    <comment authorId="0" ref="AD4">
      <text>
        <t xml:space="preserve">controlled experiment
	-Michael Unterkalmsteiner</t>
      </text>
    </comment>
    <comment authorId="0" ref="AA5">
      <text>
        <t xml:space="preserve">n=43
	-Michael Unterkalmsteiner</t>
      </text>
    </comment>
    <comment authorId="0" ref="AD5">
      <text>
        <t xml:space="preserve">controlled experiment
	-Michael Unterkalmsteiner</t>
      </text>
    </comment>
    <comment authorId="0" ref="AA6">
      <text>
        <t xml:space="preserve">N=22
	-Michael Unterkalmsteiner</t>
      </text>
    </comment>
    <comment authorId="0" ref="AB6">
      <text>
        <t xml:space="preserve">n=24
	-Michael Unterkalmsteiner</t>
      </text>
    </comment>
    <comment authorId="0" ref="AD6">
      <text>
        <t xml:space="preserve">Controlled experiment
	-Michael Unterkalmsteiner</t>
      </text>
    </comment>
    <comment authorId="0" ref="B7">
      <text>
        <t xml:space="preserve">Not classifiable: cognitive fit
	-Michael Unterkalmsteiner
MUN: added knowledge as category</t>
      </text>
    </comment>
    <comment authorId="0" ref="AD7">
      <text>
        <t xml:space="preserve">n=77 total in 2 experiments, students
	-Robert Feldt</t>
      </text>
    </comment>
    <comment authorId="0" ref="AD8">
      <text>
        <t xml:space="preserve">Post-task interview study; qualitative analysis
	-Fabian Fagerholm</t>
      </text>
    </comment>
    <comment authorId="0" ref="AD9">
      <text>
        <t xml:space="preserve">Experiment (N=46)
	-Michael Felderer</t>
      </text>
    </comment>
    <comment authorId="0" ref="M10">
      <text>
        <t xml:space="preserve">Effort estimation
	-Michael Unterkalmsteiner</t>
      </text>
    </comment>
    <comment authorId="0" ref="AD10">
      <text>
        <t xml:space="preserve">n=23, controlled experiment
	-Michael Unterkalmsteiner</t>
      </text>
    </comment>
    <comment authorId="0" ref="B11">
      <text>
        <t xml:space="preserve">Same problem as with Aranda2010
	-Michael Unterkalmsteiner
MUN: classified as Aranda2006, done by Fabian</t>
      </text>
    </comment>
    <comment authorId="0" ref="G11">
      <text>
        <t xml:space="preserve">Elicitation
	-Michael Unterkalmsteiner</t>
      </text>
    </comment>
    <comment authorId="0" ref="B12">
      <text>
        <t xml:space="preserve">Same as Aranda2010 (MUN)
	-Michael Unterkalmsteiner
----
I would definitively include it - how to classify learning styles (I did it under knowledge)
	-Michael Felderer</t>
      </text>
    </comment>
    <comment authorId="0" ref="AB12">
      <text>
        <t xml:space="preserve">The provided examples have an industrial flavor</t>
      </text>
    </comment>
    <comment authorId="0" ref="B13">
      <text>
        <t xml:space="preserve">See Aranda2010 in Michael U.
	-Michael Unterkalmsteiner</t>
      </text>
    </comment>
    <comment authorId="0" ref="AA13">
      <text>
        <t xml:space="preserve">The focus was on industry, but there were some student participants.
	-Fabian Fagerholm</t>
      </text>
    </comment>
    <comment authorId="0" ref="B14">
      <text>
        <t xml:space="preserve">See Aranda2006
	-Michael Unterkalmsteiner</t>
      </text>
    </comment>
    <comment authorId="0" ref="V14">
      <text>
        <t xml:space="preserve">In Aranda2006, the same authors state that the underlying theory is Jung's theory of psychological types.
	-Fabian Fagerholm</t>
      </text>
    </comment>
    <comment authorId="0" ref="AH14">
      <text>
        <t xml:space="preserve">This paper is very similar to Aranda2006.
	-Fabian Fagerholm</t>
      </text>
    </comment>
    <comment authorId="0" ref="B15">
      <text>
        <t xml:space="preserve">Not classifiable. See page 107 in the pdf where the FS model is explained. I'm not sure if/how we should/could break that model down to fit into the taxonomy.
	-Michael Unterkalmsteiner
MUN: Classified as Aranda2006, done by Fabian </t>
      </text>
    </comment>
    <comment authorId="0" ref="G15">
      <text>
        <t xml:space="preserve">Requirements elicitation were clients and analysts are geographically distributed.
	-Michael Unterkalmsteiner</t>
      </text>
    </comment>
    <comment authorId="0" ref="Q15">
      <text>
        <t xml:space="preserve">E: cognitive styles are not considered in this KA, maybe they should.
	-Michael Unterkalmsteiner</t>
      </text>
    </comment>
    <comment authorId="0" ref="AD15">
      <text>
        <t xml:space="preserve">n=24
	-Michael Unterkalmsteiner</t>
      </text>
    </comment>
    <comment authorId="0" ref="B16">
      <text>
        <t xml:space="preserve">Not classifiable
	-Michael Unterkalmsteiner
BMR: the paper is about a theory of understanding SE concepts in the context of developers transitioning to OOP. 
Can be included as Knowledge (Technical Tacit Knowledge)  or excluded (IC1a - educational aspects)
</t>
      </text>
    </comment>
    <comment authorId="0" ref="X16">
      <text>
        <t xml:space="preserve">OO concept knowledge and OO concept organization were defined and validated for the study
</t>
      </text>
    </comment>
    <comment authorId="0" ref="Z16">
      <text>
        <t xml:space="preserve">The concept knowledge scores were higher for concepts that were perceived as having very high or very low novelty; lower for average novelty.
</t>
      </text>
    </comment>
    <comment authorId="0" ref="AD16">
      <text>
        <t xml:space="preserve">Survey, N=81 participants; from 16 companies (pg8).
Obs = 729 observations (they count as 81 respondents * 9 concepts) (pg9)
</t>
      </text>
    </comment>
    <comment authorId="0" ref="H17">
      <text>
        <t xml:space="preserve">The effect of cognitive biases on building a Decision Support System.</t>
      </text>
    </comment>
    <comment authorId="0" ref="W17">
      <text>
        <t xml:space="preserve">Includes a Taxonomy of cognitive biases.
</t>
      </text>
    </comment>
    <comment authorId="0" ref="Z17">
      <text>
        <t xml:space="preserve">Cognitive biases are the basis for the new method
</t>
      </text>
    </comment>
    <comment authorId="0" ref="AC17">
      <text>
        <t xml:space="preserve">DSS development methodology.
</t>
      </text>
    </comment>
    <comment authorId="0" ref="AD17">
      <text>
        <t xml:space="preserve">Case study. 
Context: Consulting company.
Unit of analysis = system development process
data collection = participant observation
</t>
      </text>
    </comment>
    <comment authorId="0" ref="AD18">
      <text>
        <t xml:space="preserve">N=3, students, "pilot evaluation"
	-Robert Feldt</t>
      </text>
    </comment>
    <comment authorId="0" ref="I20">
      <text>
        <t xml:space="preserve">In particular, the workflow in version control.
	-Michael Unterkalmsteiner</t>
      </text>
    </comment>
    <comment authorId="0" ref="B21">
      <text>
        <t xml:space="preserve">Problem solving or knowledge?
	-Michael Unterkalmsteiner
BMR: technical tacit knowledge. Program comprehension on new code, measured by eye-tracking and comprehension summaries.</t>
      </text>
    </comment>
    <comment authorId="0" ref="K21">
      <text>
        <t xml:space="preserve">Program comprehension.
</t>
      </text>
    </comment>
    <comment authorId="0" ref="Z21">
      <text>
        <t xml:space="preserve">Eye tracking assumed to be an indicator of underlying cognitive processes</t>
      </text>
    </comment>
    <comment authorId="0" ref="AD21">
      <text>
        <t xml:space="preserve">Experiment
N=16 participants (high-school)
Self-assessed experience (cumulative number of months?)
</t>
      </text>
    </comment>
    <comment authorId="0" ref="Z22">
      <text>
        <t xml:space="preserve">Eye tracking assumed to be an indicator of underlying cognitive processes
</t>
      </text>
    </comment>
    <comment authorId="0" ref="AA22">
      <text>
        <t xml:space="preserve">Not directly stated, but I see no indication that this was done in industry.</t>
      </text>
    </comment>
    <comment authorId="0" ref="AD22">
      <text>
        <t xml:space="preserve">Experiment. N= 14 participants (8 experienced and 6 novices)
</t>
      </text>
    </comment>
    <comment authorId="0" ref="B23">
      <text>
        <t xml:space="preserve">Not sure where to put cognitive styles.
	-Michael Unterkalmsteiner
MUN: classified as knowledge by Fabian</t>
      </text>
    </comment>
    <comment authorId="0" ref="AD23">
      <text>
        <t xml:space="preserve">Quasi-controlled experiment
	-Fabian Fagerholm</t>
      </text>
    </comment>
    <comment authorId="0" ref="B25">
      <text>
        <t xml:space="preserve">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text>
    </comment>
    <comment authorId="0" ref="AD25">
      <text>
        <t xml:space="preserve">formative study with four PhD students
	-Michael Felderer</t>
      </text>
    </comment>
    <comment authorId="0" ref="B26">
      <text>
        <t xml:space="preserve">Not sure if we can lump this together with attention?
	-Michael Unterkalmsteiner</t>
      </text>
    </comment>
    <comment authorId="0" ref="B27">
      <text>
        <t xml:space="preserve">Not sure where to put this. Is program comprehension technical tacit knowledge?
	-Michael Unterkalmsteiner</t>
      </text>
    </comment>
    <comment authorId="0" ref="B28">
      <text>
        <t xml:space="preserve">Exclude? No aspects extracted.
	-Michael Unterkalmsteiner
The aspect is Attention I would say</t>
      </text>
    </comment>
    <comment authorId="0" ref="AC28">
      <text>
        <t xml:space="preserve">In addition research questions are stated but not investigated
	-Michael Felderer</t>
      </text>
    </comment>
    <comment authorId="0" ref="B29">
      <text>
        <t xml:space="preserve">Exclude as not cognitive aspect identified?
	-Michael Unterkalmsteiner
Also related to security knowledge and learning, no specific aspect but cogniting and learning (knowledge) on a general level are addressed</t>
      </text>
    </comment>
    <comment authorId="0" ref="F29">
      <text>
        <t xml:space="preserve">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text>
    </comment>
    <comment authorId="0" ref="G29">
      <text>
        <t xml:space="preserve">requirements pattern
	-Michael Felderer</t>
      </text>
    </comment>
    <comment authorId="0" ref="V29">
      <text>
        <t xml:space="preserve">explains how humans interact with abstracts
	-Michael Felderer</t>
      </text>
    </comment>
    <comment authorId="0" ref="AG29">
      <text>
        <t xml:space="preserve">We motivate this discussion
	-Michael Felderer</t>
      </text>
    </comment>
    <comment authorId="0" ref="F30">
      <text>
        <t xml:space="preserve">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text>
    </comment>
    <comment authorId="0" ref="V32">
      <text>
        <t xml:space="preserve">not directly a cognitive theory
	-Michael Felderer</t>
      </text>
    </comment>
    <comment authorId="0" ref="B33">
      <text>
        <t xml:space="preserve">Problem solving or knowledge or both?
	-Michael Unterkalmsteiner
Both I would say, problem solving and knowledge</t>
      </text>
    </comment>
    <comment authorId="0" ref="AD33">
      <text>
        <t xml:space="preserve">experiment (n=51)
	-Michael Felderer
comparing students and professionals
	-Michael Felderer</t>
      </text>
    </comment>
    <comment authorId="0" ref="AA34">
      <text>
        <t xml:space="preserve">n=57 + 66 in replication study
	-Michael Unterkalmsteiner</t>
      </text>
    </comment>
    <comment authorId="0" ref="AD34">
      <text>
        <t xml:space="preserve">Controlled experiment
	-Michael Unterkalmsteiner</t>
      </text>
    </comment>
    <comment authorId="0" ref="F35">
      <text>
        <t xml:space="preserve">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text>
    </comment>
    <comment authorId="0" ref="AD35">
      <text>
        <t xml:space="preserve">n(total)=64,
	-Michael Unterkalmsteiner</t>
      </text>
    </comment>
    <comment authorId="0" ref="AA36">
      <text>
        <t xml:space="preserve">n=29
	-Michael Unterkalmsteiner</t>
      </text>
    </comment>
    <comment authorId="0" ref="AB36">
      <text>
        <t xml:space="preserve">n=34+32
	-Michael Unterkalmsteiner</t>
      </text>
    </comment>
    <comment authorId="0" ref="AD36">
      <text>
        <t xml:space="preserve">Experiment
	-Michael Unterkalmsteiner</t>
      </text>
    </comment>
    <comment authorId="0" ref="AD37">
      <text>
        <t xml:space="preserve">Case Study
	-Michael Felderer</t>
      </text>
    </comment>
    <comment authorId="0" ref="AA38">
      <text>
        <t xml:space="preserve">n=28
	-Michael Unterkalmsteiner</t>
      </text>
    </comment>
    <comment authorId="0" ref="AB38">
      <text>
        <t xml:space="preserve">n=36
	-Michael Unterkalmsteiner</t>
      </text>
    </comment>
    <comment authorId="0" ref="AD38">
      <text>
        <t xml:space="preserve">Experiment
	-Michael Unterkalmsteiner</t>
      </text>
    </comment>
    <comment authorId="0" ref="W39">
      <text>
        <t xml:space="preserve">perform SLR in cognitive psychology to define cognitive bias metric set
	-Michael Felderer</t>
      </text>
    </comment>
    <comment authorId="0" ref="AC39">
      <text>
        <t xml:space="preserve">Research in progress
	-Michael Felderer</t>
      </text>
    </comment>
    <comment authorId="0" ref="AB40">
      <text>
        <t xml:space="preserve">n=unclear
	-Michael Unterkalmsteiner</t>
      </text>
    </comment>
    <comment authorId="0" ref="AD40">
      <text>
        <t xml:space="preserve">Research method not clear
	-Michael Unterkalmsteiner</t>
      </text>
    </comment>
    <comment authorId="0" ref="AD41">
      <text>
        <t xml:space="preserve">N=30, spread over 3 projects
	-Robert Feldt
Also pilot study with quite a few students
	-Robert Feldt
N=28 students
	-Robert Feldt</t>
      </text>
    </comment>
    <comment authorId="0" ref="B43">
      <text>
        <t xml:space="preserve">Similar problem as with cognitive styles: don't know how to classify.
	-Michael Unterkalmsteiner
Cognition and Knowledge?</t>
      </text>
    </comment>
    <comment authorId="0" ref="AD43">
      <text>
        <t xml:space="preserve">Case Study
	-Michael Felderer</t>
      </text>
    </comment>
    <comment authorId="0" ref="B44">
      <text>
        <t xml:space="preserve">Not classifiable: cognitive fit
	-Michael Unterkalmsteiner
MFD: I see cognition and stress here
MUN: exclude then, because emotion is not part of the taxonomy we publish (we just added it here in order to see how much we miss)?</t>
      </text>
    </comment>
    <comment authorId="0" ref="AD44">
      <text>
        <t xml:space="preserve">Survey (N=123)
	-Michael Felderer</t>
      </text>
    </comment>
    <comment authorId="0" ref="B45">
      <text>
        <t xml:space="preserve">Not classifiable
	-Michael Unterkalmsteiner
Can it be classified as "Knowledge"?</t>
      </text>
    </comment>
    <comment authorId="0" ref="AD45">
      <text>
        <t xml:space="preserve">Case Study
	-Michael Felderer</t>
      </text>
    </comment>
    <comment authorId="0" ref="G46">
      <text>
        <t xml:space="preserve">Main area according to paper. However I do not see how the study rules out cognitive biases related to other areas affecting the result (error count).
	-Fabian Fagerholm</t>
      </text>
    </comment>
    <comment authorId="0" ref="X46">
      <text>
        <t xml:space="preserve">The details on the survey statements are very unclear.
	-Fabian Fagerholm</t>
      </text>
    </comment>
    <comment authorId="0" ref="AH46">
      <text>
        <t xml:space="preserve">The authors claim that the biases apply to the requirements phase, but I do not see how the study design ensured that the biases did not occur during another phase.
	-Fabian Fagerholm</t>
      </text>
    </comment>
    <comment authorId="0" ref="B47">
      <text>
        <t xml:space="preserve">Not sure about this one. I've equaled cognitive capital (level of expterise, tenure) with knowledge in our taxonomy.
	-Michael Unterkalmsteiner</t>
      </text>
    </comment>
    <comment authorId="0" ref="Q47">
      <text>
        <t xml:space="preserve">This seems to be closest, but this paper is hard to fit to the SWEBOK.
	-Fabian Fagerholm</t>
      </text>
    </comment>
    <comment authorId="0" ref="W47">
      <text>
        <t xml:space="preserve">These may be understood as group- or organisation-level concepts, but were measured here on the individual level and assumed to aggregate from the individual level.
	-Fabian Fagerholm</t>
      </text>
    </comment>
    <comment authorId="0" ref="AB47">
      <text>
        <t xml:space="preserve">The context was OSS communities and seems to be closest to industry.
	-Fabian Fagerholm</t>
      </text>
    </comment>
    <comment authorId="0" ref="AD47">
      <text>
        <t xml:space="preserve">Survey
	-Fabian Fagerholm</t>
      </text>
    </comment>
    <comment authorId="0" ref="B48">
      <text>
        <t xml:space="preserve">Also not sure here which aspect: problems solving or knowledge or both.
	-Michael Unterkalmsteiner
Both Knowledge and Problem Solving</t>
      </text>
    </comment>
    <comment authorId="0" ref="I48">
      <text>
        <t xml:space="preserve">program comprehension
	-Michael Felderer</t>
      </text>
    </comment>
    <comment authorId="0" ref="AD48">
      <text>
        <t xml:space="preserve">Observational Study
	-Michael Felderer</t>
      </text>
    </comment>
    <comment authorId="0" ref="B49">
      <text>
        <t xml:space="preserve">No measures extracted?
	-Michael Unterkalmsteiner
Also Knowledge</t>
      </text>
    </comment>
    <comment authorId="0" ref="H49">
      <text>
        <t xml:space="preserve">collaboration structure in software development teams
	-Michael Felderer</t>
      </text>
    </comment>
    <comment authorId="0" ref="M49">
      <text>
        <t xml:space="preserve">collaboration structure in software development teams
	-Michael Felderer</t>
      </text>
    </comment>
    <comment authorId="0" ref="AB49">
      <text>
        <t xml:space="preserve">230 development teams producing open source software
	-Michael Felderer</t>
      </text>
    </comment>
    <comment authorId="0" ref="AD49">
      <text>
        <t xml:space="preserve">controlled experiment
	-Michael Felderer</t>
      </text>
    </comment>
    <comment authorId="0" ref="AD50">
      <text>
        <t xml:space="preserve">N=16, interview study
	-Robert Feldt</t>
      </text>
    </comment>
    <comment authorId="0" ref="AA51">
      <text>
        <t xml:space="preserve">Not clear, but there is no indication  of an industrial context.
</t>
      </text>
    </comment>
    <comment authorId="0" ref="AD51">
      <text>
        <t xml:space="preserve">Experiment. N=30 participants (15 procedural and 15 OO experts).
</t>
      </text>
    </comment>
    <comment authorId="0" ref="B52">
      <text>
        <t xml:space="preserve">Problem solving or knowledge?
	-Michael Unterkalmsteiner
BMR: knowledge (understanding an UML diagram). The variable measured was the understanding of the diagram. Participants were not asked to solve problems.</t>
      </text>
    </comment>
    <comment authorId="0" ref="K52">
      <text>
        <t xml:space="preserve">Understandability and maintainability
</t>
      </text>
    </comment>
    <comment authorId="0" ref="AA52">
      <text>
        <t xml:space="preserve">4 of the 5 experiments were in universities, with student subjects. 
5th was with industrial subjects (no indication of industrial context though).
</t>
      </text>
    </comment>
    <comment authorId="0" ref="AD52">
      <text>
        <t xml:space="preserve">5 Experiments
Relatively small statechart diagrams (10-25 states). 2x2 experimental design (2 domains, with and without composite states).
</t>
      </text>
    </comment>
    <comment authorId="0" ref="K53">
      <text>
        <t xml:space="preserve">Maintenance tasks.
</t>
      </text>
    </comment>
    <comment authorId="0" ref="AA53">
      <text>
        <t xml:space="preserve">Professional programmers as experimental subjects. Context appears to be academic, however.</t>
      </text>
    </comment>
    <comment authorId="0" ref="AD53">
      <text>
        <t xml:space="preserve">2 Experiments (Understanding and modification)
9 programs (FORTRAN) between 36 and 57 statements</t>
      </text>
    </comment>
    <comment authorId="0" ref="B54">
      <text>
        <t xml:space="preserve">Exclude? No cognitive concepts identified.
	-Michael Unterkalmsteiner
BMR: Agreed. The individual level (where cognitive factors would be present) is focused on behaviour.
</t>
      </text>
    </comment>
    <comment authorId="0" ref="H54">
      <text>
        <t xml:space="preserve">Requirements and high-level design decision on subsequent processes.</t>
      </text>
    </comment>
    <comment authorId="0" ref="N54">
      <text>
        <t xml:space="preserve">Requirements and high-level design decision on subsequent processes.</t>
      </text>
    </comment>
    <comment authorId="0" ref="AB54">
      <text>
        <t xml:space="preserve">On site interviews with systems engineers, senior software designers, and project manager.
</t>
      </text>
    </comment>
    <comment authorId="0" ref="AD54">
      <text>
        <t xml:space="preserve">Interview study - 17 projects</t>
      </text>
    </comment>
    <comment authorId="0" ref="AD55">
      <text>
        <t xml:space="preserve">Multiple-case study.
	-Fabian Fagerholm</t>
      </text>
    </comment>
    <comment authorId="0" ref="AD56">
      <text>
        <t xml:space="preserve">n=6, grounded theory, interviews
	-Michael Unterkalmsteiner</t>
      </text>
    </comment>
    <comment authorId="0" ref="I57">
      <text>
        <t xml:space="preserve">Programming task, though it appears to be more about learning how to program.
</t>
      </text>
    </comment>
    <comment authorId="0" ref="AD57">
      <text>
        <t xml:space="preserve">Experimental study - program memorization - 24 participants
Pascal programs - avg 24 lines
task was memorization
</t>
      </text>
    </comment>
    <comment authorId="0" ref="AD58">
      <text>
        <t xml:space="preserve">N=18
	-Michael Unterkalmsteiner</t>
      </text>
    </comment>
    <comment authorId="0" ref="K59">
      <text>
        <t xml:space="preserve">Program comprehension
	-Michael Unterkalmsteiner</t>
      </text>
    </comment>
    <comment authorId="0" ref="AA59">
      <text>
        <t xml:space="preserve">n=3, experiment
	-Michael Unterkalmsteiner</t>
      </text>
    </comment>
    <comment authorId="0" ref="B60">
      <text>
        <t xml:space="preserve">Same as Binkley2002. Where do we put comprehension of X?
	-Michael Unterkalmsteiner</t>
      </text>
    </comment>
    <comment authorId="0" ref="B61">
      <text>
        <t xml:space="preserve">Maybe exclude as only marginally relevant and does not fit in the taxonomy?
	-Michael Unterkalmsteiner</t>
      </text>
    </comment>
    <comment authorId="0" ref="AC61">
      <text>
        <t xml:space="preserve">The authors state they did a case study, but context is unclear (who did what).
	-Michael Unterkalmsteiner</t>
      </text>
    </comment>
    <comment authorId="0" ref="F62">
      <text>
        <t xml:space="preserve">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text>
    </comment>
    <comment authorId="0" ref="B63">
      <text>
        <t xml:space="preserve">No cognitive aspect extracted. Exclude?
	-Michael Unterkalmsteiner</t>
      </text>
    </comment>
    <comment authorId="0" ref="F63">
      <text>
        <t xml:space="preserve">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text>
    </comment>
    <comment authorId="0" ref="B64">
      <text>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text>
    </comment>
    <comment authorId="0" ref="AC64">
      <text>
        <t xml:space="preserve">proposal of adding inner icons to data graphic symbol
	-Michael Felderer</t>
      </text>
    </comment>
    <comment authorId="0" ref="AG64">
      <text>
        <t xml:space="preserve">provides opinion on physics of notation
	-Michael Felderer</t>
      </text>
    </comment>
    <comment authorId="0" ref="AD65">
      <text>
        <t xml:space="preserve">Controlled experiment
	-Fabian Fagerholm</t>
      </text>
    </comment>
    <comment authorId="0" ref="B66">
      <text>
        <t xml:space="preserve">Hm, should this paper even be selected? Looking at the cognitive measure and assessment, the effectiveness of the tool is evaluated, not, e.g., the effect of object churn on cognitive effort.
	-Michael Unterkalmsteiner
I agree and have marked the paper for exclusion. -Fabian</t>
      </text>
    </comment>
    <comment authorId="0" ref="AA66">
      <text>
        <t xml:space="preserve">The researchers evaluated the tool/method themselves.
	-Fabian Fagerholm</t>
      </text>
    </comment>
    <comment authorId="0" ref="AD66">
      <text>
        <t xml:space="preserve">Empirical in the sense that the tool/method was applied to real software.
	-Fabian Fagerholm</t>
      </text>
    </comment>
    <comment authorId="0" ref="B67">
      <text>
        <t xml:space="preserve">Same is Binkley2002
	-Michael Unterkalmsteiner</t>
      </text>
    </comment>
    <comment authorId="0" ref="B69">
      <text>
        <t xml:space="preserve">Not classifiable (similar to all other program comprehrension papers). Or we lump it also under tacit technichal knowledge.
	-Michael Unterkalmsteiner</t>
      </text>
    </comment>
    <comment authorId="0" ref="B70">
      <text>
        <t xml:space="preserve">Again, hard to say where to put since many higher level functions are described, but for me is not clear into which base category they fall (or if we miss a base category).
	-Michael Unterkalmsteiner</t>
      </text>
    </comment>
    <comment authorId="0" ref="D70">
      <text>
        <t xml:space="preserve">Not sure what this is.
	-Fabian Fagerholm</t>
      </text>
    </comment>
    <comment authorId="0" ref="V71">
      <text>
        <t xml:space="preserve">This is not explicitly stated but the underlying theory could be summarised as cognitive load.
	-Fabian Fagerholm</t>
      </text>
    </comment>
    <comment authorId="0" ref="AD71">
      <text>
        <t xml:space="preserve">Quasi-controlled experiment with tasks
	-Fabian Fagerholm</t>
      </text>
    </comment>
    <comment authorId="0" ref="B72">
      <text>
        <t xml:space="preserve">Cognitive aspect not clear from extracted data
	-Michael Unterkalmsteiner</t>
      </text>
    </comment>
    <comment authorId="0" ref="AD72">
      <text>
        <t xml:space="preserve">exploratory empirical analysis of two data sets from several hundreds of change tasks and eighty developers working on open and closed source projects
	-Michael Felderer</t>
      </text>
    </comment>
    <comment authorId="0" ref="B73">
      <text>
        <t xml:space="preserve">The extracted data looks like a copy and paste error from Leveson2000 (the paper above this one in the original ordering). Need to extract again.
	-Michael Unterkalmsteiner
MUN: I was wrong, the extracted data is from the correct paper (Furuta1994)</t>
      </text>
    </comment>
    <comment authorId="0" ref="I74">
      <text>
        <t xml:space="preserve">Even though cognitive load in the context of software use is studied, the use is software development (visual programming language). Hence relevant.
	-Michael Unterkalmsteiner</t>
      </text>
    </comment>
    <comment authorId="0" ref="AD74">
      <text>
        <t xml:space="preserve">n=8
	-Michael Unterkalmsteiner</t>
      </text>
    </comment>
    <comment authorId="0" ref="I75">
      <text>
        <t xml:space="preserve">Since it is a visual programing language for UI's. Could be argued to be design also...
	-Robert Feldt</t>
      </text>
    </comment>
    <comment authorId="0" ref="W75">
      <text>
        <t xml:space="preserve">I don't judge "task performance" to be a CogPsych concept; too general.
	-Robert Feldt</t>
      </text>
    </comment>
    <comment authorId="0" ref="AD75">
      <text>
        <t xml:space="preserve">Not a full-blown experiment, more like an early pilot study with paper prototypes. N=8
	-Robert Feldt</t>
      </text>
    </comment>
    <comment authorId="0" ref="AD76">
      <text>
        <t xml:space="preserve">experiment (n=64)
	-Michael Felderer</t>
      </text>
    </comment>
    <comment authorId="0" ref="B77">
      <text>
        <t xml:space="preserve">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text>
    </comment>
    <comment authorId="0" ref="Y77">
      <text>
        <t xml:space="preserve">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text>
    </comment>
    <comment authorId="0" ref="AD77">
      <text>
        <t xml:space="preserve">experiment with 46 programs
	-Michael Felderer</t>
      </text>
    </comment>
    <comment authorId="0" ref="AA78">
      <text>
        <t xml:space="preserve">n=24
	-Michael Unterkalmsteiner</t>
      </text>
    </comment>
    <comment authorId="0" ref="AD78">
      <text>
        <t xml:space="preserve">Experiment
	-Michael Unterkalmsteiner</t>
      </text>
    </comment>
    <comment authorId="0" ref="B79">
      <text>
        <t xml:space="preserve">Same issues as with Yang1996
	-Michael Unterkalmsteiner</t>
      </text>
    </comment>
    <comment authorId="0" ref="H79">
      <text>
        <t xml:space="preserve">The paper is quite abstract, but the focus is on notation for capturing information in programming, so design and construction are the most fitting categories
	-Michael Unterkalmsteiner</t>
      </text>
    </comment>
    <comment authorId="0" ref="B80">
      <text>
        <t xml:space="preserve">See Green1989
	-Michael Unterkalmsteiner</t>
      </text>
    </comment>
    <comment authorId="0" ref="B81">
      <text>
        <t xml:space="preserve">Can this be classified as cognitive load?
	-Michael Unterkalmsteiner
MUN: classified as Gruhn2007</t>
      </text>
    </comment>
    <comment authorId="0" ref="B82">
      <text>
        <t xml:space="preserve">Do we throw that together with cognitive load? In the sense that the representation of some information is cognitive complex, leading to higher cognitive load?
	-Michael Unterkalmsteiner
MUN: no measures extracted, still classified as qual. measures?</t>
      </text>
    </comment>
    <comment authorId="0" ref="AC82">
      <text>
        <t xml:space="preserve">Theory development without validation
	-Fabian Fagerholm</t>
      </text>
    </comment>
    <comment authorId="0" ref="AD83">
      <text>
        <t xml:space="preserve">Think aloud protocols from 8 professional programmers. Lift control problem
</t>
      </text>
    </comment>
    <comment authorId="0" ref="B84">
      <text>
        <t xml:space="preserve">Problem solving or knowledge?
	-Michael Unterkalmsteiner
MUN: Classified as problem solving.</t>
      </text>
    </comment>
    <comment authorId="0" ref="AD84">
      <text>
        <t xml:space="preserve">N=41, industry developers
	-Robert Feldt</t>
      </text>
    </comment>
    <comment authorId="0" ref="H85">
      <text>
        <t xml:space="preserve">Tasks are about understanding and integrating design artefacts
</t>
      </text>
    </comment>
    <comment authorId="0" ref="AD85">
      <text>
        <t xml:space="preserve">Experiment - 32 students</t>
      </text>
    </comment>
    <comment authorId="0" ref="B86">
      <text>
        <t xml:space="preserve">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text>
    </comment>
    <comment authorId="0" ref="AB86">
      <text>
        <t xml:space="preserve">Case study conducted in a development team - even if the system being developed was for a university
</t>
      </text>
    </comment>
    <comment authorId="0" ref="AD86">
      <text>
        <t xml:space="preserve">Case study.</t>
      </text>
    </comment>
    <comment authorId="0" ref="B87">
      <text>
        <t xml:space="preserve">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text>
    </comment>
    <comment authorId="0" ref="AC87">
      <text>
        <t xml:space="preserve">Proposes the use of the ACT-R cognitive architecture
</t>
      </text>
    </comment>
    <comment authorId="0" ref="B88">
      <text>
        <t xml:space="preserve">Where to place cognitive fit?
	-Michael Unterkalmsteiner</t>
      </text>
    </comment>
    <comment authorId="0" ref="AD88">
      <text>
        <t xml:space="preserve">The empirical part is not directly related to the cognitive aspects; the connection is made by argument and the cognitive aspects are more philosophical.
	-Fabian Fagerholm</t>
      </text>
    </comment>
    <comment authorId="0" ref="B89">
      <text>
        <t xml:space="preserve">Not classifiable: cognitive fit
	-Michael Unterkalmsteiner
MUN: classified as knowledge</t>
      </text>
    </comment>
    <comment authorId="0" ref="AD89">
      <text>
        <t xml:space="preserve">Experiment, N=18 (+2 for pilot study)
	-Robert Feldt</t>
      </text>
    </comment>
    <comment authorId="0" ref="B90">
      <text>
        <t xml:space="preserve">Same as Binkley2002
	-Michael Unterkalmsteiner</t>
      </text>
    </comment>
    <comment authorId="0" ref="B91">
      <text>
        <t xml:space="preserve">Not classifiable. Perception, as we defined it, is not the right fit. However, looking at my comments, mabe a candidate to exclude anyway.
	-Michael Unterkalmsteiner</t>
      </text>
    </comment>
    <comment authorId="0" ref="P91">
      <text>
        <t xml:space="preserve">Perceived software quality
	-Michael Unterkalmsteiner</t>
      </text>
    </comment>
    <comment authorId="0" ref="Y91">
      <text>
        <t xml:space="preserve">Study has an experiment, but what is measured is perceived software quality, not the *process* how software quality is perceived. Maybe this is also the case for the follow-up paper, Hoffman2011.
	-Michael Unterkalmsteiner</t>
      </text>
    </comment>
    <comment authorId="0" ref="AD91">
      <text>
        <t xml:space="preserve">n=?, experiment
	-Michael Unterkalmsteiner</t>
      </text>
    </comment>
    <comment authorId="0" ref="AB92">
      <text>
        <t xml:space="preserve">experiment with professional software evaluators
	-Michael Felderer</t>
      </text>
    </comment>
    <comment authorId="0" ref="AD92">
      <text>
        <t xml:space="preserve">experiment
	-Michael Felderer</t>
      </text>
    </comment>
    <comment authorId="0" ref="B93">
      <text>
        <t xml:space="preserve">Not sure how to classify cognitive issues.
	-Michael Unterkalmsteiner
This is about Cognition in general, there is also an implicit relation to Attention I think</t>
      </text>
    </comment>
    <comment authorId="0" ref="AD93">
      <text>
        <t xml:space="preserve">action research with 8 developers of a case company
	-Michael Felderer</t>
      </text>
    </comment>
    <comment authorId="0" ref="B94">
      <text>
        <t xml:space="preserve">Could be problems solving or knowledge... need to check fulltext
	-Michael Unterkalmsteiner
I would relate the paper to both issues, Knowledge and Problem Solving</t>
      </text>
    </comment>
    <comment authorId="0" ref="AD94">
      <text>
        <t xml:space="preserve">Experiment with 4 experts and 4 novices
	-Michael Felderer</t>
      </text>
    </comment>
    <comment authorId="0" ref="B95">
      <text>
        <t xml:space="preserve">Good example of a paper where cognitive concepts are deeply embedded in the narrative and hard to extract.
	-Fabian Fagerholm</t>
      </text>
    </comment>
    <comment authorId="0" ref="AD95">
      <text>
        <t xml:space="preserve">The empirical part is minor.
	-Fabian Fagerholm</t>
      </text>
    </comment>
    <comment authorId="0" ref="B96">
      <text>
        <t xml:space="preserve">Does this fall under knowledge?
	-Michael Unterkalmsteiner</t>
      </text>
    </comment>
    <comment authorId="0" ref="B97">
      <text>
        <t xml:space="preserve">Same issue as with Yang1996.
	-Michael Unterkalmsteiner</t>
      </text>
    </comment>
    <comment authorId="0" ref="G97">
      <text>
        <t xml:space="preserve">Comprehening requirements specifications
	-Michael Unterkalmsteiner</t>
      </text>
    </comment>
    <comment authorId="0" ref="F98">
      <text>
        <t xml:space="preserve">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text>
    </comment>
    <comment authorId="0" ref="AD98">
      <text>
        <t xml:space="preserve">experiment (N=2)
	-Michael Felderer</t>
      </text>
    </comment>
    <comment authorId="0" ref="H100">
      <text>
        <t xml:space="preserve">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text>
    </comment>
    <comment authorId="0" ref="AB100">
      <text>
        <t xml:space="preserve">The paper concerns industry but has no empirical data.
	-Fabian Fagerholm</t>
      </text>
    </comment>
    <comment authorId="0" ref="AD101">
      <text>
        <t xml:space="preserve">Action research, case study in company (n=1)
	-Michael Unterkalmsteiner</t>
      </text>
    </comment>
    <comment authorId="0" ref="AJ101">
      <text>
        <t xml:space="preserve">"The model explains knowledge management as a sensemaking process unfolding in the interaction
between collective and individual cognition."
	-Michael Unterkalmsteiner</t>
      </text>
    </comment>
    <comment authorId="0" ref="AD102">
      <text>
        <t xml:space="preserve">Study itself is empirical but cognitive aspect only used in analysis so debatable. Refine categories?
	-Robert Feldt</t>
      </text>
    </comment>
    <comment authorId="0" ref="AI102">
      <text>
        <t xml:space="preserve">Theoretical model to understand knowledge construction and management in SW projects
	-Michael Felderer</t>
      </text>
    </comment>
    <comment authorId="0" ref="B103">
      <text>
        <t xml:space="preserve">Same as Gordon1979
	-Michael Unterkalmsteiner
This one refers to cognitive concepts so it should be kept</t>
      </text>
    </comment>
    <comment authorId="0" ref="G104">
      <text>
        <t xml:space="preserve">The paper talks about software development in general, hence I picked all 5 major areas. Also, the paper talk about the effects of considering cogntive aspects on software development. Hence E.
	-Michael Unterkalmsteiner</t>
      </text>
    </comment>
    <comment authorId="0" ref="AA104">
      <text>
        <t xml:space="preserve">No empirical study
	-Michael Unterkalmsteiner</t>
      </text>
    </comment>
    <comment authorId="0" ref="B105">
      <text>
        <t xml:space="preserve">Problem solving or knowledge?
	-Michael Unterkalmsteiner
Problem solving and knowledge</t>
      </text>
    </comment>
    <comment authorId="0" ref="AD105">
      <text>
        <t xml:space="preserve">n=12
	-Michael Felderer</t>
      </text>
    </comment>
    <comment authorId="0" ref="AD106">
      <text>
        <t xml:space="preserve">5 cases of onboarding for SW maintenance, data collection: semi-structured interviews, observation of sessions, and document analysis
	-Robert Feldt</t>
      </text>
    </comment>
    <comment authorId="0" ref="F107">
      <text>
        <t xml:space="preserve">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text>
    </comment>
    <comment authorId="0" ref="B108">
      <text>
        <t xml:space="preserve">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text>
    </comment>
    <comment authorId="0" ref="G108">
      <text>
        <t xml:space="preserve">implications on RE
	-Michael Felderer</t>
      </text>
    </comment>
    <comment authorId="0" ref="Q108">
      <text>
        <t xml:space="preserve">implications on training
	-Michael Felderer</t>
      </text>
    </comment>
    <comment authorId="0" ref="AD108">
      <text>
        <t xml:space="preserve">Experiment (n=78)
	-Michael Felderer</t>
      </text>
    </comment>
    <comment authorId="0" ref="AD109">
      <text>
        <t xml:space="preserve">case studies, two subjects
	-Michael Felderer</t>
      </text>
    </comment>
    <comment authorId="0" ref="B110">
      <text>
        <t xml:space="preserve">Not sure if this falls under attention...
	-Michael Unterkalmsteiner</t>
      </text>
    </comment>
    <comment authorId="0" ref="AB111">
      <text>
        <t xml:space="preserve">n=6 professional programmers
	-Michael Unterkalmsteiner</t>
      </text>
    </comment>
    <comment authorId="0" ref="AD111">
      <text>
        <t xml:space="preserve">Observational study
	-Michael Unterkalmsteiner</t>
      </text>
    </comment>
    <comment authorId="0" ref="B113">
      <text>
        <t xml:space="preserve">Not sure how to classify, maybe decision making?
	-Michael Unterkalmsteiner</t>
      </text>
    </comment>
    <comment authorId="0" ref="G114">
      <text>
        <t xml:space="preserve">The paper includes a case study that looks at teaching of requirements engineering
	-Fabian Fagerholm</t>
      </text>
    </comment>
    <comment authorId="0" ref="AA114">
      <text>
        <t xml:space="preserve">It remains unclear what the context should be considered as.
	-Fabian Fagerholm</t>
      </text>
    </comment>
    <comment authorId="0" ref="AH114">
      <text>
        <t xml:space="preserve">This was a very problematic paper to extract from. The cognitive aspects are weaved deeply into the paper and do not map easily to our extraction structure. Many details are obscure. At the same time, it seems quite relevant to our study.
	-Fabian Fagerholm</t>
      </text>
    </comment>
    <comment authorId="0" ref="H115">
      <text>
        <t xml:space="preserve">Not so clear as the diagram type is irrelevant for this study.
	-Michael Unterkalmsteiner</t>
      </text>
    </comment>
    <comment authorId="0" ref="AA115">
      <text>
        <t xml:space="preserve">n=23
	-Michael Unterkalmsteiner</t>
      </text>
    </comment>
    <comment authorId="0" ref="AD115">
      <text>
        <t xml:space="preserve">Controlled experiment
	-Michael Unterkalmsteiner</t>
      </text>
    </comment>
    <comment authorId="0" ref="K116">
      <text>
        <t xml:space="preserve">On the basis that it deals with program understanding and recall
</t>
      </text>
    </comment>
    <comment authorId="0" ref="AD116">
      <text>
        <t xml:space="preserve">Experiment - 4 programs (about 20 lines)
student participants: 31
</t>
      </text>
    </comment>
    <comment authorId="0" ref="K117">
      <text>
        <t xml:space="preserve">Widespread use of Models for communication in a variety of subareas
</t>
      </text>
    </comment>
    <comment authorId="0" ref="AD117">
      <text>
        <t xml:space="preserve">Experiment - 4 participants</t>
      </text>
    </comment>
    <comment authorId="0" ref="B119">
      <text>
        <t xml:space="preserve">Not classifiable
	-Michael Unterkalmsteiner
Agreed. It appears to be more about design and communicating design. May connect to requirements, but not much is said about the cognition aspect. 
      - Bogdan Marculescu
</t>
      </text>
    </comment>
    <comment authorId="0" ref="H119">
      <text>
        <t xml:space="preserve">Appears to focus on design, with elements of requirements elicitation.
</t>
      </text>
    </comment>
    <comment authorId="0" ref="AA119">
      <text>
        <t xml:space="preserve">Initial observations appear to be in industry, follow-ups with students</t>
      </text>
    </comment>
    <comment authorId="0" ref="AB119">
      <text>
        <t xml:space="preserve">Initial observations appear to be in industry, follow-ups with students</t>
      </text>
    </comment>
    <comment authorId="0" ref="K120">
      <text>
        <t xml:space="preserve">I'm basing this on the understanding- memorization dynamic
</t>
      </text>
    </comment>
    <comment authorId="0" ref="AD120">
      <text>
        <t xml:space="preserve">Experiment 1 - 31 line program
53 subjects (3 levels of expertise)
Experiment 2 - 22 subjects
Recall reserved words
</t>
      </text>
    </comment>
    <comment authorId="0" ref="B121">
      <text>
        <t xml:space="preserve">Not sure where to put cognitive styles.
	-Michael Unterkalmsteiner</t>
      </text>
    </comment>
    <comment authorId="0" ref="Y121">
      <text>
        <t xml:space="preserve">It is somewhat unclear in the paper how the assessment of cognitive style was performed.
	-Fabian Fagerholm</t>
      </text>
    </comment>
    <comment authorId="0" ref="B122">
      <text>
        <t xml:space="preserve">Not classifiable
	-Michael Unterkalmsteiner</t>
      </text>
    </comment>
    <comment authorId="0" ref="F122">
      <text>
        <t xml:space="preserve">"[...]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text>
    </comment>
    <comment authorId="0" ref="AD122">
      <text>
        <t xml:space="preserve">n=4, case study.
	-Michael Unterkalmsteiner</t>
      </text>
    </comment>
    <comment authorId="0" ref="AD123">
      <text>
        <t xml:space="preserve">Quasi-controlled experiment with qualitative data
	-Fabian Fagerholm</t>
      </text>
    </comment>
    <comment authorId="0" ref="G124">
      <text>
        <t xml:space="preserve">The effect of framing (a cognitive bias) desiderata as requirements or ideas on the creativity/originality/innovation of design.
	-Michael Unterkalmsteiner</t>
      </text>
    </comment>
    <comment authorId="0" ref="X124">
      <text>
        <t xml:space="preserve">Design artifact is proxy for measure
	-Michael Unterkalmsteiner</t>
      </text>
    </comment>
    <comment authorId="0" ref="AD124">
      <text>
        <t xml:space="preserve">Experimentation with students (n=42)
	-Michael Unterkalmsteiner</t>
      </text>
    </comment>
    <comment authorId="0" ref="AJ124">
      <text>
        <t xml:space="preserve">Initial investigation into a theory of the effect of framing of desiderata?
	-Michael Unterkalmsteiner</t>
      </text>
    </comment>
    <comment authorId="0" ref="B126">
      <text>
        <t xml:space="preserve">Same as with complexity: lump under load?
	-Michael Unterkalmsteiner</t>
      </text>
    </comment>
    <comment authorId="0" ref="B127">
      <text>
        <t xml:space="preserve">Same as Moody2008
	-Michael Unterkalmsteiner</t>
      </text>
    </comment>
    <comment authorId="0" ref="B128">
      <text>
        <t xml:space="preserve">Not sure about this one. But maybe we can consider cognitive effectiveness and cognitive load as complementary concepts?
	-Michael Unterkalmsteiner</t>
      </text>
    </comment>
    <comment authorId="0" ref="W128">
      <text>
        <t xml:space="preserve">Defined in the Physics of Notations as speed, ease and accuracy with which a representation can be processed by the human mind.
	-Fabian Fagerholm</t>
      </text>
    </comment>
    <comment authorId="0" ref="AD128">
      <text>
        <t xml:space="preserve">Theoretical analysis and validation
	-Fabian Fagerholm</t>
      </text>
    </comment>
    <comment authorId="0" ref="AD129">
      <text>
        <t xml:space="preserve">N=30
	-Robert Feldt</t>
      </text>
    </comment>
    <comment authorId="0" ref="B130">
      <text>
        <t xml:space="preserve">Not classifiable.
	-Michael Unterkalmsteiner</t>
      </text>
    </comment>
    <comment authorId="0" ref="M130">
      <text>
        <t xml:space="preserve">E
	-Michael Unterkalmsteiner</t>
      </text>
    </comment>
    <comment authorId="0" ref="Q130">
      <text>
        <t xml:space="preserve">E
	-Michael Unterkalmsteiner</t>
      </text>
    </comment>
    <comment authorId="0" ref="AD130">
      <text>
        <t xml:space="preserve">Interviews n=10, Survey n=846
	-Michael Unterkalmsteiner</t>
      </text>
    </comment>
    <comment authorId="0" ref="AD132">
      <text>
        <t xml:space="preserve">n=84
	-Michael Unterkalmsteiner</t>
      </text>
    </comment>
    <comment authorId="0" ref="B133">
      <text>
        <t xml:space="preserve">Does this fit into knowledge?
	-Michael Unterkalmsteiner</t>
      </text>
    </comment>
    <comment authorId="0" ref="AD133">
      <text>
        <t xml:space="preserve">Survey
	-Fabian Fagerholm</t>
      </text>
    </comment>
    <comment authorId="0" ref="AD134">
      <text>
        <t xml:space="preserve">N=47, experiment with interviews for data collection
	-Robert Feldt
60% from industry, rest from academia
	-Robert Feldt</t>
      </text>
    </comment>
    <comment authorId="0" ref="B135">
      <text>
        <t xml:space="preserve">Problem solving, decision making or knowledge?
	-Michael Unterkalmsteiner
I would again say Problem Solving and Knowledge, but not Decision Making: "perform complex tasks, sub-vocal utterances (electrical signals sent to the tongue, lips, or vocal cords) can be detected."</t>
      </text>
    </comment>
    <comment authorId="0" ref="B137">
      <text>
        <t xml:space="preserve">really no assessment?
	-Michael Unterkalmsteiner
Task was performed, this was added</t>
      </text>
    </comment>
    <comment authorId="0" ref="AD137">
      <text>
        <t xml:space="preserve">two experiments
	-Michael Felderer</t>
      </text>
    </comment>
    <comment authorId="0" ref="AD138">
      <text>
        <t xml:space="preserve">Questionnaire, Case study; Qualitative analysis
	-Fabian Fagerholm</t>
      </text>
    </comment>
    <comment authorId="0" ref="F139">
      <text>
        <t xml:space="preserve">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text>
    </comment>
    <comment authorId="0" ref="M139">
      <text>
        <t xml:space="preserve">E
	-Michael Unterkalmsteiner</t>
      </text>
    </comment>
    <comment authorId="0" ref="AB139">
      <text>
        <t xml:space="preserve">They study open source projects.
	-Michael Unterkalmsteiner</t>
      </text>
    </comment>
    <comment authorId="0" ref="B140">
      <text>
        <t xml:space="preserve">really no assessment?
	-Michael Unterkalmsteiner
Programming task was performed, this has been added</t>
      </text>
    </comment>
    <comment authorId="0" ref="AD140">
      <text>
        <t xml:space="preserve">Controlled experiment
	-Michael Felderer</t>
      </text>
    </comment>
    <comment authorId="0" ref="AB141">
      <text>
        <t xml:space="preserve">n=10
	-Michael Unterkalmsteiner</t>
      </text>
    </comment>
    <comment authorId="0" ref="AD141">
      <text>
        <t xml:space="preserve">Observational study
	-Michael Unterkalmsteiner</t>
      </text>
    </comment>
    <comment authorId="0" ref="I142">
      <text>
        <t xml:space="preserve">Can also be design, but subjects were observed while programming, not designing.
	-Michael Unterkalmsteiner</t>
      </text>
    </comment>
    <comment authorId="0" ref="AA142">
      <text>
        <t xml:space="preserve">Distribution not clear but 10 in total
	-Michael Unterkalmsteiner</t>
      </text>
    </comment>
    <comment authorId="0" ref="AD142">
      <text>
        <t xml:space="preserve">Observational study
	-Michael Unterkalmsteiner</t>
      </text>
    </comment>
    <comment authorId="0" ref="AA143">
      <text>
        <t xml:space="preserve">10 in the observational study, 227 in survey. Not clear whether from academia or industry.
	-Michael Unterkalmsteiner</t>
      </text>
    </comment>
    <comment authorId="0" ref="AD143">
      <text>
        <t xml:space="preserve">Observational study / survey
	-Michael Unterkalmsteiner</t>
      </text>
    </comment>
    <comment authorId="0" ref="B144">
      <text>
        <t xml:space="preserve">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text>
    </comment>
    <comment authorId="0" ref="W144">
      <text>
        <t xml:space="preserve">Refers to trust derived from a cognitive appraisal of an actor (i.e. based on their skills, competencies, perceived social similarity, etc.). The cognitive concept here is softer than in some other cases.
	-Fabian Fagerholm</t>
      </text>
    </comment>
    <comment authorId="0" ref="AD144">
      <text>
        <t xml:space="preserve">Case study
	-Fabian Fagerholm</t>
      </text>
    </comment>
    <comment authorId="0" ref="AC145">
      <text>
        <t xml:space="preserve">Presentation of the approach
	-Michael Felderer</t>
      </text>
    </comment>
    <comment authorId="0" ref="AF146">
      <text>
        <t xml:space="preserve">Theory-building
	-Fabian Fagerholm</t>
      </text>
    </comment>
    <comment authorId="0" ref="B147">
      <text>
        <t xml:space="preserve">Only classified as cognitive bias. What is effectuation?
	-Michael Unterkalmsteiner</t>
      </text>
    </comment>
    <comment authorId="0" ref="D147">
      <text>
        <t xml:space="preserve">Proceedings of the 20th International Conference on Evaluation and Assessment in Software Engineering
	-Fabian Fagerholm</t>
      </text>
    </comment>
    <comment authorId="0" ref="W147">
      <text>
        <t xml:space="preserve">Effectuation can be seen as a decision-making theory.
	-Fabian Fagerholm</t>
      </text>
    </comment>
    <comment authorId="0" ref="AD147">
      <text>
        <t xml:space="preserve">Action research / case study
	-Fabian Fagerholm</t>
      </text>
    </comment>
    <comment authorId="0" ref="AD148">
      <text>
        <t xml:space="preserve">Case study
	-Fabian Fagerholm</t>
      </text>
    </comment>
    <comment authorId="0" ref="B149">
      <text>
        <t xml:space="preserve">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text>
    </comment>
    <comment authorId="0" ref="AA149">
      <text>
        <t xml:space="preserve">Experiments carried out in academic setting
</t>
      </text>
    </comment>
    <comment authorId="0" ref="AD149">
      <text>
        <t xml:space="preserve">4 Experiments - 2 universities
74 participants in total
</t>
      </text>
    </comment>
    <comment authorId="0" ref="I150">
      <text>
        <t xml:space="preserve">Mostly theoretical, but examples deal with design and matching a solution to a problem.
</t>
      </text>
    </comment>
    <comment authorId="0" ref="B151">
      <text>
        <t xml:space="preserve">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text>
    </comment>
    <comment authorId="0" ref="K151">
      <text>
        <t xml:space="preserve">Studies developers engaged in a change task on an open source system
</t>
      </text>
    </comment>
    <comment authorId="0" ref="AD151">
      <text>
        <t xml:space="preserve">Experiment with 5 devs performing a change task on a medium-size open source system.
</t>
      </text>
    </comment>
    <comment authorId="0" ref="B153">
      <text>
        <t xml:space="preserve">Hm, not sure. Does this fall under problem solving?
	-Michael Unterkalmsteiner</t>
      </text>
    </comment>
    <comment authorId="0" ref="CB153">
      <text>
        <t xml:space="preserve">No evaluation is actually performed; this is just the eye-tracking data that the tool is able to acquire.</t>
      </text>
    </comment>
    <comment authorId="0" ref="AD154">
      <text>
        <t xml:space="preserve">Experiment, n=24
	-Michael Unterkalmsteiner</t>
      </text>
    </comment>
    <comment authorId="0" ref="AI154">
      <text>
        <t xml:space="preserve">Theory, hypotheses and validation
	-Michael Unterkalmsteiner</t>
      </text>
    </comment>
    <comment authorId="0" ref="B155">
      <text>
        <t xml:space="preserve">Cognitive complexity lumped under load?
	-Michael Unterkalmsteiner</t>
      </text>
    </comment>
    <comment authorId="0" ref="AD155">
      <text>
        <t xml:space="preserve">Empirical data is used; however, this data is from synthetic experiments rather than field data.
	-Fabian Fagerholm</t>
      </text>
    </comment>
    <comment authorId="0" ref="B156">
      <text>
        <t xml:space="preserve">Problem solving or knowledge?
	-Michael Unterkalmsteiner
Both Problem solving and Knowledge
</t>
      </text>
    </comment>
    <comment authorId="0" ref="AD156">
      <text>
        <t xml:space="preserve">Experiment (n=28)
	-Michael Felderer</t>
      </text>
    </comment>
    <comment authorId="0" ref="B157">
      <text>
        <t xml:space="preserve">Problem solving or knowledge?
	-Michael Unterkalmsteiner
Both Problem Solving and Knowledge</t>
      </text>
    </comment>
    <comment authorId="0" ref="AD157">
      <text>
        <t xml:space="preserve">Experiment (n=29)
	-Michael Felderer</t>
      </text>
    </comment>
    <comment authorId="0" ref="B158">
      <text>
        <t xml:space="preserve">Problem solving or knowledge?
	-Michael Unterkalmsteiner
Both Problem Solving and Knowledge</t>
      </text>
    </comment>
    <comment authorId="0" ref="AD158">
      <text>
        <t xml:space="preserve">experiment
	-Michael Felderer</t>
      </text>
    </comment>
    <comment authorId="0" ref="AD159">
      <text>
        <t xml:space="preserve">Experiment (n=15)
	-Michael Felderer</t>
      </text>
    </comment>
    <comment authorId="0" ref="B160">
      <text>
        <t xml:space="preserve">Problem solving or knowledge?
	-Michael Unterkalmsteiner
Both Problem Solving and Comprehension</t>
      </text>
    </comment>
    <comment authorId="0" ref="X160">
      <text>
        <t xml:space="preserve">Section III.D. comprises detailled definition of concrete metrics
	-Michael Felderer</t>
      </text>
    </comment>
    <comment authorId="0" ref="AD160">
      <text>
        <t xml:space="preserve">Experiment (n=15)
	-Michael Felderer</t>
      </text>
    </comment>
    <comment authorId="0" ref="G161">
      <text>
        <t xml:space="preserve">Continuous Traceability
	-Michael Felderer</t>
      </text>
    </comment>
    <comment authorId="0" ref="I161">
      <text>
        <t xml:space="preserve">Code summarization, code recommendation
	-Michael Felderer</t>
      </text>
    </comment>
    <comment authorId="0" ref="AC161">
      <text>
        <t xml:space="preserve">Application scenarios
	-Michael Felderer</t>
      </text>
    </comment>
    <comment authorId="0" ref="B162">
      <text>
        <t xml:space="preserve">Not sure about this one, if it is classifiable.
	-Michael Unterkalmsteiner</t>
      </text>
    </comment>
    <comment authorId="0" ref="AA162">
      <text>
        <t xml:space="preserve">n=6
	-Michael Unterkalmsteiner</t>
      </text>
    </comment>
    <comment authorId="0" ref="AD162">
      <text>
        <t xml:space="preserve">not really sure what this is... observational studyy?
	-Michael Unterkalmsteiner</t>
      </text>
    </comment>
    <comment authorId="0" ref="B163">
      <text>
        <t xml:space="preserve">This is part of a book so I did not download it but read it in html on SpringerLink: https://link-springer-com.proxy.lib.chalmers.se/chapter/10.1007/978-3-319-19243-7_9
	-Robert Feldt</t>
      </text>
    </comment>
    <comment authorId="0" ref="F163">
      <text>
        <t xml:space="preserve">This is a position paper summarizing two earlier studies by the authors. Consider including them instead?
	-Robert Feldt</t>
      </text>
    </comment>
    <comment authorId="0" ref="AB164">
      <text>
        <t xml:space="preserve">participants from company
	-Michael Felderer</t>
      </text>
    </comment>
    <comment authorId="0" ref="AD164">
      <text>
        <t xml:space="preserve">experiment
	-Michael Felderer</t>
      </text>
    </comment>
    <comment authorId="0" ref="AB165">
      <text>
        <t xml:space="preserve">Most subjects were students but apparently there were also "experts".
	-Fabian Fagerholm</t>
      </text>
    </comment>
    <comment authorId="0" ref="AD165">
      <text>
        <t xml:space="preserve">The experiments have also been reported elsewhere.
	-Fabian Fagerholm</t>
      </text>
    </comment>
    <comment authorId="0" ref="AD167">
      <text>
        <t xml:space="preserve">Report is on 3 studies, not clear who and how many participated.
	-Michael Unterkalmsteiner</t>
      </text>
    </comment>
    <comment authorId="0" ref="B168">
      <text>
        <t xml:space="preserve">Found self-archived preprint, likely to be close enough to actual paper.
	-Fabian Fagerholm</t>
      </text>
    </comment>
    <comment authorId="0" ref="F168">
      <text>
        <t xml:space="preserve">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text>
    </comment>
    <comment authorId="0" ref="AD169">
      <text>
        <t xml:space="preserve">Experiment - 8 conflicting and 8 non-conflicting models
24 subjects (grad students and faculty)
</t>
      </text>
    </comment>
    <comment authorId="0" ref="B171">
      <text>
        <t xml:space="preserve">Not classifiable
	-Michael Unterkalmsteiner
Agreed. Cognitive maps are used as a tool to argue for a particular type of user-developer communication. 
     - Bogdan Marculescu</t>
      </text>
    </comment>
    <comment authorId="0" ref="I171">
      <text>
        <t xml:space="preserve">They say system investigation, analysis, design, and implementation </t>
      </text>
    </comment>
    <comment authorId="0" ref="X172">
      <text>
        <t xml:space="preserve">Table 3
	-Michael Felderer</t>
      </text>
    </comment>
    <comment authorId="0" ref="AD172">
      <text>
        <t xml:space="preserve">Interviews, n=21
	-Michael Felderer</t>
      </text>
    </comment>
    <comment authorId="0" ref="AD173">
      <text>
        <t xml:space="preserve">n=5, observational study
	-Michael Unterkalmsteiner</t>
      </text>
    </comment>
    <comment authorId="0" ref="B174">
      <text>
        <t xml:space="preserve">Problem solving or knowledge?
	-Michael Unterkalmsteiner
Knowledge. The goal is measuring comprehension. Tasks are used to trigger brain activity that would be recorded by the fMRI. 
   - Bogdan Marculescu</t>
      </text>
    </comment>
    <comment authorId="0" ref="K174">
      <text>
        <t xml:space="preserve">Due to focus on program comprehension.
</t>
      </text>
    </comment>
    <comment authorId="0" ref="AD174">
      <text>
        <t xml:space="preserve">Pilot studies are discussed, but the fMRI experiment seems to be ongoing at the time of writing
 and no results are discussed.
</t>
      </text>
    </comment>
    <comment authorId="0" ref="BJ174">
      <text>
        <t xml:space="preserve">The paper proposes a method to assess knowledge by assigning tasks to participants. The tasks would then trigger brain activity to be measured by the fMRI. The goal is to assess comprehension, hence assignment to knowledge.
</t>
      </text>
    </comment>
    <comment authorId="0" ref="K175">
      <text>
        <t xml:space="preserve">Put this here since program comprehesion is about reading, not writing code (which would then be SC).
	-Michael Unterkalmsteiner</t>
      </text>
    </comment>
    <comment authorId="0" ref="AD175">
      <text>
        <t xml:space="preserve">n=17, controlled experiment
	-Michael Unterkalmsteiner</t>
      </text>
    </comment>
    <comment authorId="0" ref="AD176">
      <text>
        <t xml:space="preserve">Controlled experiment
	-Fabian Fagerholm</t>
      </text>
    </comment>
    <comment authorId="0" ref="B177">
      <text>
        <t xml:space="preserve">Where to put cognitive fit?
	-Michael Unterkalmsteiner</t>
      </text>
    </comment>
    <comment authorId="0" ref="AD177">
      <text>
        <t xml:space="preserve">Two experiments with different kinds of controls
	-Fabian Fagerholm</t>
      </text>
    </comment>
    <comment authorId="0" ref="B178">
      <text>
        <t xml:space="preserve">Not classifiable: cognitive fit
	-Michael Unterkalmsteiner
MUN: problem solving</t>
      </text>
    </comment>
    <comment authorId="0" ref="AD178">
      <text>
        <t xml:space="preserve">N=76 IT professionals
	-Robert Feldt</t>
      </text>
    </comment>
    <comment authorId="0" ref="AB179">
      <text>
        <t xml:space="preserve">Unclear where the engineers come from but I assume the term is not used on students
	-Robert Feldt</t>
      </text>
    </comment>
    <comment authorId="0" ref="AD179">
      <text>
        <t xml:space="preserve">Unclear how many engineers were involved
	-Robert Feldt</t>
      </text>
    </comment>
    <comment authorId="0" ref="B180">
      <text>
        <t xml:space="preserve">Not sure it this one is about cognitive biases. Exclude?
	-Michael Unterkalmsteiner
Yes, exclude. The biases discussed are intentional. We could consider whether this would somehow go under emotions/motivation, but the paper doesn't really go into those things. -Fabian</t>
      </text>
    </comment>
    <comment authorId="0" ref="AD180">
      <text>
        <t xml:space="preserve">Survey
	-Fabian Fagerholm</t>
      </text>
    </comment>
    <comment authorId="0" ref="B181">
      <text>
        <t xml:space="preserve">Where to put cognitive fit?
	-Michael Unterkalmsteiner</t>
      </text>
    </comment>
    <comment authorId="0" ref="AD181">
      <text>
        <t xml:space="preserve">Experiment
	-Fabian Fagerholm</t>
      </text>
    </comment>
    <comment authorId="0" ref="AD182">
      <text>
        <t xml:space="preserve">Experiment (n=41)
	-Michael Felderer</t>
      </text>
    </comment>
    <comment authorId="0" ref="B183">
      <text>
        <t xml:space="preserve">Not classifiable: cognitive fit
	-Michael Unterkalmsteiner
Also Knowledge because it investigates "the role of programming knowledge in program comprehension"</t>
      </text>
    </comment>
    <comment authorId="0" ref="G184">
      <text>
        <t xml:space="preserve">S
	-Michael Unterkalmsteiner</t>
      </text>
    </comment>
    <comment authorId="0" ref="H184">
      <text>
        <t xml:space="preserve">S
	-Michael Unterkalmsteiner</t>
      </text>
    </comment>
    <comment authorId="0" ref="I184">
      <text>
        <t xml:space="preserve">S
	-Michael Unterkalmsteiner</t>
      </text>
    </comment>
    <comment authorId="0" ref="J184">
      <text>
        <t xml:space="preserve">S
	-Michael Unterkalmsteiner</t>
      </text>
    </comment>
    <comment authorId="0" ref="K184">
      <text>
        <t xml:space="preserve">S
	-Michael Unterkalmsteiner</t>
      </text>
    </comment>
    <comment authorId="0" ref="M184">
      <text>
        <t xml:space="preserve">E
	-Michael Unterkalmsteiner</t>
      </text>
    </comment>
    <comment authorId="0" ref="AD184">
      <text>
        <t xml:space="preserve">19 companies, 29 projects, n=200. Interviews and questionnaire
	-Michael Unterkalmsteiner</t>
      </text>
    </comment>
    <comment authorId="0" ref="AI184">
      <text>
        <t xml:space="preserve">Not sure how to describe this... maybe a data point to a not yet formulated theory?
	-Michael Unterkalmsteiner</t>
      </text>
    </comment>
    <comment authorId="0" ref="B185">
      <text>
        <t xml:space="preserve">Should be excluded EC7
	-Michael Unterkalmsteiner</t>
      </text>
    </comment>
    <comment authorId="0" ref="B186">
      <text>
        <t xml:space="preserve">Problem solving or knowledge?
	-Michael Unterkalmsteiner
Knowledge, comprehension done via visualisation</t>
      </text>
    </comment>
    <comment authorId="0" ref="W186">
      <text>
        <t xml:space="preserve">Fig. 2 provides a comprehensive overview
	-Michael Felderer</t>
      </text>
    </comment>
    <comment authorId="0" ref="AD187">
      <text>
        <t xml:space="preserve">Controlled experiment
	-Fabian Fagerholm</t>
      </text>
    </comment>
    <comment authorId="0" ref="AD188">
      <text>
        <t xml:space="preserve">N=17, 6 industry subjects and 11 students, experiments using the newly proposed query/modeling language
	-Robert Feldt</t>
      </text>
    </comment>
    <comment authorId="0" ref="G189">
      <text>
        <t xml:space="preserve">Page 8: explicitly stated that UML models are used in this paper in the requirements analysis context, not design.
	-Michael Unterkalmsteiner</t>
      </text>
    </comment>
    <comment authorId="0" ref="O189">
      <text>
        <t xml:space="preserve">E
	-Michael Unterkalmsteiner</t>
      </text>
    </comment>
    <comment authorId="0" ref="AD189">
      <text>
        <t xml:space="preserve">n=74, experiment
	-Michael Unterkalmsteiner</t>
      </text>
    </comment>
    <comment authorId="0" ref="B190">
      <text>
        <t xml:space="preserve">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text>
    </comment>
    <comment authorId="0" ref="W190">
      <text>
        <t xml:space="preserve">"Findings on cognitive style beyond the scope of the paper"
	-Michael Felderer</t>
      </text>
    </comment>
    <comment authorId="0" ref="AD190">
      <text>
        <t xml:space="preserve">Experiment (N=40)
	-Michael Felderer</t>
      </text>
    </comment>
    <comment authorId="0" ref="F192">
      <text>
        <t xml:space="preserve">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text>
    </comment>
    <comment authorId="0" ref="B193">
      <text>
        <t xml:space="preserve">Decision making, problem solving, knowledge or something else?
	-Michael Unterkalmsteiner
Knowledge and Problem Solving</t>
      </text>
    </comment>
    <comment authorId="0" ref="AD193">
      <text>
        <t xml:space="preserve">Experiment (N=43)
	-Michael Felderer</t>
      </text>
    </comment>
    <comment authorId="0" ref="AA194">
      <text>
        <t xml:space="preserve">2 experiments. n=27, n=56
	-Michael Unterkalmsteiner</t>
      </text>
    </comment>
    <comment authorId="0" ref="AD194">
      <text>
        <t xml:space="preserve">Experiment
	-Michael Unterkalmsteiner</t>
      </text>
    </comment>
    <comment authorId="0" ref="B195">
      <text>
        <t xml:space="preserve">Same issues as with Sheetz2001
	-Michael Unterkalmsteiner</t>
      </text>
    </comment>
    <comment authorId="0" ref="AA195">
      <text>
        <t xml:space="preserve">n=6
	-Michael Unterkalmsteiner</t>
      </text>
    </comment>
    <comment authorId="0" ref="AD195">
      <text>
        <t xml:space="preserve">not sure, observational study?
	-Michael Unterkalmsteiner</t>
      </text>
    </comment>
    <comment authorId="0" ref="H196">
      <text>
        <t xml:space="preserve">Focus is on sw reuse but I say this relates both to design and coding
	-Robert Feldt</t>
      </text>
    </comment>
    <comment authorId="0" ref="AF196">
      <text>
        <t xml:space="preserve">They only argue for and motivate their approach, no empirical study.
	-Robert Feldt</t>
      </text>
    </comment>
    <comment authorId="0" ref="B197">
      <text>
        <t xml:space="preserve">Not classifiable. Exclude since distributed cognition is a concept that affects a group of people, not individuals?
	-Michael Unterkalmsteiner
Agreed. 
     - Bogdan Marculescu.</t>
      </text>
    </comment>
    <comment authorId="0" ref="D197">
      <text>
        <t xml:space="preserve">Is this peer reviewed?
</t>
      </text>
    </comment>
    <comment authorId="0" ref="F197">
      <text>
        <t xml:space="preserve">Excluded because not peer reviewed
</t>
      </text>
    </comment>
    <comment authorId="0" ref="AF197">
      <text>
        <t xml:space="preserve">Proposes distributed cognition as a lens through which to analyze open source projects, but does not contain the results of such analyses.
</t>
      </text>
    </comment>
    <comment authorId="0" ref="AD198">
      <text>
        <t xml:space="preserve">n=13, students, user study
	-Robert Feldt</t>
      </text>
    </comment>
    <comment authorId="0" ref="B199">
      <text>
        <t xml:space="preserve">No data extracted, hence not classifiable. Seems relevant, though.
	-Michael Unterkalmsteiner
Agreed. Seems to be an overview of assumptions at the time. </t>
      </text>
    </comment>
    <comment authorId="0" ref="I199">
      <text>
        <t xml:space="preserve">About programming in general. Not really connected to specific software activities.
</t>
      </text>
    </comment>
    <comment authorId="0" ref="B200">
      <text>
        <t xml:space="preserve">Exclude? Does not map to any concept in the taxonomy.
	-Michael Unterkalmsteiner
Agreed. It is also, arguably, more about project management, with software engineering as more of a motivation. 
- Bogdan Marculescu
</t>
      </text>
    </comment>
    <comment authorId="0" ref="M200">
      <text>
        <t xml:space="preserve">Project status, process bottlenecks, current tasks.
</t>
      </text>
    </comment>
    <comment authorId="0" ref="N200">
      <text>
        <t xml:space="preserve">Project status, process bottlenecks, current tasks.
</t>
      </text>
    </comment>
    <comment authorId="0" ref="AB200">
      <text>
        <t xml:space="preserve">Several development teams from IBM
</t>
      </text>
    </comment>
    <comment authorId="0" ref="AD200">
      <text>
        <t xml:space="preserve">Mixed method in IBM. 150 contributors in 30 functional teams.
archival data, semi-structured interviews (9), web-based survey (21 responses detailed case, 98 other).
Another survey with 1082 participants</t>
      </text>
    </comment>
    <comment authorId="0" ref="J201">
      <text>
        <t xml:space="preserve">The paper does not really explain WHY they animate/vsualize program execution. Accordint to the paper keywords, it is testing/debugging. E.
	-Michael Unterkalmsteiner</t>
      </text>
    </comment>
    <comment authorId="0" ref="B202">
      <text>
        <t xml:space="preserve">No cognitive aspect extracted. Exclude?
	-Michael Unterkalmsteiner
MFD: Initial state paper but relevant
MUN: Yes, but cognition is the top category. If a paper does not fall into this, it is excluded. Then, it must be classified into one of the lower levels. Which one?</t>
      </text>
    </comment>
    <comment authorId="0" ref="AC202">
      <text>
        <t xml:space="preserve">proposes a solution
	-Michael Felderer</t>
      </text>
    </comment>
    <comment authorId="0" ref="B203">
      <text>
        <t xml:space="preserve">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text>
    </comment>
    <comment authorId="0" ref="F203">
      <text>
        <t xml:space="preserve">Exclude: Fails IC1 as it does not aim to contribute to SE.</t>
      </text>
    </comment>
    <comment authorId="0" ref="AD203">
      <text>
        <t xml:space="preserve">Survey
	-Fabian Fagerholm</t>
      </text>
    </comment>
    <comment authorId="0" ref="B204">
      <text>
        <t xml:space="preserve">Measurement not clear
	-Michael Unterkalmsteiner
Quantitative and Qualitative Measure</t>
      </text>
    </comment>
    <comment authorId="0" ref="AD204">
      <text>
        <t xml:space="preserve">Experiment
	-Michael Felderer</t>
      </text>
    </comment>
    <comment authorId="0" ref="K205">
      <text>
        <t xml:space="preserve">Debugging.
</t>
      </text>
    </comment>
    <comment authorId="0" ref="AC205">
      <text>
        <t xml:space="preserve">State Government Computer centre, Brisbane, Queensland
</t>
      </text>
    </comment>
    <comment authorId="0" ref="AD205">
      <text>
        <t xml:space="preserve">Exploratory study, verbal protocol analysis, 16 programmers.</t>
      </text>
    </comment>
    <comment authorId="0" ref="B206">
      <text>
        <t xml:space="preserve">Is program comprehension problem solving or knowledge or both?
	-Michael Unterkalmsteiner</t>
      </text>
    </comment>
    <comment authorId="0" ref="AD206">
      <text>
        <t xml:space="preserve">Code comprehension task with think aloud protocol
	-Fabian Fagerholm</t>
      </text>
    </comment>
    <comment authorId="0" ref="B207">
      <text>
        <t xml:space="preserve">see von Mayrhauser1993a
	-Michael Unterkalmsteiner</t>
      </text>
    </comment>
    <comment authorId="0" ref="F207">
      <text>
        <t xml:space="preserve">This reports on the same study as vonMayrhauser1993a, but it seems to be expanded. The text has many similarities but there is some additional analysis and figures.
	-Fabian Fagerholm</t>
      </text>
    </comment>
    <comment authorId="0" ref="AD207">
      <text>
        <t xml:space="preserve">Code comprehension task with think aloud protocol
	-Fabian Fagerholm</t>
      </text>
    </comment>
    <comment authorId="0" ref="V208">
      <text>
        <t xml:space="preserve">Figure 1
	-Michael Felderer</t>
      </text>
    </comment>
    <comment authorId="0" ref="AD208">
      <text>
        <t xml:space="preserve">observational field study
	-Michael Felderer</t>
      </text>
    </comment>
    <comment authorId="0" ref="AD209">
      <text>
        <t xml:space="preserve">observational case study
	-Michael Felderer</t>
      </text>
    </comment>
    <comment authorId="0" ref="V210">
      <text>
        <t xml:space="preserve">Figure 1
	-Michael Felderer</t>
      </text>
    </comment>
    <comment authorId="0" ref="AD210">
      <text>
        <t xml:space="preserve">observational case study
	-Michael Felderer</t>
      </text>
    </comment>
    <comment authorId="0" ref="AD211">
      <text>
        <t xml:space="preserve">n=2, observational field study
	-Michael Unterkalmsteiner</t>
      </text>
    </comment>
    <comment authorId="0" ref="AD212">
      <text>
        <t xml:space="preserve">observational case study
	-Michael Felderer</t>
      </text>
    </comment>
    <comment authorId="0" ref="AD213">
      <text>
        <t xml:space="preserve">observational case study
	-Michael Felderer</t>
      </text>
    </comment>
    <comment authorId="0" ref="B214">
      <text>
        <t xml:space="preserve">Problem solving or knowledge or both?
	-Michael Unterkalmsteiner
Problem Solving and Knowledge</t>
      </text>
    </comment>
    <comment authorId="0" ref="AD214">
      <text>
        <t xml:space="preserve">field study with 6 participants
	-Michael Felderer</t>
      </text>
    </comment>
    <comment authorId="0" ref="AD215">
      <text>
        <t xml:space="preserve">Quasi-controlled experiment
	-Fabian Fagerholm</t>
      </text>
    </comment>
    <comment authorId="0" ref="BY215">
      <text>
        <t xml:space="preserve">Note that what is measured is the performance of the approach, not, e.g. the extent of cognitive errors.
	-Michael Unterkalmsteiner</t>
      </text>
    </comment>
    <comment authorId="0" ref="F216">
      <text>
        <t xml:space="preserve">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text>
    </comment>
    <comment authorId="0" ref="AA216">
      <text>
        <t xml:space="preserve">Not clearly specified
	-Fabian Fagerholm</t>
      </text>
    </comment>
    <comment authorId="0" ref="AD216">
      <text>
        <t xml:space="preserve">Quasi-controlled experiment (post-task measurement)
	-Fabian Fagerholm</t>
      </text>
    </comment>
    <comment authorId="0" ref="K217">
      <text>
        <t xml:space="preserve">Program comprehension. </t>
      </text>
    </comment>
    <comment authorId="0" ref="AA217">
      <text>
        <t xml:space="preserve">All participants students and faculty members (for the experienced group)
</t>
      </text>
    </comment>
    <comment authorId="0" ref="AD217">
      <text>
        <t xml:space="preserve">Experiment 1. Recall of a small program (Pascal - 23 lines) - memorization + 1 sentence summary
36 participants (12 of each beginner, intermediate, experienced)
Experiment 2 - recall cards
12 participants, experienced
</t>
      </text>
    </comment>
    <comment authorId="0" ref="B218">
      <text>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text>
    </comment>
    <comment authorId="0" ref="K218">
      <text>
        <t xml:space="preserve">Comprehension and modification of code.
</t>
      </text>
    </comment>
    <comment authorId="0" ref="AD218">
      <text>
        <t xml:space="preserve">Experiment 1 - compare programs that accomplish the same thing with and without beacon operations
80 subjects in total.
Experiment 2 - prototypical vs non-prototypical
76 subjects
Experiment 3 - beacon intrusion
76 subjects
Experiment 4 - defective sort
160 subjects</t>
      </text>
    </comment>
    <comment authorId="0" ref="B220">
      <text>
        <t xml:space="preserve">Not clear which cognitive aspect is at play.
	-Michael Unterkalmsteiner
Not entirely sure either. The examination was on knowledge or memory (exams and retention exams). I would say knowledge more than memory.
- Bogdan Marculescu
</t>
      </text>
    </comment>
    <comment authorId="0" ref="I220">
      <text>
        <t xml:space="preserve">Writing queries in SQL and TABLET
</t>
      </text>
    </comment>
    <comment authorId="0" ref="AD220">
      <text>
        <t xml:space="preserve">Experiments comparing SQL and TABLET
1st 1978 - 72 undergraduates
2nd 1979 - 78 participants</t>
      </text>
    </comment>
    <comment authorId="0" ref="B221">
      <text>
        <t xml:space="preserve">Not classifiable.
	-Michael Unterkalmsteiner
Agreed. The method used appears to focus on designing interfaces more than anything that has to do with cognition.</t>
      </text>
    </comment>
    <comment authorId="0" ref="I221">
      <text>
        <t xml:space="preserve">Critique and iteration over a UI
</t>
      </text>
    </comment>
    <comment authorId="0" ref="AE221">
      <text>
        <t xml:space="preserve">Evaluations of UIs by small teams of engineers:
1. 7 tasks, 3 engineers
2. 4 tasks, 3 team members
3. 2 tasks, 6 team members</t>
      </text>
    </comment>
    <comment authorId="0" ref="B222">
      <text>
        <t xml:space="preserve">Not sure where to put cognitive style papers. Reasoning/Problem solving?
Also measurement not clear.
	-Michael Unterkalmsteiner</t>
      </text>
    </comment>
    <comment authorId="0" ref="AD222">
      <text>
        <t xml:space="preserve">Controlled experiment
	-Fabian Fagerholm</t>
      </text>
    </comment>
    <comment authorId="0" ref="AH222">
      <text>
        <t xml:space="preserve">It should be noted that hemisphericity is a problematic idea.
	-Fabian Fagerholm</t>
      </text>
    </comment>
    <comment authorId="0" ref="Q223">
      <text>
        <t xml:space="preserve">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text>
    </comment>
    <comment authorId="0" ref="AD223">
      <text>
        <t xml:space="preserve">Experiment
	-Fabian Fagerholm</t>
      </text>
    </comment>
    <comment authorId="0" ref="H224">
      <text>
        <t xml:space="preserve">design advices
	-Michael Felderer</t>
      </text>
    </comment>
    <comment authorId="0" ref="AG224">
      <text>
        <t xml:space="preserve">states believes
	-Michael Felderer</t>
      </text>
    </comment>
    <comment authorId="0" ref="F225">
      <text>
        <t xml:space="preserve">Good overview of perceptual theory
	-Fabian Fagerholm</t>
      </text>
    </comment>
    <comment authorId="0" ref="AF225">
      <text>
        <t xml:space="preserve">There is some validation in this paper in the form of an evaluation of two UML tools using guidelines for UML diagrams based on theory of visual perception, but the main focus of the paper is on the development of the guidelines from theory.
	-Fabian Fagerholm</t>
      </text>
    </comment>
    <comment authorId="0" ref="AD226">
      <text>
        <t xml:space="preserve">case study
	-Michael Felderer</t>
      </text>
    </comment>
    <comment authorId="0" ref="B227">
      <text>
        <t xml:space="preserve">Not clear from the extracted data to what it maps
	-Michael Unterkalmsteiner</t>
      </text>
    </comment>
    <comment authorId="0" ref="I227">
      <text>
        <t xml:space="preserve">secure software development
	-Michael Felderer</t>
      </text>
    </comment>
    <comment authorId="0" ref="V227">
      <text>
        <t xml:space="preserve">Developed in the following paper:
Ko, A. and Myers, B. A framework and methodology for studying the causes of software errors in programming systems – Journal of Visual Languages and Computing 16(2005), pp. 41-84 (2005)
	-Michael Felderer</t>
      </text>
    </comment>
    <comment authorId="0" ref="AD227">
      <text>
        <t xml:space="preserve">case study with two open source software systems
	-Michael Felderer</t>
      </text>
    </comment>
    <comment authorId="0" ref="AD228">
      <text>
        <t xml:space="preserve">n=20, students
	-Robert Feldt</t>
      </text>
    </comment>
    <comment authorId="0" ref="B229">
      <text>
        <t xml:space="preserve">Not classifiable, not from the extracted data. Looking at the fulltext, given thjat the paper does not explain cognitive dimensions, I would exclude it now as it cannot be classified nor does it justify to change the taxonomy.
	-Michael Unterkalmsteiner</t>
      </text>
    </comment>
    <comment authorId="0" ref="F229">
      <text>
        <t xml:space="preserve">Excluded because not clear what cognitive concepts are investigated.
</t>
      </text>
    </comment>
    <comment authorId="0" ref="B230">
      <text>
        <t xml:space="preserve">Problem solving or knowledge?
	-Michael Unterkalmsteiner
Problem solving and Knowledge</t>
      </text>
    </comment>
    <comment authorId="0" ref="AD230">
      <text>
        <t xml:space="preserve">experiment (n=9)
	-Michael Felderer</t>
      </text>
    </comment>
    <comment authorId="0" ref="AD232">
      <text>
        <t xml:space="preserve">Qualitative, observational study; tool evaluation
	-Fabian Fagerholm</t>
      </text>
    </comment>
    <comment authorId="0" ref="B233">
      <text>
        <t xml:space="preserve">Exclude? See added value.
	-Michael Unterkalmsteiner</t>
      </text>
    </comment>
    <comment authorId="0" ref="AD233">
      <text>
        <t xml:space="preserve">they reuse existing data sets, N=62 projects in one dataset, unclear in the other
	-Robert Feldt</t>
      </text>
    </comment>
    <comment authorId="0" ref="M234">
      <text>
        <t xml:space="preserve">E
	-Michael Unterkalmsteiner</t>
      </text>
    </comment>
    <comment authorId="0" ref="AD234">
      <text>
        <t xml:space="preserve">n=35
	-Michael Unterkalmsteiner</t>
      </text>
    </comment>
    <comment authorId="0" ref="B235">
      <text>
        <t xml:space="preserve">Cognitive space/growth not classifiable
	-Michael Unterkalmsteiner
Knowledge, Problem Solving</t>
      </text>
    </comment>
    <comment authorId="0" ref="V235">
      <text>
        <t xml:space="preserve">Figure 7
	-Michael Felderer</t>
      </text>
    </comment>
    <comment authorId="0" ref="B236">
      <text>
        <t xml:space="preserve">Not classifiable
	-Michael Unterkalmsteiner
Problem Solving</t>
      </text>
    </comment>
    <comment authorId="0" ref="V236">
      <text>
        <t xml:space="preserve">Figure 1
	-Michael Felderer</t>
      </text>
    </comment>
    <comment authorId="0" ref="AD236">
      <text>
        <t xml:space="preserve">Experiment
	-Michael Felderer</t>
      </text>
    </comment>
    <comment authorId="0" ref="AA237">
      <text>
        <t xml:space="preserve">Theoretical paper, no subjects
	-Michael Unterkalmsteiner</t>
      </text>
    </comment>
    <comment authorId="0" ref="F61">
      <text>
        <t xml:space="preserve">Repertory grid is a personality assessment tool, hence not that relevant.
	-Michael Unterkalmsteiner</t>
      </text>
    </comment>
    <comment authorId="0" ref="BX155">
      <text>
        <t xml:space="preserve">The paper uses mathematical means to demonstrate how the proposed metric can be calculated. However, no measures in the sense intended here are used. I.e., no empirical data is collected.
	-Fabian Fagerholm</t>
      </text>
    </comment>
    <comment authorId="0" ref="AI144">
      <text>
        <t xml:space="preserve">This is not possible to further categorise with the current categories. There would have to be a set of categories for social cognition.
	-Fabian Fagerholm</t>
      </text>
    </comment>
    <comment authorId="0" ref="BS128">
      <text>
        <t xml:space="preserve">Uses analytical argumentation to reach results. Does not have measures in the sense intended here.
	-Fabian Fagerholm</t>
      </text>
    </comment>
    <comment authorId="0" ref="BS127">
      <text>
        <t xml:space="preserve">Uses analytical argumentation to reach results. Does not have measures in the sense intended here.
	-Fabian Fagerholm</t>
      </text>
    </comment>
    <comment authorId="0" ref="BS126">
      <text>
        <t xml:space="preserve">Uses analytical argumentation to reach results. Does not have measures in the sense intended here.
	-Fabian Fagerholm</t>
      </text>
    </comment>
    <comment authorId="0" ref="BS88">
      <text>
        <t xml:space="preserve">The paper uses reasoning to reach its conclusions; no direct measurements are used to assess cognitive aspects.
	-Fabian Fagerholm</t>
      </text>
    </comment>
    <comment authorId="0" ref="BM151">
      <text>
        <t xml:space="preserve">The goal appears to be measuring technical tacit knowledge indirectly (by using the proficiency in problem solving as a proxy). 
I would argue problem solving is not included, since that is more of a measurement than a goal.
	-Bogdan Marculescu</t>
      </text>
    </comment>
    <comment authorId="0" ref="BJ149">
      <text>
        <t xml:space="preserve">I would argue knowledge. The goal appears to be to measure the impact of a subset of UML on the knowledge (comprehension) of the participants. No problems solving appears to be done, and the "task" mentioned appears to be answering a questionnaire.
	-Bogdan Marculescu</t>
      </text>
    </comment>
    <comment authorId="0" ref="AS87">
      <text>
        <t xml:space="preserve">The Cognitive Complexity Metric appears to be an attempt to measure the intrinsic cognitive load of given tasks.
	-Bogdan Marculescu</t>
      </text>
    </comment>
  </commentList>
</comments>
</file>

<file path=xl/comments3.xml><?xml version="1.0" encoding="utf-8"?>
<comments xmlns:r="http://schemas.openxmlformats.org/officeDocument/2006/relationships" xmlns="http://schemas.openxmlformats.org/spreadsheetml/2006/main">
  <authors>
    <author/>
  </authors>
  <commentList>
    <comment authorId="0" ref="F1">
      <text>
        <t xml:space="preserve">S: studied in that area
E: effect on that area</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A88">
      <text>
        <t xml:space="preserve">Not classifiable
	-Michael Unterkalmsteiner</t>
      </text>
    </comment>
    <comment authorId="0" ref="A87">
      <text>
        <t xml:space="preserve">Cognitive space/growth not classifiable
	-Michael Unterkalmsteiner</t>
      </text>
    </comment>
    <comment authorId="0" ref="A86">
      <text>
        <t xml:space="preserve">Problem solving or knowledge?
	-Michael Unterkalmsteiner</t>
      </text>
    </comment>
    <comment authorId="0" ref="A80">
      <text>
        <t xml:space="preserve">Problem solving or knowledge?
	-Michael Unterkalmsteiner</t>
      </text>
    </comment>
    <comment authorId="0" ref="A79">
      <text>
        <t xml:space="preserve">Not classifiable: cognitive fit
	-Michael Unterkalmsteiner</t>
      </text>
    </comment>
    <comment authorId="0" ref="A77">
      <text>
        <t xml:space="preserve">Problem solving or knowledge?
	-Michael Unterkalmsteiner</t>
      </text>
    </comment>
    <comment authorId="0" ref="A75">
      <text>
        <t xml:space="preserve">Problem solving or knowledge?
	-Michael Unterkalmsteiner</t>
      </text>
    </comment>
    <comment authorId="0" ref="A74">
      <text>
        <t xml:space="preserve">Problem solving or knowledge?
	-Michael Unterkalmsteiner</t>
      </text>
    </comment>
    <comment authorId="0" ref="A73">
      <text>
        <t xml:space="preserve">Problem solving or knowledge?
	-Michael Unterkalmsteiner</t>
      </text>
    </comment>
    <comment authorId="0" ref="A72">
      <text>
        <t xml:space="preserve">really no assessment?
	-Michael Unterkalmsteiner</t>
      </text>
    </comment>
    <comment authorId="0" ref="A71">
      <text>
        <t xml:space="preserve">really no assessment?
	-Michael Unterkalmsteiner</t>
      </text>
    </comment>
    <comment authorId="0" ref="A69">
      <text>
        <t xml:space="preserve">Problem solving, decision making or knowledge?
	-Michael Unterkalmsteiner</t>
      </text>
    </comment>
    <comment authorId="0" ref="A68">
      <text>
        <t xml:space="preserve">Not classifiable without looking at full text.
	-Michael Unterkalmsteiner</t>
      </text>
    </comment>
    <comment authorId="0" ref="A67">
      <text>
        <t xml:space="preserve">Problem solving or knowledge?
	-Michael Unterkalmsteiner</t>
      </text>
    </comment>
    <comment authorId="0" ref="A66">
      <text>
        <t xml:space="preserve">Same as Gordon1979
	-Michael Unterkalmsteiner</t>
      </text>
    </comment>
    <comment authorId="0" ref="A64">
      <text>
        <t xml:space="preserve">Problem solving or knowledge or both?
	-Michael Unterkalmsteiner</t>
      </text>
    </comment>
    <comment authorId="0" ref="A63">
      <text>
        <t xml:space="preserve">Cognitive aspect not clear from extracted data
	-Michael Unterkalmsteiner</t>
      </text>
    </comment>
    <comment authorId="0" ref="A62">
      <text>
        <t xml:space="preserve">Problem solving or knowledge or both?
	-Michael Unterkalmsteiner</t>
      </text>
    </comment>
    <comment authorId="0" ref="A55">
      <text>
        <t xml:space="preserve">Not classifiable: cognitive style
	-Michael Unterkalmsteiner</t>
      </text>
    </comment>
    <comment authorId="0" ref="A50">
      <text>
        <t xml:space="preserve">Not clear from the extracted data to what it maps
	-Michael Unterkalmsteiner</t>
      </text>
    </comment>
    <comment authorId="0" ref="A49">
      <text>
        <t xml:space="preserve">Not classifiable: cognitive fit
	-Michael Unterkalmsteiner</t>
      </text>
    </comment>
    <comment authorId="0" ref="A46">
      <text>
        <t xml:space="preserve">Exclude? No aspects extracted.
	-Michael Unterkalmsteiner</t>
      </text>
    </comment>
    <comment authorId="0" ref="A39">
      <text>
        <t xml:space="preserve">Decision making, problem solving, knowledge or something else?
	-Michael Unterkalmsteiner</t>
      </text>
    </comment>
    <comment authorId="0" ref="A35">
      <text>
        <t xml:space="preserve">No cognitive aspect extracted. Exclude?
	-Michael Unterkalmsteiner</t>
      </text>
    </comment>
    <comment authorId="0" ref="A34">
      <text>
        <t xml:space="preserve">Measurement not clear
	-Michael Unterkalmsteiner</t>
      </text>
    </comment>
    <comment authorId="0" ref="A30">
      <text>
        <t xml:space="preserve">Not classifiable
	-Michael Unterkalmsteiner</t>
      </text>
    </comment>
    <comment authorId="0" ref="A27">
      <text>
        <t xml:space="preserve">Not sure how to classify cognitive issues.
	-Michael Unterkalmsteiner</t>
      </text>
    </comment>
    <comment authorId="0" ref="A26">
      <text>
        <t xml:space="preserve">Here, the measurement is on the artifact (code) not on the mental effort of a subject. If they don't correlate halstead with some measure of mental effort, then this is not what we are looking for.
	-Michael Unterkalmsteiner</t>
      </text>
    </comment>
    <comment authorId="0" ref="A25">
      <text>
        <t xml:space="preserve">Could be problems solving or knowledge... need to check fulltext
	-Michael Unterkalmsteiner</t>
      </text>
    </comment>
    <comment authorId="0" ref="A24">
      <text>
        <t xml:space="preserve">Same as Aranda2010 (MUN)
	-Michael Unterkalmsteiner</t>
      </text>
    </comment>
    <comment authorId="0" ref="A22">
      <text>
        <t xml:space="preserve">Exclude as not cognitive aspect identified?
	-Michael Unterkalmsteiner</t>
      </text>
    </comment>
    <comment authorId="0" ref="A17">
      <text>
        <t xml:space="preserve">Not classifiable
	-Michael Unterkalmsteiner</t>
      </text>
    </comment>
    <comment authorId="0" ref="A15">
      <text>
        <t xml:space="preserve">No measures extracted?
	-Michael Unterkalmsteiner</t>
      </text>
    </comment>
    <comment authorId="0" ref="A14">
      <text>
        <t xml:space="preserve">Also not sure here which aspect: problems solving or knowledge or both.
	-Michael Unterkalmsteiner</t>
      </text>
    </comment>
    <comment authorId="0" ref="A13">
      <text>
        <t xml:space="preserve">Cognitive concept not clear...
	-Michael Unterkalmsteiner</t>
      </text>
    </comment>
    <comment authorId="0" ref="A11">
      <text>
        <t xml:space="preserve">Similar problem as with cognitive styles: don't know how to classify.
	-Michael Unterkalmsteiner</t>
      </text>
    </comment>
    <comment authorId="0" ref="A8">
      <text>
        <t xml:space="preserve">Where to put cognitive fit?
	-Michael Unterkalmsteiner</t>
      </text>
    </comment>
    <comment authorId="0" ref="A7">
      <text>
        <t xml:space="preserve">What is cognitive requirement?
	-Michael Unterkalmsteiner</t>
      </text>
    </comment>
    <comment authorId="0" ref="A6">
      <text>
        <t xml:space="preserve">Exclude? No evaluation, no cognitive aspects.
	-Michael Unterkalmsteiner</t>
      </text>
    </comment>
    <comment authorId="0" ref="AC88">
      <text>
        <t xml:space="preserve">Experiment
	-Michael Felderer</t>
      </text>
    </comment>
    <comment authorId="0" ref="U87">
      <text>
        <t xml:space="preserve">Figure 7
	-Michael Felderer</t>
      </text>
    </comment>
    <comment authorId="0" ref="U88">
      <text>
        <t xml:space="preserve">Figure 1
	-Michael Felderer</t>
      </text>
    </comment>
    <comment authorId="0" ref="AC86">
      <text>
        <t xml:space="preserve">experiment (n=9)
	-Michael Felderer</t>
      </text>
    </comment>
    <comment authorId="0" ref="AC85">
      <text>
        <t xml:space="preserve">observational case study
	-Michael Felderer</t>
      </text>
    </comment>
    <comment authorId="0" ref="AC84">
      <text>
        <t xml:space="preserve">observational case study
	-Michael Felderer</t>
      </text>
    </comment>
    <comment authorId="0" ref="AC83">
      <text>
        <t xml:space="preserve">observational case study
	-Michael Felderer</t>
      </text>
    </comment>
    <comment authorId="0" ref="U83">
      <text>
        <t xml:space="preserve">Figure 1
	-Michael Felderer</t>
      </text>
    </comment>
    <comment authorId="0" ref="AC82">
      <text>
        <t xml:space="preserve">observational case study
	-Michael Felderer</t>
      </text>
    </comment>
    <comment authorId="0" ref="U81">
      <text>
        <t xml:space="preserve">Figure 1
	-Michael Felderer</t>
      </text>
    </comment>
    <comment authorId="0" ref="AC81">
      <text>
        <t xml:space="preserve">observational field study
	-Michael Felderer</t>
      </text>
    </comment>
    <comment authorId="0" ref="V80">
      <text>
        <t xml:space="preserve">Fig. 2 provides a comprehensive overview
	-Michael Felderer</t>
      </text>
    </comment>
    <comment authorId="0" ref="AC78">
      <text>
        <t xml:space="preserve">Experiment (n=41)
	-Michael Felderer</t>
      </text>
    </comment>
    <comment authorId="0" ref="AC77">
      <text>
        <t xml:space="preserve">Experiment (n=15)
	-Michael Felderer</t>
      </text>
    </comment>
    <comment authorId="0" ref="W77">
      <text>
        <t xml:space="preserve">Section III.D. comprises detailled definition of concrete metrics
	-Michael Felderer</t>
      </text>
    </comment>
    <comment authorId="0" ref="AC76">
      <text>
        <t xml:space="preserve">Experiment (n=15)
	-Michael Felderer</t>
      </text>
    </comment>
    <comment authorId="0" ref="AC75">
      <text>
        <t xml:space="preserve">experiment
	-Michael Felderer</t>
      </text>
    </comment>
    <comment authorId="0" ref="AC74">
      <text>
        <t xml:space="preserve">Experiment (n=29)
	-Michael Felderer</t>
      </text>
    </comment>
    <comment authorId="0" ref="AC73">
      <text>
        <t xml:space="preserve">Experiment (n=28)
	-Michael Felderer</t>
      </text>
    </comment>
    <comment authorId="0" ref="AC72">
      <text>
        <t xml:space="preserve">Controlled experiment
	-Michael Felderer</t>
      </text>
    </comment>
    <comment authorId="0" ref="AC71">
      <text>
        <t xml:space="preserve">two experiments
	-Michael Felderer</t>
      </text>
    </comment>
    <comment authorId="0" ref="F68">
      <text>
        <t xml:space="preserve">implications on RE
	-Michael Felderer</t>
      </text>
    </comment>
    <comment authorId="0" ref="P68">
      <text>
        <t xml:space="preserve">implications on training
	-Michael Felderer</t>
      </text>
    </comment>
    <comment authorId="0" ref="AC68">
      <text>
        <t xml:space="preserve">Experiment (n=78)
	-Michael Felderer</t>
      </text>
    </comment>
    <comment authorId="0" ref="AC67">
      <text>
        <t xml:space="preserve">n=12
	-Michael Felderer</t>
      </text>
    </comment>
    <comment authorId="0" ref="AC65">
      <text>
        <t xml:space="preserve">experiment (n=64)
	-Michael Felderer</t>
      </text>
    </comment>
    <comment authorId="0" ref="AC64">
      <text>
        <t xml:space="preserve">field study with 6 participants
	-Michael Felderer</t>
      </text>
    </comment>
    <comment authorId="0" ref="AC63">
      <text>
        <t xml:space="preserve">exploratory empirical analysis of two data sets from several hundreds of change tasks and eighty developers working on open and closed source projects
	-Michael Felderer</t>
      </text>
    </comment>
    <comment authorId="0" ref="AC62">
      <text>
        <t xml:space="preserve">experiment (n=51)
	-Michael Felderer
comparing students and professionals
	-Michael Felderer</t>
      </text>
    </comment>
    <comment authorId="0" ref="U61">
      <text>
        <t xml:space="preserve">not directly a cognitive theory
	-Michael Felderer</t>
      </text>
    </comment>
    <comment authorId="0" ref="AC43">
      <text>
        <t xml:space="preserve">experiment (N=2)
	-Michael Felderer</t>
      </text>
    </comment>
    <comment authorId="0" ref="AF22">
      <text>
        <t xml:space="preserve">We motivate this discussion
	-Michael Felderer</t>
      </text>
    </comment>
    <comment authorId="0" ref="U22">
      <text>
        <t xml:space="preserve">explains how humans interact with abstracts
	-Michael Felderer</t>
      </text>
    </comment>
    <comment authorId="0" ref="F22">
      <text>
        <t xml:space="preserve">requirements pattern
	-Michael Felderer</t>
      </text>
    </comment>
    <comment authorId="0" ref="V58">
      <text>
        <t xml:space="preserve">perform SLR in cognitive psychology to define cognitive bias metric set
	-Michael Felderer</t>
      </text>
    </comment>
    <comment authorId="0" ref="AB58">
      <text>
        <t xml:space="preserve">Research in progress
	-Michael Felderer</t>
      </text>
    </comment>
    <comment authorId="0" ref="E57">
      <text>
        <t xml:space="preserve">EC10 Cognitive Concepts just passive motivation
	-Michael Felderer
Agree to exclude
	-Michael Unterkalmsteiner</t>
      </text>
    </comment>
    <comment authorId="0" ref="E56">
      <text>
        <t xml:space="preserve">EC10 Cognitive Concepts is just passive motivation
	-Michael Felderer
Agree to exclude
	-Michael Unterkalmsteiner</t>
      </text>
    </comment>
    <comment authorId="0" ref="V55">
      <text>
        <t xml:space="preserve">"Findings on cognitive style beyond the scope of the paper"
	-Michael Felderer</t>
      </text>
    </comment>
    <comment authorId="0" ref="AC55">
      <text>
        <t xml:space="preserve">Experiment (N=40)
	-Michael Felderer</t>
      </text>
    </comment>
    <comment authorId="0" ref="AB54">
      <text>
        <t xml:space="preserve">Presentation of the approach
	-Michael Felderer</t>
      </text>
    </comment>
    <comment authorId="0" ref="AC52">
      <text>
        <t xml:space="preserve">Experiment (N=46)
	-Michael Felderer</t>
      </text>
    </comment>
    <comment authorId="0" ref="E53">
      <text>
        <t xml:space="preserve">focus on interface design
	-Michael Felderer
Agree to exclude
	-Michael Unterkalmsteiner</t>
      </text>
    </comment>
    <comment authorId="0" ref="E51">
      <text>
        <t xml:space="preserve">Focus on Interface Design
	-Michael Felderer
...and the end-user aspect of it, not the software engineers. Agree to exclude, but this is a good example we can use as a watershed.
	-Michael Unterkalmsteiner</t>
      </text>
    </comment>
    <comment authorId="0" ref="AC49">
      <text>
        <t xml:space="preserve">Survey (N=123)
	-Michael Felderer</t>
      </text>
    </comment>
    <comment authorId="0" ref="E48">
      <text>
        <t xml:space="preserve">EC10 cognitive concepts provide only passive motivation
	-Michael Felderer
Agree to exclude.
	-Michael Unterkalmsteiner</t>
      </text>
    </comment>
    <comment authorId="0" ref="E47">
      <text>
        <t xml:space="preserve">EC10 cognitive concepts only passive motivation
	-Michael Felderer
Agree to exclude
	-Michael Unterkalmsteiner</t>
      </text>
    </comment>
    <comment authorId="0" ref="AB46">
      <text>
        <t xml:space="preserve">In addition research questions are stated but not investigated
	-Michael Felderer</t>
      </text>
    </comment>
    <comment authorId="0" ref="E41">
      <text>
        <t xml:space="preserve">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text>
    </comment>
    <comment authorId="0" ref="E42">
      <text>
        <t xml:space="preserve">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text>
    </comment>
    <comment authorId="0" ref="E40">
      <text>
        <t xml:space="preserve">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text>
    </comment>
    <comment authorId="0" ref="AC39">
      <text>
        <t xml:space="preserve">Experiment (N=43)
	-Michael Felderer</t>
      </text>
    </comment>
    <comment authorId="0" ref="E38">
      <text>
        <t xml:space="preserve">Not about cognitive measures at all
	-Michael Felderer
Agree to exclude
	-Michael Unterkalmsteiner</t>
      </text>
    </comment>
    <comment authorId="0" ref="AC37">
      <text>
        <t xml:space="preserve">Experiment
	-Michael Felderer</t>
      </text>
    </comment>
    <comment authorId="0" ref="AC36">
      <text>
        <t xml:space="preserve">Case Study
	-Michael Felderer</t>
      </text>
    </comment>
    <comment authorId="0" ref="AC34">
      <text>
        <t xml:space="preserve">Experiment
	-Michael Felderer</t>
      </text>
    </comment>
    <comment authorId="0" ref="AB35">
      <text>
        <t xml:space="preserve">proposes a solution
	-Michael Felderer</t>
      </text>
    </comment>
    <comment authorId="0" ref="G32">
      <text>
        <t xml:space="preserve">design advices
	-Michael Felderer</t>
      </text>
    </comment>
    <comment authorId="0" ref="AF32">
      <text>
        <t xml:space="preserve">states believes
	-Michael Felderer</t>
      </text>
    </comment>
    <comment authorId="0" ref="AB30">
      <text>
        <t xml:space="preserve">proposal of adding inner icons to data graphic symbol
	-Michael Felderer</t>
      </text>
    </comment>
    <comment authorId="0" ref="AF30">
      <text>
        <t xml:space="preserve">provides opinion on physics of notation
	-Michael Felderer</t>
      </text>
    </comment>
    <comment authorId="0" ref="AC29">
      <text>
        <t xml:space="preserve">case studies, two subjects
	-Michael Felderer</t>
      </text>
    </comment>
    <comment authorId="0" ref="E28">
      <text>
        <t xml:space="preserve">EC7 Literature Review
	-Michael Felderer
Agree to exclude. Also IC1
	-Michael Unterkalmsteiner</t>
      </text>
    </comment>
    <comment authorId="0" ref="AC27">
      <text>
        <t xml:space="preserve">action research with 8 developers of a case company
	-Michael Felderer</t>
      </text>
    </comment>
    <comment authorId="0" ref="AC26">
      <text>
        <t xml:space="preserve">experiment with 46 programs
	-Michael Felderer</t>
      </text>
    </comment>
    <comment authorId="0" ref="X26">
      <text>
        <t xml:space="preserve">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text>
    </comment>
    <comment authorId="0" ref="U50">
      <text>
        <t xml:space="preserve">Developed in the following paper:
Ko, A. and Myers, B. A framework and methodology for studying the causes of software errors in programming systems – Journal of Visual Languages and Computing 16(2005), pp. 41-84 (2005)
	-Michael Felderer</t>
      </text>
    </comment>
    <comment authorId="0" ref="AC50">
      <text>
        <t xml:space="preserve">case study with two open source software systems
	-Michael Felderer</t>
      </text>
    </comment>
    <comment authorId="0" ref="H50">
      <text>
        <t xml:space="preserve">secure software development
	-Michael Felderer</t>
      </text>
    </comment>
    <comment authorId="0" ref="AC31">
      <text>
        <t xml:space="preserve">case study
	-Michael Felderer</t>
      </text>
    </comment>
    <comment authorId="0" ref="AC25">
      <text>
        <t xml:space="preserve">Experiment with 4 experts and 4 novices
	-Michael Felderer</t>
      </text>
    </comment>
    <comment authorId="0" ref="W18">
      <text>
        <t xml:space="preserve">Table 3
	-Michael Felderer</t>
      </text>
    </comment>
    <comment authorId="0" ref="AC18">
      <text>
        <t xml:space="preserve">Interviews, n=21
	-Michael Felderer</t>
      </text>
    </comment>
    <comment authorId="0" ref="E16">
      <text>
        <t xml:space="preserve">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text>
    </comment>
    <comment authorId="0" ref="E21">
      <text>
        <t xml:space="preserve">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text>
    </comment>
    <comment authorId="0" ref="V21">
      <text>
        <t xml:space="preserve">Cognitive fit is a cost–benefit characteristic that suggests that, for most effective and efficient problem solving to occur, the problem representation and any tools or aids should all support the strategies (methods or processes) required to perform that task.
	-Michael Felderer</t>
      </text>
    </comment>
    <comment authorId="0" ref="H21">
      <text>
        <t xml:space="preserve">tools supporting programming tasks
	-Michael Felderer</t>
      </text>
    </comment>
    <comment authorId="0" ref="E22">
      <text>
        <t xml:space="preserve">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text>
    </comment>
    <comment authorId="0" ref="E23">
      <text>
        <t xml:space="preserve">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text>
    </comment>
    <comment authorId="0" ref="E20">
      <text>
        <t xml:space="preserve">EC 10
	-Michael Felderer
Agree to exclude
	-Michael Unterkalmsteiner</t>
      </text>
    </comment>
    <comment authorId="0" ref="E19">
      <text>
        <t xml:space="preserve">EC 10: Cognitive Load just passive motivation
	-Michael Felderer
Agree to exclude.
	-Michael Unterkalmsteiner</t>
      </text>
    </comment>
    <comment authorId="0" ref="AC45">
      <text>
        <t xml:space="preserve">experiment
	-Michael Felderer</t>
      </text>
    </comment>
    <comment authorId="0" ref="AA45">
      <text>
        <t xml:space="preserve">participants from company
	-Michael Felderer</t>
      </text>
    </comment>
    <comment authorId="0" ref="E43">
      <text>
        <t xml:space="preserve">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text>
    </comment>
    <comment authorId="0" ref="AC17">
      <text>
        <t xml:space="preserve">Case Study
	-Michael Felderer</t>
      </text>
    </comment>
    <comment authorId="0" ref="AC14">
      <text>
        <t xml:space="preserve">Observational Study
	-Michael Felderer</t>
      </text>
    </comment>
    <comment authorId="0" ref="H14">
      <text>
        <t xml:space="preserve">program comprehension
	-Michael Felderer</t>
      </text>
    </comment>
    <comment authorId="0" ref="Z5">
      <text>
        <t xml:space="preserve">post graduate students
	-Michael Felderer</t>
      </text>
    </comment>
    <comment authorId="0" ref="AC15">
      <text>
        <t xml:space="preserve">controlled experiment
	-Michael Felderer</t>
      </text>
    </comment>
    <comment authorId="0" ref="AA15">
      <text>
        <t xml:space="preserve">230 development teams producing open source software
	-Michael Felderer</t>
      </text>
    </comment>
    <comment authorId="0" ref="G15">
      <text>
        <t xml:space="preserve">collaboration structure in software development teams
	-Michael Felderer</t>
      </text>
    </comment>
    <comment authorId="0" ref="L15">
      <text>
        <t xml:space="preserve">collaboration structure in software development teams
	-Michael Felderer</t>
      </text>
    </comment>
    <comment authorId="0" ref="AA12">
      <text>
        <t xml:space="preserve">professional programmer
	-Michael Felderer</t>
      </text>
    </comment>
    <comment authorId="0" ref="AC12">
      <text>
        <t xml:space="preserve">Experiment
	-Michael Felderer</t>
      </text>
    </comment>
    <comment authorId="0" ref="AC13">
      <text>
        <t xml:space="preserve">formative study with four PhD students
	-Michael Felderer</t>
      </text>
    </comment>
    <comment authorId="0" ref="AC11">
      <text>
        <t xml:space="preserve">Case Study
	-Michael Felderer</t>
      </text>
    </comment>
    <comment authorId="0" ref="AA10">
      <text>
        <t xml:space="preserve">experiment with professional software evaluators
	-Michael Felderer</t>
      </text>
    </comment>
    <comment authorId="0" ref="AC10">
      <text>
        <t xml:space="preserve">experiment
	-Michael Felderer</t>
      </text>
    </comment>
    <comment authorId="0" ref="E9">
      <text>
        <t xml:space="preserve">Tutorial Description
	-Michael Felderer
Agree, also because IC1b
	-Michael Unterkalmsteiner</t>
      </text>
    </comment>
    <comment authorId="0" ref="E44">
      <text>
        <t xml:space="preserve">publication not available
	-Michael Felderer
Agree to exclude
	-Michael Unterkalmsteiner</t>
      </text>
    </comment>
    <comment authorId="0" ref="E33">
      <text>
        <t xml:space="preserve">Not English
	-Michael Felderer
Agree to exclude
	-Michael Unterkalmsteiner</t>
      </text>
    </comment>
    <comment authorId="0" ref="AB4">
      <text>
        <t xml:space="preserve">Application scenarios
	-Michael Felderer</t>
      </text>
    </comment>
    <comment authorId="0" ref="H4">
      <text>
        <t xml:space="preserve">Code summarization, code recommendation
	-Michael Felderer</t>
      </text>
    </comment>
    <comment authorId="0" ref="F4">
      <text>
        <t xml:space="preserve">Continuous Traceability
	-Michael Felderer</t>
      </text>
    </comment>
    <comment authorId="0" ref="AH5">
      <text>
        <t xml:space="preserve">Design Method
	-Michael Felderer</t>
      </text>
    </comment>
    <comment authorId="0" ref="AC5">
      <text>
        <t xml:space="preserve">randomized controlled trial
	-Michael Felderer</t>
      </text>
    </comment>
    <comment authorId="0" ref="AF6">
      <text>
        <t xml:space="preserve">We review the uptake of past software project prediction research and identify relevant cognitive psychology research on expert behaviour. In particular we explore potential applications of recent metacognition research
	-Michael Felderer</t>
      </text>
    </comment>
    <comment authorId="0" ref="AA7">
      <text>
        <t xml:space="preserve">subjects from German and Swiss companies
	-Michael Felderer</t>
      </text>
    </comment>
    <comment authorId="0" ref="AC7">
      <text>
        <t xml:space="preserve">survey: interviews and questionnaire
	-Michael Felderer</t>
      </text>
    </comment>
    <comment authorId="0" ref="V1">
      <text>
        <t xml:space="preserve">Additional column on Theory could be added, in case of paper Shaft2006 theory of Dual-Task Problem Solving is covered
	-Michael Felderer</t>
      </text>
    </comment>
    <comment authorId="0" ref="AC8">
      <text>
        <t xml:space="preserve">Controlled experiment
	-Michael Felderer</t>
      </text>
    </comment>
    <comment authorId="0" ref="AA8">
      <text>
        <t xml:space="preserve">controlled experiment with IT professionals
	-Michael Felderer</t>
      </text>
    </comment>
    <comment authorId="0" ref="Z3">
      <text>
        <t xml:space="preserve">student experiment
	-Michael Felderer</t>
      </text>
    </comment>
    <comment authorId="0" ref="X3">
      <text>
        <t xml:space="preserve">manual assessment correlates with objective measure of cognitive load: Gopher, D., Braune, R.: On the psychophysics of workload: why bother with subjective measures? Hum. Factors 26(5), 519–532 (1984)
	-Michael Felderer</t>
      </text>
    </comment>
    <comment authorId="0" ref="AH3">
      <text>
        <t xml:space="preserve">metrics to measure diagram size
	-Michael Felderer
----
plugin to modeling tool providing continuous feedback about diagram size
	-Michael Felderer</t>
      </text>
    </comment>
    <comment authorId="0" ref="AC3">
      <text>
        <t xml:space="preserve">student experiment
	-Michael Felderer</t>
      </text>
    </comment>
    <comment authorId="0" ref="N3">
      <text>
        <t xml:space="preserve">Impact of size on understanding of UML diagrams
	-Michael Felderer</t>
      </text>
    </comment>
  </commentList>
</comments>
</file>

<file path=xl/comments4.xml><?xml version="1.0" encoding="utf-8"?>
<comments xmlns:r="http://schemas.openxmlformats.org/officeDocument/2006/relationships" xmlns="http://schemas.openxmlformats.org/spreadsheetml/2006/main">
  <authors>
    <author/>
  </authors>
  <commentList>
    <comment authorId="0" ref="F1">
      <text>
        <t xml:space="preserve">S: studied in that area (default)
E: effect on that area</t>
      </text>
    </comment>
    <comment authorId="0" ref="Z1">
      <text>
        <t xml:space="preserve">Context describes the subjects of the study: academia, industry or both.</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B2">
      <text>
        <t xml:space="preserve">This paper proposes a solution
technique and argues for its relevance, without a full-
blown validation. </t>
      </text>
    </comment>
    <comment authorId="0" ref="AC2">
      <text>
        <t xml:space="preserve">This is the investigation of a
problem in practice or an implementation of a technique in practice.</t>
      </text>
    </comment>
    <comment authorId="0" ref="AD2">
      <text>
        <t xml:space="preserve">In these papers, the emphasis
is on what and not on why. The experience may concern one project or more, but it must be the author’s personal experience.</t>
      </text>
    </comment>
    <comment authorId="0" ref="AE2">
      <text>
        <t xml:space="preserve">These papers sketch a new way of looking at things, a new conceptual framework, etc.
</t>
      </text>
    </comment>
    <comment authorId="0" ref="AF2">
      <text>
        <t xml:space="preserve">These papers contain the author’s
opinion about what is wrong or good about something,
how we should do something, etc.</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A80">
      <text>
        <t xml:space="preserve">Same issues as with Sheetz2001
	-Michael Unterkalmsteiner</t>
      </text>
    </comment>
    <comment authorId="0" ref="A77">
      <text>
        <t xml:space="preserve">Not sure about this one, if it is classifiable.
	-Michael Unterkalmsteiner</t>
      </text>
    </comment>
    <comment authorId="0" ref="A71">
      <text>
        <t xml:space="preserve">Can this be classified as cognitive load?
	-Michael Unterkalmsteiner</t>
      </text>
    </comment>
    <comment authorId="0" ref="A70">
      <text>
        <t xml:space="preserve">See Green1989
	-Michael Unterkalmsteiner</t>
      </text>
    </comment>
    <comment authorId="0" ref="A69">
      <text>
        <t xml:space="preserve">Same issues as with Yang1996
	-Michael Unterkalmsteiner</t>
      </text>
    </comment>
    <comment authorId="0" ref="A62">
      <text>
        <t xml:space="preserve">Same problem as with Aranda2010
	-Michael Unterkalmsteiner</t>
      </text>
    </comment>
    <comment authorId="0" ref="A58">
      <text>
        <t xml:space="preserve">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text>
    </comment>
    <comment authorId="0" ref="A49">
      <text>
        <t xml:space="preserve">Not classifiable
	-Michael Unterkalmsteiner</t>
      </text>
    </comment>
    <comment authorId="0" ref="A48">
      <text>
        <t xml:space="preserve">Not classifiable. Perception, as we defined it, is not the right fit. However, looking at my comments, mabe a candidate to exclude anyway.
	-Michael Unterkalmsteiner</t>
      </text>
    </comment>
    <comment authorId="0" ref="A33">
      <text>
        <t xml:space="preserve">Maybe exclude as only marginally relevant and does not fit in the taxonomy?
	-Michael Unterkalmsteiner</t>
      </text>
    </comment>
    <comment authorId="0" ref="A25">
      <text>
        <t xml:space="preserve">Same issue as with Yang1996.
	-Michael Unterkalmsteiner</t>
      </text>
    </comment>
    <comment authorId="0" ref="A19">
      <text>
        <t xml:space="preserve">Not classifiable.
	-Michael Unterkalmsteiner</t>
      </text>
    </comment>
    <comment authorId="0" ref="A15">
      <text>
        <t xml:space="preserve">Not classifiable. See page 107 in the pdf where the FS model is explained. I'm not sure if/how we should/could break that model down to fit into the taxonomy.
	-Michael Unterkalmsteiner</t>
      </text>
    </comment>
    <comment authorId="0" ref="A13">
      <text>
        <t xml:space="preserve">Not classifiable, not from the extracted data. Looking at the fulltext, given thjat the paper does not explain cognitive dimensions, I would exclude it now as it cannot be classified nor does it justify to change the taxonomy.
	-Michael Unterkalmsteiner</t>
      </text>
    </comment>
    <comment authorId="0" ref="AC80">
      <text>
        <t xml:space="preserve">not sure, observational study?
	-Michael Unterkalmsteiner</t>
      </text>
    </comment>
    <comment authorId="0" ref="Z80">
      <text>
        <t xml:space="preserve">n=6
	-Michael Unterkalmsteiner</t>
      </text>
    </comment>
    <comment authorId="0" ref="AC79">
      <text>
        <t xml:space="preserve">Experiment
	-Michael Unterkalmsteiner</t>
      </text>
    </comment>
    <comment authorId="0" ref="Z79">
      <text>
        <t xml:space="preserve">2 experiments. n=27, n=56
	-Michael Unterkalmsteiner</t>
      </text>
    </comment>
    <comment authorId="0" ref="AC78">
      <text>
        <t xml:space="preserve">Report is on 3 studies, not clear who and how many participated.
	-Michael Unterkalmsteiner</t>
      </text>
    </comment>
    <comment authorId="0" ref="AC77">
      <text>
        <t xml:space="preserve">not really sure what this is... observational studyy?
	-Michael Unterkalmsteiner</t>
      </text>
    </comment>
    <comment authorId="0" ref="Z77">
      <text>
        <t xml:space="preserve">n=6
	-Michael Unterkalmsteiner</t>
      </text>
    </comment>
    <comment authorId="0" ref="Z76">
      <text>
        <t xml:space="preserve">10 in the observational study, 227 in survey. Not clear whether from academia or industry.
	-Michael Unterkalmsteiner</t>
      </text>
    </comment>
    <comment authorId="0" ref="AC76">
      <text>
        <t xml:space="preserve">Observational study / survey
	-Michael Unterkalmsteiner</t>
      </text>
    </comment>
    <comment authorId="0" ref="AC75">
      <text>
        <t xml:space="preserve">Observational study
	-Michael Unterkalmsteiner</t>
      </text>
    </comment>
    <comment authorId="0" ref="Z75">
      <text>
        <t xml:space="preserve">Distribution not clear but 10 in total
	-Michael Unterkalmsteiner</t>
      </text>
    </comment>
    <comment authorId="0" ref="H75">
      <text>
        <t xml:space="preserve">Can also be design, but subjects were observed while programming, not designing.
	-Michael Unterkalmsteiner</t>
      </text>
    </comment>
    <comment authorId="0" ref="AC74">
      <text>
        <t xml:space="preserve">Observational study
	-Michael Unterkalmsteiner</t>
      </text>
    </comment>
    <comment authorId="0" ref="AA74">
      <text>
        <t xml:space="preserve">n=10
	-Michael Unterkalmsteiner</t>
      </text>
    </comment>
    <comment authorId="0" ref="G73">
      <text>
        <t xml:space="preserve">Not so clear as the diagram type is irrelevant for this study.
	-Michael Unterkalmsteiner</t>
      </text>
    </comment>
    <comment authorId="0" ref="Z73">
      <text>
        <t xml:space="preserve">n=23
	-Michael Unterkalmsteiner</t>
      </text>
    </comment>
    <comment authorId="0" ref="AC73">
      <text>
        <t xml:space="preserve">Controlled experiment
	-Michael Unterkalmsteiner</t>
      </text>
    </comment>
    <comment authorId="0" ref="AC72">
      <text>
        <t xml:space="preserve">Observational study
	-Michael Unterkalmsteiner</t>
      </text>
    </comment>
    <comment authorId="0" ref="AA72">
      <text>
        <t xml:space="preserve">n=6 professional programmers
	-Michael Unterkalmsteiner</t>
      </text>
    </comment>
    <comment authorId="0" ref="G69">
      <text>
        <t xml:space="preserve">The paper is quite abstract, but the focus is on notation for capturing information in programming, so design and construction are the most fitting categories
	-Michael Unterkalmsteiner</t>
      </text>
    </comment>
    <comment authorId="0" ref="AC68">
      <text>
        <t xml:space="preserve">Experiment
	-Michael Unterkalmsteiner</t>
      </text>
    </comment>
    <comment authorId="0" ref="Z68">
      <text>
        <t xml:space="preserve">n=24
	-Michael Unterkalmsteiner</t>
      </text>
    </comment>
    <comment authorId="0" ref="AC66">
      <text>
        <t xml:space="preserve">Research method not clear
	-Michael Unterkalmsteiner</t>
      </text>
    </comment>
    <comment authorId="0" ref="AA66">
      <text>
        <t xml:space="preserve">n=unclear
	-Michael Unterkalmsteiner</t>
      </text>
    </comment>
    <comment authorId="0" ref="AC65">
      <text>
        <t xml:space="preserve">Experiment
	-Michael Unterkalmsteiner</t>
      </text>
    </comment>
    <comment authorId="0" ref="AA65">
      <text>
        <t xml:space="preserve">n=36
	-Michael Unterkalmsteiner</t>
      </text>
    </comment>
    <comment authorId="0" ref="Z65">
      <text>
        <t xml:space="preserve">n=28
	-Michael Unterkalmsteiner</t>
      </text>
    </comment>
    <comment authorId="0" ref="AC64">
      <text>
        <t xml:space="preserve">Experiment
	-Michael Unterkalmsteiner</t>
      </text>
    </comment>
    <comment authorId="0" ref="AA64">
      <text>
        <t xml:space="preserve">n=34+32
	-Michael Unterkalmsteiner</t>
      </text>
    </comment>
    <comment authorId="0" ref="Z64">
      <text>
        <t xml:space="preserve">n=29
	-Michael Unterkalmsteiner</t>
      </text>
    </comment>
    <comment authorId="0" ref="AC63">
      <text>
        <t xml:space="preserve">Controlled experiment
	-Michael Unterkalmsteiner</t>
      </text>
    </comment>
    <comment authorId="0" ref="Z63">
      <text>
        <t xml:space="preserve">n=57 + 66 in replication study
	-Michael Unterkalmsteiner</t>
      </text>
    </comment>
    <comment authorId="0" ref="F62">
      <text>
        <t xml:space="preserve">Elicitation
	-Michael Unterkalmsteiner</t>
      </text>
    </comment>
    <comment authorId="0" ref="AC61">
      <text>
        <t xml:space="preserve">Controlled experiment
	-Michael Unterkalmsteiner</t>
      </text>
    </comment>
    <comment authorId="0" ref="AA61">
      <text>
        <t xml:space="preserve">n=24
	-Michael Unterkalmsteiner</t>
      </text>
    </comment>
    <comment authorId="0" ref="Z61">
      <text>
        <t xml:space="preserve">N=22
	-Michael Unterkalmsteiner</t>
      </text>
    </comment>
    <comment authorId="0" ref="AC60">
      <text>
        <t xml:space="preserve">controlled experiment
	-Michael Unterkalmsteiner</t>
      </text>
    </comment>
    <comment authorId="0" ref="Z60">
      <text>
        <t xml:space="preserve">n=43
	-Michael Unterkalmsteiner</t>
      </text>
    </comment>
    <comment authorId="0" ref="AC59">
      <text>
        <t xml:space="preserve">controlled experiment
	-Michael Unterkalmsteiner</t>
      </text>
    </comment>
    <comment authorId="0" ref="Z59">
      <text>
        <t xml:space="preserve">N=10
	-Michael Unterkalmsteiner</t>
      </text>
    </comment>
    <comment authorId="0" ref="AC58">
      <text>
        <t xml:space="preserve">controlled experiment
	-Michael Unterkalmsteiner</t>
      </text>
    </comment>
    <comment authorId="0" ref="AA58">
      <text>
        <t xml:space="preserve">n=16
	-Michael Unterkalmsteiner</t>
      </text>
    </comment>
    <comment authorId="0" ref="Z58">
      <text>
        <t xml:space="preserve">n=96
	-Michael Unterkalmsteiner</t>
      </text>
    </comment>
    <comment authorId="0" ref="V58">
      <text>
        <t xml:space="preserve">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text>
    </comment>
    <comment authorId="0" ref="AC49">
      <text>
        <t xml:space="preserve">n=4, case study.
	-Michael Unterkalmsteiner</t>
      </text>
    </comment>
    <comment authorId="0" ref="AA34">
      <text>
        <t xml:space="preserve">They study open source projects.
	-Michael Unterkalmsteiner</t>
      </text>
    </comment>
    <comment authorId="0" ref="L34">
      <text>
        <t xml:space="preserve">E
	-Michael Unterkalmsteiner</t>
      </text>
    </comment>
    <comment authorId="0" ref="AC38">
      <text>
        <t xml:space="preserve">n(total)=64,
	-Michael Unterkalmsteiner</t>
      </text>
    </comment>
    <comment authorId="0" ref="H56">
      <text>
        <t xml:space="preserve">In particular, the workflow in version control.
	-Michael Unterkalmsteiner</t>
      </text>
    </comment>
    <comment authorId="0" ref="E55">
      <text>
        <t xml:space="preserve">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text>
    </comment>
    <comment authorId="0" ref="E54">
      <text>
        <t xml:space="preserve">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text>
    </comment>
    <comment authorId="0" ref="E53">
      <text>
        <t xml:space="preserve">EC6.
	-Michael Unterkalmsteiner
Agree to exclude (EC6)
	-Fabian Fagerholm</t>
      </text>
    </comment>
    <comment authorId="0" ref="Z52">
      <text>
        <t xml:space="preserve">n=3, experiment
	-Michael Unterkalmsteiner</t>
      </text>
    </comment>
    <comment authorId="0" ref="J52">
      <text>
        <t xml:space="preserve">Program comprehension
	-Michael Unterkalmsteiner</t>
      </text>
    </comment>
    <comment authorId="0" ref="E51">
      <text>
        <t xml:space="preserve">EC10. Cognitive concepts (memory, load, overhead) are mentioned but never defined and used in other means than to promote a tool.
	-Michael Unterkalmsteiner
Agree to exclude (EC10)
	-Fabian Fagerholm</t>
      </text>
    </comment>
    <comment authorId="0" ref="E50">
      <text>
        <t xml:space="preserve">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text>
    </comment>
    <comment authorId="0" ref="E49">
      <text>
        <t xml:space="preserve">"[...]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text>
    </comment>
    <comment authorId="0" ref="AC48">
      <text>
        <t xml:space="preserve">n=?, experiment
	-Michael Unterkalmsteiner</t>
      </text>
    </comment>
    <comment authorId="0" ref="X48">
      <text>
        <t xml:space="preserve">Study has an experiment, but what is measured is perceived software quality, not the *process* how software quality is perceived. Maybe this is also the case for the follow-up paper, Hoffman2011.
	-Michael Unterkalmsteiner</t>
      </text>
    </comment>
    <comment authorId="0" ref="O48">
      <text>
        <t xml:space="preserve">Perceived software quality
	-Michael Unterkalmsteiner</t>
      </text>
    </comment>
    <comment authorId="0" ref="N47">
      <text>
        <t xml:space="preserve">E
	-Michael Unterkalmsteiner</t>
      </text>
    </comment>
    <comment authorId="0" ref="AC47">
      <text>
        <t xml:space="preserve">n=74, experiment
	-Michael Unterkalmsteiner</t>
      </text>
    </comment>
    <comment authorId="0" ref="F47">
      <text>
        <t xml:space="preserve">Page 8: explicitly stated that UML models are used in this paper in the requirements analysis context, not design.
	-Michael Unterkalmsteiner</t>
      </text>
    </comment>
    <comment authorId="0" ref="F25">
      <text>
        <t xml:space="preserve">Comprehening requirements specifications
	-Michael Unterkalmsteiner</t>
      </text>
    </comment>
    <comment authorId="0" ref="E24">
      <text>
        <t xml:space="preserve">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text>
    </comment>
    <comment authorId="0" ref="E23">
      <text>
        <t xml:space="preserve">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text>
    </comment>
    <comment authorId="0" ref="P15">
      <text>
        <t xml:space="preserve">E: cognitive styles are not considered in this KA, maybe they should.
	-Michael Unterkalmsteiner</t>
      </text>
    </comment>
    <comment authorId="0" ref="AC15">
      <text>
        <t xml:space="preserve">n=24
	-Michael Unterkalmsteiner</t>
      </text>
    </comment>
    <comment authorId="0" ref="F15">
      <text>
        <t xml:space="preserve">Requirements elicitation were clients and analysts are geographically distributed.
	-Michael Unterkalmsteiner</t>
      </text>
    </comment>
    <comment authorId="0" ref="AC46">
      <text>
        <t xml:space="preserve">n=6, grounded theory, interviews
	-Michael Unterkalmsteiner</t>
      </text>
    </comment>
    <comment authorId="0" ref="E45">
      <text>
        <t xml:space="preserve">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text>
    </comment>
    <comment authorId="0" ref="E44">
      <text>
        <t xml:space="preserve">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text>
    </comment>
    <comment authorId="0" ref="E43">
      <text>
        <t xml:space="preserve">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text>
    </comment>
    <comment authorId="0" ref="AC42">
      <text>
        <t xml:space="preserve">n=2, observational field study
	-Michael Unterkalmsteiner</t>
      </text>
    </comment>
    <comment authorId="0" ref="E41">
      <text>
        <t xml:space="preserve">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text>
    </comment>
    <comment authorId="0" ref="E40">
      <text>
        <t xml:space="preserve">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text>
    </comment>
    <comment authorId="0" ref="AC39">
      <text>
        <t xml:space="preserve">n=23, controlled experiment
	-Michael Unterkalmsteiner</t>
      </text>
    </comment>
    <comment authorId="0" ref="L39">
      <text>
        <t xml:space="preserve">Effort estimation
	-Michael Unterkalmsteiner</t>
      </text>
    </comment>
    <comment authorId="0" ref="E38">
      <text>
        <t xml:space="preserve">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text>
    </comment>
    <comment authorId="0" ref="J35">
      <text>
        <t xml:space="preserve">Put this here since program comprehesion is about reading, not writing code (which would then be SC).
	-Michael Unterkalmsteiner</t>
      </text>
    </comment>
    <comment authorId="0" ref="AC35">
      <text>
        <t xml:space="preserve">n=17, controlled experiment
	-Michael Unterkalmsteiner</t>
      </text>
    </comment>
    <comment authorId="0" ref="E34">
      <text>
        <t xml:space="preserve">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text>
    </comment>
    <comment authorId="0" ref="AB33">
      <text>
        <t xml:space="preserve">The authors state they did a case study, but context is unclear (who did what).
	-Michael Unterkalmsteiner</t>
      </text>
    </comment>
    <comment authorId="0" ref="E32">
      <text>
        <t xml:space="preserve">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text>
    </comment>
    <comment authorId="0" ref="E31">
      <text>
        <t xml:space="preserve">IC1b. Again, the user of software is studied, not the developer.
	-Michael Unterkalmsteiner
Agree to exclude (IC1b)
	-Fabian Fagerholm</t>
      </text>
    </comment>
    <comment authorId="0" ref="B37">
      <text>
        <t xml:space="preserve">Could not get full text (behind pay wall)
	-Michael Unterkalmsteiner</t>
      </text>
    </comment>
    <comment authorId="0" ref="E30">
      <text>
        <t xml:space="preserve">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text>
    </comment>
    <comment authorId="0" ref="AC29">
      <text>
        <t xml:space="preserve">n=5, observational study
	-Michael Unterkalmsteiner</t>
      </text>
    </comment>
    <comment authorId="0" ref="E28">
      <text>
        <t xml:space="preserve">EC10. Cognitive aspects only mentioned in abstract but play no role in the paper itself (solution proposal and accuarcy evaluation).
	-Michael Unterkalmsteiner
Agree to exclude (EC10)
	-Fabian Fagerholm</t>
      </text>
    </comment>
    <comment authorId="0" ref="I27">
      <text>
        <t xml:space="preserve">The paper does not really explain WHY they animate/vsualize program execution. Accordint to the paper keywords, it is testing/debugging. E.
	-Michael Unterkalmsteiner</t>
      </text>
    </comment>
    <comment authorId="0" ref="Z22">
      <text>
        <t xml:space="preserve">No empirical study
	-Michael Unterkalmsteiner</t>
      </text>
    </comment>
    <comment authorId="0" ref="E26">
      <text>
        <t xml:space="preserve">Does not cover any SWEBOK area. Looks at information system users' task performance, so it could be interesting as related work (from the IS perspective).
	-Michael Unterkalmsteiner
Agree to exclude (IC1)
	-Fabian Fagerholm</t>
      </text>
    </comment>
    <comment authorId="0" ref="F22">
      <text>
        <t xml:space="preserve">The paper talks about software development in general, hence I picked all 5 major areas. Also, the paper talk about the effects of considering cogntive aspects on software development. Hence E.
	-Michael Unterkalmsteiner</t>
      </text>
    </comment>
    <comment authorId="0" ref="P19">
      <text>
        <t xml:space="preserve">E
	-Michael Unterkalmsteiner</t>
      </text>
    </comment>
    <comment authorId="0" ref="L19">
      <text>
        <t xml:space="preserve">E
	-Michael Unterkalmsteiner</t>
      </text>
    </comment>
    <comment authorId="0" ref="E21">
      <text>
        <t xml:space="preserve">EC10: cognitive bias only mentioned in abstract, then not discussed anymore in paper.
	-Michael Unterkalmsteiner
Agree to exclude (EC10, partially IC1b)
	-Fabian Fagerholm</t>
      </text>
    </comment>
    <comment authorId="0" ref="E20">
      <text>
        <t xml:space="preserve">Cognitive aspects in the context of interface design for a medical expert system. Out of scope (IC1b).
	-Michael Unterkalmsteiner
Agree to exclude (IC1b)
	-Fabian Fagerholm</t>
      </text>
    </comment>
    <comment authorId="0" ref="AC19">
      <text>
        <t xml:space="preserve">Interviews n=10, Survey n=846
	-Michael Unterkalmsteiner</t>
      </text>
    </comment>
    <comment authorId="0" ref="E18">
      <text>
        <t xml:space="preserve">Cognitive aspects (different types of human memory) are used as an analogy to design a process and artifacts for requirements elicitation and analysis. Humans using this approach are *not* studied.
	-Michael Unterkalmsteiner
Agree to exclude (EC6)
	-Fabian Fagerholm</t>
      </text>
    </comment>
    <comment authorId="0" ref="Z14">
      <text>
        <t xml:space="preserve">Theoretical paper, no subjects
	-Michael Unterkalmsteiner</t>
      </text>
    </comment>
    <comment authorId="0" ref="AC17">
      <text>
        <t xml:space="preserve">n=84
	-Michael Unterkalmsteiner</t>
      </text>
    </comment>
    <comment authorId="0" ref="L16">
      <text>
        <t xml:space="preserve">E
	-Michael Unterkalmsteiner</t>
      </text>
    </comment>
    <comment authorId="0" ref="AC16">
      <text>
        <t xml:space="preserve">n=35
	-Michael Unterkalmsteiner</t>
      </text>
    </comment>
    <comment authorId="0" ref="AC11">
      <text>
        <t xml:space="preserve">n=8
	-Michael Unterkalmsteiner</t>
      </text>
    </comment>
    <comment authorId="0" ref="H11">
      <text>
        <t xml:space="preserve">Even though cognitive load in the context of software use is studied, the use is software development (visual programming language). Hence relevant.
	-Michael Unterkalmsteiner</t>
      </text>
    </comment>
    <comment authorId="0" ref="E10">
      <text>
        <t xml:space="preserve">Does not address any particular SE area.
	-Michael Unterkalmsteiner
Agree to exclude (IC1)
	-Fabian Fagerholm</t>
      </text>
    </comment>
    <comment authorId="0" ref="E9">
      <text>
        <t xml:space="preserve">Confused paper. SE is mentioned as a side note in Section 5, but it is not clear how anything before relates to SE.
	-Michael Unterkalmsteiner
Agree to exclude (IC1)
	-Fabian Fagerholm</t>
      </text>
    </comment>
    <comment authorId="0" ref="AC8">
      <text>
        <t xml:space="preserve">N=18
	-Michael Unterkalmsteiner</t>
      </text>
    </comment>
    <comment authorId="0" ref="L5">
      <text>
        <t xml:space="preserve">E
	-Michael Unterkalmsteiner</t>
      </text>
    </comment>
    <comment authorId="0" ref="J5">
      <text>
        <t xml:space="preserve">S
	-Michael Unterkalmsteiner</t>
      </text>
    </comment>
    <comment authorId="0" ref="I5">
      <text>
        <t xml:space="preserve">S
	-Michael Unterkalmsteiner</t>
      </text>
    </comment>
    <comment authorId="0" ref="H5">
      <text>
        <t xml:space="preserve">S
	-Michael Unterkalmsteiner</t>
      </text>
    </comment>
    <comment authorId="0" ref="G5">
      <text>
        <t xml:space="preserve">S
	-Michael Unterkalmsteiner</t>
      </text>
    </comment>
    <comment authorId="0" ref="F5">
      <text>
        <t xml:space="preserve">S
	-Michael Unterkalmsteiner</t>
      </text>
    </comment>
    <comment authorId="0" ref="AC7">
      <text>
        <t xml:space="preserve">Experiment, n=20
	-Michael Unterkalmsteiner</t>
      </text>
    </comment>
    <comment authorId="0" ref="AH7">
      <text>
        <t xml:space="preserve">TestLab, framework to conduct quality perception experiments
	-Michael Unterkalmsteiner
----
Software quality perception model and its validation
	-Michael Unterkalmsteiner</t>
      </text>
    </comment>
    <comment authorId="0" ref="AC6">
      <text>
        <t xml:space="preserve">Experiment, n=24
	-Michael Unterkalmsteiner</t>
      </text>
    </comment>
    <comment authorId="0" ref="AH6">
      <text>
        <t xml:space="preserve">Theory, hypotheses and validation
	-Michael Unterkalmsteiner</t>
      </text>
    </comment>
    <comment authorId="0" ref="AH5">
      <text>
        <t xml:space="preserve">Not sure how to describe this... maybe a data point to a not yet formulated theory?
	-Michael Unterkalmsteiner</t>
      </text>
    </comment>
    <comment authorId="0" ref="AC5">
      <text>
        <t xml:space="preserve">19 companies, 29 projects, n=200. Interviews and questionnaire
	-Michael Unterkalmsteiner</t>
      </text>
    </comment>
    <comment authorId="0" ref="AI4">
      <text>
        <t xml:space="preserve">"The model explains knowledge management as a sensemaking process unfolding in the interaction
between collective and individual cognition."
	-Michael Unterkalmsteiner</t>
      </text>
    </comment>
    <comment authorId="0" ref="AC4">
      <text>
        <t xml:space="preserve">Action research, case study in company (n=1)
	-Michael Unterkalmsteiner</t>
      </text>
    </comment>
    <comment authorId="0" ref="AI3">
      <text>
        <t xml:space="preserve">Initial investigation into a theory of the effect of framing of desiderata?
	-Michael Unterkalmsteiner</t>
      </text>
    </comment>
    <comment authorId="0" ref="AG1">
      <text>
        <t xml:space="preserve">Definitions?
	-Michael Unterkalmsteiner</t>
      </text>
    </comment>
    <comment authorId="0" ref="AC3">
      <text>
        <t xml:space="preserve">Experimentation with students (n=42)
	-Michael Unterkalmsteiner</t>
      </text>
    </comment>
    <comment authorId="0" ref="W3">
      <text>
        <t xml:space="preserve">Design artifact is proxy for measure
	-Michael Unterkalmsteiner</t>
      </text>
    </comment>
    <comment authorId="0" ref="F3">
      <text>
        <t xml:space="preserve">The effect of framing (a cognitive bias) desiderata as requirements or ideas on the creativity/originality/innovation of design.
	-Michael Unterkalmsteiner</t>
      </text>
    </comment>
  </commentList>
</comments>
</file>

<file path=xl/comments5.xml><?xml version="1.0" encoding="utf-8"?>
<comments xmlns:r="http://schemas.openxmlformats.org/officeDocument/2006/relationships" xmlns="http://schemas.openxmlformats.org/spreadsheetml/2006/main">
  <authors>
    <author/>
  </authors>
  <commentLis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E47">
      <text>
        <t xml:space="preserve">Cant find on GScholar or sci-hub: https://www.igi-global.com/article/improving-sequence-diagram-modeling-performance/100404
	-Michael Unterkalmsteiner</t>
      </text>
    </comment>
    <comment authorId="0" ref="A73">
      <text>
        <t xml:space="preserve">Not classifiable: cognitive fit
	-Michael Unterkalmsteiner</t>
      </text>
    </comment>
    <comment authorId="0" ref="A70">
      <text>
        <t xml:space="preserve">No cognitive aspect extracted. Exclude?
	-Michael Unterkalmsteiner</t>
      </text>
    </comment>
    <comment authorId="0" ref="A62">
      <text>
        <t xml:space="preserve">Should be excluded EC7
	-Michael Unterkalmsteiner</t>
      </text>
    </comment>
    <comment authorId="0" ref="A60">
      <text>
        <t xml:space="preserve">Exclude? See added value.
	-Michael Unterkalmsteiner</t>
      </text>
    </comment>
    <comment authorId="0" ref="A58">
      <text>
        <t xml:space="preserve">Not classifiable: cognitive fit
	-Michael Unterkalmsteiner</t>
      </text>
    </comment>
    <comment authorId="0" ref="A55">
      <text>
        <t xml:space="preserve">The extracted data looks like a copy and paste error from Leveson2000 (the paper above this one in the original ordering). Need to extract again.
	-Michael Unterkalmsteiner</t>
      </text>
    </comment>
    <comment authorId="0" ref="A54">
      <text>
        <t xml:space="preserve">Not sure how to classify, maybe decision making?
	-Michael Unterkalmsteiner</t>
      </text>
    </comment>
    <comment authorId="0" ref="A40">
      <text>
        <t xml:space="preserve">Problem solving or knowledge?
	-Michael Unterkalmsteiner</t>
      </text>
    </comment>
    <comment authorId="0" ref="A11">
      <text>
        <t xml:space="preserve">Not classifiable: cognitive fit
	-Michael Unterkalmsteiner</t>
      </text>
    </comment>
    <comment authorId="0" ref="AC71">
      <text>
        <t xml:space="preserve">5 cases of onboarding for SW maintenance, data collection: semi-structured interviews, observation of sessions, and document analysis
	-Robert Feldt</t>
      </text>
    </comment>
    <comment authorId="0" ref="E85">
      <text>
        <t xml:space="preserve">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text>
    </comment>
    <comment authorId="0" ref="E84">
      <text>
        <t xml:space="preserve">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text>
    </comment>
    <comment authorId="0" ref="E83">
      <text>
        <t xml:space="preserve">No clear connection from "cognitive links" mentioned here and CognPsych concepts. IC1 not fulfilled.
	-Robert Feldt
I agree to exclude it, the term "cognitive link" is only used without a relationship to cognitive psychology
	-Michael Felderer</t>
      </text>
    </comment>
    <comment authorId="0" ref="E81">
      <text>
        <t xml:space="preserve">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text>
    </comment>
    <comment authorId="0" ref="E80">
      <text>
        <t xml:space="preserve">IC1a, edu focus
	-Robert Feldt
I agree to exclude it
	-Michael Felderer</t>
      </text>
    </comment>
    <comment authorId="0" ref="E79">
      <text>
        <t xml:space="preserve">EC10, superficial mention, short paper
	-Robert Feldt
I agree to exclude it
	-Michael Felderer</t>
      </text>
    </comment>
    <comment authorId="0" ref="AC78">
      <text>
        <t xml:space="preserve">N=30, spread over 3 projects
	-Robert Feldt
Also pilot study with quite a few students
	-Robert Feldt
N=28 students
	-Robert Feldt</t>
      </text>
    </comment>
    <comment authorId="0" ref="E77">
      <text>
        <t xml:space="preserve">IC1a
	-Robert Feldt
I agree, it is about learning
	-Michael Felderer</t>
      </text>
    </comment>
    <comment authorId="0" ref="AC76">
      <text>
        <t xml:space="preserve">N=30
	-Robert Feldt</t>
      </text>
    </comment>
    <comment authorId="0" ref="E74">
      <text>
        <t xml:space="preserve">EC7, lit rev
	-Robert Feldt
I agree
	-Michael Felderer</t>
      </text>
    </comment>
    <comment authorId="0" ref="AC73">
      <text>
        <t xml:space="preserve">N=76 IT professionals
	-Robert Feldt</t>
      </text>
    </comment>
    <comment authorId="0" ref="AC72">
      <text>
        <t xml:space="preserve">N=47, experiment with interviews for data collection
	-Robert Feldt
60% from industry, rest from academia
	-Robert Feldt</t>
      </text>
    </comment>
    <comment authorId="0" ref="E70">
      <text>
        <t xml:space="preserve">CWA is borderline an UI/interface design method but since it goes deeper than that and looks at the cognitive environment and actual functions of the software it can also be seen as a spec and design technique. Borderline but I suggest inclusion.
	-Robert Feldt</t>
      </text>
    </comment>
    <comment authorId="0" ref="E69">
      <text>
        <t xml:space="preserve">IC1a, aim is to improve teaching of programming skills
	-Robert Feldt
I agree, this is about learning but not about engineering
	-Michael Felderer</t>
      </text>
    </comment>
    <comment authorId="0" ref="E68">
      <text>
        <t xml:space="preserve">EC10, 3 superficial mentions
	-Robert Feldt
I agree to exclude it
	-Michael Felderer</t>
      </text>
    </comment>
    <comment authorId="0" ref="E67">
      <text>
        <t xml:space="preserve">IC1c, only emotional aspects, mentions "cognitive activities" superficially
	-Robert Feldt
I agree to exclude it
	-Michael Felderer</t>
      </text>
    </comment>
    <comment authorId="0" ref="A65">
      <text>
        <t xml:space="preserve">This is part of a book so I did not download it but read it in html on SpringerLink: https://link-springer-com.proxy.lib.chalmers.se/chapter/10.1007/978-3-319-19243-7_9
	-Robert Feldt</t>
      </text>
    </comment>
    <comment authorId="0" ref="E65">
      <text>
        <t xml:space="preserve">This is a position paper summarizing two earlier studies by the authors. Consider including them instead?
	-Robert Feldt</t>
      </text>
    </comment>
    <comment authorId="0" ref="E63">
      <text>
        <t xml:space="preserve">EC10, very weak connection from cognitive effort, only hinted at in a few places
	-Robert Feldt
They do claim the survey they had subjects take was motivated from Cogn theories but unclear how
	-Robert Feldt
I agree to exclude, the connection is very weak
	-Michael Felderer</t>
      </text>
    </comment>
    <comment authorId="0" ref="AC61">
      <text>
        <t xml:space="preserve">Unclear how many engineers were involved
	-Robert Feldt</t>
      </text>
    </comment>
    <comment authorId="0" ref="AA61">
      <text>
        <t xml:space="preserve">Unclear where the engineers come from but I assume the term is not used on students
	-Robert Feldt</t>
      </text>
    </comment>
    <comment authorId="0" ref="AC60">
      <text>
        <t xml:space="preserve">they reuse existing data sets, N=62 projects in one dataset, unclear in the other
	-Robert Feldt</t>
      </text>
    </comment>
    <comment authorId="0" ref="E59">
      <text>
        <t xml:space="preserve">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text>
    </comment>
    <comment authorId="0" ref="AC58">
      <text>
        <t xml:space="preserve">n=77 total in 2 experiments, students
	-Robert Feldt</t>
      </text>
    </comment>
    <comment authorId="0" ref="AC56">
      <text>
        <t xml:space="preserve">n=20, students
	-Robert Feldt</t>
      </text>
    </comment>
    <comment authorId="0" ref="E53">
      <text>
        <t xml:space="preserve">Develops method and tool to support designers but not focused on software designers but design in general.
	-Robert Feldt
Agree to exclude it!
	-Michael Felderer</t>
      </text>
    </comment>
    <comment authorId="0" ref="E52">
      <text>
        <t xml:space="preserve">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text>
    </comment>
    <comment authorId="0" ref="AC51">
      <text>
        <t xml:space="preserve">n=13, students, user study
	-Robert Feldt</t>
      </text>
    </comment>
    <comment authorId="0" ref="E50">
      <text>
        <t xml:space="preserve">cognitive load mentioned once in superficial way. EC10+EC7 (position paper)
	-Robert Feldt
Agree (EC 10)
	-Michael Felderer</t>
      </text>
    </comment>
    <comment authorId="0" ref="E49">
      <text>
        <t xml:space="preserve">Mentions cognitive load in abstract but then nothing related.
	-Robert Feldt
Agree (EC 10)
	-Michael Felderer</t>
      </text>
    </comment>
    <comment authorId="0" ref="AC48">
      <text>
        <t xml:space="preserve">N=17, 6 industry subjects and 11 students, experiments using the newly proposed query/modeling language
	-Robert Feldt</t>
      </text>
    </comment>
    <comment authorId="0" ref="AC45">
      <text>
        <t xml:space="preserve">N=3, students, "pilot evaluation"
	-Robert Feldt</t>
      </text>
    </comment>
    <comment authorId="0" ref="E43">
      <text>
        <t xml:space="preserve">Seems they only use "cognitive burden" of the task to implement their system/tool. But no real models/theories from CognPsych used.
	-Robert Feldt
Agree, cognitve concepts seem to be just a passive motivation (EC 10)
	-Michael Felderer</t>
      </text>
    </comment>
    <comment authorId="0" ref="AC42">
      <text>
        <t xml:space="preserve">N=16, interview study
	-Robert Feldt</t>
      </text>
    </comment>
    <comment authorId="0" ref="AC40">
      <text>
        <t xml:space="preserve">N=41, industry developers
	-Robert Feldt</t>
      </text>
    </comment>
    <comment authorId="0" ref="AE34">
      <text>
        <t xml:space="preserve">They only argue for and motivate their approach, no empirical study.
	-Robert Feldt</t>
      </text>
    </comment>
    <comment authorId="0" ref="G34">
      <text>
        <t xml:space="preserve">Focus is on sw reuse but I say this relates both to design and coding
	-Robert Feldt</t>
      </text>
    </comment>
    <comment authorId="0" ref="AC33">
      <text>
        <t xml:space="preserve">4 projects but maybe n &gt; 4 since several managers interviewed
	-Robert Feldt</t>
      </text>
    </comment>
    <comment authorId="0" ref="AC32">
      <text>
        <t xml:space="preserve">not clear to me how many subjects
	-Robert Feldt</t>
      </text>
    </comment>
    <comment authorId="0" ref="E32">
      <text>
        <t xml:space="preserve">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text>
    </comment>
    <comment authorId="0" ref="AC31">
      <text>
        <t xml:space="preserve">n=6, semi-structured interviews in industry
	-Robert Feldt</t>
      </text>
    </comment>
    <comment authorId="0" ref="E24">
      <text>
        <t xml:space="preserve">Already ecxcluded based on earlier skype discussion. I had missed this.
	-Robert Feldt
Agree
	-Michael Felderer</t>
      </text>
    </comment>
    <comment authorId="0" ref="E30">
      <text>
        <t xml:space="preserve">Pure management paper which uses software firms for empirical study. However the results are general and not aimed at SE per se. Too far away imho.
	-Robert Feldt
Agree - is about Managerial Cognition Theory which is different from cognitive aspects we have in mind
	-Michael Felderer</t>
      </text>
    </comment>
    <comment authorId="0" ref="E29">
      <text>
        <t xml:space="preserve">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text>
    </comment>
    <comment authorId="0" ref="E28">
      <text>
        <t xml:space="preserve">Include since it can point to other relevant papers? Just a LitRev though but discusses cognitive issues around programming langs.
	-Robert Feldt
Disagree - probably we exclude it according to EC 7, but it is relevant related work
	-Michael Felderer</t>
      </text>
    </comment>
    <comment authorId="0" ref="E27">
      <text>
        <t xml:space="preserve">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text>
    </comment>
    <comment authorId="0" ref="E26">
      <text>
        <t xml:space="preserve">Only mentions "reduction of cognitive load" as a goal. No further effects on study and no empirical data anyway.
	-Robert Feldt
Agree
	-Michael Felderer</t>
      </text>
    </comment>
    <comment authorId="0" ref="E25">
      <text>
        <t xml:space="preserve">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text>
    </comment>
    <comment authorId="0" ref="AC23">
      <text>
        <t xml:space="preserve">n = 5, computer science lecturers
	-Robert Feldt
Think aloud + notes + video of the subjects while solving programming task
	-Robert Feldt</t>
      </text>
    </comment>
    <comment authorId="0" ref="E20">
      <text>
        <t xml:space="preserve">Not clear that Cognitive refers to any knowledge from CognPsych. Unclear why the term is used at all.
	-Robert Feldt</t>
      </text>
    </comment>
    <comment authorId="0" ref="AC22">
      <text>
        <t xml:space="preserve">n = 30, survey with industry people
	-Robert Feldt</t>
      </text>
    </comment>
    <comment authorId="0" ref="E22">
      <text>
        <t xml:space="preserve">Borderline exclude since weak publication with vague language. Also short with 6 pages. Looks relevant though so still extracting...
	-Robert Feldt
Disagree, it is definitively in the topic focus, even if it is a weak paper
	-Michael Felderer</t>
      </text>
    </comment>
    <comment authorId="0" ref="AC21">
      <text>
        <t xml:space="preserve">Details about the experiments are missing though but they seem to be lab experiments
	-Robert Feldt</t>
      </text>
    </comment>
    <comment authorId="0" ref="AC19">
      <text>
        <t xml:space="preserve">n = 24, case study on grad students
	-Robert Feldt</t>
      </text>
    </comment>
    <comment authorId="0" ref="Z19">
      <text>
        <t xml:space="preserve">24 grad students of CS
	-Robert Feldt</t>
      </text>
    </comment>
    <comment authorId="0" ref="E17">
      <text>
        <t xml:space="preserve">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text>
    </comment>
    <comment authorId="0" ref="E13">
      <text>
        <t xml:space="preserve">Comment: Human memory is but an analogy/inspiration for Req method
	-Robert Feldt
Disagree, I included it, it contributes the concepts of episodic and scenic memory in RE
	-Michael Felderer</t>
      </text>
    </comment>
    <comment authorId="0" ref="E14">
      <text>
        <t xml:space="preserve">Meta paper which indirectly might be relevant since it proposes a research agenda for how to support development of visualisation to support InfoSystem dev
	-Robert Feldt
Agree, and it is not really about SE but Information Systems
	-Michael Felderer</t>
      </text>
    </comment>
    <comment authorId="0" ref="E16">
      <text>
        <t xml:space="preserve">Cognitive Psych only used as basis for interface design. Paper only theoretical, no real evidence.
	-Robert Feldt
Agree, the paper is about a software but not about software engineering
	-Michael Felderer</t>
      </text>
    </comment>
    <comment authorId="0" ref="E7">
      <text>
        <t xml:space="preserve">Agree to exclude - is about usability evaluation and not core software development
	-Michael Felderer</t>
      </text>
    </comment>
    <comment authorId="0" ref="V12">
      <text>
        <t xml:space="preserve">I don't judge "task performance" to be a CogPsych concept; too general.
	-Robert Feldt</t>
      </text>
    </comment>
    <comment authorId="0" ref="AC12">
      <text>
        <t xml:space="preserve">Not a full-blown experiment, more like an early pilot study with paper prototypes. N=8
	-Robert Feldt</t>
      </text>
    </comment>
    <comment authorId="0" ref="H12">
      <text>
        <t xml:space="preserve">Since it is a visual programing language for UI's. Could be argued to be design also...
	-Robert Feldt</t>
      </text>
    </comment>
    <comment authorId="0" ref="AC11">
      <text>
        <t xml:space="preserve">Experiment, N=18 (+2 for pilot study)
	-Robert Feldt</t>
      </text>
    </comment>
    <comment authorId="0" ref="E10">
      <text>
        <t xml:space="preserve">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text>
    </comment>
    <comment authorId="0" ref="Z9">
      <text>
        <t xml:space="preserve">Hard to judge since they claim "real-world" but seem to do a walkthrough...
	-Robert Feldt</t>
      </text>
    </comment>
    <comment authorId="0" ref="AC9">
      <text>
        <t xml:space="preserve">Claim it is a "real case study" but seems to be walkthrough tryout of their approach
	-Robert Feldt</t>
      </text>
    </comment>
    <comment authorId="0" ref="AC8">
      <text>
        <t xml:space="preserve">Experiment. N=84
	-Robert Feldt</t>
      </text>
    </comment>
    <comment authorId="0" ref="G8">
      <text>
        <t xml:space="preserve">Since UML modeling also connects to design and not only requirements. Also the overall results is likely to be relevant also for UML used purely in design.
	-Robert Feldt</t>
      </text>
    </comment>
    <comment authorId="0" ref="AA6">
      <text>
        <t xml:space="preserve">We might need to refine categories again since this is done in the lab but with industrial participants...
	-Robert Feldt</t>
      </text>
    </comment>
    <comment authorId="0" ref="AC4">
      <text>
        <t xml:space="preserve">Study itself is empirical but cognitive aspect only used in analysis so debatable. Refine categories?
	-Robert Feldt</t>
      </text>
    </comment>
    <comment authorId="0" ref="AH4">
      <text>
        <t xml:space="preserve">Theoretical model to understand knowledge construction and management in SW projects
	-Michael Felderer</t>
      </text>
    </comment>
    <comment authorId="0" ref="AC3">
      <text>
        <t xml:space="preserve">I consider it "strong" since controlled experiment (random controlled trial, even) and whole question studied is new, i.e. on relative scale it is strong
	-Michael Felderer</t>
      </text>
    </comment>
  </commentList>
</comments>
</file>

<file path=xl/comments6.xml><?xml version="1.0" encoding="utf-8"?>
<comments xmlns:r="http://schemas.openxmlformats.org/officeDocument/2006/relationships" xmlns="http://schemas.openxmlformats.org/spreadsheetml/2006/main">
  <authors>
    <author/>
  </authors>
  <commentList>
    <comment authorId="0" ref="F1">
      <text>
        <t xml:space="preserve">S: studied in that area (default)
E: effect on that area</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B2">
      <text>
        <t xml:space="preserve">This paper proposes a solution
technique and argues for its relevance, without a full-
blown validation. </t>
      </text>
    </comment>
    <comment authorId="0" ref="AC2">
      <text>
        <t xml:space="preserve">This is the investigation of a
problem in practice or an implementation of a technique in practice.</t>
      </text>
    </comment>
    <comment authorId="0" ref="AD2">
      <text>
        <t xml:space="preserve">In these papers, the emphasis
is on what and not on why. The experience may concern one project or more, but it must be the author’s personal experience.</t>
      </text>
    </comment>
    <comment authorId="0" ref="AE2">
      <text>
        <t xml:space="preserve">These papers sketch a new way of looking at things, a new conceptual framework, etc.
</t>
      </text>
    </comment>
    <comment authorId="0" ref="AF2">
      <text>
        <t xml:space="preserve">These papers contain the author’s
opinion about what is wrong or good about something,
how we should do something, etc.</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A91">
      <text>
        <t xml:space="preserve">see von Mayrhauser1993a
	-Michael Unterkalmsteiner</t>
      </text>
    </comment>
    <comment authorId="0" ref="A90">
      <text>
        <t xml:space="preserve">See vonMayrhauser1993a
	-Michael Unterkalmsteiner</t>
      </text>
    </comment>
    <comment authorId="0" ref="A89">
      <text>
        <t xml:space="preserve">Is program comprehension problem solving or knowledge or both?
	-Michael Unterkalmsteiner</t>
      </text>
    </comment>
    <comment authorId="0" ref="A87">
      <text>
        <t xml:space="preserve">Where to put cognitive fit?
	-Michael Unterkalmsteiner</t>
      </text>
    </comment>
    <comment authorId="0" ref="A86">
      <text>
        <t xml:space="preserve">Not sure it this one is about cognitive biases. Exclude?
	-Michael Unterkalmsteiner</t>
      </text>
    </comment>
    <comment authorId="0" ref="A84">
      <text>
        <t xml:space="preserve">Where to put cognitive fit?
	-Michael Unterkalmsteiner</t>
      </text>
    </comment>
    <comment authorId="0" ref="A82">
      <text>
        <t xml:space="preserve">Cognitive complexity lumped under load?
	-Michael Unterkalmsteiner</t>
      </text>
    </comment>
    <comment authorId="0" ref="A81">
      <text>
        <t xml:space="preserve">Hm, not sure. Does this fall under problem solving?
	-Michael Unterkalmsteiner</t>
      </text>
    </comment>
    <comment authorId="0" ref="A76">
      <text>
        <t xml:space="preserve">Same as Moody2008
	-Michael Unterkalmsteiner</t>
      </text>
    </comment>
    <comment authorId="0" ref="A75">
      <text>
        <t xml:space="preserve">Same as with complexity: lump under load?
	-Michael Unterkalmsteiner</t>
      </text>
    </comment>
    <comment authorId="0" ref="A73">
      <text>
        <t xml:space="preserve">Not sure where to put cognitive styles.
	-Michael Unterkalmsteiner</t>
      </text>
    </comment>
    <comment authorId="0" ref="A71">
      <text>
        <t xml:space="preserve">Does this fall under knowledge?
	-Michael Unterkalmsteiner</t>
      </text>
    </comment>
    <comment authorId="0" ref="A69">
      <text>
        <t xml:space="preserve">Same as Binkley2002
	-Michael Unterkalmsteiner</t>
      </text>
    </comment>
    <comment authorId="0" ref="A68">
      <text>
        <t xml:space="preserve">Where to place cognitive fit?
	-Michael Unterkalmsteiner</t>
      </text>
    </comment>
    <comment authorId="0" ref="A67">
      <text>
        <t xml:space="preserve">Again, hard to say where to put since many higher level functions are described, but for me is not clear into which base category they fall (or if we miss a base category).
	-Michael Unterkalmsteiner</t>
      </text>
    </comment>
    <comment authorId="0" ref="A66">
      <text>
        <t xml:space="preserve">Not classifiable (similar to all other program comprehrension papers). Or we lump it also under tacit technichal knowledge.
	-Michael Unterkalmsteiner</t>
      </text>
    </comment>
    <comment authorId="0" ref="A64">
      <text>
        <t xml:space="preserve">Same is Binkley2002
	-Michael Unterkalmsteiner</t>
      </text>
    </comment>
    <comment authorId="0" ref="A63">
      <text>
        <t xml:space="preserve">Same as Binkley2002. Where do we put comprehension of X?
	-Michael Unterkalmsteiner</t>
      </text>
    </comment>
    <comment authorId="0" ref="A61">
      <text>
        <t xml:space="preserve">Not sure where to put this. Is program comprehension technical tacit knowledge?
	-Michael Unterkalmsteiner</t>
      </text>
    </comment>
    <comment authorId="0" ref="A60">
      <text>
        <t xml:space="preserve">Not sure if we can lump this together with attention?
	-Michael Unterkalmsteiner</t>
      </text>
    </comment>
    <comment authorId="0" ref="A56">
      <text>
        <t xml:space="preserve">Not sure where to put cognitive styles.
	-Michael Unterkalmsteiner</t>
      </text>
    </comment>
    <comment authorId="0" ref="A55">
      <text>
        <t xml:space="preserve">Not classifiable
	-Michael Unterkalmsteiner</t>
      </text>
    </comment>
    <comment authorId="0" ref="A31">
      <text>
        <t xml:space="preserve">Do we throw that together with cognitive load? In the sense that the representation of some information is cognitive complex, leading to higher cognitive load?
	-Michael Unterkalmsteiner</t>
      </text>
    </comment>
    <comment authorId="0" ref="A29">
      <text>
        <t xml:space="preserve">Does this fit into knowledge?
	-Michael Unterkalmsteiner</t>
      </text>
    </comment>
    <comment authorId="0" ref="BX27">
      <text>
        <t xml:space="preserve">Note that what is measured is the performance of the approach, not, e.g. the extent of cognitive errors.
	-Michael Unterkalmsteiner</t>
      </text>
    </comment>
    <comment authorId="0" ref="A26">
      <text>
        <t xml:space="preserve">Not sure about this one. But maybe we can consider cognitive effectiveness and cognitive load as complementary concepts?
	-Michael Unterkalmsteiner</t>
      </text>
    </comment>
    <comment authorId="0" ref="A25">
      <text>
        <t xml:space="preserve">Not sure where to put cognitive style papers. Reasoning/Problem solving?
Also measurement not clear.
	-Michael Unterkalmsteiner</t>
      </text>
    </comment>
    <comment authorId="0" ref="A24">
      <text>
        <t xml:space="preserve">Not classifiable.
	-Michael Unterkalmsteiner</t>
      </text>
    </comment>
    <comment authorId="0" ref="A23">
      <text>
        <t xml:space="preserve">Not sure about this one. I've equaled cognitive capital (level of expterise, tenure) with knowledge in our taxonomy.
	-Michael Unterkalmsteiner</t>
      </text>
    </comment>
    <comment authorId="0" ref="A22">
      <text>
        <t xml:space="preserve">Hm, should this paper even be selected? Looking at the cognitive measure and assessment, the effectiveness of the tool is evaluated, not, e.g., the effect of object churn on cognitive effort.
	-Michael Unterkalmsteiner</t>
      </text>
    </comment>
    <comment authorId="0" ref="A20">
      <text>
        <t xml:space="preserve">See Aranda2006
	-Michael Unterkalmsteiner</t>
      </text>
    </comment>
    <comment authorId="0" ref="A18">
      <text>
        <t xml:space="preserve">Only classified as cognitive bias. What is effectuation?
	-Michael Unterkalmsteiner</t>
      </text>
    </comment>
    <comment authorId="0" ref="A16">
      <text>
        <t xml:space="preserve">See Aranda2010 in Michael U.
	-Michael Unterkalmsteiner</t>
      </text>
    </comment>
    <comment authorId="0" ref="A13">
      <text>
        <t xml:space="preserve">Not classifiable. Were to put trust? Emotion?
	-Michael Unterkalmsteiner</t>
      </text>
    </comment>
    <comment authorId="0" ref="A5">
      <text>
        <t xml:space="preserve">Not sure if this falls under attention...
	-Michael Unterkalmsteiner</t>
      </text>
    </comment>
    <comment authorId="0" ref="E97">
      <text>
        <t xml:space="preserve">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text>
    </comment>
    <comment authorId="0" ref="E96">
      <text>
        <t xml:space="preserve">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text>
    </comment>
    <comment authorId="0" ref="AE95">
      <text>
        <t xml:space="preserve">There is some validation in this paper in the form of an evaluation of two UML tools using guidelines for UML diagrams based on theory of visual perception, but the main focus of the paper is on the development of the guidelines from theory.
	-Fabian Fagerholm</t>
      </text>
    </comment>
    <comment authorId="0" ref="E95">
      <text>
        <t xml:space="preserve">Good overview of perceptual theory
	-Fabian Fagerholm</t>
      </text>
    </comment>
    <comment authorId="0" ref="AC94">
      <text>
        <t xml:space="preserve">Experiment
	-Fabian Fagerholm</t>
      </text>
    </comment>
    <comment authorId="0" ref="P94">
      <text>
        <t xml:space="preserve">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text>
    </comment>
    <comment authorId="0" ref="E93">
      <text>
        <t xml:space="preserve">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text>
    </comment>
    <comment authorId="0" ref="E92">
      <text>
        <t xml:space="preserve">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text>
    </comment>
    <comment authorId="0" ref="AC91">
      <text>
        <t xml:space="preserve">Code comprehension task with think aloud protocol
	-Fabian Fagerholm</t>
      </text>
    </comment>
    <comment authorId="0" ref="E91">
      <text>
        <t xml:space="preserve">This reports on the same study as vonMayrhauser1993a, but it seems to be expanded. The text has many similarities but there is some additional analysis and figures.
	-Fabian Fagerholm</t>
      </text>
    </comment>
    <comment authorId="0" ref="AC90">
      <text>
        <t xml:space="preserve">Code comprehension task with think aloud protocol
	-Fabian Fagerholm</t>
      </text>
    </comment>
    <comment authorId="0" ref="E90">
      <text>
        <t xml:space="preserve">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text>
    </comment>
    <comment authorId="0" ref="AC89">
      <text>
        <t xml:space="preserve">Code comprehension task with think aloud protocol
	-Fabian Fagerholm</t>
      </text>
    </comment>
    <comment authorId="0" ref="E88">
      <text>
        <t xml:space="preserve">EC7. This paper reviews and discusses studies in other papers but does not contribute a study of its own. NOTE: This could be a relevant paper otherwise.
	-Fabian Fagerholm</t>
      </text>
    </comment>
    <comment authorId="0" ref="AC87">
      <text>
        <t xml:space="preserve">Experiment
	-Fabian Fagerholm</t>
      </text>
    </comment>
    <comment authorId="0" ref="AC86">
      <text>
        <t xml:space="preserve">Survey
	-Fabian Fagerholm</t>
      </text>
    </comment>
    <comment authorId="0" ref="E85">
      <text>
        <t xml:space="preserve">IC1: This paper considers decision-making in general and is in no way specific to software development.
	-Fabian Fagerholm</t>
      </text>
    </comment>
    <comment authorId="0" ref="AC84">
      <text>
        <t xml:space="preserve">Two experiments with different kinds of controls
	-Fabian Fagerholm</t>
      </text>
    </comment>
    <comment authorId="0" ref="AC83">
      <text>
        <t xml:space="preserve">Controlled experiment
	-Fabian Fagerholm</t>
      </text>
    </comment>
    <comment authorId="0" ref="AC82">
      <text>
        <t xml:space="preserve">Empirical data is used; however, this data is from synthetic experiments rather than field data.
	-Fabian Fagerholm</t>
      </text>
    </comment>
    <comment authorId="0" ref="AC80">
      <text>
        <t xml:space="preserve">The experiments have also been reported elsewhere.
	-Fabian Fagerholm</t>
      </text>
    </comment>
    <comment authorId="0" ref="AA80">
      <text>
        <t xml:space="preserve">Most subjects were students but apparently there were also "experts".
	-Fabian Fagerholm</t>
      </text>
    </comment>
    <comment authorId="0" ref="E79">
      <text>
        <t xml:space="preserve">EC7. Literature review. Quite comprehensive, although old.
	-Fabian Fagerholm</t>
      </text>
    </comment>
    <comment authorId="0" ref="E78">
      <text>
        <t xml:space="preserve">EC7: Literature review. (And an unsystematic and very short one at that.)
	-Fabian Fagerholm</t>
      </text>
    </comment>
    <comment authorId="0" ref="X73">
      <text>
        <t xml:space="preserve">It is somewhat unclear in the paper how the assessment of cognitive style was performed.
	-Fabian Fagerholm</t>
      </text>
    </comment>
    <comment authorId="0" ref="AC70">
      <text>
        <t xml:space="preserve">The empirical part is minor.
	-Fabian Fagerholm</t>
      </text>
    </comment>
    <comment authorId="0" ref="A70">
      <text>
        <t xml:space="preserve">Good example of a paper where cognitive concepts are deeply embedded in the narrative and hard to extract.
	-Fabian Fagerholm</t>
      </text>
    </comment>
    <comment authorId="0" ref="AC68">
      <text>
        <t xml:space="preserve">The empirical part is not directly related to the cognitive aspects; the connection is made by argument and the cognitive aspects are more philosophical.
	-Fabian Fagerholm</t>
      </text>
    </comment>
    <comment authorId="0" ref="E62">
      <text>
        <t xml:space="preserve">This is about systems engineering. There is little information on software engineering in the paper. Fails IC1.
	-Fabian Fagerholm</t>
      </text>
    </comment>
    <comment authorId="0" ref="E58">
      <text>
        <t xml:space="preserve">This is a duplicate (with wrong key) of Fritz2014 (https://drive.google.com/open?id=0B1GMAYMj9v6rdm5BYVh1emNhOUE). I.e. not a "real exclusion", just a technical error.
	-Fabian Fagerholm</t>
      </text>
    </comment>
    <comment authorId="0" ref="E77">
      <text>
        <t xml:space="preserve">Not peer-reviewed.
	-Fabian Fagerholm</t>
      </text>
    </comment>
    <comment authorId="0" ref="C67">
      <text>
        <t xml:space="preserve">Not sure what this is.
	-Fabian Fagerholm</t>
      </text>
    </comment>
    <comment authorId="0" ref="E30">
      <text>
        <t xml:space="preserve">Could possibly be excluded based on EC7.
	-Fabian Fagerholm
Yes, there is only planned future empirical work and no results yet. So only review of lit in there, really.
	-Robert Feldt</t>
      </text>
    </comment>
    <comment authorId="0" ref="AB31">
      <text>
        <t xml:space="preserve">Theory development without validation
	-Fabian Fagerholm</t>
      </text>
    </comment>
    <comment authorId="0" ref="AC56">
      <text>
        <t xml:space="preserve">Quasi-controlled experiment
	-Fabian Fagerholm</t>
      </text>
    </comment>
    <comment authorId="0" ref="AC55">
      <text>
        <t xml:space="preserve">Survey
	-Fabian Fagerholm</t>
      </text>
    </comment>
    <comment authorId="0" ref="E54">
      <text>
        <t xml:space="preserve">EC10: This paper is more about perceptions/attitudes towards OSS than cognitive aspects.
	-Fabian Fagerholm
Agree, "drawing on socio-technical" is not a strong connection... :)
	-Robert Feldt</t>
      </text>
    </comment>
    <comment authorId="0" ref="E52">
      <text>
        <t xml:space="preserve">IC1a: This is about enhancing learning, i.e. an education paper.
	-Fabian Fagerholm
Agree
	-Robert Feldt</t>
      </text>
    </comment>
    <comment authorId="0" ref="E51">
      <text>
        <t xml:space="preserve">IC1a: This is about enhancing learning, i.e. an education paper.
	-Fabian Fagerholm
Agree
	-Robert Feldt</t>
      </text>
    </comment>
    <comment authorId="0" ref="E50">
      <text>
        <t xml:space="preserve">IC1a, EC7. This paper is mostly about education and is primarly a review article / research agenda; there is no new empirical data.
	-Fabian Fagerholm
Agree
	-Robert Feldt</t>
      </text>
    </comment>
    <comment authorId="0" ref="AC49">
      <text>
        <t xml:space="preserve">Quasi-controlled experiment with qualitative data
	-Fabian Fagerholm</t>
      </text>
    </comment>
    <comment authorId="0" ref="E48">
      <text>
        <t xml:space="preserve">EC7. The paper first reviews some of the authors' previous work and then lays out a research agenda.
	-Fabian Fagerholm
Agree
	-Robert Feldt</t>
      </text>
    </comment>
    <comment authorId="0" ref="AC47">
      <text>
        <t xml:space="preserve">Quasi-controlled experiment with tasks
	-Fabian Fagerholm</t>
      </text>
    </comment>
    <comment authorId="0" ref="U47">
      <text>
        <t xml:space="preserve">This is not explicitly stated but the underlying theory could be summarised as cognitive load.
	-Fabian Fagerholm</t>
      </text>
    </comment>
    <comment authorId="0" ref="E46">
      <text>
        <t xml:space="preserve">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text>
    </comment>
    <comment authorId="0" ref="E45">
      <text>
        <t xml:space="preserve">IC1a
	-Fabian Fagerholm
Agree
	-Robert Feldt</t>
      </text>
    </comment>
    <comment authorId="0" ref="E44">
      <text>
        <t xml:space="preserve">Documents a panel discussion with panelist statements. No study included.
	-Fabian Fagerholm
Agree
	-Robert Feldt</t>
      </text>
    </comment>
    <comment authorId="0" ref="AE43">
      <text>
        <t xml:space="preserve">Theory-building
	-Fabian Fagerholm</t>
      </text>
    </comment>
    <comment authorId="0" ref="AC42">
      <text>
        <t xml:space="preserve">Post-task interview study; qualitative analysis
	-Fabian Fagerholm</t>
      </text>
    </comment>
    <comment authorId="0" ref="AC41">
      <text>
        <t xml:space="preserve">Questionnaire, Case study; Qualitative analysis
	-Fabian Fagerholm</t>
      </text>
    </comment>
    <comment authorId="0" ref="E39">
      <text>
        <t xml:space="preserve">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text>
    </comment>
    <comment authorId="0" ref="A39">
      <text>
        <t xml:space="preserve">Found self-archived preprint, likely to be close enough to actual paper.
	-Fabian Fagerholm</t>
      </text>
    </comment>
    <comment authorId="0" ref="E38">
      <text>
        <t xml:space="preserve">EC10.
	-Fabian Fagerholm
Agree
	-Robert Feldt</t>
      </text>
    </comment>
    <comment authorId="0" ref="E37">
      <text>
        <t xml:space="preserve">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text>
    </comment>
    <comment authorId="0" ref="E36">
      <text>
        <t xml:space="preserve">Unable to access full text (paywall)
	-Fabian Fagerholm</t>
      </text>
    </comment>
    <comment authorId="0" ref="AC35">
      <text>
        <t xml:space="preserve">Quasi-controlled experiment (post-task measurement)
	-Fabian Fagerholm</t>
      </text>
    </comment>
    <comment authorId="0" ref="Z35">
      <text>
        <t xml:space="preserve">Not clearly specified
	-Fabian Fagerholm</t>
      </text>
    </comment>
    <comment authorId="0" ref="E35">
      <text>
        <t xml:space="preserve">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text>
    </comment>
    <comment authorId="0" ref="E34">
      <text>
        <t xml:space="preserve">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text>
    </comment>
    <comment authorId="0" ref="AC33">
      <text>
        <t xml:space="preserve">Qualitative, observational study; tool evaluation
	-Fabian Fagerholm</t>
      </text>
    </comment>
    <comment authorId="0" ref="E32">
      <text>
        <t xml:space="preserve">EC7; this is an SLR.
	-Fabian Fagerholm
Agree
	-Robert Feldt</t>
      </text>
    </comment>
    <comment authorId="0" ref="AG30">
      <text>
        <t xml:space="preserve">This paper has apparently led to an SLR on cognitive biases which is currently in arXiv (https://arxiv.org/abs/1707.03869) – might want to reference in our paper if it gets published by then.
	-Fabian Fagerholm</t>
      </text>
    </comment>
    <comment authorId="0" ref="AC29">
      <text>
        <t xml:space="preserve">Survey
	-Fabian Fagerholm</t>
      </text>
    </comment>
    <comment authorId="0" ref="E28">
      <text>
        <t xml:space="preserve">Unable to find full text. However, based on the abstract, this concerns users of GIS systems rather than developers and thus could potentially be excluded.
	-Fabian Fagerholm
Agree, but I haven't found it either. Seems unlikely we miss a paper if excluding.
	-Robert Feldt</t>
      </text>
    </comment>
    <comment authorId="0" ref="AC27">
      <text>
        <t xml:space="preserve">Quasi-controlled experiment
	-Fabian Fagerholm</t>
      </text>
    </comment>
    <comment authorId="0" ref="AC26">
      <text>
        <t xml:space="preserve">Theoretical analysis and validation
	-Fabian Fagerholm</t>
      </text>
    </comment>
    <comment authorId="0" ref="V26">
      <text>
        <t xml:space="preserve">Defined in the Physics of Notations as speed, ease and accuracy with which a representation can be processed by the human mind.
	-Fabian Fagerholm</t>
      </text>
    </comment>
    <comment authorId="0" ref="AG25">
      <text>
        <t xml:space="preserve">It should be noted that hemisphericity is a problematic idea.
	-Fabian Fagerholm</t>
      </text>
    </comment>
    <comment authorId="0" ref="AC25">
      <text>
        <t xml:space="preserve">Controlled experiment
	-Fabian Fagerholm</t>
      </text>
    </comment>
    <comment authorId="0" ref="AC24">
      <text>
        <t xml:space="preserve">Simulation modelling
	-Fabian Fagerholm</t>
      </text>
    </comment>
    <comment authorId="0" ref="W24">
      <text>
        <t xml:space="preserve">It is very hard to say what the measures are. I have taken here the simulation model parameters that appear to be a proxy for some psychological measure.
	-Fabian Fagerholm</t>
      </text>
    </comment>
    <comment authorId="0" ref="E24">
      <text>
        <t xml:space="preserve">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text>
    </comment>
    <comment authorId="0" ref="AC23">
      <text>
        <t xml:space="preserve">Survey
	-Fabian Fagerholm</t>
      </text>
    </comment>
    <comment authorId="0" ref="AA23">
      <text>
        <t xml:space="preserve">The context was OSS communities and seems to be closest to industry.
	-Fabian Fagerholm</t>
      </text>
    </comment>
    <comment authorId="0" ref="V23">
      <text>
        <t xml:space="preserve">These may be understood as group- or organisation-level concepts, but were measured here on the individual level and assumed to aggregate from the individual level.
	-Fabian Fagerholm</t>
      </text>
    </comment>
    <comment authorId="0" ref="P23">
      <text>
        <t xml:space="preserve">This seems to be closest, but this paper is hard to fit to the SWEBOK.
	-Fabian Fagerholm</t>
      </text>
    </comment>
    <comment authorId="0" ref="AC22">
      <text>
        <t xml:space="preserve">Empirical in the sense that the tool/method was applied to real software.
	-Fabian Fagerholm</t>
      </text>
    </comment>
    <comment authorId="0" ref="Z22">
      <text>
        <t xml:space="preserve">The researchers evaluated the tool/method themselves.
	-Fabian Fagerholm</t>
      </text>
    </comment>
    <comment authorId="0" ref="AC21">
      <text>
        <t xml:space="preserve">Multiple-case study.
	-Fabian Fagerholm</t>
      </text>
    </comment>
    <comment authorId="0" ref="AG20">
      <text>
        <t xml:space="preserve">This paper is very similar to Aranda2006.
	-Fabian Fagerholm</t>
      </text>
    </comment>
    <comment authorId="0" ref="U20">
      <text>
        <t xml:space="preserve">In Aranda2006, the same authors state that the underlying theory is Jung's theory of psychological types.
	-Fabian Fagerholm</t>
      </text>
    </comment>
    <comment authorId="0" ref="AC19">
      <text>
        <t xml:space="preserve">Controlled experiment
	-Fabian Fagerholm</t>
      </text>
    </comment>
    <comment authorId="0" ref="AC18">
      <text>
        <t xml:space="preserve">Action research / case study
	-Fabian Fagerholm</t>
      </text>
    </comment>
    <comment authorId="0" ref="V18">
      <text>
        <t xml:space="preserve">Effectuation can be seen as a decision-making theory.
	-Fabian Fagerholm</t>
      </text>
    </comment>
    <comment authorId="0" ref="C18">
      <text>
        <t xml:space="preserve">Proceedings of the 20th International Conference on Evaluation and Assessment in Software Engineering
	-Fabian Fagerholm</t>
      </text>
    </comment>
    <comment authorId="0" ref="AC17">
      <text>
        <t xml:space="preserve">Controlled experiment
	-Fabian Fagerholm</t>
      </text>
    </comment>
    <comment authorId="0" ref="Z16">
      <text>
        <t xml:space="preserve">The focus was on industry, but there were some student participants.
	-Fabian Fagerholm</t>
      </text>
    </comment>
    <comment authorId="0" ref="E15">
      <text>
        <t xml:space="preserve">This paper is about user interface design methods.
	-Fabian Fagerholm
Agree
	-Robert Feldt</t>
      </text>
    </comment>
    <comment authorId="0" ref="E14">
      <text>
        <t xml:space="preserve">EC7. This paper gives an overview of the topic area but the meat is a selection of topical papers, some commentary on them, and relevant quotes from the papers.
	-Fabian Fagerholm
Agree
	-Robert Feldt</t>
      </text>
    </comment>
    <comment authorId="0" ref="AC13">
      <text>
        <t xml:space="preserve">Case study
	-Fabian Fagerholm</t>
      </text>
    </comment>
    <comment authorId="0" ref="V13">
      <text>
        <t xml:space="preserve">Refers to trust derived from a cognitive appraisal of an actor (i.e. based on their skills, competencies, perceived social similarity, etc.). The cognitive concept here is softer than in some other cases.
	-Fabian Fagerholm</t>
      </text>
    </comment>
    <comment authorId="0" ref="AC12">
      <text>
        <t xml:space="preserve">Case study
	-Fabian Fagerholm</t>
      </text>
    </comment>
    <comment authorId="0" ref="E11">
      <text>
        <t xml:space="preserve">This paper has nothing to do with the SLR topic. It only mentions cognitive biases of testers in the abstract to motivate why an automated solution is needed.
	-Fabian Fagerholm
Agree
	-Robert Feldt</t>
      </text>
    </comment>
    <comment authorId="0" ref="F10">
      <text>
        <t xml:space="preserve">The paper includes a case study that looks at teaching of requirements engineering
	-Fabian Fagerholm</t>
      </text>
    </comment>
    <comment authorId="0" ref="Z10">
      <text>
        <t xml:space="preserve">It remains unclear what the context should be considered as.
	-Fabian Fagerholm</t>
      </text>
    </comment>
    <comment authorId="0" ref="AG10">
      <text>
        <t xml:space="preserve">This was a very problematic paper to extract from. The cognitive aspects are weaved deeply into the paper and do not map easily to our extraction structure. Many details are obscure. At the same time, it seems quite relevant to our study.
	-Fabian Fagerholm</t>
      </text>
    </comment>
    <comment authorId="0" ref="E9">
      <text>
        <t xml:space="preserve">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text>
    </comment>
    <comment authorId="0" ref="E8">
      <text>
        <t xml:space="preserve">This paper is about user interface design.
	-Fabian Fagerholm
Agreed although I couldnt find the paper in GDrive or online so only checked abstract.
	-Robert Feldt</t>
      </text>
    </comment>
    <comment authorId="0" ref="G7">
      <text>
        <t xml:space="preserve">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text>
    </comment>
    <comment authorId="0" ref="AA7">
      <text>
        <t xml:space="preserve">The paper concerns industry but has no empirical data.
	-Fabian Fagerholm</t>
      </text>
    </comment>
    <comment authorId="0" ref="AG4">
      <text>
        <t xml:space="preserve">The authors claim that the biases apply to the requirements phase, but I do not see how the study design ensured that the biases did not occur during another phase.
	-Fabian Fagerholm</t>
      </text>
    </comment>
    <comment authorId="0" ref="W4">
      <text>
        <t xml:space="preserve">The details on the survey statements are very unclear.
	-Fabian Fagerholm</t>
      </text>
    </comment>
    <comment authorId="0" ref="F4">
      <text>
        <t xml:space="preserve">Main area according to paper. However I do not see how the study rules out cognitive biases related to other areas affecting the result (error count).
	-Fabian Fagerholm</t>
      </text>
    </comment>
    <comment authorId="0" ref="E3">
      <text>
        <t xml:space="preserve">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text>
    </comment>
  </commentList>
</comments>
</file>

<file path=xl/comments7.xml><?xml version="1.0" encoding="utf-8"?>
<comments xmlns:r="http://schemas.openxmlformats.org/officeDocument/2006/relationships" xmlns="http://schemas.openxmlformats.org/spreadsheetml/2006/main">
  <authors>
    <author/>
  </authors>
  <commentList>
    <comment authorId="0" ref="F1">
      <text>
        <t xml:space="preserve">S: studied in that area (default)
E: effect on that area</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B2">
      <text>
        <t xml:space="preserve">This paper proposes a solution
technique and argues for its relevance, without a full-
blown validation. </t>
      </text>
    </comment>
    <comment authorId="0" ref="AC2">
      <text>
        <t xml:space="preserve">This is the investigation of a
problem in practice or an implementation of a technique in practice.</t>
      </text>
    </comment>
    <comment authorId="0" ref="AD2">
      <text>
        <t xml:space="preserve">In these papers, the emphasis
is on what and not on why. The experience may concern one project or more, but it must be the author’s personal experience.</t>
      </text>
    </comment>
    <comment authorId="0" ref="AE2">
      <text>
        <t xml:space="preserve">These papers sketch a new way of looking at things, a new conceptual framework, etc.
</t>
      </text>
    </comment>
    <comment authorId="0" ref="AF2">
      <text>
        <t xml:space="preserve">These papers contain the author’s
opinion about what is wrong or good about something,
how we should do something, etc.</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W4">
      <text>
        <t xml:space="preserve">OO concept knowledge and OO concept organization were defined and validated for the study
</t>
      </text>
    </comment>
    <comment authorId="0" ref="Y4">
      <text>
        <t xml:space="preserve">The concept knowledge scores were higher for concepts that were perceived as having very high or very low novelty; lower for average novelty.
</t>
      </text>
    </comment>
    <comment authorId="0" ref="AC4">
      <text>
        <t xml:space="preserve">Survey, N=81 participants; from 16 companies (pg8).
Obs = 729 observations (they count as 81 respondents * 9 concepts) (pg9)
</t>
      </text>
    </comment>
    <comment authorId="0" ref="G5">
      <text>
        <t xml:space="preserve">The effect of cognitive biases on building a Decision Support System.</t>
      </text>
    </comment>
    <comment authorId="0" ref="V5">
      <text>
        <t xml:space="preserve">Includes a Taxonomy of cognitive biases.
</t>
      </text>
    </comment>
    <comment authorId="0" ref="Y5">
      <text>
        <t xml:space="preserve">Cognitive biases are the basis for the new method
</t>
      </text>
    </comment>
    <comment authorId="0" ref="AB5">
      <text>
        <t xml:space="preserve">DSS development methodology.
</t>
      </text>
    </comment>
    <comment authorId="0" ref="AC5">
      <text>
        <t xml:space="preserve">Case study. 
Context: Consulting company.
Unit of analysis = system development process
data collection = participant observation
</t>
      </text>
    </comment>
    <comment authorId="0" ref="E6">
      <text>
        <t xml:space="preserve">There is nothing software engineering specific here. The distance between mental models is interesting, but can be applied in any other topic.
</t>
      </text>
    </comment>
    <comment authorId="0" ref="AC6">
      <text>
        <t xml:space="preserve">Experiment.
N=74 participants
self-assessed as experts or non-experts
</t>
      </text>
    </comment>
    <comment authorId="0" ref="J7">
      <text>
        <t xml:space="preserve">Program comprehension.
</t>
      </text>
    </comment>
    <comment authorId="0" ref="Y7">
      <text>
        <t xml:space="preserve">Eye tracking assumed to be an indicator of underlying cognitive processes</t>
      </text>
    </comment>
    <comment authorId="0" ref="AC7">
      <text>
        <t xml:space="preserve">Experiment
N=16 participants (high-school)
Self-assessed experience (cumulative number of months?)
</t>
      </text>
    </comment>
    <comment authorId="0" ref="Y8">
      <text>
        <t xml:space="preserve">Eye tracking assumed to be an indicator of underlying cognitive processes
</t>
      </text>
    </comment>
    <comment authorId="0" ref="Z8">
      <text>
        <t xml:space="preserve">Not directly stated, but I see no indication that this was done in industry.</t>
      </text>
    </comment>
    <comment authorId="0" ref="AC8">
      <text>
        <t xml:space="preserve">Experiment. N= 14 participants (8 experienced and 6 novices)
</t>
      </text>
    </comment>
    <comment authorId="0" ref="Z9">
      <text>
        <t xml:space="preserve">Not clear, but there is no indication  of an industrial context.
</t>
      </text>
    </comment>
    <comment authorId="0" ref="AC9">
      <text>
        <t xml:space="preserve">Experiment. N=30 participants (15 procedural and 15 OO experts).
</t>
      </text>
    </comment>
    <comment authorId="0" ref="J10">
      <text>
        <t xml:space="preserve">Understandability and maintainability
</t>
      </text>
    </comment>
    <comment authorId="0" ref="Z10">
      <text>
        <t xml:space="preserve">4 of the 5 experiments were in universities, with student subjects. 
5th was with industrial subjects (no indication of industrial context though).
</t>
      </text>
    </comment>
    <comment authorId="0" ref="AC10">
      <text>
        <t xml:space="preserve">5 Experiments
Relatively small statechart diagrams (10-25 states). 2x2 experimental design (2 domains, with and without composite states).
</t>
      </text>
    </comment>
    <comment authorId="0" ref="J11">
      <text>
        <t xml:space="preserve">Maintenance tasks.
</t>
      </text>
    </comment>
    <comment authorId="0" ref="Z11">
      <text>
        <t xml:space="preserve">Professional programmers as experimental subjects. Context appears to be academic, however.</t>
      </text>
    </comment>
    <comment authorId="0" ref="AC11">
      <text>
        <t xml:space="preserve">2 Experiments (Understanding and modification)
9 programs (FORTRAN) between 36 and 57 statements</t>
      </text>
    </comment>
    <comment authorId="0" ref="G12">
      <text>
        <t xml:space="preserve">Requirements and high-level design decision on subsequent processes.</t>
      </text>
    </comment>
    <comment authorId="0" ref="M12">
      <text>
        <t xml:space="preserve">Requirements and high-level design decision on subsequent processes.</t>
      </text>
    </comment>
    <comment authorId="0" ref="AA12">
      <text>
        <t xml:space="preserve">On site interviews with systems engineers, senior software designers, and project manager.
</t>
      </text>
    </comment>
    <comment authorId="0" ref="AC12">
      <text>
        <t xml:space="preserve">Interview study - 17 projects</t>
      </text>
    </comment>
    <comment authorId="0" ref="H13">
      <text>
        <t xml:space="preserve">Programming task, though it appears to be more about learning how to program.
</t>
      </text>
    </comment>
    <comment authorId="0" ref="AC13">
      <text>
        <t xml:space="preserve">Experimental study - program memorization - 24 participants
Pascal programs - avg 24 lines
task was memorization
</t>
      </text>
    </comment>
    <comment authorId="0" ref="AC14">
      <text>
        <t xml:space="preserve">Think aloud protocols from 8 professional programmers. Lift control problem
</t>
      </text>
    </comment>
    <comment authorId="0" ref="A15">
      <text>
        <t xml:space="preserve">Unable to find full text
</t>
      </text>
    </comment>
    <comment authorId="0" ref="E15">
      <text>
        <t xml:space="preserve">No text
</t>
      </text>
    </comment>
    <comment authorId="0" ref="G16">
      <text>
        <t xml:space="preserve">Tasks are about understanding and integrating design artefacts
</t>
      </text>
    </comment>
    <comment authorId="0" ref="AC16">
      <text>
        <t xml:space="preserve">Experiment - 32 students</t>
      </text>
    </comment>
    <comment authorId="0" ref="AA17">
      <text>
        <t xml:space="preserve">Case study conducted in a development team - even if the system being developed was for a university
</t>
      </text>
    </comment>
    <comment authorId="0" ref="AC17">
      <text>
        <t xml:space="preserve">Case study.</t>
      </text>
    </comment>
    <comment authorId="0" ref="AB18">
      <text>
        <t xml:space="preserve">Proposes the use of the ACT-R cognitive architecture
</t>
      </text>
    </comment>
    <comment authorId="0" ref="J19">
      <text>
        <t xml:space="preserve">On the basis that it deals with program understanding and recall
</t>
      </text>
    </comment>
    <comment authorId="0" ref="AC19">
      <text>
        <t xml:space="preserve">Experiment - 4 programs (about 20 lines)
student participants: 31
</t>
      </text>
    </comment>
    <comment authorId="0" ref="G20">
      <text>
        <t xml:space="preserve">Appears to focus on design, with elements of requirements elicitation.
</t>
      </text>
    </comment>
    <comment authorId="0" ref="Z20">
      <text>
        <t xml:space="preserve">Initial observations appear to be in industry, follow-ups with students</t>
      </text>
    </comment>
    <comment authorId="0" ref="AA20">
      <text>
        <t xml:space="preserve">Initial observations appear to be in industry, follow-ups with students</t>
      </text>
    </comment>
    <comment authorId="0" ref="E21">
      <text>
        <t xml:space="preserve">Not sure what data to extract, apart from the mention of fuzzy cognitive maps.
</t>
      </text>
    </comment>
    <comment authorId="0" ref="G21">
      <text>
        <t xml:space="preserve">Gold plating sounds like a requirements and design mismatch
</t>
      </text>
    </comment>
    <comment authorId="0" ref="J22">
      <text>
        <t xml:space="preserve">Widespread use of Models for communication in a variety of subareas
</t>
      </text>
    </comment>
    <comment authorId="0" ref="AC22">
      <text>
        <t xml:space="preserve">Experiment - 4 participants</t>
      </text>
    </comment>
    <comment authorId="0" ref="J23">
      <text>
        <t xml:space="preserve">I'm basing this on the understanding- memorization dynamic
</t>
      </text>
    </comment>
    <comment authorId="0" ref="AC23">
      <text>
        <t xml:space="preserve">Experiment 1 - 31 line program
53 subjects (3 levels of expertise)
Experiment 2 - 22 subjects
Recall reserved words
</t>
      </text>
    </comment>
    <comment authorId="0" ref="Z24">
      <text>
        <t xml:space="preserve">Experiments carried out in academic setting
</t>
      </text>
    </comment>
    <comment authorId="0" ref="AC24">
      <text>
        <t xml:space="preserve">4 Experiments - 2 universities
74 participants in total
</t>
      </text>
    </comment>
    <comment authorId="0" ref="E25">
      <text>
        <t xml:space="preserve">Full text not available
</t>
      </text>
    </comment>
    <comment authorId="0" ref="H26">
      <text>
        <t xml:space="preserve">Mostly theoretical, but examples deal with design and matching a solution to a problem.
</t>
      </text>
    </comment>
    <comment authorId="0" ref="J27">
      <text>
        <t xml:space="preserve">Studies developers engaged in a change task on an open source system
</t>
      </text>
    </comment>
    <comment authorId="0" ref="AC27">
      <text>
        <t xml:space="preserve">Experiment with 5 devs performing a change task on a medium-size open source system.
</t>
      </text>
    </comment>
    <comment authorId="0" ref="AC29">
      <text>
        <t xml:space="preserve">Experiment - 8 conflicting and 8 non-conflicting models
24 subjects (grad students and faculty)
</t>
      </text>
    </comment>
    <comment authorId="0" ref="H30">
      <text>
        <t xml:space="preserve">They say system investigation, analysis, design, and implementation </t>
      </text>
    </comment>
    <comment authorId="0" ref="A31">
      <text>
        <t xml:space="preserve">Siddiqi1986</t>
      </text>
    </comment>
    <comment authorId="0" ref="E31">
      <text>
        <t xml:space="preserve">Unable to get full text.
</t>
      </text>
    </comment>
    <comment authorId="0" ref="E32">
      <text>
        <t xml:space="preserve">Unable to find the paper beyond a reference in Siddiqi1988
</t>
      </text>
    </comment>
    <comment authorId="0" ref="J33">
      <text>
        <t xml:space="preserve">Due to focus on program comprehension.
</t>
      </text>
    </comment>
    <comment authorId="0" ref="AC33">
      <text>
        <t xml:space="preserve">Pilot studies are discussed, but the fMRI experiment seems to be ongoing at the time of writing
 and no results are discussed.
</t>
      </text>
    </comment>
    <comment authorId="0" ref="C34">
      <text>
        <t xml:space="preserve">Is this peer reviewed?
</t>
      </text>
    </comment>
    <comment authorId="0" ref="AE34">
      <text>
        <t xml:space="preserve">Proposes distributed cognition as a lens through which to analyze open source projects, but does not contain the results of such analyses.
</t>
      </text>
    </comment>
    <comment authorId="0" ref="H35">
      <text>
        <t xml:space="preserve">About programming in general. Not really connected to specific software activities.
</t>
      </text>
    </comment>
    <comment authorId="0" ref="L36">
      <text>
        <t xml:space="preserve">Project status, process bottlenecks, current tasks.
</t>
      </text>
    </comment>
    <comment authorId="0" ref="M36">
      <text>
        <t xml:space="preserve">Project status, process bottlenecks, current tasks.
</t>
      </text>
    </comment>
    <comment authorId="0" ref="AA36">
      <text>
        <t xml:space="preserve">Several development teams from IBM
</t>
      </text>
    </comment>
    <comment authorId="0" ref="AC36">
      <text>
        <t xml:space="preserve">Mixed method in IBM. 150 contributors in 30 functional teams.
archival data, semi-structured interviews (9), web-based survey (21 responses detailed case, 98 other).
Another survey with 1082 participants</t>
      </text>
    </comment>
    <comment authorId="0" ref="J37">
      <text>
        <t xml:space="preserve">Debugging.
</t>
      </text>
    </comment>
    <comment authorId="0" ref="AB37">
      <text>
        <t xml:space="preserve">State Government Computer centre, Brisbane, Queensland
</t>
      </text>
    </comment>
    <comment authorId="0" ref="AC37">
      <text>
        <t xml:space="preserve">Exploratory study, verbal protocol analysis, 16 programmers.</t>
      </text>
    </comment>
    <comment authorId="0" ref="J38">
      <text>
        <t xml:space="preserve">Program comprehension. </t>
      </text>
    </comment>
    <comment authorId="0" ref="Z38">
      <text>
        <t xml:space="preserve">All participants students and faculty members (for the experienced group)
</t>
      </text>
    </comment>
    <comment authorId="0" ref="AC38">
      <text>
        <t xml:space="preserve">Experiment 1. Recall of a small program (Pascal - 23 lines) - memorization + 1 sentence summary
36 participants (12 of each beginner, intermediate, experienced)
Experiment 2 - recall cards
12 participants, experienced
</t>
      </text>
    </comment>
    <comment authorId="0" ref="J39">
      <text>
        <t xml:space="preserve">Comprehension and modification of code.
</t>
      </text>
    </comment>
    <comment authorId="0" ref="AC39">
      <text>
        <t xml:space="preserve">Experiment 1 - compare programs that accomplish the same thing with and without beacon operations
80 subjects in total.
Experiment 2 - prototypical vs non-prototypical
76 subjects
Experiment 3 - beacon intrusion
76 subjects
Experiment 4 - defective sort
160 subjects</t>
      </text>
    </comment>
    <comment authorId="0" ref="H40">
      <text>
        <t xml:space="preserve">Writing queries in SQL and TABLET
</t>
      </text>
    </comment>
    <comment authorId="0" ref="AC40">
      <text>
        <t xml:space="preserve">Experiments comparing SQL and TABLET
1st 1978 - 72 undergraduates
2nd 1979 - 78 participants</t>
      </text>
    </comment>
    <comment authorId="0" ref="H41">
      <text>
        <t xml:space="preserve">Critique and iteration over a UI
</t>
      </text>
    </comment>
    <comment authorId="0" ref="AD41">
      <text>
        <t xml:space="preserve">Evaluations of UIs by small teams of engineers:
1. 7 tasks, 3 engineers
2. 4 tasks, 3 team members
3. 2 tasks, 6 team members</t>
      </text>
    </comment>
    <comment authorId="0" ref="A41">
      <text>
        <t xml:space="preserve">Not classifiable.
	-Michael Unterkalmsteiner</t>
      </text>
    </comment>
    <comment authorId="0" ref="A40">
      <text>
        <t xml:space="preserve">Not clear which cognitive aspect is at play.
	-Michael Unterkalmsteiner</t>
      </text>
    </comment>
    <comment authorId="0" ref="A39">
      <text>
        <t xml:space="preserve">Problem solving, memory, or knowledge?
	-Michael Unterkalmsteiner</t>
      </text>
    </comment>
    <comment authorId="0" ref="A36">
      <text>
        <t xml:space="preserve">Exclude? Does not map to any concept in the taxonomy.
	-Michael Unterkalmsteiner</t>
      </text>
    </comment>
    <comment authorId="0" ref="A35">
      <text>
        <t xml:space="preserve">No data extracted, hence not classifiable. Seems relevant, though.
	-Michael Unterkalmsteiner</t>
      </text>
    </comment>
    <comment authorId="0" ref="A34">
      <text>
        <t xml:space="preserve">Not classifiable. Exclude since distributed cognition is a concept that affects a group of people, not individuals?
	-Michael Unterkalmsteiner</t>
      </text>
    </comment>
    <comment authorId="0" ref="A33">
      <text>
        <t xml:space="preserve">Problem solving or knowledge?
	-Michael Unterkalmsteiner</t>
      </text>
    </comment>
    <comment authorId="0" ref="A30">
      <text>
        <t xml:space="preserve">Not classifiable
	-Michael Unterkalmsteiner</t>
      </text>
    </comment>
    <comment authorId="0" ref="A27">
      <text>
        <t xml:space="preserve">Attention is one concept. But is it the only one?
	-Michael Unterkalmsteiner</t>
      </text>
    </comment>
    <comment authorId="0" ref="A24">
      <text>
        <t xml:space="preserve">Problem solving or knowledge?
	-Michael Unterkalmsteiner</t>
      </text>
    </comment>
    <comment authorId="0" ref="A21">
      <text>
        <t xml:space="preserve">Not classifiable
	-Michael Unterkalmsteiner</t>
      </text>
    </comment>
    <comment authorId="0" ref="A20">
      <text>
        <t xml:space="preserve">Not classifiable
	-Michael Unterkalmsteiner</t>
      </text>
    </comment>
    <comment authorId="0" ref="A18">
      <text>
        <t xml:space="preserve">Not clear to what cognitive complexity maps to.
	-Michael Unterkalmsteiner</t>
      </text>
    </comment>
    <comment authorId="0" ref="A17">
      <text>
        <t xml:space="preserve">Theory not classifiable, but also no cognitive aspects extracted.
	-Michael Unterkalmsteiner</t>
      </text>
    </comment>
    <comment authorId="0" ref="A12">
      <text>
        <t xml:space="preserve">Exclude? No cognitive concepts identified.
	-Michael Unterkalmsteiner</t>
      </text>
    </comment>
    <comment authorId="0" ref="A10">
      <text>
        <t xml:space="preserve">Problem solving or knowledge?
	-Michael Unterkalmsteiner</t>
      </text>
    </comment>
    <comment authorId="0" ref="A7">
      <text>
        <t xml:space="preserve">Problem solving or knowledge?
	-Michael Unterkalmsteiner</t>
      </text>
    </comment>
    <comment authorId="0" ref="A6">
      <text>
        <t xml:space="preserve">Not classifiable.
	-Michael Unterkalmsteiner</t>
      </text>
    </comment>
    <comment authorId="0" ref="A4">
      <text>
        <t xml:space="preserve">Not classifiable
	-Michael Unterkalmsteiner</t>
      </text>
    </comment>
  </commentList>
</comments>
</file>

<file path=xl/comments8.xml><?xml version="1.0" encoding="utf-8"?>
<comments xmlns:r="http://schemas.openxmlformats.org/officeDocument/2006/relationships" xmlns="http://schemas.openxmlformats.org/spreadsheetml/2006/main">
  <authors>
    <author/>
  </authors>
  <commentList>
    <comment authorId="0" ref="F73">
      <text>
        <t xml:space="preserve">No full text
</t>
      </text>
    </comment>
    <comment authorId="0" ref="F106">
      <text>
        <t xml:space="preserve">Not sure what data to extract.</t>
      </text>
    </comment>
    <comment authorId="0" ref="F138">
      <text>
        <t xml:space="preserve">No full text
</t>
      </text>
    </comment>
    <comment authorId="0" ref="D168">
      <text>
        <t xml:space="preserve">Siddiqi1986
</t>
      </text>
    </comment>
    <comment authorId="0" ref="F168">
      <text>
        <t xml:space="preserve">Could not find full text. Appears to be a book chapter
</t>
      </text>
    </comment>
    <comment authorId="0" ref="F169">
      <text>
        <t xml:space="preserve">Can only find the 1988 paper of similar name. </t>
      </text>
    </comment>
    <comment authorId="0" ref="E186">
      <text>
        <t xml:space="preserve">The publication venue, Sprouts Working papers. Is it peer-reviewed?
</t>
      </text>
    </comment>
    <comment authorId="0" ref="F186">
      <text>
        <t xml:space="preserve">The publication venue, Sprouts Working papers. Is it peer-reviewed? 
</t>
      </text>
    </comment>
    <comment authorId="0" ref="F190">
      <text>
        <t xml:space="preserve">Not peer-reviewed venue.</t>
      </text>
    </comment>
    <comment authorId="0" ref="F215">
      <text>
        <t xml:space="preserve">Book.</t>
      </text>
    </comment>
    <comment authorId="0" ref="F212">
      <text>
        <t xml:space="preserve">see Wang2002
	-Michael Unterkalmsteiner</t>
      </text>
    </comment>
    <comment authorId="0" ref="F208">
      <text>
        <t xml:space="preserve">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text>
    </comment>
    <comment authorId="0" ref="F205">
      <text>
        <t xml:space="preserve">as not peer-reviewed. But see note in introduction of our paper for ideas how to use this work. It is highly relevant for us.
	-Michael Unterkalmsteiner</t>
      </text>
    </comment>
    <comment authorId="0" ref="F65">
      <text>
        <t xml:space="preserve">not available
	-Michael Felderer</t>
      </text>
    </comment>
    <comment authorId="0" ref="F23">
      <text>
        <t xml:space="preserve">not available
	-Michael Felderer</t>
      </text>
    </comment>
    <comment authorId="0" ref="F183">
      <text>
        <t xml:space="preserve">no fulltext found
	-Michael Unterkalmsteiner</t>
      </text>
    </comment>
    <comment authorId="0" ref="F182">
      <text>
        <t xml:space="preserve">use as related work
	-Michael Unterkalmsteiner</t>
      </text>
    </comment>
    <comment authorId="0" ref="F159">
      <text>
        <t xml:space="preserve">But use in related work!
	-Michael Unterkalmsteiner</t>
      </text>
    </comment>
    <comment authorId="0" ref="F157">
      <text>
        <t xml:space="preserve">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text>
    </comment>
    <comment authorId="0" ref="F135">
      <text>
        <t xml:space="preserve">Very weak paper, not data to extract even though on topic.
	-Michael Unterkalmsteiner</t>
      </text>
    </comment>
    <comment authorId="0" ref="F131">
      <text>
        <t xml:space="preserve">Cognition does, beyond being a motivation/background for comprehension, not play are role in the paper.
	-Michael Unterkalmsteiner</t>
      </text>
    </comment>
    <comment authorId="0" ref="F102">
      <text>
        <t xml:space="preserve">Looks at how knowledge is acquired. In contrast to Letovsky1987, which seems to report about the same study (maintenance task is the same, shared authors), here no systematic way how the collected data was analyzed is reported. Not much to extract...
	-Michael Unterkalmsteiner</t>
      </text>
    </comment>
    <comment authorId="0" ref="F100">
      <text>
        <t xml:space="preserve">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text>
    </comment>
    <comment authorId="0" ref="J95">
      <text>
        <t xml:space="preserve">PPIG not peer reviewed
	-Michael Unterkalmsteiner</t>
      </text>
    </comment>
    <comment authorId="0" ref="F25">
      <text>
        <t xml:space="preserve">pure programming focus
	-Michael Felderer</t>
      </text>
    </comment>
    <comment authorId="0" ref="F21">
      <text>
        <t xml:space="preserve">user comprehension of security
	-Michael Felderer</t>
      </text>
    </comment>
    <comment authorId="0" ref="F60">
      <text>
        <t xml:space="preserve">not found, not available book chapter
	-Michael Felderer</t>
      </text>
    </comment>
    <comment authorId="0" ref="F63">
      <text>
        <t xml:space="preserve">pure programming focus
	-Michael Felderer</t>
      </text>
    </comment>
    <comment authorId="0" ref="F87">
      <text>
        <t xml:space="preserve">about representation in general, but not SE in particular
	-Michael Felderer</t>
      </text>
    </comment>
    <comment authorId="0" ref="F88">
      <text>
        <t xml:space="preserve">no specific software engineering relationship
	-Michael Felderer</t>
      </text>
    </comment>
    <comment authorId="0" ref="F117">
      <text>
        <t xml:space="preserve">teaching focus
	-Michael Felderer</t>
      </text>
    </comment>
    <comment authorId="0" ref="F124">
      <text>
        <t xml:space="preserve">pure programming
	-Michael Felderer</t>
      </text>
    </comment>
    <comment authorId="0" ref="F178">
      <text>
        <t xml:space="preserve">book chapter
	-Michael Felderer</t>
      </text>
    </comment>
    <comment authorId="0" ref="F225">
      <text>
        <t xml:space="preserve">pure technical programming focus, no cognitive aspects
	-Michael Felderer</t>
      </text>
    </comment>
    <comment authorId="0" ref="F224">
      <text>
        <t xml:space="preserve">not available, focus on programming
	-Michael Felderer</t>
      </text>
    </comment>
    <comment authorId="0" ref="F14">
      <text>
        <t xml:space="preserve">Duplicate, key error.
	-Fabian Fagerholm</t>
      </text>
    </comment>
    <comment authorId="0" ref="E222">
      <text>
        <t xml:space="preserve">Book chapter, no abstract
	-Bogdan Marculescu</t>
      </text>
    </comment>
    <comment authorId="0" ref="E215">
      <text>
        <t xml:space="preserve">Book. Unable to find text or abstract.
	-Bogdan Marculescu</t>
      </text>
    </comment>
    <comment authorId="0" ref="E211">
      <text>
        <t xml:space="preserve">Paper appears to be a model of comprehension, not sure that it has anything to do with SE in particular.
	-Bogdan Marculescu</t>
      </text>
    </comment>
    <comment authorId="0" ref="E209">
      <text>
        <t xml:space="preserve">The paper does not appear to be about SE.
	-Bogdan Marculescu</t>
      </text>
    </comment>
    <comment authorId="0" ref="E206">
      <text>
        <t xml:space="preserve">Paper appears to deal with users-as-developers (for spreadsheet users).
	-Bogdan Marculescu</t>
      </text>
    </comment>
    <comment authorId="0" ref="E205">
      <text>
        <t xml:space="preserve">It is a PhD thesis. Not sure what the policy is on that (appears to be a monograph rather than a collection of papers).
	-Bogdan Marculescu</t>
      </text>
    </comment>
    <comment authorId="0" ref="E204">
      <text>
        <t xml:space="preserve">Similar topic and setup with vonMayrhauser1996c, vonMayrhauser1997a, and vonMayrhauser1997b - could be the same study
	-Bogdan Marculescu</t>
      </text>
    </comment>
    <comment authorId="0" ref="E203">
      <text>
        <t xml:space="preserve">Similar topic and setup with vonMayrhauser1996c, and vonMayrhauser1997a - could be the same study
	-Bogdan Marculescu</t>
      </text>
    </comment>
    <comment authorId="0" ref="E202">
      <text>
        <t xml:space="preserve">Similar topic and setup with vonMayrhauser1996c, and vonMayrhauser1997b - could be the same study
	-Bogdan Marculescu</t>
      </text>
    </comment>
    <comment authorId="0" ref="D139">
      <text>
        <t xml:space="preserve">Fulltext not available
	-Michael Unterkalmsteiner</t>
      </text>
    </comment>
    <comment authorId="0" ref="D138">
      <text>
        <t xml:space="preserve">Abstract seems relevant, Fulltext not available
	-Michael Unterkalmsteiner</t>
      </text>
    </comment>
    <comment authorId="0" ref="J125">
      <text>
        <t xml:space="preserve">No abstract/fulltext available
	-Michael Unterkalmsteiner</t>
      </text>
    </comment>
    <comment authorId="0" ref="D120">
      <text>
        <t xml:space="preserve">Check out work of this author.
	-Michael Unterkalmsteiner</t>
      </text>
    </comment>
    <comment authorId="0" ref="J119">
      <text>
        <t xml:space="preserve">PPIG, not peer-reviewed
	-Michael Unterkalmsteiner</t>
      </text>
    </comment>
    <comment authorId="0" ref="J115">
      <text>
        <t xml:space="preserve">PPIG, not peer-reviewed
	-Michael Unterkalmsteiner</t>
      </text>
    </comment>
    <comment authorId="0" ref="J101">
      <text>
        <t xml:space="preserve">Same as Littman1987 which is a reprint of this one (for which there is no fulltext).
	-Michael Unterkalmsteiner</t>
      </text>
    </comment>
    <comment authorId="0" ref="J98">
      <text>
        <t xml:space="preserve">Same as Letovksy1987 which is a reprint of this one (for which there is no fulltext).
	-Michael Unterkalmsteiner</t>
      </text>
    </comment>
    <comment authorId="0" ref="J92">
      <text>
        <t xml:space="preserve">Did not find the paper. TBH, title seems not so relevant anyway.
	-Michael Unterkalmsteiner</t>
      </text>
    </comment>
    <comment authorId="0" ref="D73">
      <text>
        <t xml:space="preserve">No full text
	-Michael Unterkalmsteiner</t>
      </text>
    </comment>
    <comment authorId="0" ref="E70">
      <text>
        <t xml:space="preserve">Non peer-reviewed. Tutorial
	-Michael Unterkalmsteiner</t>
      </text>
    </comment>
    <comment authorId="0" ref="D65">
      <text>
        <t xml:space="preserve">Could not find full text
	-Michael Unterkalmsteiner</t>
      </text>
    </comment>
    <comment authorId="0" ref="E64">
      <text>
        <t xml:space="preserve">Non peer-reviewed. Book chapter.
	-Michael Unterkalmsteiner</t>
      </text>
    </comment>
    <comment authorId="0" ref="E61">
      <text>
        <t xml:space="preserve">Non peer-reviewed. Book.
	-Michael Unterkalmsteiner</t>
      </text>
    </comment>
    <comment authorId="0" ref="D60">
      <text>
        <t xml:space="preserve">Could not find abstract nor full text.
	-Michael Unterkalmsteiner</t>
      </text>
    </comment>
    <comment authorId="0" ref="E54">
      <text>
        <t xml:space="preserve">Not sure if SE
	-Michael Unterkalmsteiner</t>
      </text>
    </comment>
    <comment authorId="0" ref="E49">
      <text>
        <t xml:space="preserve">Non peer-reviewed. Book.
	-Michael Unterkalmsteiner</t>
      </text>
    </comment>
    <comment authorId="0" ref="E46">
      <text>
        <t xml:space="preserve">Not peer-reviewed. Book.
	-Michael Unterkalmsteiner</t>
      </text>
    </comment>
  </commentList>
</comments>
</file>

<file path=xl/comments9.xml><?xml version="1.0" encoding="utf-8"?>
<comments xmlns:r="http://schemas.openxmlformats.org/officeDocument/2006/relationships" xmlns="http://schemas.openxmlformats.org/spreadsheetml/2006/main">
  <authors>
    <author/>
  </authors>
  <commentList>
    <comment authorId="0" ref="D22">
      <text>
        <t xml:space="preserve">Was not extracted...
	-Michael Unterkalmsteiner</t>
      </text>
    </comment>
    <comment authorId="0" ref="C8">
      <text>
        <t xml:space="preserve">No fulltext hence not extracted
	-Michael Unterkalmsteiner</t>
      </text>
    </comment>
  </commentList>
</comments>
</file>

<file path=xl/sharedStrings.xml><?xml version="1.0" encoding="utf-8"?>
<sst xmlns="http://schemas.openxmlformats.org/spreadsheetml/2006/main" count="12163" uniqueCount="5317">
  <si>
    <t>Metadata</t>
  </si>
  <si>
    <t>Demographic Information</t>
  </si>
  <si>
    <t>SWEBOK Area</t>
  </si>
  <si>
    <t>Cognitive Aspect</t>
  </si>
  <si>
    <t>Context</t>
  </si>
  <si>
    <t>Study Type</t>
  </si>
  <si>
    <t>Cognition</t>
  </si>
  <si>
    <t>Attention</t>
  </si>
  <si>
    <t>Memory</t>
  </si>
  <si>
    <t>Cognitive load</t>
  </si>
  <si>
    <t>Emotion</t>
  </si>
  <si>
    <t>Reasoning / Problem solving</t>
  </si>
  <si>
    <t>Knowledge and expertise</t>
  </si>
  <si>
    <t>Cognitive action/control</t>
  </si>
  <si>
    <t>Qualitative measures</t>
  </si>
  <si>
    <t>Quantitative measures</t>
  </si>
  <si>
    <t>Extractor</t>
  </si>
  <si>
    <t>Identifier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</si>
  <si>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</si>
  <si>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</si>
  <si>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</si>
  <si>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</si>
  <si>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</si>
  <si>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</si>
  <si>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</si>
  <si>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</si>
  <si>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</si>
  <si>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</si>
  <si>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</si>
  <si>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</si>
  <si>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</si>
  <si>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</si>
  <si>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</si>
  <si>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</si>
  <si>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</si>
  <si>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</si>
  <si>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</si>
  <si>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</si>
  <si>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</si>
  <si>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</si>
  <si>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</si>
  <si>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</si>
  <si>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</si>
  <si>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</si>
  <si>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</si>
  <si>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</si>
  <si>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</si>
  <si>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</si>
  <si>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</si>
  <si>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</si>
  <si>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</si>
  <si>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</si>
  <si>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</si>
  <si>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</si>
  <si>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</si>
  <si>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</si>
  <si>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</si>
  <si>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</si>
  <si>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</si>
  <si>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</si>
  <si>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</si>
  <si>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</si>
  <si>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</si>
  <si>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</si>
  <si>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</si>
  <si>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</si>
  <si>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</si>
  <si>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</si>
  <si>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</si>
  <si>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</si>
  <si>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</si>
  <si>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</si>
  <si>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</si>
  <si>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</si>
  <si>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</si>
  <si>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</si>
  <si>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</si>
  <si>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Social Cognition</t>
  </si>
  <si>
    <t>Qualit. measures</t>
  </si>
  <si>
    <t>Fieldwork</t>
  </si>
  <si>
    <t>Interview</t>
  </si>
  <si>
    <t>Task-based</t>
  </si>
  <si>
    <t>Open observation</t>
  </si>
  <si>
    <t>Quantit. measures</t>
  </si>
  <si>
    <t>Task performance</t>
  </si>
  <si>
    <t>Physiological meas.</t>
  </si>
  <si>
    <t>Subjective ratings</t>
  </si>
  <si>
    <t>Behavioral meas.</t>
  </si>
  <si>
    <t>Michael U.</t>
  </si>
  <si>
    <t>Assessing the effectiveness of sequence diagrams in the comprehension of functional requirements: results from a family of five experiments</t>
  </si>
  <si>
    <t xml:space="preserve"> IEEE Trans. Softw. Eng. </t>
  </si>
  <si>
    <t xml:space="preserve">Comprehension </t>
  </si>
  <si>
    <t>None</t>
  </si>
  <si>
    <t>Questionnaire assessing the understanding</t>
  </si>
  <si>
    <t>Not discussed.</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</si>
  <si>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</si>
  <si>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</si>
  <si>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</si>
  <si>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</si>
  <si>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</si>
  <si>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</si>
  <si>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 xml:space="preserve"> Cognitive Fit in Requirements Modeling: A Study of Object and Process Methodologies</t>
  </si>
  <si>
    <t>J. Management Information Systems</t>
  </si>
  <si>
    <t>Cognitive fit (match of task and tool for problem solving)</t>
  </si>
  <si>
    <t>Scoring scheme that assessed the produced solutions.</t>
  </si>
  <si>
    <t>The Role of Prior Experience and Task Characteristics in Object-Oriented Modeling: An Empirical Study</t>
  </si>
  <si>
    <t xml:space="preserve"> Int'l J. Human Computer Studies</t>
  </si>
  <si>
    <t>Cognitive processes in problem solving activities. Impact of cognitive fit and experience on performance.</t>
  </si>
  <si>
    <t>Robert</t>
  </si>
  <si>
    <t>Comprehending object and process models: An empirical study</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</si>
  <si>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</si>
  <si>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</si>
  <si>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</si>
  <si>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</si>
  <si>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</si>
  <si>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</si>
  <si>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Fabian F.</t>
  </si>
  <si>
    <t>Scenario-based programming: Reducing the cognitive load, fostering abstract thinking</t>
  </si>
  <si>
    <t>36th International Conference on Software Engineering, ICSE Companion 2014 - Proceedings</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</si>
  <si>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</si>
  <si>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</si>
  <si>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</si>
  <si>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</si>
  <si>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</si>
  <si>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Michael F.</t>
  </si>
  <si>
    <t>Effectiveness of human error taxonomy during requirements inspection: An empirical investigation</t>
  </si>
  <si>
    <t>Proceedings of the International Conference on Software Engineering and Knowledge Engineering, SEKE</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</si>
  <si>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</si>
  <si>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</si>
  <si>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</si>
  <si>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</si>
  <si>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</si>
  <si>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Anchoring and adjustment in software estimation</t>
  </si>
  <si>
    <t>ESEC/FSE'05 - Proceedings of the Joint 10th European Software Engineering Conference (ESEC) and 13th ACM SIGSOFT Symposium on the Foundations of Software Engineering (FSE-13)</t>
  </si>
  <si>
    <t>Cognitive biases, in particular anchoring and adjustment bias.</t>
  </si>
  <si>
    <t xml:space="preserve">Influence of anchor on estimation </t>
  </si>
  <si>
    <t>Task based (estimate, confidence interval, estimation method)</t>
  </si>
  <si>
    <t>Central to the paper.</t>
  </si>
  <si>
    <t>A Cognitive-Based Approach to Improve Distributed Requirement Elicitation Processes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</si>
  <si>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</si>
  <si>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</si>
  <si>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</si>
  <si>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</si>
  <si>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</si>
  <si>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</si>
  <si>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</si>
  <si>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</si>
  <si>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</si>
  <si>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</si>
  <si>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</si>
  <si>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Cognitive-based rules as a means to select suitable groupware tools</t>
  </si>
  <si>
    <t>Proceedings of the 5th IEEE International Conference on Cognitive Informatics, ICCI 2006</t>
  </si>
  <si>
    <t>Jung's theory of psychological types</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</si>
  <si>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</si>
  <si>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</si>
  <si>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</si>
  <si>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</si>
  <si>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</si>
  <si>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</si>
  <si>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</si>
  <si>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</si>
  <si>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</si>
  <si>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</si>
  <si>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</si>
  <si>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</si>
  <si>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</si>
  <si>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</si>
  <si>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</si>
  <si>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</si>
  <si>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</si>
  <si>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</si>
  <si>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</si>
  <si>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Bogdan M.</t>
  </si>
  <si>
    <t>Understanding mindshift learning: the transition to object-oriented development</t>
  </si>
  <si>
    <t>Management Information Systems</t>
  </si>
  <si>
    <t>Mindshift Learning Theory</t>
  </si>
  <si>
    <t>mindshift</t>
  </si>
  <si>
    <t>Concept Knowledge, Concept Organization</t>
  </si>
  <si>
    <t>7-point Likert scale</t>
  </si>
  <si>
    <t>Proposed and validated Mindshift Learning Theory.</t>
  </si>
  <si>
    <t>Cognitive biases and decision support
systems development: a design science
approach</t>
  </si>
  <si>
    <t>Information Systems Journal</t>
  </si>
  <si>
    <t>Cognitive Bias</t>
  </si>
  <si>
    <t>Cognitive Biases, Debiasing</t>
  </si>
  <si>
    <t>Biases identified, but not assessed</t>
  </si>
  <si>
    <t>A systems development methodology that is effective in developing strategic personal DSS.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</si>
  <si>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</si>
  <si>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</si>
  <si>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</si>
  <si>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</si>
  <si>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</si>
  <si>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</si>
  <si>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 minimalist visual notation for design patterns and antipatterns</t>
  </si>
  <si>
    <t>Proceedings - International Conference on Information Technology: New Generations, ITNG 2008</t>
  </si>
  <si>
    <t>The authors "beleive the proposed solution has low cognitive load" but no further evidence or effect on paper.</t>
  </si>
  <si>
    <t>Commit Bubbles</t>
  </si>
  <si>
    <t>Proceedings - International Conference on Software Engineering</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</si>
  <si>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</si>
  <si>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</si>
  <si>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</si>
  <si>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</si>
  <si>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</si>
  <si>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</si>
  <si>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</si>
  <si>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Ratio of fixation counts.</t>
  </si>
  <si>
    <t>introduce eye-tracking as a valid source of data about behavioral aspects of programming and to develop an approach to analyze this data.</t>
  </si>
  <si>
    <t>Temporal Eye-Tracking Data: Evolution of Debugging Strategies with Multiple Representations</t>
  </si>
  <si>
    <t>Attention, Program respresentation</t>
  </si>
  <si>
    <t>The proportional fixation time on each area of interest (AOI), frequency of visual attention switches be-
tween the areas, and the type of switch</t>
  </si>
  <si>
    <t>more experienced programmers integrate the output of the program and employ a high-frequency of visual attention switching to coordinate different program representations</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</si>
  <si>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</si>
  <si>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</si>
  <si>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</si>
  <si>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</si>
  <si>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</si>
  <si>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</si>
  <si>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</si>
  <si>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</si>
  <si>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</si>
  <si>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</si>
  <si>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</si>
  <si>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</si>
  <si>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</si>
  <si>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</si>
  <si>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Code Basket: Making Developers' Mental Model Visible and Explorable</t>
  </si>
  <si>
    <t>2015 IEEE/ACM 2nd International Workshop on Context for Software Development</t>
  </si>
  <si>
    <t>Mental Model</t>
  </si>
  <si>
    <t>Graph structure of source code</t>
  </si>
  <si>
    <t>Visualisation by developer,
formative study</t>
  </si>
  <si>
    <t>Improvement of navigation to source code entities by externalized mental models</t>
  </si>
  <si>
    <t>Fastdash: A visual dashboard for fostering awareness in software teams</t>
  </si>
  <si>
    <t>Proc. of the Conf. on Human Factors in Computing Systems</t>
  </si>
  <si>
    <t>Awareness</t>
  </si>
  <si>
    <t>Awareness (of the actions of other programmers) (Also: subjective satisfaction with tool)</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</si>
  <si>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</si>
  <si>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</si>
  <si>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An empirical study of the effect of semantic differences on program comprehension</t>
  </si>
  <si>
    <t>Proc. Int. Worksh. on Prog. Compr. (IWPC)</t>
  </si>
  <si>
    <t>(Program) comprehension</t>
  </si>
  <si>
    <t>Program comprehension</t>
  </si>
  <si>
    <t>Comprehension task (experiment)</t>
  </si>
  <si>
    <t>Information on semantic differences between two programs influenced comprehension speed and accuracy.</t>
  </si>
  <si>
    <t>Applying attention investment to end-user programming</t>
  </si>
  <si>
    <t>Proceedings - IEEE 2002 Symposia on Human Centric Computing Languages and Environments, HCC 2002</t>
  </si>
  <si>
    <t>Attention Investment</t>
  </si>
  <si>
    <t>improvement of end user programming</t>
  </si>
  <si>
    <t>Towards a framework for pattern experimentation: Understanding empirical validity in requirements engineering patterns</t>
  </si>
  <si>
    <t>2012 2nd IEEE International Workshop on Requirements Patterns, RePa 2012 - Proceedings</t>
  </si>
  <si>
    <t>Category Theory</t>
  </si>
  <si>
    <t>long-term memory</t>
  </si>
  <si>
    <t>motivation for need of patterns</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</si>
  <si>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</si>
  <si>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</si>
  <si>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</si>
  <si>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</si>
  <si>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</si>
  <si>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Towards a theory of the comprehension of computer programs</t>
  </si>
  <si>
    <t>International Journal of Man-Machine Studies</t>
  </si>
  <si>
    <t>Domain Knowledge
Comprehension</t>
  </si>
  <si>
    <t>Explanation (1) why programs differ in comprehensibility, (2) how task differences affect comprehension, and (3)  why programmers differ in their ability to comprehend programs</t>
  </si>
  <si>
    <t>Improving information requirements determination a cognitive perspective</t>
  </si>
  <si>
    <t>Information &amp; Management</t>
  </si>
  <si>
    <t>Requirements Determination Process Model</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</si>
  <si>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</si>
  <si>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</si>
  <si>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</si>
  <si>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</si>
  <si>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Object-Oriented Program Comprehension: Effect of Expertise, Task and Phase</t>
  </si>
  <si>
    <t>Empirical Software Engineering</t>
  </si>
  <si>
    <t>Mental Model Approach</t>
  </si>
  <si>
    <t>Knowledge structure
Mental representation
Comprehension</t>
  </si>
  <si>
    <t>number of correct responses to questions</t>
  </si>
  <si>
    <t>Understanding of object-oriented program comprehension</t>
  </si>
  <si>
    <t xml:space="preserve"> Conceptualizing systems for understanding: An empirical test of decomposition principles in object-oriented analysis</t>
  </si>
  <si>
    <t>MIS Quarterly</t>
  </si>
  <si>
    <t>Memory and problem solving (understood as factors that support the understanding of diagrams that model real world concepts)</t>
  </si>
  <si>
    <t>Questionnaire and cloze test (fill in the blanks)</t>
  </si>
  <si>
    <t>Empirical analyses of the factors affecting confirmation bias and the effects of confirmation bias on software developer/Tester performance</t>
  </si>
  <si>
    <t>ACM International Conference Proceeding Series</t>
  </si>
  <si>
    <t>Cognitive biases, in particular confirmation bias.</t>
  </si>
  <si>
    <t>11 quantitative metrics, based on a rule discovery task, that describe confirmation bias.</t>
  </si>
  <si>
    <t>task based quantitative measurements</t>
  </si>
  <si>
    <t>Note that this is a predecessor paper to Calikli2013.</t>
  </si>
  <si>
    <t>An Analysis of the Effects of Company Culture, Education and Experience on Confirmation Bias Levels of Software Developers and Testers</t>
  </si>
  <si>
    <t>32nd International Conference on Software Engineering - ICSE 2010</t>
  </si>
  <si>
    <t>Cognitive biases, in particular confirmation bias</t>
  </si>
  <si>
    <t>Wason's rule discorvery task and selection task (answered in a questionnaire)</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</si>
  <si>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</si>
  <si>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</si>
  <si>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</si>
  <si>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</si>
  <si>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</si>
  <si>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Empirical analyses factors affecting confirmation bias and the effects of confirmation bias on software developer/tester performance</t>
  </si>
  <si>
    <t>5th International Workshop on Predictor Models in Software Engineering</t>
  </si>
  <si>
    <t>Extension to Calikli2010, adding an analysis of the impact of confirmation bias on development and testing performance</t>
  </si>
  <si>
    <t>Modeling human aspects to enhance software quality management</t>
  </si>
  <si>
    <t>International Conference on Information Systems, ICIS 2012</t>
  </si>
  <si>
    <t>enhance software quality management, especially defect prediction, by cognitive bias measurement</t>
  </si>
  <si>
    <t xml:space="preserve"> Influence of Confirmation Biases of Developers on Software Quality: An Empirical Study</t>
  </si>
  <si>
    <t xml:space="preserve"> Software Quality Journal</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</si>
  <si>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</si>
  <si>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Towards a metric suite proposal to quantify confirmation biases of developers</t>
  </si>
  <si>
    <t>International Symposium on Empirical Software Engineering and Measurement</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</si>
  <si>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</si>
  <si>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</si>
  <si>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</si>
  <si>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</si>
  <si>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</si>
  <si>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</si>
  <si>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A Conceptual Model of Cognitive Complexity of Elements of the Programming Process</t>
  </si>
  <si>
    <t>Information and Software Technology</t>
  </si>
  <si>
    <t>Cognitive complexity and cognitive processes involved in reading and searching code (chunking and tracing) for program comprehension. Chunking is essentially enabled by memory and tracing is a function of knowledge.</t>
  </si>
  <si>
    <t>Cognitive Complexity Model for program comprehension based on chunking and tracing code. The paper suggests measures that ought to capture complexity of code, on the basis of cognitive processes.</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</si>
  <si>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</si>
  <si>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</si>
  <si>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</si>
  <si>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</si>
  <si>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</si>
  <si>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</si>
  <si>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</si>
  <si>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</si>
  <si>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</si>
  <si>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</si>
  <si>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</si>
  <si>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</si>
  <si>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</si>
  <si>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</si>
  <si>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</si>
  <si>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</si>
  <si>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</si>
  <si>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</si>
  <si>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</si>
  <si>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</si>
  <si>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</si>
  <si>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</si>
  <si>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</si>
  <si>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Questionnaire</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</si>
  <si>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</si>
  <si>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</si>
  <si>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</si>
  <si>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</si>
  <si>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</si>
  <si>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</si>
  <si>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</si>
  <si>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</si>
  <si>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Towards evidence-supported, question-directed collaborative program comprehension</t>
  </si>
  <si>
    <t>Proceedings of the 2006 Conference of the Center for Advanced Studies on Collaborative Research, CASCON '06</t>
  </si>
  <si>
    <t>Cognitive Comprehension Model, Mental Model</t>
  </si>
  <si>
    <t>frequency of events</t>
  </si>
  <si>
    <t>observational study</t>
  </si>
  <si>
    <t>Link human and technical artifacts</t>
  </si>
  <si>
    <t>A cognitive load view and empirical test of collaboration network structure versus learning rates in new software development</t>
  </si>
  <si>
    <t>International Journal of Innovation Management</t>
  </si>
  <si>
    <t>Cognitive Load Theory</t>
  </si>
  <si>
    <t>learning rate</t>
  </si>
  <si>
    <t>Effort per unit of output as a function of the produced volume</t>
  </si>
  <si>
    <t>used to explain the learning effect measured by productivity, i.e., number of lines of code written per developer per month</t>
  </si>
  <si>
    <t>Performance norms: An approach to rework reduction in software development</t>
  </si>
  <si>
    <t>2012 25th IEEE Canadian Conference on Electrical and Computer Engineering: Vision for a Greener Future, CCECE 2012</t>
  </si>
  <si>
    <t>Cognitive bias</t>
  </si>
  <si>
    <t>Not very clear how cognitive concepts affects the actual results. Mostly motivation for the study and its framing.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</si>
  <si>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</si>
  <si>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</si>
  <si>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</si>
  <si>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</si>
  <si>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</si>
  <si>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</si>
  <si>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</si>
  <si>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</si>
  <si>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</si>
  <si>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</si>
  <si>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</si>
  <si>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Questionnaires</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</si>
  <si>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</si>
  <si>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</si>
  <si>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</si>
  <si>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</si>
  <si>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</si>
  <si>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</si>
  <si>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</si>
  <si>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</si>
  <si>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</si>
  <si>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</si>
  <si>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</si>
  <si>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</si>
  <si>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</si>
  <si>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</si>
  <si>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</si>
  <si>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</si>
  <si>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</si>
  <si>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</si>
  <si>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</si>
  <si>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</si>
  <si>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</si>
  <si>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</si>
  <si>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</si>
  <si>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Knowledge restructuring and the acquisition of programming expertise</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</si>
  <si>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</si>
  <si>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</si>
  <si>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</si>
  <si>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</si>
  <si>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</si>
  <si>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A comparative study of three program exploration tools</t>
  </si>
  <si>
    <t>IEEE International Conference on Program Comprehension</t>
  </si>
  <si>
    <t>Mental workload</t>
  </si>
  <si>
    <t>(1) Subjective mental workload
(2) Focus
(3) Quality of task solutions</t>
  </si>
  <si>
    <t>NASA Task load index (TLX)</t>
  </si>
  <si>
    <t xml:space="preserve">Software exploration tools had no effect on task performance. </t>
  </si>
  <si>
    <t>Creating a Cognitive Metric of Programming Task Difficulty</t>
  </si>
  <si>
    <t>Task complexity, cognitive load</t>
  </si>
  <si>
    <t>Subjective mental workload</t>
  </si>
  <si>
    <t>TLX (NASA Task load index)</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</si>
  <si>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</si>
  <si>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Data model comprehension: an empirical comparison of ER and UML class diagrams</t>
  </si>
  <si>
    <t>Proc. 16th IEEE Intl. Conf. Program Comprehension (ICPC)</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</si>
  <si>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</si>
  <si>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</si>
  <si>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</si>
  <si>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</si>
  <si>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From requirements elicitation to variability analysis using repertory grid: A cognitive approach</t>
  </si>
  <si>
    <t>2015 IEEE 23rd International Requirements Engineering Conference, RE 2015 - Proceedings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</si>
  <si>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</si>
  <si>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</si>
  <si>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</si>
  <si>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Kelly's Personal Construct Psychology (which was basis for Repertory Grid)</t>
  </si>
  <si>
    <t>CognPsych lead to an interview technique which is here proposed to be used for SE tasks. Connection to CognPsych unclear though.</t>
  </si>
  <si>
    <t>A Systematic Approach for Developing Decision Aids: From Cognitive Work Analysis to Prototype Design and Development</t>
  </si>
  <si>
    <t>Cognitive Work Analysis</t>
  </si>
  <si>
    <t>Central but only a solution proposal with one worked example (which they call case study)</t>
  </si>
  <si>
    <t>Interesting method but not strong on empirical method and not clearly focus on cognitive concepts or measures.</t>
  </si>
  <si>
    <t>Using the "Physics" of notation to analyse ModelBuilder diagrams</t>
  </si>
  <si>
    <t>International Multidisciplinary Scientific GeoConference Surveying Geology and Mining Ecology Management, SGEM</t>
  </si>
  <si>
    <t>Physics of Notation</t>
  </si>
  <si>
    <t>Cognitive Fit
Cognitive Integration</t>
  </si>
  <si>
    <t>Improvement of cognitive quality of diagrams</t>
  </si>
  <si>
    <t>Critical evaluation of conceptual data models</t>
  </si>
  <si>
    <t>International Journal of Accounting Information Systems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</si>
  <si>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</si>
  <si>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</si>
  <si>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</si>
  <si>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</si>
  <si>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Vasco: A visual approach to explore object churn in framework-intensive applications</t>
  </si>
  <si>
    <t>IEEE International Conference on Software Maintenance, ICSM</t>
  </si>
  <si>
    <t>Ability to find object churn (excessive use of temporary objects)</t>
  </si>
  <si>
    <t>Evaluation of proposed tool/method in selected tasks</t>
  </si>
  <si>
    <t>Motivates the study</t>
  </si>
  <si>
    <t>The proposed tool/method was able to find instances of object churn. It could thus be used by developers to help them identify object churn.</t>
  </si>
  <si>
    <t>Measuring Programming Experience</t>
  </si>
  <si>
    <t>Proc. Int’l Conf. Program Comprehension (ICPC)</t>
  </si>
  <si>
    <t>Programming experience, (Program) comprehension</t>
  </si>
  <si>
    <t>Programming experience: Self-assessment, Years of programming, Education, Size of professional projects, Age. Program comprehension: Comprehension task (experiment).</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</si>
  <si>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</si>
  <si>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</si>
  <si>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</si>
  <si>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</si>
  <si>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</si>
  <si>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</si>
  <si>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</si>
  <si>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</si>
  <si>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</si>
  <si>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</si>
  <si>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</si>
  <si>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</si>
  <si>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</si>
  <si>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</si>
  <si>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</si>
  <si>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</si>
  <si>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</si>
  <si>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</si>
  <si>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</si>
  <si>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</si>
  <si>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</si>
  <si>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</si>
  <si>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</si>
  <si>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</si>
  <si>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</si>
  <si>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</si>
  <si>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Developers’ Code Context Models for Change Tasks</t>
  </si>
  <si>
    <t>Foundations of Software Engineering, FSE</t>
  </si>
  <si>
    <t>Program Comprehension</t>
  </si>
  <si>
    <t>navigation measurement based on code navigation model</t>
  </si>
  <si>
    <t>deeper understanding of code change tasks</t>
  </si>
  <si>
    <t>Support tool for design requirement elaboration</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</si>
  <si>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</si>
  <si>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</si>
  <si>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</si>
  <si>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</si>
  <si>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</si>
  <si>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</si>
  <si>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Reduction of cognitive load through the addition of high-level semantics to ReactoGraph</t>
  </si>
  <si>
    <t>Proceedings - 2004 IEEE Symposium on Visual Languages and Human Centric Computing</t>
  </si>
  <si>
    <t>Cognitive support for perception, attention and memory</t>
  </si>
  <si>
    <t>Think aloud protocol / Task completion duration</t>
  </si>
  <si>
    <t>Meta-contribution: paper on UI and cognitive load that is relevant for us since it addresses software development (a visual programming language).</t>
  </si>
  <si>
    <t>None directly.</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</si>
  <si>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</si>
  <si>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</si>
  <si>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</si>
  <si>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Programming plans and programming expertise</t>
  </si>
  <si>
    <t>The Quarterly Journal of Experimental Psychology Section A</t>
  </si>
  <si>
    <t>errors (surface, control-flow, plan, interaction)</t>
  </si>
  <si>
    <t>understanding of program plans and program expertise</t>
  </si>
  <si>
    <t>Measuring Improvements in Program Clarity</t>
  </si>
  <si>
    <t>IEEE Transactions on Software Engineering</t>
  </si>
  <si>
    <t>Mental Effort</t>
  </si>
  <si>
    <t>Halstead metrics are used to measure program clarity</t>
  </si>
  <si>
    <t>Measurement of mental effort via Halstead metrics</t>
  </si>
  <si>
    <t>Conditional Program Statement and Their Comprehensibility to Professional Programmers</t>
  </si>
  <si>
    <t>Journal of Occupational Psychology</t>
  </si>
  <si>
    <t>Cognitive process in program comprehension, in particular tracing</t>
  </si>
  <si>
    <t>Task performance (problem solving speed and correctness)</t>
  </si>
  <si>
    <t xml:space="preserve">Evaluation of logically equivalent but different styles of conditional statements </t>
  </si>
  <si>
    <t>Given that this is published in a psychology journal, the paper discusses very little how the result from the experiment can be interepreted from a cognitive science standpoint.</t>
  </si>
  <si>
    <t>Cognitive dimensions of notations</t>
  </si>
  <si>
    <t>People and Computers</t>
  </si>
  <si>
    <t xml:space="preserve">Cognitive dimensions of notations. This paper is likely the origin of this theory. CD is an umbrella to discuss notational aspects with cognitive aspects. </t>
  </si>
  <si>
    <t xml:space="preserve">Perception of code structure, comprehension. Complexity of code. </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</si>
  <si>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</si>
  <si>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</si>
  <si>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</si>
  <si>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 xml:space="preserve">See Green1989. Also this paper does not talk about cognitive concepts per se which makes it difficult to extract this data. </t>
  </si>
  <si>
    <t>None in particular (although working memory is mentioned several times)</t>
  </si>
  <si>
    <t>This is a much more comprehensive version of the 1989 paper.</t>
  </si>
  <si>
    <t>Adopting the cognitive complexity measure for business process models</t>
  </si>
  <si>
    <t>Fifth IEEE International Conference on Cognitive Informatics</t>
  </si>
  <si>
    <t>Cognitive complexity</t>
  </si>
  <si>
    <t>Cognitive weight</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</si>
  <si>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</si>
  <si>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</si>
  <si>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</si>
  <si>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</si>
  <si>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</si>
  <si>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</si>
  <si>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</si>
  <si>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</si>
  <si>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</si>
  <si>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</si>
  <si>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</si>
  <si>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</si>
  <si>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</si>
  <si>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</si>
  <si>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</si>
  <si>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</si>
  <si>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</si>
  <si>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</si>
  <si>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</si>
  <si>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</si>
  <si>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</si>
  <si>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</si>
  <si>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</si>
  <si>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</si>
  <si>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</si>
  <si>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</si>
  <si>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</si>
  <si>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</si>
  <si>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</si>
  <si>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</si>
  <si>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</si>
  <si>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</si>
  <si>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</si>
  <si>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IEEE Software</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</si>
  <si>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</si>
  <si>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</si>
  <si>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</si>
  <si>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</si>
  <si>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</si>
  <si>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</si>
  <si>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</si>
  <si>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Cognitive Fit</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</si>
  <si>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</si>
  <si>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</si>
  <si>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</si>
  <si>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</si>
  <si>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</si>
  <si>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</si>
  <si>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</si>
  <si>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</si>
  <si>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</si>
  <si>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</si>
  <si>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</si>
  <si>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Behavioral economics in software quality engineering</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</si>
  <si>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</si>
  <si>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</si>
  <si>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</si>
  <si>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</si>
  <si>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</si>
  <si>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</si>
  <si>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Supporting cognitive work in software development workflows</t>
  </si>
  <si>
    <t>Lecture Notes in Computer Science (including subseries Lecture Notes in Artificial Intelligence and Lecture Notes in Bioinformatics)</t>
  </si>
  <si>
    <t>Cognitive Work Support Model</t>
  </si>
  <si>
    <t>WHY, WHAT, HOW Level to identify cognitive issues</t>
  </si>
  <si>
    <t>Interview with developers and managers</t>
  </si>
  <si>
    <t>Make cognitive issues in software processes explicit</t>
  </si>
  <si>
    <t>Experimental analysis of the cognitive processes of program maintainers during software maintenance</t>
  </si>
  <si>
    <t>Conference on Software Maintenance</t>
  </si>
  <si>
    <t>Understanding</t>
  </si>
  <si>
    <t>Correct Answers
Elapsed Time</t>
  </si>
  <si>
    <t>Video Camera used to find out how much time needed for moduls</t>
  </si>
  <si>
    <t>Study of cognitive processes during maintenance</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</si>
  <si>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</si>
  <si>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</si>
  <si>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</si>
  <si>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</si>
  <si>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</si>
  <si>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</si>
  <si>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</si>
  <si>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</si>
  <si>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</si>
  <si>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</si>
  <si>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</si>
  <si>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</si>
  <si>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</si>
  <si>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A framework for the pragmatic quality of Z specifications</t>
  </si>
  <si>
    <t>International Journal of Software Engineering and Knowledge Engineering</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</si>
  <si>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</si>
  <si>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</si>
  <si>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Problem solving techniques for the design of algorithms</t>
  </si>
  <si>
    <t>Information Processing and Management</t>
  </si>
  <si>
    <t>Problem Space Theory</t>
  </si>
  <si>
    <t>Problem Space</t>
  </si>
  <si>
    <t>Understanding of algorithm design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</si>
  <si>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</si>
  <si>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</si>
  <si>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</si>
  <si>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</si>
  <si>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</si>
  <si>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</si>
  <si>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</si>
  <si>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</si>
  <si>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</si>
  <si>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</si>
  <si>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</si>
  <si>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</si>
  <si>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</si>
  <si>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</si>
  <si>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</si>
  <si>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</si>
  <si>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</si>
  <si>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</si>
  <si>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</si>
  <si>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</si>
  <si>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A Cognitive Model for Complexity Metrics</t>
  </si>
  <si>
    <t>International ECOOP Workshop on Quantitative Approaches in Object-Oriented Software Engineering (ECOOP 2000)</t>
  </si>
  <si>
    <t>Short-term memory
Long-term memory</t>
  </si>
  <si>
    <t>identifier density
term density</t>
  </si>
  <si>
    <t>chunking of text and text-based measurement</t>
  </si>
  <si>
    <t>cognitive complexity metrics to estimate risks where errors occur</t>
  </si>
  <si>
    <t>Modeling comprehension processes in software development</t>
  </si>
  <si>
    <t>Proceedings - 1st IEEE International Conference on Cognitive Informatics, ICCI 2002</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</si>
  <si>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</si>
  <si>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</si>
  <si>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</si>
  <si>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</si>
  <si>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Expert Program Solving Strategies for Program Comprehension</t>
  </si>
  <si>
    <t>SIGCHI Conference on Human Factors in Computing Systems</t>
  </si>
  <si>
    <t>process time</t>
  </si>
  <si>
    <t>information used to complete tasks</t>
  </si>
  <si>
    <t>better understanding of program comprehension aiming at cognitively adequate tool support</t>
  </si>
  <si>
    <t>Learning software maintenance tasks in offshoring projects: A cognitive-load perspective</t>
  </si>
  <si>
    <t>Qualitative analysis.</t>
  </si>
  <si>
    <t>Learning software-maintenance tasks in the transition phase of offshore outsourcing projects: Two learning-theoretical perspectives</t>
  </si>
  <si>
    <t>Lecture Notes in Business Information Processing</t>
  </si>
  <si>
    <t>Learning Task
Supportive Information
Procedural Information
Part-Task Practice</t>
  </si>
  <si>
    <t>Investigation of role of knowledge transfer in transition of offshore outsourcing projects</t>
  </si>
  <si>
    <t>User cognitive representations: The case for an object oriented model</t>
  </si>
  <si>
    <t>object-oriented cognitive structures
user cognitive representations
cognitive economy</t>
  </si>
  <si>
    <t>response time
error rates</t>
  </si>
  <si>
    <t>Effect of cognitive structures on user performance</t>
  </si>
  <si>
    <t>SpecRefiner: Assistance for stepwise refinement of software development in the upstream process</t>
  </si>
  <si>
    <t>Systems and Computers in Japan</t>
  </si>
  <si>
    <t>Cognitive Load</t>
  </si>
  <si>
    <t>Analytical Time</t>
  </si>
  <si>
    <t>time measurement</t>
  </si>
  <si>
    <t>reduce the cognitive load of analysis and design of a system by connecting expert knowledge and task-level knowledge seamlessly through the use of domain-oriented expert knowledge and task-level knowledge</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</si>
  <si>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</si>
  <si>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</si>
  <si>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</si>
  <si>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</si>
  <si>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</si>
  <si>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</si>
  <si>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</si>
  <si>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Cognitive Processes in Program Comprehension</t>
  </si>
  <si>
    <t>The Journal of Systems and Software</t>
  </si>
  <si>
    <t>Problem solving (understanding and modifying code)</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</si>
  <si>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</si>
  <si>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</si>
  <si>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</si>
  <si>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Intent specifications: An approach to building human-centered specifications</t>
  </si>
  <si>
    <t>Proceedings of the IEEE International Conference on Requirements Engineering</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</si>
  <si>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</si>
  <si>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</si>
  <si>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</si>
  <si>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</si>
  <si>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</si>
  <si>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</si>
  <si>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</si>
  <si>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</si>
  <si>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</si>
  <si>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</si>
  <si>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</si>
  <si>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</si>
  <si>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</si>
  <si>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</si>
  <si>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</si>
  <si>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 xml:space="preserve"> A cognitive information processing and information theory approach to diagram clarity: A synthesis and experimental investigation</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</si>
  <si>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</si>
  <si>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</si>
  <si>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</si>
  <si>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</si>
  <si>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</si>
  <si>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</si>
  <si>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</si>
  <si>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</si>
  <si>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</si>
  <si>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</si>
  <si>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</si>
  <si>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</si>
  <si>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</si>
  <si>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</si>
  <si>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</si>
  <si>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</si>
  <si>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Human judgement and software metrics: Vision for the future</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</si>
  <si>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</si>
  <si>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</si>
  <si>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</si>
  <si>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</si>
  <si>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</si>
  <si>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</si>
  <si>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</si>
  <si>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</si>
  <si>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</si>
  <si>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</si>
  <si>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</si>
  <si>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Cognitive Psychology</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</si>
  <si>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</si>
  <si>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</si>
  <si>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</si>
  <si>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</si>
  <si>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</si>
  <si>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</si>
  <si>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</si>
  <si>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</si>
  <si>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</si>
  <si>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Understanding a lack of trust in Global Software Teams: a multiple-case study</t>
  </si>
  <si>
    <t>Software Process: Improvement and Practice</t>
  </si>
  <si>
    <t>Cognitive-based trust</t>
  </si>
  <si>
    <t>Reasons and consequences of lack of cognitive-based trust</t>
  </si>
  <si>
    <t>Perceived/experienced cognitive-based trust based on interviews</t>
  </si>
  <si>
    <t xml:space="preserve"> </t>
  </si>
  <si>
    <t>Identified key factors causing lack of trust, key consequences for lack of trust.</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</si>
  <si>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</si>
  <si>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</si>
  <si>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</si>
  <si>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</si>
  <si>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</si>
  <si>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</si>
  <si>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Requirements Fixation</t>
  </si>
  <si>
    <t>International Conference on Software Engineering</t>
  </si>
  <si>
    <t>Fixation and framing effects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</si>
  <si>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</si>
  <si>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</si>
  <si>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</si>
  <si>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</si>
  <si>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</si>
  <si>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</si>
  <si>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</si>
  <si>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</si>
  <si>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</si>
  <si>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</si>
  <si>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</si>
  <si>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</si>
  <si>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</si>
  <si>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</si>
  <si>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</si>
  <si>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</si>
  <si>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</si>
  <si>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</si>
  <si>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</si>
  <si>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</si>
  <si>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</si>
  <si>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</si>
  <si>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</si>
  <si>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</si>
  <si>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</si>
  <si>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</si>
  <si>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</si>
  <si>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</si>
  <si>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</si>
  <si>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</si>
  <si>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Understanding the challenges faced by neurodiverse software engineering employees: Towards a more inclusive and productive technical workforce</t>
  </si>
  <si>
    <t>ASSETS 2015 - Proceedings of the 17th International ACM SIGACCESS Conference on Computers and Accessibility</t>
  </si>
  <si>
    <t>Neurodiverse employees (being on different spectra of autism) have different needs/skills. This has implications on the work environment.</t>
  </si>
  <si>
    <t>No actual measures of nerodiversity are presented.</t>
  </si>
  <si>
    <t>Survey with optional questions (questions not shown in paper). + Interviews</t>
  </si>
  <si>
    <t xml:space="preserve">Implications are particularly interesting for human resource management, team formation, task assignment etc. </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</si>
  <si>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</si>
  <si>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</si>
  <si>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</si>
  <si>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</si>
  <si>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</si>
  <si>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</si>
  <si>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</si>
  <si>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</si>
  <si>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</si>
  <si>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</si>
  <si>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</si>
  <si>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</si>
  <si>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</si>
  <si>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</si>
  <si>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</si>
  <si>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</si>
  <si>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</si>
  <si>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</si>
  <si>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</si>
  <si>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</si>
  <si>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</si>
  <si>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</si>
  <si>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</si>
  <si>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Subvocalization – Toward Hearing the Inner Thoughts of Developers</t>
  </si>
  <si>
    <t>IEEE International Conference on Program Comprehension, ICPC</t>
  </si>
  <si>
    <t>subvocalisation</t>
  </si>
  <si>
    <t>electrical signal emitted from muscle nerves</t>
  </si>
  <si>
    <t>Electromyogram (EMG)</t>
  </si>
  <si>
    <t>deeper understanding of inner thoughts of developers</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</si>
  <si>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</si>
  <si>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</si>
  <si>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</si>
  <si>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</si>
  <si>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Cognitive Heuristics in Software Engineering: Applying and Extending Anchoring and Adjustment to Artifact Reuse</t>
  </si>
  <si>
    <t>Transactions on Software Engineering</t>
  </si>
  <si>
    <t>anchoring
adjustment</t>
  </si>
  <si>
    <t>extraneous, erroreous or omitted elements</t>
  </si>
  <si>
    <t>performing of programming task and measurement of extraneous, erroreous and omitted elements</t>
  </si>
  <si>
    <t>better understanding of successful reuse of software engineering artifacts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</si>
  <si>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</si>
  <si>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</si>
  <si>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</si>
  <si>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</si>
  <si>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</si>
  <si>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</si>
  <si>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Code architecture and open source software development</t>
  </si>
  <si>
    <t>International Conference on Information Systems 2011, ICIS 2011</t>
  </si>
  <si>
    <t>Cognitive cost</t>
  </si>
  <si>
    <t>Project and code metrics</t>
  </si>
  <si>
    <t>Marginal.</t>
  </si>
  <si>
    <t>Tried to establish relationship between cognitive cost, coordination cost and code quality, but they did not really do it. Candidate for border paper.</t>
  </si>
  <si>
    <t>Stimulus Structures and Mental Representations in Expert Comprehension of Computer Programs</t>
  </si>
  <si>
    <t>Text structure knowledge
Plan knowledge
Program comprehension</t>
  </si>
  <si>
    <t>comprehension errors</t>
  </si>
  <si>
    <t>programming task</t>
  </si>
  <si>
    <t>Role knowledge and cognition in comprehension</t>
  </si>
  <si>
    <t>Cognitive activities and levels of abstraction in procedural and object-oriented design</t>
  </si>
  <si>
    <t>Human-Computer Interaction</t>
  </si>
  <si>
    <t>Problem solving (developing a software design)</t>
  </si>
  <si>
    <t>Frequency of coded coded cognitive activities during design (9 categories)</t>
  </si>
  <si>
    <t>Systematic and detailed.</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</si>
  <si>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</si>
  <si>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</si>
  <si>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</si>
  <si>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</si>
  <si>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 xml:space="preserve"> Mental imagery in program design and visual programming</t>
  </si>
  <si>
    <t>International Journal of Human-Computer Studies</t>
  </si>
  <si>
    <t>Thinking aloud protocol / Questionnaire</t>
  </si>
  <si>
    <t>This is an extension of Petre1997, adding a survey to the observational study. This paper reports on both studies.</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</si>
  <si>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</si>
  <si>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</si>
  <si>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</si>
  <si>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</si>
  <si>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ScenIC: a strategy for inquiry-driven requirements determination</t>
  </si>
  <si>
    <t>Episodic Memory
Scenic Memory</t>
  </si>
  <si>
    <t>Inquiry in requirments determination similar to human brain</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</si>
  <si>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</si>
  <si>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</si>
  <si>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</si>
  <si>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</si>
  <si>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</si>
  <si>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</si>
  <si>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</si>
  <si>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</si>
  <si>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</si>
  <si>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</si>
  <si>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</si>
  <si>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</si>
  <si>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</si>
  <si>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</si>
  <si>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</si>
  <si>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</si>
  <si>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</si>
  <si>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</si>
  <si>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</si>
  <si>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</si>
  <si>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</si>
  <si>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</si>
  <si>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</si>
  <si>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</si>
  <si>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</si>
  <si>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</si>
  <si>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</si>
  <si>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</si>
  <si>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</si>
  <si>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</si>
  <si>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</si>
  <si>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</si>
  <si>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</si>
  <si>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</si>
  <si>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</si>
  <si>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Eye tracking</t>
  </si>
  <si>
    <t>The paper describes iTrace, a tool that automates labeling of eye tracking events with the semantic element that the gaze has been focused on in the Eclipse IDE. Only technical description is provided, no evaluation.</t>
  </si>
  <si>
    <t>The role of cognitive fit in the relationship between software comprehension and modification</t>
  </si>
  <si>
    <t>MIS Quarterly: Management Information Systems</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</si>
  <si>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</si>
  <si>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</si>
  <si>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</si>
  <si>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</si>
  <si>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</si>
  <si>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</si>
  <si>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</si>
  <si>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</si>
  <si>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</si>
  <si>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</si>
  <si>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</si>
  <si>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</si>
  <si>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</si>
  <si>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An Empirical Study on the Efficiency of Graphical vs. Textual Representations in Requirements Comprehension</t>
  </si>
  <si>
    <t>requirements comprehension
textual and graphical representation</t>
  </si>
  <si>
    <t>efficiency in terms of right answers
effort spent to perform a task</t>
  </si>
  <si>
    <t>cognitive view on requirements comprehension</t>
  </si>
  <si>
    <t>An Empirical Study on the Comprehension of Stereotyped UML Class Diagram Layouts</t>
  </si>
  <si>
    <t>UML task comprehension</t>
  </si>
  <si>
    <t>accuracy
speed
confidence level</t>
  </si>
  <si>
    <t>Online questionnaire</t>
  </si>
  <si>
    <t>deep understanding of ULM stereotypes</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</si>
  <si>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</si>
  <si>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</si>
  <si>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</si>
  <si>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</si>
  <si>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</si>
  <si>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An Eye Tracking Study on the Effects of Layout in Understanding the Role of Design Patterns</t>
  </si>
  <si>
    <t>accuracy
time
relevance
visual effort</t>
  </si>
  <si>
    <t>role of layout in understanding design patterns</t>
  </si>
  <si>
    <t>An Eye Tracking Study on camelCase and under_score Identifier Styles</t>
  </si>
  <si>
    <t>Code comprehension</t>
  </si>
  <si>
    <t>correctness
find time
visual effort</t>
  </si>
  <si>
    <t>deep understanding of the influence of naming conventions on code comprehension</t>
  </si>
  <si>
    <t>Studying developer gaze to empower software engineering research and practice</t>
  </si>
  <si>
    <t>Symposium on the Foundations of Software Engineering</t>
  </si>
  <si>
    <t>Cognitive Effort</t>
  </si>
  <si>
    <t>Eye gaze</t>
  </si>
  <si>
    <t>Automatic measurement of eye movement with tool iTrace</t>
  </si>
  <si>
    <t xml:space="preserve">application of eye gaze to provide innovative support to developers for software engineering tasks like code summarization and recommendation or continuous traceability </t>
  </si>
  <si>
    <t>Illustrating the cognitive consequences of object oriented system development</t>
  </si>
  <si>
    <t xml:space="preserve">Journal of Systems and Software </t>
  </si>
  <si>
    <t>Cognitive activities relevant for Object Oriented design, such as problem understanding and decomposition, solution design</t>
  </si>
  <si>
    <t>short sentence or phrase generated by a par-
ticipant, prompted by a question related to object system complexity</t>
  </si>
  <si>
    <t>Cognitive mapping with Self-Q technique (some sort of collective brainstorming technique were the participants themselves perform categorization)</t>
  </si>
  <si>
    <t>A position paper proposing behavioral solutions to challenges in software development projects</t>
  </si>
  <si>
    <t>Central to paper which summarizes two earlier empirical studies of the authors.</t>
  </si>
  <si>
    <t>Can the outside-view approach improve planning decisions in software development projects?</t>
  </si>
  <si>
    <t>Planning Fallacy (a cognitive bias)</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</si>
  <si>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</si>
  <si>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</si>
  <si>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</si>
  <si>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</si>
  <si>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</si>
  <si>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</si>
  <si>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</si>
  <si>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</si>
  <si>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</si>
  <si>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</si>
  <si>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</si>
  <si>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</si>
  <si>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</si>
  <si>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</si>
  <si>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</si>
  <si>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</si>
  <si>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</si>
  <si>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</si>
  <si>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</si>
  <si>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</si>
  <si>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</si>
  <si>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</si>
  <si>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</si>
  <si>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</si>
  <si>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</si>
  <si>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</si>
  <si>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</si>
  <si>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</si>
  <si>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Journal of Database Management</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</si>
  <si>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</si>
  <si>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</si>
  <si>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</si>
  <si>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</si>
  <si>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</si>
  <si>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</si>
  <si>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</si>
  <si>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Important characteristics of software development team members: an empirical investigation using Repertory Grid</t>
  </si>
  <si>
    <t>Cognitive Abilities</t>
  </si>
  <si>
    <t>Ability to make decisions
Learning Ability
Independence of work</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</si>
  <si>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</si>
  <si>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</si>
  <si>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</si>
  <si>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</si>
  <si>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</si>
  <si>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</si>
  <si>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</si>
  <si>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</si>
  <si>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</si>
  <si>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</si>
  <si>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</si>
  <si>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Understanding understanding source code with functional magnetic resonance imaging</t>
  </si>
  <si>
    <t>Cognitive processes, identified by activation of certain areas in the brain (Brodmann areas). Processes activated by program comprehension are: working memory, attention, language comprehension.</t>
  </si>
  <si>
    <t>Brain area activation (fMRI)</t>
  </si>
  <si>
    <t>Based on the empirical results showing which cognitive processes take part in program comprehension, a model is created which can be used to design support/improve program comprehension tasks.</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</si>
  <si>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</si>
  <si>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</si>
  <si>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</si>
  <si>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</si>
  <si>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</si>
  <si>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</si>
  <si>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</si>
  <si>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</si>
  <si>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Cognitive fit</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</si>
  <si>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</si>
  <si>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</si>
  <si>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</si>
  <si>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</si>
  <si>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</si>
  <si>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</si>
  <si>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</si>
  <si>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</si>
  <si>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</si>
  <si>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</si>
  <si>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</si>
  <si>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</si>
  <si>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</si>
  <si>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</si>
  <si>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</si>
  <si>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</si>
  <si>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</si>
  <si>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</si>
  <si>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</si>
  <si>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</si>
  <si>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</si>
  <si>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</si>
  <si>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</si>
  <si>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</si>
  <si>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</si>
  <si>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</si>
  <si>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</si>
  <si>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Empirical Studies of Programming Knowledge</t>
  </si>
  <si>
    <t>Programming knowledge</t>
  </si>
  <si>
    <t xml:space="preserve">correctness
</t>
  </si>
  <si>
    <t>task correctness</t>
  </si>
  <si>
    <t>deeper understanding of programming knowledge</t>
  </si>
  <si>
    <t>A Cognitively-Based Methodology for Designing Languages/Environments/Methodologies</t>
  </si>
  <si>
    <t>ACM SIGPLAN Notices</t>
  </si>
  <si>
    <t>improvement of language design by reducing difficulty of specific concepts</t>
  </si>
  <si>
    <t>Stress or-burnout relationship in software development teams</t>
  </si>
  <si>
    <t>Journal of Occupational and Organizational Psychology</t>
  </si>
  <si>
    <t>Cognitive exhaustion</t>
  </si>
  <si>
    <t>Stress and burnout</t>
  </si>
  <si>
    <t>Central to the paper and purpose of the study</t>
  </si>
  <si>
    <t>Not sure how to describe this... maybe a data point to a not yet formulated theory?</t>
  </si>
  <si>
    <t>Cognitive Bias in Software Engineering</t>
  </si>
  <si>
    <t>Central to paper. But it is a lit overview, not empirical.</t>
  </si>
  <si>
    <t>Overview of cognitive biases in SE.</t>
  </si>
  <si>
    <t>Cognitive design elements to support the construction of a mental model during software exploration</t>
  </si>
  <si>
    <t xml:space="preserve">Cognitive Design Elements
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</si>
  <si>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</si>
  <si>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</si>
  <si>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</si>
  <si>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</si>
  <si>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</si>
  <si>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</si>
  <si>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</si>
  <si>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</si>
  <si>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</si>
  <si>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</si>
  <si>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</si>
  <si>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On the impact of size to the understanding of UML diagrams</t>
  </si>
  <si>
    <t>Software and Systems Modeling</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</si>
  <si>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</si>
  <si>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</si>
  <si>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</si>
  <si>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</si>
  <si>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</si>
  <si>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</si>
  <si>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</si>
  <si>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</si>
  <si>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</si>
  <si>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</si>
  <si>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</si>
  <si>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</si>
  <si>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</si>
  <si>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</si>
  <si>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The effects of naming style and expertise on program comprehension</t>
  </si>
  <si>
    <t>International Journal of Human - Computer Studies</t>
  </si>
  <si>
    <t>Pennington's Model of Program Comprehension</t>
  </si>
  <si>
    <t>Understanding of Functions, Control Flow, Data Flow, State, Operations</t>
  </si>
  <si>
    <t>Questionnaire on Program Comprehension</t>
  </si>
  <si>
    <t>Understanding of program comprehension</t>
  </si>
  <si>
    <t>Why software testing is sometimes ineffective: Two applied studies of positive test strategy</t>
  </si>
  <si>
    <t>Journal of Applied Psychology</t>
  </si>
  <si>
    <t>Proportion between test sets that use data that confirms/not confirms the test hypothesis</t>
  </si>
  <si>
    <t>Task based</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</si>
  <si>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</si>
  <si>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</si>
  <si>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</si>
  <si>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</si>
  <si>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</si>
  <si>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Tessem1997</t>
  </si>
  <si>
    <t>Analogy and complex software modeling</t>
  </si>
  <si>
    <t>Computers in Human Behavior</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</si>
  <si>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</si>
  <si>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</si>
  <si>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</si>
  <si>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</si>
  <si>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</si>
  <si>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</si>
  <si>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</si>
  <si>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</si>
  <si>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</si>
  <si>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</si>
  <si>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</si>
  <si>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</si>
  <si>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</si>
  <si>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</si>
  <si>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</si>
  <si>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</si>
  <si>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</si>
  <si>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</si>
  <si>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</si>
  <si>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</si>
  <si>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Designing Effective Program Visualization Tools for Reducing User's Cognitive Effort</t>
  </si>
  <si>
    <t>Proceedings of ACM Symposium on Software Visualization</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</si>
  <si>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</si>
  <si>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</si>
  <si>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</si>
  <si>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Gamifying software development environments using cognitive principles</t>
  </si>
  <si>
    <t>CEUR Workshop Proceedings</t>
  </si>
  <si>
    <t>Self Determination Theory
Theory of FlowGroup 
Flow Theory</t>
  </si>
  <si>
    <t>Cognitive principles provide basis for gamification</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</si>
  <si>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</si>
  <si>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</si>
  <si>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</si>
  <si>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</si>
  <si>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The sky is not the limit: Multitasking across github projects</t>
  </si>
  <si>
    <t>Multitasking</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</si>
  <si>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</si>
  <si>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</si>
  <si>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</si>
  <si>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</si>
  <si>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</si>
  <si>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</si>
  <si>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</si>
  <si>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</si>
  <si>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</si>
  <si>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</si>
  <si>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</si>
  <si>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</si>
  <si>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</si>
  <si>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</si>
  <si>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</si>
  <si>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</si>
  <si>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</si>
  <si>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</si>
  <si>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</si>
  <si>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</si>
  <si>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</si>
  <si>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</si>
  <si>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</si>
  <si>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</si>
  <si>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</si>
  <si>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</si>
  <si>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</si>
  <si>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Identification of Dynamic Comprehension Processes During Large Scale Maintenance</t>
  </si>
  <si>
    <t>audio recording</t>
  </si>
  <si>
    <t>understanding of comprehension processes during maintenance</t>
  </si>
  <si>
    <t>Program understanding behaviour during enhancement of large-scale software</t>
  </si>
  <si>
    <t>Journal of Software Maintenance: Research and Practice</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</si>
  <si>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</si>
  <si>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</si>
  <si>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</si>
  <si>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</si>
  <si>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This is a good example of task-based evaluation of cognitive processes. Based on the observed behavior, mapped to a model of program comprehension, descriptions of the cognitive processes are generated.</t>
  </si>
  <si>
    <t>Program Understanding Needs During Corrective Maintenance of Large Scale Software</t>
  </si>
  <si>
    <t>IEEE Computer Software and Applications Conference, COMPSAC</t>
  </si>
  <si>
    <t>Hypothesis-Driven Understanding Processes During Corrective Maintenance of Large Scale Software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</si>
  <si>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</si>
  <si>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</si>
  <si>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</si>
  <si>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</si>
  <si>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</si>
  <si>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</si>
  <si>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</si>
  <si>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</si>
  <si>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</si>
  <si>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</si>
  <si>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</si>
  <si>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</si>
  <si>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</si>
  <si>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</si>
  <si>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</si>
  <si>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</si>
  <si>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</si>
  <si>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</si>
  <si>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</si>
  <si>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</si>
  <si>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</si>
  <si>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</si>
  <si>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</si>
  <si>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</si>
  <si>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</si>
  <si>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</si>
  <si>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</si>
  <si>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</si>
  <si>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</si>
  <si>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</si>
  <si>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</si>
  <si>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</si>
  <si>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</si>
  <si>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</si>
  <si>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</si>
  <si>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</si>
  <si>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</si>
  <si>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</si>
  <si>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</si>
  <si>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</si>
  <si>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</si>
  <si>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</si>
  <si>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</si>
  <si>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</si>
  <si>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</si>
  <si>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</si>
  <si>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</si>
  <si>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</si>
  <si>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</si>
  <si>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</si>
  <si>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</si>
  <si>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</si>
  <si>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1?</t>
  </si>
  <si>
    <t>Giving design advice</t>
  </si>
  <si>
    <t>role of cognitive biases in communicating design advices</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</si>
  <si>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</si>
  <si>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</si>
  <si>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</si>
  <si>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</si>
  <si>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</si>
  <si>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</si>
  <si>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</si>
  <si>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'Computing' requirements in open source software projects</t>
  </si>
  <si>
    <t>International Conference on Information Systems (ICIS 2013): Reshaping Society Through Information Systems Design</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</si>
  <si>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</si>
  <si>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</si>
  <si>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</si>
  <si>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</si>
  <si>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Idea: Interactive support for secure software development</t>
  </si>
  <si>
    <t>skill-based breakdown,
rule-based breakdown,
knowledge-based breakdown</t>
  </si>
  <si>
    <t>Program Errors</t>
  </si>
  <si>
    <t>Linking program errors and cognitive aspects</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</si>
  <si>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</si>
  <si>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</si>
  <si>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</si>
  <si>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</si>
  <si>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</si>
  <si>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</si>
  <si>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</si>
  <si>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</si>
  <si>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</si>
  <si>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</si>
  <si>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Assessing the Comprehension of UML Class Diagrams via Eye Tracking</t>
  </si>
  <si>
    <t>Class diagram comprehension</t>
  </si>
  <si>
    <t>fixations</t>
  </si>
  <si>
    <t>eye tracking
audio recording</t>
  </si>
  <si>
    <t>comprehension of UML class diagrams</t>
  </si>
  <si>
    <t>Adoption of reverse engineering tools: A cognitive perspective and methodology</t>
  </si>
  <si>
    <t>Proceedings - IEEE Workshop on Program Comprehension</t>
  </si>
  <si>
    <t>Cognitive load, working memory capacity</t>
  </si>
  <si>
    <t>Analysis of an SE task (corrective maintenance), identifying cognitive taxing activities, and the design of a software solution to provide support in these activities.</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</si>
  <si>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</si>
  <si>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</si>
  <si>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</si>
  <si>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</si>
  <si>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</si>
  <si>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</si>
  <si>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</si>
  <si>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</si>
  <si>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</si>
  <si>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Developer fluency: Achieving true mastery in software projects</t>
  </si>
  <si>
    <t>Proceedings of the ACM SIGSOFT Symposium on the Foundations of Software Engineering</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</si>
  <si>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</si>
  <si>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</si>
  <si>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</si>
  <si>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</si>
  <si>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 xml:space="preserve">Separating dimensions of developer expertise, finding ways to measure
them, and quantifying the learning curves that describe how each type of expertise is acquired. </t>
  </si>
  <si>
    <t>Abstraction and analogy in cognitive space: A software process model</t>
  </si>
  <si>
    <t>Cognitive Space Model</t>
  </si>
  <si>
    <t>Cognitive Space
Knowledge content
Cognitive growth</t>
  </si>
  <si>
    <t>integration of cognitive and development process to enhance developers' cognitive skills</t>
  </si>
  <si>
    <t>Workflow- and agent-based cognitive flow management for distributed team Cooperation</t>
  </si>
  <si>
    <t>Cognitive Flow Model</t>
  </si>
  <si>
    <t>Cognitive flow
Cognitive node</t>
  </si>
  <si>
    <t>improvmement of distributed team cooperation, duration of task,
match degree of team</t>
  </si>
  <si>
    <t>Assessing the impact of hierarchy on model understandability - A cognitive perspective</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</si>
  <si>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</si>
  <si>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</si>
  <si>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</si>
  <si>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</si>
  <si>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Gil2020a</t>
  </si>
  <si>
    <t>Engineering human-in-the-loop interactions in cyber-physical systems</t>
  </si>
  <si>
    <t>Garcia-Segura2020a</t>
  </si>
  <si>
    <t>Sustainable Decision-Making Module: Application to Public Procurement</t>
  </si>
  <si>
    <t>Journal of Civil Engineering Education</t>
  </si>
  <si>
    <t>Li2020a</t>
  </si>
  <si>
    <t>Extracting core answers using the grey wolf optimizer in community question answering</t>
  </si>
  <si>
    <t>Applied Soft Computing Journal</t>
  </si>
  <si>
    <t>Wu2020a</t>
  </si>
  <si>
    <t>The design of an equipment induction maintenance system based on AR technology</t>
  </si>
  <si>
    <t>IOP Conference Series: Earth and Environmental Science</t>
  </si>
  <si>
    <t>Sutcliffe2020a</t>
  </si>
  <si>
    <t>Known and unknown requirements in healthcare</t>
  </si>
  <si>
    <t>Gallina2020a</t>
  </si>
  <si>
    <t>Quantitative evaluation of tailoring within SPICE-compliant security-informed safety-oriented process lines</t>
  </si>
  <si>
    <t>Balazs N, Bettina S., Jehan K., Fabian F.</t>
  </si>
  <si>
    <t>Fink2020a</t>
  </si>
  <si>
    <t>It is about time: Bias and its mitigation in time-saving decisions in software development projects</t>
  </si>
  <si>
    <t>International Journal of Project Management</t>
  </si>
  <si>
    <t>Time-saving bias</t>
  </si>
  <si>
    <t>Decision accuracy for a resource allocation task</t>
  </si>
  <si>
    <t>Solving decision tasks in resource allocation scenario</t>
  </si>
  <si>
    <t xml:space="preserve">The paper shows the existence of time-saving bias among student and professionals in a resource allocation task. The paper also shows that the effect can be altered by the information available and that it is more common in Agile settings.
</t>
  </si>
  <si>
    <t>Balazs N.</t>
  </si>
  <si>
    <t>Buchan2020a</t>
  </si>
  <si>
    <t>Applying Distributed Cognition Theory to Agile Requirements Engineering</t>
  </si>
  <si>
    <t>Distributed Cognition Theory</t>
  </si>
  <si>
    <t>cognition
cognitive effort
reasoning</t>
  </si>
  <si>
    <t>Cognitively significant aspects of the ARE process</t>
  </si>
  <si>
    <t>Distributed Cognition Analysis
analyzed in terms of significant cognitive goals
(using DiCoT framework)</t>
  </si>
  <si>
    <t>central to the paper, theory is applied to Agile RE</t>
  </si>
  <si>
    <t>Paper provides evidence that Agile methods in RE (re quirements prioritization) are effective. It is carried out with the application of DC-theory, which analyzed cognitive aspects</t>
  </si>
  <si>
    <t>Bettina S.</t>
  </si>
  <si>
    <t>Zalewski2020a</t>
  </si>
  <si>
    <t>On Cognitive Biases in Requirements Elicitation</t>
  </si>
  <si>
    <t>Occurrence rate of cognitive biases in requirement eliciation report</t>
  </si>
  <si>
    <t>Students perform design task involving requirements elicitation and have to return a report on their decisions. Five judges with different backgrounds perform subjective ratings of biases observed in these reports (Angoff Method).</t>
  </si>
  <si>
    <t>Within requirements elicitation, this paper identified which cognitive biases are most and which least likely to occur out of a set of eight cognitive biases. The paper also names negative influences of the cognitve biases on requirements elicitation.</t>
  </si>
  <si>
    <t>Talib2020a</t>
  </si>
  <si>
    <t>Application of quality in use model to assess the user experience of open source digital forensics tools</t>
  </si>
  <si>
    <t>International Journal of Electronic Security and Digital Forensics</t>
  </si>
  <si>
    <t>Garcia-Holgado2020a</t>
  </si>
  <si>
    <t>An Online Sales System to Be Managed by People with Mental Illness</t>
  </si>
  <si>
    <t>Advances in Intelligent Systems and Computing</t>
  </si>
  <si>
    <t>Shinn2020a</t>
  </si>
  <si>
    <t>Refinement type contracts for verification of scientific investigative software</t>
  </si>
  <si>
    <t>Jehan K.</t>
  </si>
  <si>
    <t>Liu2020a</t>
  </si>
  <si>
    <t>Impacts of computer game concept formulation on project development processes: a FIOWA explorative case study</t>
  </si>
  <si>
    <t>Journal of Ambient Intelligence and Humanized Computing</t>
  </si>
  <si>
    <t>Fuzzy OWA (For the research calculations)</t>
  </si>
  <si>
    <t xml:space="preserve">To see if cordination and cooperation incresaes by shared concept formulation during development period - using Team Mental Models </t>
  </si>
  <si>
    <t xml:space="preserve">Team performance, coordination and communication </t>
  </si>
  <si>
    <t>Case study on a game development company</t>
  </si>
  <si>
    <t>Incorporation of Team Mental Models for the software development processes of game development - leading to more succesful development teams</t>
  </si>
  <si>
    <t>Nguyen2020a</t>
  </si>
  <si>
    <t>Augmented reality and human factors regarding the neurosurgical operating room workflow</t>
  </si>
  <si>
    <t>Proceedings of SPIE - The International Society for Optical Engineering</t>
  </si>
  <si>
    <t>Kamburjan2019a</t>
  </si>
  <si>
    <t>Tool support for validation of formal system models: Interactive visualization and requirements traceability</t>
  </si>
  <si>
    <t>Electronic Proceedings in Theoretical Computer Science, EPTCS</t>
  </si>
  <si>
    <t>Beimel2019a</t>
  </si>
  <si>
    <t>Improving the identification of functional system requirements when novice analysts create use case diagrams: the benefits of applying conceptual mental models</t>
  </si>
  <si>
    <t>Conceptual mental model</t>
  </si>
  <si>
    <t>Quality of models produced</t>
  </si>
  <si>
    <t>Task-based evaluation</t>
  </si>
  <si>
    <t>Understanding of users' mental models is assumed to improve capture, analysis, and definition of functional system requirements</t>
  </si>
  <si>
    <t>The paper shows that including a visualisation stage, where requirements analysts unpack their understanding of the users' mental models, improves analyst performance and results in better user-centred design in the requirements.</t>
  </si>
  <si>
    <t>SinghBankoti2019a</t>
  </si>
  <si>
    <t>Analysis of multitasking in divided attention using machine learning</t>
  </si>
  <si>
    <t>2019 IEEE Conference on Information and Communication Technology, CICT 2019</t>
  </si>
  <si>
    <t>Krohn2019a</t>
  </si>
  <si>
    <t>Library adoption in public software repositories</t>
  </si>
  <si>
    <t>Journal of Big Data</t>
  </si>
  <si>
    <t>cognitive effort</t>
  </si>
  <si>
    <t>cognitive activities
cognitive effort
information adoption</t>
  </si>
  <si>
    <t>modelling the use of Git activities</t>
  </si>
  <si>
    <t>central to paper</t>
  </si>
  <si>
    <t>Paper finds that library adoption, and other Git events (merge, pull, commit) requires cognitive activities. This implies higher cognitive effort and it results in temporary changes in behavior.</t>
  </si>
  <si>
    <t>Stuurman2019a</t>
  </si>
  <si>
    <t>Autism: Implications for Inclusive Education with Respect to Software Engineering</t>
  </si>
  <si>
    <t>Proceedings of the 8th Computer Science Education Research Conference</t>
  </si>
  <si>
    <t>Bianchi2019a</t>
  </si>
  <si>
    <t>Developing software beyond customer needs and plans: an exploratory study of its forms and individual-level drivers</t>
  </si>
  <si>
    <t>International Journal of Production Research</t>
  </si>
  <si>
    <t>Tripartite model of individual attitudes (social psychology): Cognitive, affective and behavioural traits. Along with Dual Processing theory.</t>
  </si>
  <si>
    <t>Cognitive style (rationality vs. intuition), emotional attachment, reliance on past experiences (knowledge).</t>
  </si>
  <si>
    <t>Tendencies to beyond needs excess (BNE) and beyond plans excess (BPE) together with strength of the mentioned cognitive concepts.</t>
  </si>
  <si>
    <t>Web-based questionnaire avoiding biases (i.e. not drawing respondents' attention to target of study), containing multiple items with descriptions that serve as indicators for BNE or BPE, and the mentioned cogn. concepts. Answers: 7-point Likert scales measures from "strongly disagree" to "strongly agree".</t>
  </si>
  <si>
    <t>Results support distinction between BNE and BPE. Paper indicates that there are different manifestations of BNE (feature-driven vs. one-size-fits-all BNE) and calls for reasearching this proposed twofold conceptualisation of BNE. It closes with several propositions on impact of the discussed cognitive phenomena.</t>
  </si>
  <si>
    <t>Couceiro2019a</t>
  </si>
  <si>
    <t>Spotting Problematic Code Lines using Nonintrusive Programmers' Biofeedback</t>
  </si>
  <si>
    <t>2019 IEEE 30th International Symposium on Software Reliability Engineering (ISSRE)</t>
  </si>
  <si>
    <t>Cognitive Load of programmers during coding (reading and assesment)</t>
  </si>
  <si>
    <t>Mental and cognitive state, code comprehension and cognitive load.</t>
  </si>
  <si>
    <t>Pupillography and heart rate variability (HRV) of selected programmers on task performance of various complexities</t>
  </si>
  <si>
    <t>Code annotation on particular lines of code.</t>
  </si>
  <si>
    <t>To improve the human error rate in software testing and code comprehension.</t>
  </si>
  <si>
    <t>Anu2019a</t>
  </si>
  <si>
    <t>Developing and Evaluating Learning Materials to Introduce Human Error Concepts in Software Engineering Courses: Results from Industry and Academia</t>
  </si>
  <si>
    <t>2019 IEEE Frontiers in Education Conference (FIE)</t>
  </si>
  <si>
    <t>Lee2019a</t>
  </si>
  <si>
    <t>How prior knowledge affects problem-solving performance in a medical simulation game: Using game-logs and eye-tracking</t>
  </si>
  <si>
    <t>Winter2019a</t>
  </si>
  <si>
    <t>Using Visualization to Reduce the Cognitive Load of Threshold Concepts in Computer Programming</t>
  </si>
  <si>
    <t>Castillo2019a</t>
  </si>
  <si>
    <t>Optimization Model for Development of Digital Interactive Exercises for Cognitive Rehabilitation</t>
  </si>
  <si>
    <t>2019 Congreso Internacional de Innovaci{\'o}n y Tendencias en Ingenieria (CONIITI )</t>
  </si>
  <si>
    <t>Sun2019a</t>
  </si>
  <si>
    <t>Virtual Training and Ergonomics Evaluation System for Industrial Production Safety Based on Visible Light Communication</t>
  </si>
  <si>
    <t>International Conference on Communication Technology Proceedings, ICCT</t>
  </si>
  <si>
    <t>Cardona2019a</t>
  </si>
  <si>
    <t>Remedial Training with Learning Objects to Reduce Dyslexia in Children</t>
  </si>
  <si>
    <t>Proceedings - 2019 International Conference on Inclusive Technologies and Education, CONTIE 2019</t>
  </si>
  <si>
    <t>Brandao2019a</t>
  </si>
  <si>
    <t>Workshop: Visual programming as a bridge to textual programming: Managing an integrated Web course with automatic assessment</t>
  </si>
  <si>
    <t>Proceedings - Frontiers in Education Conference, FIE</t>
  </si>
  <si>
    <t>Maciel2019a</t>
  </si>
  <si>
    <t>ADORE: An Adaptation-Oriented Requirement Modeling Approach for Systems of Systems</t>
  </si>
  <si>
    <t>Proceedings of the XXXIII Brazilian Symposium on Software Engineering</t>
  </si>
  <si>
    <t>Dogan2019a</t>
  </si>
  <si>
    <t>Investigating the Validity of Ground Truth in Code Reviewer Recommendation Studies</t>
  </si>
  <si>
    <t>2019 ACM/IEEE International Symposium on Empirical Software Engineering and Measurement (ESEM)</t>
  </si>
  <si>
    <t>Baum2019a</t>
  </si>
  <si>
    <t>Associating working memory capacity and code change ordering with code review performance</t>
  </si>
  <si>
    <t>Working memory capacity, cognitive and mental load.</t>
  </si>
  <si>
    <t>Efficiency and effectiveness in defect detection, working memory capacity.</t>
  </si>
  <si>
    <t>Browser-based experiment, where participants have to solve three code review tasks and answer understanding questions. Additional defects had been seeded to code and different ordering of code change-parts investigated. Extra test to assess working memory capacity.</t>
  </si>
  <si>
    <t>Moderate association between working memory capacity and the effectiveness of finding delocalised defects. Confirmed: larger code changes --&gt; lower code review effectiveness. Possible: effect of change part ordering (but no statistical significance reached).</t>
  </si>
  <si>
    <t>Salman2018a</t>
  </si>
  <si>
    <t>A controlled experiment on time pressure and confirmation bias in functional software testing</t>
  </si>
  <si>
    <t>Confirmation bias (time pressure).</t>
  </si>
  <si>
    <t>Confirmation bias and the effect of time pressure in software testing procedures through number of consistent test cases (c), number of inconsistent test cases (ic), temporal demand.</t>
  </si>
  <si>
    <t>Subjects design functional tests, researcher classify these test cases to assess confirmation bias. Questionnaire (NASA TLX) for assessing temporal demand via perceived task difficulty.</t>
  </si>
  <si>
    <t xml:space="preserve">Although it was seen that participants tend to design conformatory tests rather that disconfirmatory ones, overall no apparent change in biases with added time pressure. </t>
  </si>
  <si>
    <t>Supoo2019a</t>
  </si>
  <si>
    <t>Brainwave activity and cognitive performance investigated by meditation yoga</t>
  </si>
  <si>
    <t>Proceedings of the 16th International Conference on Electrical Engineering/Electronics, Computer, Telecommunications and Information Technology, ECTI-CON 2019</t>
  </si>
  <si>
    <t>Pollack2019a</t>
  </si>
  <si>
    <t>Creating synthetic patient data to support the design and evaluation of novel health information technology</t>
  </si>
  <si>
    <t>Journal of Biomedical Informatics</t>
  </si>
  <si>
    <t>RodriguesSantos2019a</t>
  </si>
  <si>
    <t>Comparing the influence of using feature-oriented programming and conditional compilation on comprehending feature-oriented software</t>
  </si>
  <si>
    <t>Understanding of software code (related to bug fixing tasks)</t>
  </si>
  <si>
    <t>Task-based
- understanding
- correctness
- response-time</t>
  </si>
  <si>
    <t>No differences between feature-oriented programming and conditional compilation on comprehending feature-oriented software were found. The paper provides a more robust research design for studying feature-oriented programming and conditional compilation.</t>
  </si>
  <si>
    <t>Couceiro2019b</t>
  </si>
  <si>
    <t>Pupillography as Indicator of Programmers' Mental Effort and Cognitive Overload</t>
  </si>
  <si>
    <t>2019 49th Annual IEEE/IFIP International Conference on Dependable Systems and Networks (DSN)</t>
  </si>
  <si>
    <t>mental effort
cognitive overload
cognitive human error modes</t>
  </si>
  <si>
    <t>cognitive load (by puppilography)
mental effort by NASA-TLX</t>
  </si>
  <si>
    <t>Pupillography
NASA-TLX</t>
  </si>
  <si>
    <t>Paper found evidence that pupillography is effective to measure programmers' mental effort. MEntal effort and cognitive load is consistent with the subjective perception of complexity and load.</t>
  </si>
  <si>
    <t>Yalcinkaya2019a</t>
  </si>
  <si>
    <t>VisualCOBie for facilities management: A BIM integrated, visual search and information management platform for COBie extension</t>
  </si>
  <si>
    <t>Facilities</t>
  </si>
  <si>
    <t>Helgesson2019a</t>
  </si>
  <si>
    <t>Cognitive Load Drivers in Large Scale Software Development</t>
  </si>
  <si>
    <t>2019 IEEE/ACM 12th International Workshop on Cooperative and Human Aspects of Software Engineering (CHASE)</t>
  </si>
  <si>
    <t>Cognitive load.</t>
  </si>
  <si>
    <t>Software engineers' perception of information systems (=tools).</t>
  </si>
  <si>
    <t>Semistructured interviews about a test management tool.</t>
  </si>
  <si>
    <t>Observation of cognitive problems associated with tool use in large-scale SE. Identified categories of cognitive load drivers: Tools, Information, Work/Process.</t>
  </si>
  <si>
    <t>Ahrens2019a</t>
  </si>
  <si>
    <t>Attention in Software Maintenance: An Eye Tracking Study</t>
  </si>
  <si>
    <t>2019 IEEE/ACM 6th International Workshop on Eye Movements in Programming (EMIP)</t>
  </si>
  <si>
    <t>Cognitive load, visual effort and attention in software maintenance (esp with legacy code)</t>
  </si>
  <si>
    <t xml:space="preserve">Attention/cognition according to visual load </t>
  </si>
  <si>
    <t>Eye tracking during tasks</t>
  </si>
  <si>
    <t>With attention based visualizations added in the software tasks, the results varied. No overall consencus that adding visualizations helped in hugh attention areas.</t>
  </si>
  <si>
    <t>Couceiro2019c</t>
  </si>
  <si>
    <t>Biofeedback Augmented Software Engineering: Monitoring of Programmers' Mental Effort</t>
  </si>
  <si>
    <t>2019 IEEE/ACM 41st International Conference on Software Engineering: New Ideas and Emerging Results (ICSE-NIER)</t>
  </si>
  <si>
    <t>Mental effort
Cognitive load</t>
  </si>
  <si>
    <t>Psychophysiological indicators of cognitive load
Subjective rating of program understanding
Subjective rating of mental effort</t>
  </si>
  <si>
    <t>Heart rate variability (HRV)
Questionnaire on program understanding
NASA-TLX questionnaire on mental effort</t>
  </si>
  <si>
    <t>HRV was found to be a good predictor for cognitive load during code analysis. Code complexity metrics did not correlate fully with mental effort and does not seems to be a good indicator of subjective perception.</t>
  </si>
  <si>
    <t>Goncales2019a</t>
  </si>
  <si>
    <t>Measuring the Cognitive Load of Software Developers: A Systematic Mapping Study</t>
  </si>
  <si>
    <t>2019 IEEE/ACM 27th International Conference on Program Comprehension (ICPC)</t>
  </si>
  <si>
    <t>SLR</t>
  </si>
  <si>
    <t>Huang2019a</t>
  </si>
  <si>
    <t>Distilling Neural Representations of Data Structure Manipulation using fMRI and fNIRS</t>
  </si>
  <si>
    <t>2019 IEEE/ACM 41st International Conference on Software Engineering (ICSE)</t>
  </si>
  <si>
    <t>cognitive processes
cognitive load</t>
  </si>
  <si>
    <t>cognitive process of data structure manipulation</t>
  </si>
  <si>
    <t>examine data structures and mental rotation tasks using both fNIRS and fMRI</t>
  </si>
  <si>
    <t>Data structures and spatial ability operations were found to be related. Difficulty matters for data structure tasks, increase in cognitive load.</t>
  </si>
  <si>
    <t>Hong2019a</t>
  </si>
  <si>
    <t>The effect of the ``Prediction-observation-quiz-explanation'' inquiry-based e-learning model on flow experience in green energy learning</t>
  </si>
  <si>
    <t>Computers and Education</t>
  </si>
  <si>
    <t>Liang2019a</t>
  </si>
  <si>
    <t>A neuromorphic computational primitive for robust context-dependent decision making and context-dependent stochastic computation</t>
  </si>
  <si>
    <t>IEEE Transactions on Circuits and Systems II: Express Briefs</t>
  </si>
  <si>
    <t>Brenner2019a</t>
  </si>
  <si>
    <t>Balancing Resources and Load: Eleven Nontechnical Phenomena that Contribute to Formation or Persistence of Technical Debt</t>
  </si>
  <si>
    <t>2019 IEEE/ACM International Conference on Technical Debt (TechDebt)</t>
  </si>
  <si>
    <t>Cognitive biases.</t>
  </si>
  <si>
    <t>[Non-technical sources of technical debt, mainly cognitive biases.]</t>
  </si>
  <si>
    <t>Observations made by author during his 40-year long career, no "hard-data".</t>
  </si>
  <si>
    <t>Paper identifies eleven nontechnical phenomena that lead to technical debt and it provides suggestions for further research topics / studies.</t>
  </si>
  <si>
    <t>Molleri2019a</t>
  </si>
  <si>
    <t>Experiences of studying attention through EEG in the context of review tasks</t>
  </si>
  <si>
    <t>Effectiveness of the EEG Machine as a measurement tool</t>
  </si>
  <si>
    <t xml:space="preserve">Using EEG as the main tool in task performance </t>
  </si>
  <si>
    <t>For the future use of EEG in SE measuring experiments it was found that while using EEG in attention based tasks it is better to focus on single tasks.</t>
  </si>
  <si>
    <t>Wang2019a</t>
  </si>
  <si>
    <t>Exploring Relationships Between Eye Tracking and Traditional Usability Testing Data</t>
  </si>
  <si>
    <t>International Journal of Human-Computer Interaction</t>
  </si>
  <si>
    <t>Salman2019b</t>
  </si>
  <si>
    <t>Energy aware wireless system based software defined radio</t>
  </si>
  <si>
    <t>IEEE Vehicular Technology Conference</t>
  </si>
  <si>
    <t>Ioannis2019a</t>
  </si>
  <si>
    <t>Gender and student course preferences and course performance in Computer Science departments: A case study</t>
  </si>
  <si>
    <t>Education and Information Technologies</t>
  </si>
  <si>
    <t>DaSilva2019a</t>
  </si>
  <si>
    <t>A Unified 2D/3D Large-Scale Software Environment for Nonlinear Inverse Problems</t>
  </si>
  <si>
    <t>ACM Transactions on Mathematical Software</t>
  </si>
  <si>
    <t>Kalpanadevi2019a</t>
  </si>
  <si>
    <t>Design and implementation of human-computer interface based cognitive model for examine the skill factor of students</t>
  </si>
  <si>
    <t>Proceedings of the 3rd International Conference on Computing Methodologies and Communication, ICCMC 2019</t>
  </si>
  <si>
    <t>Hansen2019a</t>
  </si>
  <si>
    <t>Informed collaboration in health care: An embedded-cases study in geriatric telepsychiatry</t>
  </si>
  <si>
    <t>Perez-Gonzalez2018a</t>
  </si>
  <si>
    <t>Investigating the Effects of Personality on Software Design in a Higher Education Setting Through an Experiment</t>
  </si>
  <si>
    <t>2018 6th International Conference in Software Engineering Research and Innovation (CONISOFT)</t>
  </si>
  <si>
    <t>Oberhauser2019a</t>
  </si>
  <si>
    <t>Towards gamifying software structure comprehension in virtual reality</t>
  </si>
  <si>
    <t>Mechatronic Systems and Control</t>
  </si>
  <si>
    <t>Could not download</t>
  </si>
  <si>
    <t>Holler2019a</t>
  </si>
  <si>
    <t>MEEGIPS---A modular EEG investigation and processing system for visual and automated detection of high frequency oscillations</t>
  </si>
  <si>
    <t>Frontiers in Neuroinformatics</t>
  </si>
  <si>
    <t>Raptis2019a</t>
  </si>
  <si>
    <t>Do game designers' decisions related to visual activities affect knowledge acquisition in cultural heritage games? An evaluation from a human cognitive processing perspective</t>
  </si>
  <si>
    <t>Journal on Computing and Cultural Heritage</t>
  </si>
  <si>
    <t>Cassenti2019a</t>
  </si>
  <si>
    <t>Cognitive Processing of Visually Presented Data in Decision Making</t>
  </si>
  <si>
    <t>Human Factors</t>
  </si>
  <si>
    <t>Thorpe2019a</t>
  </si>
  <si>
    <t>Assessing Game Interface Workload and Usability: A Cognitive Science Perspective</t>
  </si>
  <si>
    <t>Ramirez2018a</t>
  </si>
  <si>
    <t>Requirements Engineering to Design a Brain-Computer Interface for Cognitive Training</t>
  </si>
  <si>
    <t>2018 7th International Conference On Software Process Improvement (CIMPS)</t>
  </si>
  <si>
    <t>Gatti2019a</t>
  </si>
  <si>
    <t>Education for sustainable development through business simulation games: An exploratory study of sustainability gamification and its effects on students' learning outcomes</t>
  </si>
  <si>
    <t>Journal of Cleaner Production</t>
  </si>
  <si>
    <t>Grobbelaar2018a</t>
  </si>
  <si>
    <t>The Effects of a Software Artefact Designed to Stimulate Abstract Thinking Ability on the Academic Performance in Object Oriented Programming of First Year Information Technology Students</t>
  </si>
  <si>
    <t>2018 International Conference on Intelligent and Innovative Computing Applications (ICONIC)</t>
  </si>
  <si>
    <t>Jin2019a</t>
  </si>
  <si>
    <t>Program Comprehension: Present and Future [ç¨‹åº_x008f_ç_x0090_†è§£: çŽ°çŠ¶ä¸Žæœªæ_x009d_¥]</t>
  </si>
  <si>
    <t>Ruan Jian Xue Bao/Journal of Software</t>
  </si>
  <si>
    <t>Kude2019a</t>
  </si>
  <si>
    <t>How pair programming influences team performance: The role of backup behavior, shared mental models, and task novelty</t>
  </si>
  <si>
    <t>Shared mental models and backup behaviour in teamwork / team cognition.</t>
  </si>
  <si>
    <t>Performance in pair programming tasks.</t>
  </si>
  <si>
    <t>Observation of pair programming in an actual company.</t>
  </si>
  <si>
    <t>The effect of pair programming on the cognitive structures in teams, for better overall performance.</t>
  </si>
  <si>
    <t>Application of the most effective method of pair programming for teams.</t>
  </si>
  <si>
    <t>Huang2019b</t>
  </si>
  <si>
    <t>Development of Cognitive Training Program with EEG Headset</t>
  </si>
  <si>
    <t>IEEE Access</t>
  </si>
  <si>
    <t>Schmidt2019a</t>
  </si>
  <si>
    <t>Towards readability aspects of probabilistic mode automata</t>
  </si>
  <si>
    <t>ENASE 2019 - Proceedings of the 14th International Conference on Evaluation of Novel Approaches to Software Engineering</t>
  </si>
  <si>
    <t>Somma2019a</t>
  </si>
  <si>
    <t>Assessment and assisted training software for ADHD</t>
  </si>
  <si>
    <t>Kegel2019a</t>
  </si>
  <si>
    <t>Towards more individualized interfaces: Automating the assessment of computer literacy</t>
  </si>
  <si>
    <t>Fattoruso2019a</t>
  </si>
  <si>
    <t>Using ELECTRE to analyse the behaviour of economic agents</t>
  </si>
  <si>
    <t>Soft Computing</t>
  </si>
  <si>
    <t>Freddi2019a</t>
  </si>
  <si>
    <t>Design methods</t>
  </si>
  <si>
    <t>Springer Tracts in Mechanical Engineering</t>
  </si>
  <si>
    <t>Lachman2019a</t>
  </si>
  <si>
    <t>The Subjective Cost of Writing Reusable Code: The Case of Functions</t>
  </si>
  <si>
    <t>dual-process theory</t>
  </si>
  <si>
    <t>cognitive effort
subjective cost (value-based subjective cost of effort)
decision making</t>
  </si>
  <si>
    <t>cognitive effort
decision-making on using fuctions in coding tasks judging by its subjective cost</t>
  </si>
  <si>
    <t>15 coding tasks</t>
  </si>
  <si>
    <t>Paper tries to provide explanation for the tendency that students usually do not use functions in programming. The paper finds that the observation supports this idea.</t>
  </si>
  <si>
    <t>daSilva2019a</t>
  </si>
  <si>
    <t>Satisfaction analysis for using educational serious games for teaching wound treatment</t>
  </si>
  <si>
    <t>Foroughi2019a</t>
  </si>
  <si>
    <t>An intelligent agent architecture to influence home users{\rq} risky behaviours</t>
  </si>
  <si>
    <t>Saulynas2019a</t>
  </si>
  <si>
    <t>Understanding and supporting individuals experiencing severely constraining situational impairments</t>
  </si>
  <si>
    <t>Universal Access in the Information Society</t>
  </si>
  <si>
    <t>McLachlan2019a</t>
  </si>
  <si>
    <t>Field development: Agile value optimisation</t>
  </si>
  <si>
    <t>Proceedings of the Annual Offshore Technology Conference</t>
  </si>
  <si>
    <t>Bakaev2019a</t>
  </si>
  <si>
    <t>Data Compression Algorithms in Analysis of UI Layouts Visual Complexity</t>
  </si>
  <si>
    <t>Belden2019a</t>
  </si>
  <si>
    <t>Designing a medication timeline for patients and physicians</t>
  </si>
  <si>
    <t>Journal of the American Medical Informatics Association</t>
  </si>
  <si>
    <t>Nuthakki2019a</t>
  </si>
  <si>
    <t>The Development and Usability Testing of a Decision Support Mobile App for the Essential Care for Every Baby (ECEB) Program</t>
  </si>
  <si>
    <t>Communications in Computer and Information Science</t>
  </si>
  <si>
    <t>Huang2018a</t>
  </si>
  <si>
    <t>Cognitive training to improve problem solving with EEG headset</t>
  </si>
  <si>
    <t>Proceedings - 2018 International Conference on Computational Science and Computational Intelligence, CSCI 2018</t>
  </si>
  <si>
    <t>Hnatkowska2018a</t>
  </si>
  <si>
    <t>Universal Framework for OWL2 Ontology Transformations</t>
  </si>
  <si>
    <t>Foundations of Computing and Decision Sciences</t>
  </si>
  <si>
    <t>Gambino2018a</t>
  </si>
  <si>
    <t>A framework for data-driven adaptive GUI generation based on DICOM</t>
  </si>
  <si>
    <t>Anu2018a</t>
  </si>
  <si>
    <t>Development of a human error taxonomy for software requirements: A systematic literature review</t>
  </si>
  <si>
    <t>Sanchez-Morales2018a</t>
  </si>
  <si>
    <t>Interactive interface and serious game for the detection of deficiencies in cognitive functions in preschool children.</t>
  </si>
  <si>
    <t>Fakhoury2018a</t>
  </si>
  <si>
    <t>Moving towards Objective Measures of Program Comprehension</t>
  </si>
  <si>
    <t>Proceedings of the 2018 26th ACM Joint Meeting on European Software Engineering Conference and Symposium on the Foundations of Software Engineering</t>
  </si>
  <si>
    <t>Physiological indications of cognitive load</t>
  </si>
  <si>
    <t>fNIRS
Eye tracking
Survey/questionnaire</t>
  </si>
  <si>
    <t>The paper describes a study design for investigating cognitive load using physiological measurements (fNIRS and Eye tracking). The paper seems to be only a pilot study.</t>
  </si>
  <si>
    <t>Barisic2018a</t>
  </si>
  <si>
    <t>Evaluating the efficiency of using a search-based automated model merge technique</t>
  </si>
  <si>
    <t>2018 IEEE Symposium on Visual Languages and Human-Centric Computing (VL/HCC)</t>
  </si>
  <si>
    <t>Cognitive effort, performance, and subjective experience of a task performed with a specific DSL tool</t>
  </si>
  <si>
    <t>Task duration
Task success
NASA TLX (cognitive effort)
Satisfaction questionnaire
Preference questionnaire</t>
  </si>
  <si>
    <t>Measures the usability for developers of a proposed DSL tool</t>
  </si>
  <si>
    <t>The paper shows that a tool for automatically merging models has advantages in terms of satisfaction and cognitive effort. The paper is an example of a usability evaluation of a development tool.</t>
  </si>
  <si>
    <t>Ghazi2018a</t>
  </si>
  <si>
    <t>An Experimental Comparison of Two Navigation Techniques for Requirements Modeling Tools</t>
  </si>
  <si>
    <t>2018 IEEE 26th International Requirements Engineering Conference (RE)</t>
  </si>
  <si>
    <t>cognitive load
memory usage</t>
  </si>
  <si>
    <t>search path analysis
to analyze memory usage, the taken notes on paper during task-performance were observed</t>
  </si>
  <si>
    <t>One aspect of the comparison, helps to understand why the second method works better</t>
  </si>
  <si>
    <t>Paper compares two navigation techniques (traditional scroll+zoom and FlexiView) and concludes that the second outperformed de traditional.</t>
  </si>
  <si>
    <t>Staehli2018a</t>
  </si>
  <si>
    <t>Turbulence ahead - A 3D web-based aviation weather visualizer</t>
  </si>
  <si>
    <t>UIST 2018 - Proceedings of the 31st Annual ACM Symposium on User Interface Software and Technology</t>
  </si>
  <si>
    <t>Persiani2018a</t>
  </si>
  <si>
    <t>A working memory model improves cognitive control in agents and robots</t>
  </si>
  <si>
    <t>Cognitive Systems Research</t>
  </si>
  <si>
    <t>Ahmar2018a</t>
  </si>
  <si>
    <t>The Visual Variables in UML: How Are They Used by Women?</t>
  </si>
  <si>
    <t>Proceedings of the 12th European Conference on Software Architecture: Companion Proceedings</t>
  </si>
  <si>
    <t>Visual perception.</t>
  </si>
  <si>
    <t>Usage of visual variables in UML models (focus on female developers).</t>
  </si>
  <si>
    <t>Study of +3500 UML diagrams in GitHub models repository with respect to visual variations and visual variables. Trying to find out gender of model author via their profile.</t>
  </si>
  <si>
    <t>Not too clear. This paper does not really elaborate conclusions on visual perception from their findings about UML models.</t>
  </si>
  <si>
    <t xml:space="preserve">In 22% of studied UML models (men and women), visual variation is significantly used. The most used visual variable is colour. </t>
  </si>
  <si>
    <t>Anutariya2018a</t>
  </si>
  <si>
    <t>VizLOD: Schema Extraction and Visualization of Linked Open Data</t>
  </si>
  <si>
    <t>2018 15th International Joint Conference on Computer Science and Software Engineering (JCSSE)</t>
  </si>
  <si>
    <t>Pretorius2018a</t>
  </si>
  <si>
    <t>Towards a Dual Processing Perspective of Software Architecture Decision Making</t>
  </si>
  <si>
    <t>2018 IEEE International Conference on Software Architecture Companion (ICSA-C)</t>
  </si>
  <si>
    <t>Decision making using intuition and rationality</t>
  </si>
  <si>
    <t>Use of intuition as a key tool in decsion making.</t>
  </si>
  <si>
    <t>To address research gaps regarding intuition.</t>
  </si>
  <si>
    <t>Manjunath2018a</t>
  </si>
  <si>
    <t>Decision Making and Cognitive Biases in Designing Software Architectures</t>
  </si>
  <si>
    <t>Proceedings - 2018 IEEE 15th International Conference on Software Architecture Companion, ICSA-C 2018</t>
  </si>
  <si>
    <t>Decision-making
Cognitive bias</t>
  </si>
  <si>
    <t>Used to create an analytical framework</t>
  </si>
  <si>
    <t>The paper develops an analytical framework to help point to stages in a decision-making process that may be prone to cognitive biases.</t>
  </si>
  <si>
    <t>Bennett2018a</t>
  </si>
  <si>
    <t>Ecological Interface Design for Computer Network Defense</t>
  </si>
  <si>
    <t>Doukakis2018a</t>
  </si>
  <si>
    <t>Assessing attention in visual and textual programming using neuroeducation approaches</t>
  </si>
  <si>
    <t>Annual Conference on Innovation and Technology in Computer Science Education, ITiCSE</t>
  </si>
  <si>
    <t>Abad2018a</t>
  </si>
  <si>
    <t>Task interruption in software development projects: What makes some interruptions more disruptive than others?</t>
  </si>
  <si>
    <t>Proceedings of the 22nd International Conference on Evaluation and Assessment in Software Engineering 2018</t>
  </si>
  <si>
    <t>Attention.</t>
  </si>
  <si>
    <t>Vulnerability of SE tasks to interruptions, dependent on suspension length and number of nested interruptions.</t>
  </si>
  <si>
    <t xml:space="preserve">Longitudinal data analysis of recorded task logs and interruptions. Survey (multiple choice, Likert scale, open-ended questions). </t>
  </si>
  <si>
    <t>Provides ground for investigating task interruptions, but there is no measurement of e.g. cognitive load itself.</t>
  </si>
  <si>
    <t>Programming and testing tasks are more vulnerable to interruptions compared to architecture and UI design tasks. In contrary to developers' own assessment, self-interruptions' impact is found to be worse than external-interruptions'.</t>
  </si>
  <si>
    <t>Abad2018b</t>
  </si>
  <si>
    <t>Two Sides of the Same Coin: Software Developers{\rq} Perceptions of Task Switching and Task Interruption</t>
  </si>
  <si>
    <t xml:space="preserve"> Attention, cognitive cost and memory load.</t>
  </si>
  <si>
    <t>Perception and experience of developers' during task interuptions and switching.</t>
  </si>
  <si>
    <t>Surveys and open ended questions on experiences of developers.</t>
  </si>
  <si>
    <t>Determines that in most cases task swtcihing is seen as disruptive due to high cognitive cost and disruption in flow.</t>
  </si>
  <si>
    <t>Validates previous research into task disruptions and iteruptions.</t>
  </si>
  <si>
    <t>Rachanioti2018a</t>
  </si>
  <si>
    <t>Cognitive Games for Children{\rq}s Executive Functions Training with or without Learning Difficulties: An Overview</t>
  </si>
  <si>
    <t>Proceedings of the 8th International Conference on Software Development and Technologies for Enhancing Accessibility and Fighting Info-Exclusion</t>
  </si>
  <si>
    <t>Behroozi2018a</t>
  </si>
  <si>
    <t>Can we predict stressful technical interview settings through eye-tracking?</t>
  </si>
  <si>
    <t>Proceedings of the Workshop on Eye Movements in Programming</t>
  </si>
  <si>
    <t>Stress
Cognitive load</t>
  </si>
  <si>
    <t>Indications of stresss</t>
  </si>
  <si>
    <t>Self-reported stress rating
Eye movement saccades</t>
  </si>
  <si>
    <t>The paper find that self-reported stress ratings can be predicted from saccade-based eye movement measurements in a setting similar to a technical recruitment interview.</t>
  </si>
  <si>
    <t>Awano2018a</t>
  </si>
  <si>
    <t>Objective evaluation of impression of faces with various female hairstyles using field of visual perception</t>
  </si>
  <si>
    <t>IEICE Transactions on Information and Systems</t>
  </si>
  <si>
    <t>Avrunin2018a</t>
  </si>
  <si>
    <t>Toward Improving Surgical Outcomes by Incorporating Cognitive Load Measurement into Process-Driven Guidance</t>
  </si>
  <si>
    <t>2018 IEEE/ACM International Workshop on Software Engineering in Healthcare Systems (SEHS)</t>
  </si>
  <si>
    <t>Fakhoury2018b</t>
  </si>
  <si>
    <t>The Effect of Poor Source Code Lexicon and Readability on Developers' Cognitive Load</t>
  </si>
  <si>
    <t>2018 IEEE/ACM 26th International Conference on Program Comprehension (ICPC)</t>
  </si>
  <si>
    <t>cognitive effort
program comprehension
cognitive load</t>
  </si>
  <si>
    <t>developers' cognitive load</t>
  </si>
  <si>
    <t>measured by fNIRS
cognitive load mapping with eye-tracking</t>
  </si>
  <si>
    <t>The paper is to find evidence that poor source code lexicon, readibility and linguistic antipatterns increase developers' cognitive load. In fact, the paper concludes this hypothesis based on their research.</t>
  </si>
  <si>
    <t>Rodriguez2018a</t>
  </si>
  <si>
    <t>Empirical Study on the Relationship Between Developer's Working Habits and Efficiency</t>
  </si>
  <si>
    <t>2018 IEEE/ACM 15th International Conference on Mining Software Repositories (MSR)</t>
  </si>
  <si>
    <t>Attention, motivation, fatigue.</t>
  </si>
  <si>
    <t>Active time spent in IDE, failure and success rates when building or debugging a program.</t>
  </si>
  <si>
    <t>Studying data set obtained with CARET platform, which records events and contextual information  during developer's use of Visual Studio.</t>
  </si>
  <si>
    <t>Comes here more as an implication of the study results, which focus on working hours and efficiency.</t>
  </si>
  <si>
    <t>Correlations between developer working habits and work efficiency. The efficiency decreases if developer works continuously for more than two hours.</t>
  </si>
  <si>
    <t>Behroozi2018b</t>
  </si>
  <si>
    <t>Dazed: Measuring the Cognitive Load of Solving Technical Interview Problems at the Whiteboard</t>
  </si>
  <si>
    <t>2018 IEEE/ACM 40th International Conference on Software Engineering: New Ideas and Emerging Technologies Results (ICSE-NIER)</t>
  </si>
  <si>
    <t>Cognitive Load, attention spans and stress.</t>
  </si>
  <si>
    <t xml:space="preserve">Cognitive state </t>
  </si>
  <si>
    <t xml:space="preserve">Eyetracking </t>
  </si>
  <si>
    <t>To understand the stress induced by recruitment tactics like whiteboard solving for problems.</t>
  </si>
  <si>
    <t>Impact of interview techniques in technical interviews. Problem solving through using whiteboards can be stressfull and better interview techniques should be considered.</t>
  </si>
  <si>
    <t>Peitek2018a</t>
  </si>
  <si>
    <t>A Neuro-Cognitive Perspective of Program Comprehension</t>
  </si>
  <si>
    <t>2018 IEEE/ACM 40th International Conference on Software Engineering: Companion (ICSE-Companion)</t>
  </si>
  <si>
    <t>The paper outlines a research agenda in which fMRI is used to investigate program comprehension.</t>
  </si>
  <si>
    <t>Gopalakrishnan2017a</t>
  </si>
  <si>
    <t>Quiver --- An intelligent decision support system for software architecture and design</t>
  </si>
  <si>
    <t>2017 International Conference On Smart Technologies For Smart Nation (SmartTechCon)</t>
  </si>
  <si>
    <t>decision making</t>
  </si>
  <si>
    <t>provides tool/framework for the proposed method</t>
  </si>
  <si>
    <t>The paper gives a method (a prototype at that stage) of Decision Support Systems that can be applied within the organization. They conclude that the approach is effective</t>
  </si>
  <si>
    <t>Liaskos2018a</t>
  </si>
  <si>
    <t>Comparing Alternative Goal Model Visualizations for Decision Making: An Exploratory Experiment</t>
  </si>
  <si>
    <t>Proceedings of the 33rd Annual ACM Symposium on Applied Computing</t>
  </si>
  <si>
    <t>Cognitive fit theory.</t>
  </si>
  <si>
    <t>Decision making.</t>
  </si>
  <si>
    <t xml:space="preserve">Accuracy, efficiency and confidence in decision making based on differently visualised goal models. </t>
  </si>
  <si>
    <t>Task-based: Participants, randomly assigned to three groups with each a different kind of visualisation, individually perform a decision task.</t>
  </si>
  <si>
    <t>A combination of pie- and bar- charts seems to lead to more accurate decision making, with higher efficiency and more confidence than for 'treemaps' or 'goal diagrams'.</t>
  </si>
  <si>
    <t>Shepperd2018a</t>
  </si>
  <si>
    <t>An Experimental Evaluation of a De-Biasing Intervention for Professional Software Developers</t>
  </si>
  <si>
    <t>Reducing biases, anchoring and judgement biases.</t>
  </si>
  <si>
    <t>The impact of increased awareness of cognitive biases on the reduction of such biases (i.e., de-biasing)</t>
  </si>
  <si>
    <t>An intervention workshop was run and an experiment conducted to see the effectiveness of the new awareness on rate of practical biases for professionals.</t>
  </si>
  <si>
    <t>Reduction of biases through interventions.</t>
  </si>
  <si>
    <t>Proven that de-biasing workshops can significantly reduce -but
not eliminate - the anchoring bias.</t>
  </si>
  <si>
    <t>Peck2018a</t>
  </si>
  <si>
    <t>The effect of gender body-swap illusions on working memory and stereotype threat</t>
  </si>
  <si>
    <t>IEEE Transactions on Visualization and Computer Graphics</t>
  </si>
  <si>
    <t>DeLuca2018a</t>
  </si>
  <si>
    <t>Improving Cognitive Function in Patients with Stroke: Can Computerized Training Be the Future?</t>
  </si>
  <si>
    <t>Journal of Stroke and Cerebrovascular Diseases</t>
  </si>
  <si>
    <t>Ross2018a</t>
  </si>
  <si>
    <t>Measuring working memory load effects on electrophysiological markers of attention orienting during a simulated drive</t>
  </si>
  <si>
    <t>Ergonomics</t>
  </si>
  <si>
    <t>Lee2018a</t>
  </si>
  <si>
    <t>Mining biometric data to predict programmer expertise and task difficulty</t>
  </si>
  <si>
    <t>Cluster Computing</t>
  </si>
  <si>
    <t>Task difficulty
Programmer expertise
Cognitive load
Mental workload</t>
  </si>
  <si>
    <t>Programmer expertise
Cognitive load</t>
  </si>
  <si>
    <t>NASA TLX
Eye tracking
EEG
Video recording
Think-aloud protocol</t>
  </si>
  <si>
    <t>Task difficulty and programmer expertise could be predicted from EEG and eye tracking measurements.</t>
  </si>
  <si>
    <t>HabibahAbdRani2018a</t>
  </si>
  <si>
    <t>Influence of Demographic Factors on Memory and Attention (Cognitive Ability) among Hearing-Impaired</t>
  </si>
  <si>
    <t>MATEC Web of Conferences</t>
  </si>
  <si>
    <t>Mclaughlin2018a</t>
  </si>
  <si>
    <t>The feasibility and potential impact of brain training games on cognitive and emotional functioning in middle-aged adults</t>
  </si>
  <si>
    <t>Games for Health Journal</t>
  </si>
  <si>
    <t>Storrle2016a</t>
  </si>
  <si>
    <t>1 (orig)</t>
  </si>
  <si>
    <t>Mohanani2018a</t>
  </si>
  <si>
    <t>Cognitive Biases in Software Engineering: A Systematic Mapping Study</t>
  </si>
  <si>
    <t>Broccia2018a</t>
  </si>
  <si>
    <t>An Algorithm for Simulating Human Selective Attention</t>
  </si>
  <si>
    <t>Obaidellah2018a</t>
  </si>
  <si>
    <t>A survey on the usage of eye-Tracking in computer programming</t>
  </si>
  <si>
    <t>ACM Computing Surveys</t>
  </si>
  <si>
    <t>Buchmann2018a</t>
  </si>
  <si>
    <t>BXtend - a framework for (bidirectional) incremental model transformations</t>
  </si>
  <si>
    <t>MODELSWARD 2018 - Proceedings of the 6th International Conference on Model-Driven Engineering and Software Development</t>
  </si>
  <si>
    <t>Liu2018a</t>
  </si>
  <si>
    <t>The role of cultural differences when using different classifications: An experiment design for design technique selection</t>
  </si>
  <si>
    <t>International Conference on Information Systems 2018, ICIS 2018</t>
  </si>
  <si>
    <t>Cognitive-fit theory</t>
  </si>
  <si>
    <t>Cognitive Styles, Decision Making</t>
  </si>
  <si>
    <t>Classification of design techniques</t>
  </si>
  <si>
    <t>Selection of design techniques from an experiement on participants from different cultures.</t>
  </si>
  <si>
    <t>Effect of culture in decision making in design practices for SE</t>
  </si>
  <si>
    <t>Description of an online experiment that can be used for future empirical studies.</t>
  </si>
  <si>
    <t>Razavian2018a</t>
  </si>
  <si>
    <t>Towards a solution space for BPM issues based on debiasing techniques</t>
  </si>
  <si>
    <t>Doniger2018a</t>
  </si>
  <si>
    <t>Virtual reality-based cognitive-motor training for middle-aged adults at high Alzheimer's disease risk: A randomized controlled trial</t>
  </si>
  <si>
    <t>Alzheimer's and Dementia: Translational Research and Clinical Interventions</t>
  </si>
  <si>
    <t>Chen2018a</t>
  </si>
  <si>
    <t>Examining the learning effect of elderly through multimedia assisted instruction design in Taiwan</t>
  </si>
  <si>
    <t>Lecture Notes in Electrical Engineering</t>
  </si>
  <si>
    <t>Manica2018a</t>
  </si>
  <si>
    <t>Effects of model composition techniques on effort and affective states: A controlled experiment</t>
  </si>
  <si>
    <t>cognitive effort
developers' affectivity</t>
  </si>
  <si>
    <t>using EEG headset to collect and process affective states and cognitive effort</t>
  </si>
  <si>
    <t>The paper provides empirical evidence that using heuristic-based techniques require less effort and had higher effect on the developers' affectivity</t>
  </si>
  <si>
    <t>Karras2018a</t>
  </si>
  <si>
    <t>A systematic review of analytical management techniques applied to competition analysis modeling towards a framework for integrating them with BPM</t>
  </si>
  <si>
    <t>Maheswaran2018a</t>
  </si>
  <si>
    <t>Cognitive Weighted Inherited Class Complexity Metric</t>
  </si>
  <si>
    <t>Procedia Computer Science</t>
  </si>
  <si>
    <t>Cognitive weight, code complexity comprehension.</t>
  </si>
  <si>
    <t>Cognitive complexity of code</t>
  </si>
  <si>
    <t>Comparison between old metrics and newly proposed one.</t>
  </si>
  <si>
    <t>Better complexity indicator proposed that takes into account cognitive weights.</t>
  </si>
  <si>
    <t>Comparitive study showed that the newly proposed algorithm better defines class complexity and could be more helpful in SE processes.</t>
  </si>
  <si>
    <t>Ciccarelli2018a</t>
  </si>
  <si>
    <t>Agile field development planning: A systems approach</t>
  </si>
  <si>
    <t>Society of Petroleum Engineers - SPE Asia Pacific Oil and Gas Conference and Exhibition 2018, APOGCE 2018</t>
  </si>
  <si>
    <t>Zahabi2018a</t>
  </si>
  <si>
    <t>Identification of task demands and usability issues in police use of mobile computing terminals</t>
  </si>
  <si>
    <t>Applied Ergonomics</t>
  </si>
  <si>
    <t>Nunes2018a</t>
  </si>
  <si>
    <t>Intelligent technology in the support of the educational engineering process [Tecnologia "inteligente" no apoio ao processo educacional em engenharia]</t>
  </si>
  <si>
    <t>International Symposium on Project Approaches in Engineering Education</t>
  </si>
  <si>
    <t>Brown2018a</t>
  </si>
  <si>
    <t>Multi-method laboratory user evaluation of an actionable clinical performance information system: Implications for usability and patient safety</t>
  </si>
  <si>
    <t>Labunets2017a</t>
  </si>
  <si>
    <t>Graphical vs. Tabular Notations for Risk Models: On the Role of Textual Labels and Complexity</t>
  </si>
  <si>
    <t>2017 ACM/IEEE International Symposium on Empirical Software Engineering and Measurement (ESEM)</t>
  </si>
  <si>
    <t>comprehension</t>
  </si>
  <si>
    <t>comparison in the ability to comprehend security risk assessments represented in different ways</t>
  </si>
  <si>
    <t>-tasks with different level of difficulty to perform
-questionnaires</t>
  </si>
  <si>
    <t>Paper found out that tabular notation is the easiest comprehend and recall, however other models had adventeges in both recall and precision.</t>
  </si>
  <si>
    <t>Jo2017a</t>
  </si>
  <si>
    <t>A Study of Keywords Based on the Word Frequency Effect Theory in Video Lectures of Software Engineering Education for Detecting Mind</t>
  </si>
  <si>
    <t>2017 IEEE 30th Conference on Software Engineering Education and Training (CSEE T)</t>
  </si>
  <si>
    <t>Wang2017a</t>
  </si>
  <si>
    <t>Recommending crowdsourced software developers in consideration of skill improvement</t>
  </si>
  <si>
    <t>2017 32nd IEEE/ACM International Conference on Automated Software Engineering (ASE)</t>
  </si>
  <si>
    <t>Skills / Experience / Knowledge</t>
  </si>
  <si>
    <t>Learning curve of developers.</t>
  </si>
  <si>
    <t>Analysing scores (weighted by task difficulty) of developers in crowdsourcing platform over a span of 100 completed tasks.</t>
  </si>
  <si>
    <t>Developers learn as they perform more tasks. Negative exponential learning curve is suitable. Proposed an approach for recommending developers considering their skill improvement.</t>
  </si>
  <si>
    <t>Kublanov2017a</t>
  </si>
  <si>
    <t>Enhancement of working memory using neuro-electrostimulation for accelerated learning</t>
  </si>
  <si>
    <t>Proceedings - 2017 International Multi-Conference on Engineering, Computer and Information Sciences, SIBIRCON 2017</t>
  </si>
  <si>
    <t>Wright2017a</t>
  </si>
  <si>
    <t>Argument mapper: Countering cognitive biases in analysis with critical (visual) thinking</t>
  </si>
  <si>
    <t>Proceedings - 2017 21st International Conference Information Visualisation, iV 2017</t>
  </si>
  <si>
    <t>Wilkins2017a</t>
  </si>
  <si>
    <t>Examination of pilot benefits from cognitive assistance for single-pilot general aviation operations</t>
  </si>
  <si>
    <t>AIAA/IEEE Digital Avionics Systems Conference - Proceedings</t>
  </si>
  <si>
    <t>Rodseth2017a</t>
  </si>
  <si>
    <t>A novel low-cost solution for driving assessment in individuals with and without disabilities</t>
  </si>
  <si>
    <t>Quezada2017a</t>
  </si>
  <si>
    <t>Usability Operations on Touch Mobile Devices for Users with Autism</t>
  </si>
  <si>
    <t>Journal of Medical Systems</t>
  </si>
  <si>
    <t>Whitmore2017a</t>
  </si>
  <si>
    <t>Improving Attention to Security in Software Design with Analytics and Cognitive Techniques</t>
  </si>
  <si>
    <t>2017 IEEE Cybersecurity Development (SecDev)</t>
  </si>
  <si>
    <t>Daylamani-Zad2017a</t>
  </si>
  <si>
    <t>Swarm intelligence for autonomous cooperative agents in battles for real-time strategy games</t>
  </si>
  <si>
    <t>2017 9th International Conference on Virtual Worlds and Games for Serious Applications, VS-Games 2017 - Proceedings</t>
  </si>
  <si>
    <t>Hess2017a</t>
  </si>
  <si>
    <t>How to Make Use of Empirical Knowledge About Testers{\rq} Information Needs</t>
  </si>
  <si>
    <t>2017 IEEE 25th International Requirements Engineering Conference Workshops (REW)</t>
  </si>
  <si>
    <t>Tan2017a</t>
  </si>
  <si>
    <t>Understanding the Variation of Software Development Tasks: A Qualitative Study</t>
  </si>
  <si>
    <t>Proceedings of the 9th Asia-Pacific Symposium on Internetware</t>
  </si>
  <si>
    <t>Abad2017a</t>
  </si>
  <si>
    <t>Task Interruptions in Requirements Engineering: Reality Versus Perceptions!</t>
  </si>
  <si>
    <t>2017 IEEE 25th International Requirements Engineering Conference (RE)</t>
  </si>
  <si>
    <t>Memory-for- goals.</t>
  </si>
  <si>
    <t>Divided attention (sequential multitasking).</t>
  </si>
  <si>
    <t>Vulnerability of RE tasks to interruptions. Factors that influence disruptiveness of interruptions in RE tasks.</t>
  </si>
  <si>
    <t>Manual analysis of recorded tasks. Survey for assessing software developers' perception on this issue.</t>
  </si>
  <si>
    <t>Basis for investigation.</t>
  </si>
  <si>
    <t>RE tasks are more vulnerable to interruptions than other tasks. Self-interruptions worse than external ones. Giving some recommendations for practitioners.</t>
  </si>
  <si>
    <t>Abad2017b</t>
  </si>
  <si>
    <t>A Visual Narrative Path from Switching to Resuming a Requirements Engineering Task</t>
  </si>
  <si>
    <t>Cognitive Load, Attention, mental congestion and recall</t>
  </si>
  <si>
    <t>Satisfaction and usefullness of visualizations</t>
  </si>
  <si>
    <t>Feedback on a prototype</t>
  </si>
  <si>
    <t>Reduced cogntive load for requirements engineers during task switching.</t>
  </si>
  <si>
    <t xml:space="preserve">Basis of further empirical studies to evaluate the usefullness of the proposed visualizations </t>
  </si>
  <si>
    <t>Lauenroth2017a</t>
  </si>
  <si>
    <t>Do Words Make a Difference? An Empirical Study on the Impact of Taxonomies on the Classification of Requirements</t>
  </si>
  <si>
    <t>General cognitive psychology</t>
  </si>
  <si>
    <t>Quality of classifications in a classification task</t>
  </si>
  <si>
    <t>True positive, false positive, true negative, false negative classification of statements as requirements/not requirements</t>
  </si>
  <si>
    <t>Used to argue for the use of a requirements taxonomy</t>
  </si>
  <si>
    <t>The paper investigates if a requirements taxonomy can help classify statements as requirements or not requirements. It finds that different taxonomies result in different classification quality.</t>
  </si>
  <si>
    <t>Sinha2017a</t>
  </si>
  <si>
    <t>Carneiro2017a</t>
  </si>
  <si>
    <t>Non-intrusive quantification of performance and its relationship to mood</t>
  </si>
  <si>
    <t>Santos2017a</t>
  </si>
  <si>
    <t>Benefits and limitations of project-to-project job rotation in software organizations: A synthesis of evidence</t>
  </si>
  <si>
    <t>Motivation, Satisfaction</t>
  </si>
  <si>
    <t>Experiences with job/project rotations</t>
  </si>
  <si>
    <t>Interviews and research based on previous case studies.</t>
  </si>
  <si>
    <t>Improved productivity and satisfaction of developers.</t>
  </si>
  <si>
    <t>Garcia2017a</t>
  </si>
  <si>
    <t>Codification Pedagogy for Introductory Courses</t>
  </si>
  <si>
    <t>Proceedings of the 2017 ACM Conference on International Computing Education Research</t>
  </si>
  <si>
    <t>Sedano2017a</t>
  </si>
  <si>
    <t>Software Development Waste</t>
  </si>
  <si>
    <t>2017 IEEE/ACM 39th International Conference on Software Engineering (ICSE)</t>
  </si>
  <si>
    <t>Rico-Olarte2017a</t>
  </si>
  <si>
    <t>Haphop-physio: A computer game to support cognitive therapies in children</t>
  </si>
  <si>
    <t>Psychology Research and Behavior Management</t>
  </si>
  <si>
    <t>Dey2017a</t>
  </si>
  <si>
    <t>REASSURE: Requirements elicitation for adaptive socio-technical systems using repertory grid</t>
  </si>
  <si>
    <t>Zimmermann2017a</t>
  </si>
  <si>
    <t>Microservices tenets: Agile approach to service development and deployment</t>
  </si>
  <si>
    <t>Computer Science - Research and Development</t>
  </si>
  <si>
    <t>Ostberg2017a</t>
  </si>
  <si>
    <t>Towards the Assessment of Stress and Emotional Responses of a Salutogenesis-Enhanced Software Tool Using Psychophysiological Measurements</t>
  </si>
  <si>
    <t>2017 IEEE/ACM 2nd International Workshop on Emotion Awareness in Software Engineering (SEmotion)</t>
  </si>
  <si>
    <t>Salutogenesis Framework</t>
  </si>
  <si>
    <t xml:space="preserve">Reduced cognitive load, stress reduction, cognitive capacity  </t>
  </si>
  <si>
    <t>The physical traits of stress after performing different tasks
- Cortison and alpha-amylase levels (stress)
- Self-evaluation of coherence feeling
- Self-efficacy questionnaire
- PANAS scale (mood)
N-Back Test (cognitive capacity: working memory and working memory capacity)</t>
  </si>
  <si>
    <t>Proposed: Questionaries and saliva sampling for cortisol and alpha-amylase levels.</t>
  </si>
  <si>
    <t>To reduce stress in developers and achieve an overall increased software quality as a result.</t>
  </si>
  <si>
    <t>Proposed solution for an empericial study that could help undertsand reduce stress levels for developers by using the Salutogenesis model.</t>
  </si>
  <si>
    <t>Sarkar2017a</t>
  </si>
  <si>
    <t>Characterizing and Predicting Mental Fatigue during Programming Tasks</t>
  </si>
  <si>
    <t>Mental fatigue</t>
  </si>
  <si>
    <t>Instances of fatigue</t>
  </si>
  <si>
    <t>Self-reported frequency of fatigue
Self-reported description of fatigue episode
Observation of software developers
NASA TLX</t>
  </si>
  <si>
    <t>The paper finds frequent episodes of fatigue among developers at a company. It also finds that several measures could be used to indicate fatigue levels.</t>
  </si>
  <si>
    <t>Miller2017a</t>
  </si>
  <si>
    <t>Decision Support System Requirements Definition for Human Extravehicular Activity Based on Cognitive Work Analysis</t>
  </si>
  <si>
    <t>Journal of Cognitive Engineering and Decision Making</t>
  </si>
  <si>
    <t>Beck2017a</t>
  </si>
  <si>
    <t>Word-sized graphics for scientific texts</t>
  </si>
  <si>
    <t>Iqbal2017a</t>
  </si>
  <si>
    <t>Design implications for task-specific search utilities for retrieval and re-engineering of code</t>
  </si>
  <si>
    <t>Enterprise Information Systems</t>
  </si>
  <si>
    <t>cognitive cost
cognitive load
behaviour</t>
  </si>
  <si>
    <t>habits and behaviour in code-reusing, or looking for code on the internet to solve a particular problem</t>
  </si>
  <si>
    <t>automated observation systems (monitoring programs) included in development environment and brownsers</t>
  </si>
  <si>
    <t>helps to describe and explain the observed phenomenon</t>
  </si>
  <si>
    <t>Paper is to observe code-reuse during the development. It concludes that copy-paste action from browser is frequently used, but they did not prefer to use code-specific search engines as those require more cognitive load.</t>
  </si>
  <si>
    <t>Evain2017a</t>
  </si>
  <si>
    <t>Can I think of something else when using a BCI? Cognitive demand of an SSVEP-based BCI</t>
  </si>
  <si>
    <t>Conference on Human Factors in Computing Systems - Proceedings</t>
  </si>
  <si>
    <t>Tamborello2017a</t>
  </si>
  <si>
    <t>Human Error as an Emergent Property of Action Selection and Task Place-Holding</t>
  </si>
  <si>
    <t>Jalil2017a</t>
  </si>
  <si>
    <t>Understanding design patterns application with cognitive based learning tool</t>
  </si>
  <si>
    <t>Advanced Science Letters</t>
  </si>
  <si>
    <t>Hyysalo2017a</t>
  </si>
  <si>
    <t>A Design Theory for Cognitive Workflow Systems</t>
  </si>
  <si>
    <t>Design theory for Cognitive Workflow Systems</t>
  </si>
  <si>
    <t>Cognitive load, collaborative development,  cognitive support, communication and knowledge management.</t>
  </si>
  <si>
    <t xml:space="preserve">Nothing is measured </t>
  </si>
  <si>
    <t>The addition of a developmental workflow that assesses the different cognitive issues that can arise in SE.</t>
  </si>
  <si>
    <t>A newly proposed design theory that covers 6 main deisgn features that aims to provide cognitive support to software developers.</t>
  </si>
  <si>
    <t>Chen2017a</t>
  </si>
  <si>
    <t>Quality assessment model of digital interface based on eye-tracking experiments</t>
  </si>
  <si>
    <t>Dongnan Daxue Xuebao (Ziran Kexue Ban)/Journal of Southeast University (Natural Science Edition)</t>
  </si>
  <si>
    <t>He2016a</t>
  </si>
  <si>
    <t>Model-Driven Engineering and Elicitation Techniques: A Systematic Literature Review</t>
  </si>
  <si>
    <t>2016 IEEE 24th International Requirements Engineering Conference Workshops (REW)</t>
  </si>
  <si>
    <t>Minas2017a</t>
  </si>
  <si>
    <t>Neurophysiological Impact of Software Design Processes on Software Developers</t>
  </si>
  <si>
    <t>Cognitive load
Emotion
Arousal</t>
  </si>
  <si>
    <t>Cognitive load
Autonomic nervous system arousal</t>
  </si>
  <si>
    <t>EEG
Skin conductance (EMG)</t>
  </si>
  <si>
    <t>The paper proposes a study in which EEG and EMG would be used to examine cognitive load and autonomous nervous system arousal during code change tasks. The tasks are designed so that the software to be changed differs in terms of architectural design (e.g., God Class and fully object-oriented implementation).</t>
  </si>
  <si>
    <t>Hu2017a</t>
  </si>
  <si>
    <t>Defect prevention in requirements using human error information: An empirical study</t>
  </si>
  <si>
    <t>human errors, understanding of error taxonomies</t>
  </si>
  <si>
    <t>fault abstraction and classification accuracy,
amount of faults detected / inserted in requirements documentations</t>
  </si>
  <si>
    <t>Participants identify faults in existing SRS documents (to assess understanding). Then groups create own SRS for system assigned to them, others evaluate faults. Two different error taxonomies in use (RET and HET).</t>
  </si>
  <si>
    <t>Paper is to find empirical evidence that the knowledge of human errors result in less faults made during RE. It turned out that human error is a useful fault prevention strategy. They also concluded, that HET was more effective than RET.</t>
  </si>
  <si>
    <t>Lauenroth2017b</t>
  </si>
  <si>
    <t>The impact of specification structure on human memory performance - Experiences from a first experiment</t>
  </si>
  <si>
    <t>(Process of) chunking.</t>
  </si>
  <si>
    <t xml:space="preserve">Memory performance. </t>
  </si>
  <si>
    <t>Amount of correctly remembered requirements, dependent on specification style (prosa vs. template).</t>
  </si>
  <si>
    <t>Two different domains and two different specification styles. Participants get familiar with requirements and have to answer different questions after several time intervals.</t>
  </si>
  <si>
    <t>No significant difference between the specification styles (prosa vs. template) of requirements found. Memory performance appears to be more than a simple variable.</t>
  </si>
  <si>
    <t>Anu2017a</t>
  </si>
  <si>
    <t>Usefulness of a human error identification tool for requirements inspection: An experience report</t>
  </si>
  <si>
    <t>Zalewski2017a</t>
  </si>
  <si>
    <t>On cognitive biases in architecture decision making</t>
  </si>
  <si>
    <t>Survey and focus group -style interviewing on the topic</t>
  </si>
  <si>
    <t>Prompting practitioners for bias examples
Survey of bias occurrence
Open discussion
Rating bias frequency</t>
  </si>
  <si>
    <t>The study probed software practitioners for information on biases. It discusses their occurrence and analyses them in terms architectural decision-making. The paper finds 12 cognitive biases that participants found to be common in architectural decision-making.</t>
  </si>
  <si>
    <t>Ito2017a</t>
  </si>
  <si>
    <t>HMI requirements creation, as the collaboration work of human and machine in the safety-critical system</t>
  </si>
  <si>
    <t>Novin2017a</t>
  </si>
  <si>
    <t>Four Biases in Interface Design Interactions</t>
  </si>
  <si>
    <t>Zhang2017a</t>
  </si>
  <si>
    <t>On using colors in UML models</t>
  </si>
  <si>
    <t>MODELSWARD 2017 - Proceedings of the 5th International Conference on Model-Driven Engineering and Software Development</t>
  </si>
  <si>
    <t>Model comprehension.</t>
  </si>
  <si>
    <t>None.</t>
  </si>
  <si>
    <t>Guidelines for using colours in UML models.</t>
  </si>
  <si>
    <t>Sajjadian2017a</t>
  </si>
  <si>
    <t>The pedagogical impact of augmented reality on architectural education</t>
  </si>
  <si>
    <t>Advances in Transdisciplinary Engineering</t>
  </si>
  <si>
    <t>Unterkalmsteiner2017a</t>
  </si>
  <si>
    <t>Requirements Quality Assurance in Industry: Why, What and How?</t>
  </si>
  <si>
    <t xml:space="preserve">Cognitive Load Theory </t>
  </si>
  <si>
    <t>Cognitive Load, Quality Comprehension, Decisional Framework</t>
  </si>
  <si>
    <t>This paper brings forward a classification for requirements quality assurance by taking into account cognitive load of developers. It simply works on developing the research questions required to be answered.</t>
  </si>
  <si>
    <t>Weber2017a</t>
  </si>
  <si>
    <t>Measuring and Explaining Cognitive Load During Design Activities: A Fine-Grained Approach</t>
  </si>
  <si>
    <t>Information Systems and Neuroscience</t>
  </si>
  <si>
    <t>Cognitive load
Mental models</t>
  </si>
  <si>
    <t>Pupil dilation
Eye movements (e.g. fixations)</t>
  </si>
  <si>
    <t>This paper describes a study design for an investigation of cognitive load during software design tasks.</t>
  </si>
  <si>
    <t>Diegmann2017a</t>
  </si>
  <si>
    <t>Measuring the effect of team diversity and collective intelligence in agile teams on software development efficiency</t>
  </si>
  <si>
    <t>AMCIS 2017 - America's Conference on Information Systems: A Tradition of Innovation</t>
  </si>
  <si>
    <t>cognitive styles
intelligence
behaviour within a team
team diversity</t>
  </si>
  <si>
    <t>team efficiency
tack-solving ability</t>
  </si>
  <si>
    <t>team efficiency was measured by participants subjective assessment and feedback</t>
  </si>
  <si>
    <t>Paper presents the evaluation of a model that investigates the *listed cognitive concepts* in agile SE. The author concludes mixed results for the model's efficiciency to measure these concepts.</t>
  </si>
  <si>
    <t>Cheng2017a</t>
  </si>
  <si>
    <t>A Deductive Approach for Fault Localization in {ATL} Model Transformations</t>
  </si>
  <si>
    <t>Abdelnour-Nocera2017a</t>
  </si>
  <si>
    <t>Learning HCI across institutions, disciplines and countries: A field study of cognitive styles in analytical and creative tasks</t>
  </si>
  <si>
    <t>Rosa2017a</t>
  </si>
  <si>
    <t>Cognitive improvement via mhealth for patients recovering from substance use disorder</t>
  </si>
  <si>
    <t>Vicentiy2017a</t>
  </si>
  <si>
    <t>The Development of Dynamic Cognitive Interfaces for Multisubject Information Systems (on the Example of Geosocial Service)</t>
  </si>
  <si>
    <t>Xue2017a</t>
  </si>
  <si>
    <t>A crucial temporal accuracy test of combining EEG and Tobii eye tracker</t>
  </si>
  <si>
    <t>Medicine (United States)</t>
  </si>
  <si>
    <t>Prado2016a</t>
  </si>
  <si>
    <t>Advances in the Characterization of Cognitive Support for Unit Testing: The Bug-Hunting Game and the Visualization Arsenal</t>
  </si>
  <si>
    <t>2016 IEEE International Symposium on Software Reliability Engineering Workshops (ISSREW)</t>
  </si>
  <si>
    <t>Perception, comprehension. (cognitive support)</t>
  </si>
  <si>
    <t>Cognitive support offered by unit testing tools is the central topic, but the added value of the cognitive concept itself is not very clear in this paper.</t>
  </si>
  <si>
    <t>Too little user participation in design and evaluation of unit testing tools using visualisations. Identification of "expressiveness risks", which could affect interpretation of visualisation. Directions for future research.</t>
  </si>
  <si>
    <t>Duraes2016a</t>
  </si>
  <si>
    <t>WAP: Understanding the Brain at Software Debugging</t>
  </si>
  <si>
    <t>2016 IEEE 27th International Symposium on Software Reliability Engineering (ISSRE)</t>
  </si>
  <si>
    <t>Code comprehenion, decision making, knowledge processing.</t>
  </si>
  <si>
    <t>Task performance and bug detetction.</t>
  </si>
  <si>
    <t>MRI and behavorial data such as eye movement.</t>
  </si>
  <si>
    <t>To better understand where in the brain bug detection and discovery comes from.</t>
  </si>
  <si>
    <t>It was concluded that the specific part of the brain is the insula which is used during bug suspicion and discovery. This paper concludes that it is necesssary for comprehension and can be used as a starting point for future research.</t>
  </si>
  <si>
    <t>Anu2016a</t>
  </si>
  <si>
    <t>Using a Cognitive Psychology Perspective on Errors to Improve Requirements Quality: An Empirical Investigation</t>
  </si>
  <si>
    <t>Human error</t>
  </si>
  <si>
    <t>Classification of errors in order to validate an error taxonomy</t>
  </si>
  <si>
    <t>Error classification task</t>
  </si>
  <si>
    <t>This paper describes the creation and validation of a taxonomy of human errors in requirments inspections.</t>
  </si>
  <si>
    <t>Karras2016a</t>
  </si>
  <si>
    <t>Supporting Requirements Elicitation by Tool-Supported Video Analysis</t>
  </si>
  <si>
    <t>2016 IEEE 24th International Requirements Engineering Conference (RE)</t>
  </si>
  <si>
    <t>Nelson2016a</t>
  </si>
  <si>
    <t>Implementation of a platform-agnostic working memory span task using mobile device technology</t>
  </si>
  <si>
    <t>2016 IEEE Wireless Health, WH 2016</t>
  </si>
  <si>
    <t>Sousa2016a</t>
  </si>
  <si>
    <t>An inclusive and multistakeholder approach to promote linguistic skills in children with special needs: The role of an online sharing platform</t>
  </si>
  <si>
    <t>Wexler2016a</t>
  </si>
  <si>
    <t>Computer-presented and physical brain-training exercises for school children: Improving executive functions and learning</t>
  </si>
  <si>
    <t>IGI Global, Transforming Gaming and Computer Simulation Technologies across Industries</t>
  </si>
  <si>
    <t>Sharif2016a</t>
  </si>
  <si>
    <t>Studying Developer Gaze to Empower Software Engineering Research and Practice</t>
  </si>
  <si>
    <t>Proceedings of the 2016 24th ACM SIGSOFT International Symposium on Foundations of Software Engineering</t>
  </si>
  <si>
    <t>Yamanaka2016a</t>
  </si>
  <si>
    <t>A study of the steering time difference between narrowing and widening circular tunnels</t>
  </si>
  <si>
    <t>Computer Software</t>
  </si>
  <si>
    <t>Huddlestone2016a</t>
  </si>
  <si>
    <t>New graphical and text-based notations for representing task decomposition hierarchies: towards improving the usability of an Ergonomics method</t>
  </si>
  <si>
    <t>Theoretical Issues in Ergonomics Science</t>
  </si>
  <si>
    <t>Cognitive load theory.</t>
  </si>
  <si>
    <t>Moonen2016a</t>
  </si>
  <si>
    <t>Analyzing and visualizing information flow in heterogeneous component-based software systems</t>
  </si>
  <si>
    <t>Comprehension, cognitive load</t>
  </si>
  <si>
    <t>understanding of component- based system, participants' opinion / feedback</t>
  </si>
  <si>
    <t>Comprehending different code through a visualizations prototype. Afterwards: interviews, including subjective ratings and open-ended discussion.</t>
  </si>
  <si>
    <t>The cognitive aspect here is more of a motivation for developing the presented method, but still evaluated.</t>
  </si>
  <si>
    <t>Proposed a set of visualizations for the information flow in component based systems. Interview results suggest positive impact of proposed method on comprehension.</t>
  </si>
  <si>
    <t>Chandramouli2016a</t>
  </si>
  <si>
    <t>Web-compatible graphics visualization framework for online instruction and assessment of hardware concepts</t>
  </si>
  <si>
    <t>Engineering Design Graphics Journal</t>
  </si>
  <si>
    <t>Su2015a</t>
  </si>
  <si>
    <t>The effects of students{\rq} motivation, cognitive load and learning anxiety in gamification software engineering education: a structural equation modeling study</t>
  </si>
  <si>
    <t>Multimedia Tools and Applications</t>
  </si>
  <si>
    <t>Shin2016a</t>
  </si>
  <si>
    <t>Evaluation of model driven architecture-based instruction for understanding phase transitions in object-oriented analysis and design</t>
  </si>
  <si>
    <t>ACM Transactions on Computing Education</t>
  </si>
  <si>
    <t>Kotova2016a</t>
  </si>
  <si>
    <t>Intellectual support of the learning content planning considering the cognitive load</t>
  </si>
  <si>
    <t>Proceedings of the 19th International Conference on Soft Computing and Measurements, SCM 2016</t>
  </si>
  <si>
    <t>Oosterhof2016a</t>
  </si>
  <si>
    <t>CoSMoMVPA: Multi-modal multivariate pattern analysis of neuroimaging data in matlab/GNU octave</t>
  </si>
  <si>
    <t>Park2016a</t>
  </si>
  <si>
    <t>Narratives and sensor driven cognitive behavior training game platform</t>
  </si>
  <si>
    <t>2016 IEEE 14th International Conference on Software Engineering Research, Management and Applications (SERA)</t>
  </si>
  <si>
    <t>DeLeeuw2016a</t>
  </si>
  <si>
    <t>Quality specifications in postgraduate medical e-learning: An integrative literature review leading to a postgraduate medical e-learning model</t>
  </si>
  <si>
    <t>BMC Medical Education</t>
  </si>
  <si>
    <t>Steed2016a</t>
  </si>
  <si>
    <t>The impact of a self-avatar on cognitive load in immersive virtual reality</t>
  </si>
  <si>
    <t>Proceedings - IEEE Virtual Reality</t>
  </si>
  <si>
    <t>Shmueli2016a</t>
  </si>
  <si>
    <t>AbuTalib2016a</t>
  </si>
  <si>
    <t>Quality in use analysis to evaluate user experience of open source software compatible with MATLAB</t>
  </si>
  <si>
    <t>International Journal of Open Source Software and Processes</t>
  </si>
  <si>
    <t>Benda2016a</t>
  </si>
  <si>
    <t>New version of hex-ecs, the B-spline implementation of exterior complex scaling method for solution of electron--hydrogen scattering</t>
  </si>
  <si>
    <t>Computer Physics Communications</t>
  </si>
  <si>
    <t>Zylka2016a</t>
  </si>
  <si>
    <t>Putting the consequences of IT turnover on the map - A review and call for research</t>
  </si>
  <si>
    <t>SIGMIS-CPR 2016 - Proceedings of the 2016 ACM SIGMIS Conference on Computers and People Research</t>
  </si>
  <si>
    <t>Ralph2016a</t>
  </si>
  <si>
    <t>Fuchs2016a</t>
  </si>
  <si>
    <t>Improving programming education through gameful, formative feedback</t>
  </si>
  <si>
    <t>IEEE Global Engineering Education Conference, EDUCON</t>
  </si>
  <si>
    <t>Mohanani2016a</t>
  </si>
  <si>
    <t>Implications of Requirements Engineering on Software Design: A Cognitive Insight</t>
  </si>
  <si>
    <t>2016 IEEE/ACM 38th International Conference on Software Engineering Companion (ICSE-C)</t>
  </si>
  <si>
    <t>harmful effects of cognitive biases on designing form requirements
creativity of design/solution</t>
  </si>
  <si>
    <t>quantitative approach
task-performance
solution is jugded by experts</t>
  </si>
  <si>
    <t>This paper is a research proposal, that has taken place (in the future in respect to this paper) already.</t>
  </si>
  <si>
    <t>Salman2016a</t>
  </si>
  <si>
    <t>Cognitive Biases in Software Quality and Testing</t>
  </si>
  <si>
    <t>Factors triggering cognitive biases in testing tasks.</t>
  </si>
  <si>
    <t>SLR; time-pressure experiment (data not analysed yet).</t>
  </si>
  <si>
    <t>Outline of their research approach, i.e. SLR and time-pressure experiment with graduate students, and expected contributions.</t>
  </si>
  <si>
    <t>DaCunha2016a</t>
  </si>
  <si>
    <t>Decision-Making in Software Project Management: A Qualitative Case Study of a Private Organization</t>
  </si>
  <si>
    <t>2016 IEEE/ACM Cooperative and Human Aspects of Software Engineering (CHASE)</t>
  </si>
  <si>
    <t>Vasilescu2016a</t>
  </si>
  <si>
    <t>The Sky is Not the Limit: Multitasking across GitHub Projects</t>
  </si>
  <si>
    <t>Proceedings of the 38th International Conference on Software Engineering</t>
  </si>
  <si>
    <t>Parnin2016a</t>
  </si>
  <si>
    <t>Invited session: Hands-on sensors 101</t>
  </si>
  <si>
    <t>Proceedings of the 1st International Workshop on Emotion Awareness in Software Engineering</t>
  </si>
  <si>
    <t>Mendes2016a</t>
  </si>
  <si>
    <t>A case study for evaluating a model for usability testing in a mobile application [Um estudo de caso para avalia{\c c}{\~a}o de um modelo para teste de usabilidade em aplica{\c c}{\~a}o m{\'o}vel]</t>
  </si>
  <si>
    <t>CIBSE 2016 - XIX Ibero-American Conference on Software Engineering</t>
  </si>
  <si>
    <t>Gasparic2016a</t>
  </si>
  <si>
    <t>What recommendation systems for software engineering recommend: A systematic literature review</t>
  </si>
  <si>
    <t>Borges2016a</t>
  </si>
  <si>
    <t>Reduced GUI for an interactive geometry software: Does it affect students' performance?</t>
  </si>
  <si>
    <t>Nemeth2015a</t>
  </si>
  <si>
    <t>Support for Salience: IT to Assist Burn ICU Clinician Decision Making and Communication</t>
  </si>
  <si>
    <t>2015 IEEE International Conference on Systems, Man, and Cybernetics</t>
  </si>
  <si>
    <t>Colazo2016a</t>
  </si>
  <si>
    <t>Chen2016a</t>
  </si>
  <si>
    <t>Feasibility of streamlining an interactive Bayesian-based diagnostic support tool designed for clinical practice</t>
  </si>
  <si>
    <t>Progress in Biomedical Optics and Imaging - Proceedings of SPIE</t>
  </si>
  <si>
    <t>Cunha2016a</t>
  </si>
  <si>
    <t>Decision-making in Software Project Management: A Systematic Literature Review</t>
  </si>
  <si>
    <t>Spera2016a</t>
  </si>
  <si>
    <t>On the cellular mechanisms underlying working memory capacity in humans</t>
  </si>
  <si>
    <t>Neural Network World</t>
  </si>
  <si>
    <t>Kheirkhahzadeh2016a</t>
  </si>
  <si>
    <t>Practice makes perfect - Gamification of a competitive learning experience</t>
  </si>
  <si>
    <t>Proceedings of the European Conference on Games-based Learning</t>
  </si>
  <si>
    <t>Anu2016b</t>
  </si>
  <si>
    <t>Ayalew2016a</t>
  </si>
  <si>
    <t>An empirical study of MCL-based spreadsheet visualization</t>
  </si>
  <si>
    <t>International Journal of Software Engineering and its Applications</t>
  </si>
  <si>
    <t>Wu2016a</t>
  </si>
  <si>
    <t>EID vs UCD: A comparative study on user interface design in complex electronics manufacturing systems</t>
  </si>
  <si>
    <t>Gulden2016a</t>
  </si>
  <si>
    <t>A research agenda on visualizations in information systems engineering</t>
  </si>
  <si>
    <t>ENASE 2016 - Proceedings of the 11th International Conference on Evaluation of Novel Software Approaches to Software Engineering</t>
  </si>
  <si>
    <t>Revell2016a</t>
  </si>
  <si>
    <t>Change the mental model, change the behavior: Using interface design to promote appropriate energy consuming behavior in the home</t>
  </si>
  <si>
    <t>Liu2016a</t>
  </si>
  <si>
    <t>Research on the application of GSR and ECG in the usability testing of an aggregation reading App</t>
  </si>
  <si>
    <t>International Journal Bioautomation</t>
  </si>
  <si>
    <t>Czerniak2016a</t>
  </si>
  <si>
    <t>Analysis of Different Types of Navigational Structures for Machine Tool Controlling</t>
  </si>
  <si>
    <t>Atanasiu2016a</t>
  </si>
  <si>
    <t>Cuckoos among your data: A quality control method to retrieve mislabeled writer identities from handwriting datasets</t>
  </si>
  <si>
    <t>IS and T International Symposium on Electronic Imaging Science and Technology</t>
  </si>
  <si>
    <t>Ghasemaghaei2015a</t>
  </si>
  <si>
    <t>Design practices for multimodal affective mathematical learning</t>
  </si>
  <si>
    <t>2015 International Symposium on Computer Science and Software Engineering (CSSE)</t>
  </si>
  <si>
    <t>Al-Shammari2015a</t>
  </si>
  <si>
    <t>Exploring the Cognitive Psychology Paradigm of a Programming Language and Identification of Emotion under Collective Intelligence: An Experience with an Ant Colony Metaphor</t>
  </si>
  <si>
    <t>2015 18th International Conference on Network-Based Information Systems</t>
  </si>
  <si>
    <t>cognitive behaviour
emotion</t>
  </si>
  <si>
    <t>helps to design the proposed model, provides input</t>
  </si>
  <si>
    <t>Paper proposed the ant colony metaphor to simulate developers' cognitive behaviour, and observed how it affects programming, language and tools choice.</t>
  </si>
  <si>
    <t>Huang2015a</t>
  </si>
  <si>
    <t>Comparison of different approaches on example-based learning for novice and proficient learners</t>
  </si>
  <si>
    <t>Human-centric Computing and Information Sciences</t>
  </si>
  <si>
    <t>Nakai2015a</t>
  </si>
  <si>
    <t>Investigating the effects of motion-based Kinect game system on user cognition</t>
  </si>
  <si>
    <t>Journal on Multimodal User Interfaces</t>
  </si>
  <si>
    <t>Morris2015a</t>
  </si>
  <si>
    <t>Leite2015a</t>
  </si>
  <si>
    <t>UEDashboard: Awareness of Unusual Events in Commit Histories</t>
  </si>
  <si>
    <t>Proceedings of the 2015 10th Joint Meeting on Foundations of Software Engineering</t>
  </si>
  <si>
    <t>Barik2015a</t>
  </si>
  <si>
    <t>Proceedings of the 37th International Conference on Software Engineering - Volume 2</t>
  </si>
  <si>
    <t>Jagemar2015a</t>
  </si>
  <si>
    <t>Cognitively Sustainable ICT with Ubiquitous Mobile Services - Challenges and Opportunities</t>
  </si>
  <si>
    <t>2015 IEEE/ACM 37th IEEE International Conference on Software Engineering</t>
  </si>
  <si>
    <t>CamposFilho2015a</t>
  </si>
  <si>
    <t>A 3D visualization framework to social network monitoring and analysis</t>
  </si>
  <si>
    <t>Kannengiesser2015a</t>
  </si>
  <si>
    <t>Is designing independent of domain? Comparing models of engineering, software and service design</t>
  </si>
  <si>
    <t>Research in Engineering Design</t>
  </si>
  <si>
    <t>Cheong2015a</t>
  </si>
  <si>
    <t>Suspenser: A story generation system for suspense</t>
  </si>
  <si>
    <t>IEEE Transactions on Computational Intelligence and AI in Games</t>
  </si>
  <si>
    <t>Lyons2015a</t>
  </si>
  <si>
    <t>Cultivating Engagement and Enjoyment in Exergames Using Feedback, Challenge, and Rewards</t>
  </si>
  <si>
    <t>Wanderley2015a</t>
  </si>
  <si>
    <t>Shmueli2015a</t>
  </si>
  <si>
    <t>Graziotin2015a</t>
  </si>
  <si>
    <t>The Affect of Software Developers: Common Misconceptions and Measurements</t>
  </si>
  <si>
    <t>2015 IEEE/ACM 8th International Workshop on Cooperative and Human Aspects of Software Engineering</t>
  </si>
  <si>
    <t>Affects (emotions, moods).</t>
  </si>
  <si>
    <t>Identifies common misconceptions of affects. Suggests affect measurement instruments and makes some recommendations.</t>
  </si>
  <si>
    <t>Unkelos-Shpigel2015a</t>
  </si>
  <si>
    <t>DaCunha2015a</t>
  </si>
  <si>
    <t>Katona2015a</t>
  </si>
  <si>
    <t>Investigation of the correspondence between problems solving based on cognitive psychology tests and programming course results</t>
  </si>
  <si>
    <t>International Journal of Emerging Technologies in Learning</t>
  </si>
  <si>
    <t>Dewan2015a</t>
  </si>
  <si>
    <t>Towards Emotion-Based Collaborative Software Engineering</t>
  </si>
  <si>
    <t>Sharafi2015a</t>
  </si>
  <si>
    <t>A systematic literature review on the usage of eye-tracking in software engineering</t>
  </si>
  <si>
    <t>Nan2015a</t>
  </si>
  <si>
    <t>DCCSS: A meta-model for dynamic clinical checklist support systems</t>
  </si>
  <si>
    <t>2015 3rd International Conference on Model-Driven Engineering and Software Development (MODELSWARD)</t>
  </si>
  <si>
    <t>LaPaglia2015a</t>
  </si>
  <si>
    <t>Decision making and cognitive behavioral flexibility in a OCD Sample: A study in a virtual environment</t>
  </si>
  <si>
    <t>Annual Review of CyberTherapy and Telemedicine</t>
  </si>
  <si>
    <t>Kessels2015a</t>
  </si>
  <si>
    <t>An improved two-stage variance balance approach for constructing partial profile designs for discrete choice experiments</t>
  </si>
  <si>
    <t>Applied Stochastic Models in Business and Industry</t>
  </si>
  <si>
    <t>Rocha2015a</t>
  </si>
  <si>
    <t>Serious games for cognitive rehabilitation: Forms of interaction and social dimension [Jogos S{\'e}rios na Reabilita{\c c}{\~a}o Cognitiva: Modalidades de Interac{\c c}{\~a}o e Componente Social]</t>
  </si>
  <si>
    <t>Schmidt2015a</t>
  </si>
  <si>
    <t>Societal Discussion Required? Ubicomp Products beyond Weiser's Vision</t>
  </si>
  <si>
    <t>IEEE Pervasive Computing</t>
  </si>
  <si>
    <t>Suominen2015a</t>
  </si>
  <si>
    <t>Task 1a of the CLEF eHealth Evaluation Lab 2015</t>
  </si>
  <si>
    <t>Lin2015a</t>
  </si>
  <si>
    <t>User experience design of VR-AR hybrid mobile browsing system based on mental model</t>
  </si>
  <si>
    <t>Jisuanji Xuebao/Chinese Journal of Computers</t>
  </si>
  <si>
    <t>Thomas2015a</t>
  </si>
  <si>
    <t>Axiomatic Design/Design Patterns Mashup: Part 2 (Cyber Security)</t>
  </si>
  <si>
    <t>Procedia CIRP</t>
  </si>
  <si>
    <t>Matos2015a</t>
  </si>
  <si>
    <t>Multi-sensory Storytelling to Support Learning for People with Intellectual Disability: An Exploratory Didactic Study</t>
  </si>
  <si>
    <t>Fiondella2015a</t>
  </si>
  <si>
    <t>Software and human reliability: Error reduction and prediction</t>
  </si>
  <si>
    <t>International Topical Meeting on Probabilistic Safety Assessment and Analysis, PSA 2015</t>
  </si>
  <si>
    <t>Arshad2015a</t>
  </si>
  <si>
    <t>Improving healthcare system usability without real users: A semi-parallel design approach</t>
  </si>
  <si>
    <t>International Journal of Healthcare Information Systems and Informatics</t>
  </si>
  <si>
    <t>Liu2015a</t>
  </si>
  <si>
    <t>Modeling and simulation of the collective efficacy of distributed organizations: Toward an interdependent network</t>
  </si>
  <si>
    <t>SIMULATION</t>
  </si>
  <si>
    <t>Abedtash2015a</t>
  </si>
  <si>
    <t>An Interactive User Interface for Drug Labeling to Improve Readability and Decision-Making</t>
  </si>
  <si>
    <t>AMIA ... Annual Symposium proceedings. AMIA Symposium</t>
  </si>
  <si>
    <t>Chang2015a</t>
  </si>
  <si>
    <t>G-NETS --</t>
  </si>
  <si>
    <t>Wiklund2015a</t>
  </si>
  <si>
    <t>Evaluating educational games using facial expression recognition software: Measurement of gaming emotion</t>
  </si>
  <si>
    <t>Roy2015a</t>
  </si>
  <si>
    <t>GETSmart: Guided education and training via smart phones to promote resilience</t>
  </si>
  <si>
    <t>Price2015a</t>
  </si>
  <si>
    <t>Lead User Design: Medication Management in Electronic Medical Records</t>
  </si>
  <si>
    <t>Studies in Health Technology and Informatics</t>
  </si>
  <si>
    <t>Refat2019a</t>
  </si>
  <si>
    <t>Interactive Learning Experience-Driven Smart Communications Networks for Cognitive Load Management in Grammar Learning Context</t>
  </si>
  <si>
    <t>ODwyer2019a</t>
  </si>
  <si>
    <t>Eye-based Continuous Affect Prediction</t>
  </si>
  <si>
    <t>2019 8th International Conference on Affective Computing and Intelligent Interaction (ACII)</t>
  </si>
  <si>
    <t>ParenteDaCosta2019a</t>
  </si>
  <si>
    <t>Set of Usability Heuristics for Quality Assessment of Mobile Applications on Smartphones</t>
  </si>
  <si>
    <t>Weichbroth2020a</t>
  </si>
  <si>
    <t>Usability of Mobile Applications: A Systematic Literature Study</t>
  </si>
  <si>
    <t>Molloy2019a</t>
  </si>
  <si>
    <t>Mixed Reality Piano Tutor: A Gamified Piano Practice Environment</t>
  </si>
  <si>
    <t>2019 International Conference on Electronics, Information, and Communication (ICEIC)</t>
  </si>
  <si>
    <t>Amjad2017a</t>
  </si>
  <si>
    <t>Cognitive Edge Computing based resource allocation framework for Internet of Things</t>
  </si>
  <si>
    <t>2017 Second International Conference on Fog and Mobile Edge Computing (FMEC)</t>
  </si>
  <si>
    <t>Chirayus2019a</t>
  </si>
  <si>
    <t>A Systematic Mapping Review: Mobile User Interface Design Guidelines for the Elderly with Cognitive Impairments</t>
  </si>
  <si>
    <t>2019 23rd International Computer Science and Engineering Conference (ICSEC)</t>
  </si>
  <si>
    <t>Mendez2018a</t>
  </si>
  <si>
    <t>Semi-Automating (or not) a Socio-Technical Method for Socio-Technical Systems</t>
  </si>
  <si>
    <t>Peitek2020a</t>
  </si>
  <si>
    <t>A Look into Programmers{\rq} Heads</t>
  </si>
  <si>
    <t>Program comprehension (bottom-up).</t>
  </si>
  <si>
    <t>Active brain regions associcated with certain cognitive processes.</t>
  </si>
  <si>
    <t>Participants solve tasks assessing source code comprehension while lying in fMRI scanner. Measuring BOLD effect (blood oxygenation levels).</t>
  </si>
  <si>
    <t>Brain regions active during program comprehension process are linked to working memory, attention and language processing. Cognitive effort measurable. Cognitive load correlated with prior programming experience in specific language.</t>
  </si>
  <si>
    <t>Meyer2020a</t>
  </si>
  <si>
    <t>Detecting Developers' Task Switches and Types</t>
  </si>
  <si>
    <t>Greenheld2018a</t>
  </si>
  <si>
    <t>Automating Developers' Responses to App Reviews</t>
  </si>
  <si>
    <t>2018 25th Australasian Software Engineering Conference (ASWEC)</t>
  </si>
  <si>
    <t>Usability
Cognitive load
Performance</t>
  </si>
  <si>
    <t>Perceived usability
Perceived cognitive load
Time to complete review response task</t>
  </si>
  <si>
    <t>System Usability Scale
NASA TLX
Amount of time taken to respond to a review</t>
  </si>
  <si>
    <t>Helps evaluate the tool from the developer perspective</t>
  </si>
  <si>
    <t>The paper investigates a semi-automatic system for responding to app reviews. It measures usability, cognitive load, and task performance with participants who use the system to complete a review response task. The paper finds that the system was preferred over a system like Google Play and that it considerably reduced developers' workload.</t>
  </si>
  <si>
    <t>Levillain2019a</t>
  </si>
  <si>
    <t>Towards situational awareness from robotic group motion</t>
  </si>
  <si>
    <t>2019 28th IEEE International Conference on Robot and Human Interactive Communication (RO-MAN)</t>
  </si>
  <si>
    <t>Vincur2017a</t>
  </si>
  <si>
    <t>VR City: Software Analysis in Virtual Reality Environment</t>
  </si>
  <si>
    <t>2017 IEEE International Conference on Software Quality, Reliability and Security Companion (QRS-C)</t>
  </si>
  <si>
    <t>Chiu2014a</t>
  </si>
  <si>
    <t>2014 IEEE International Conference on Industrial Engineering and Engineering Management</t>
  </si>
  <si>
    <t>Ralph2013a</t>
  </si>
  <si>
    <t>Possible core theories for software engineering</t>
  </si>
  <si>
    <t>2013 2nd SEMAT Workshop on a General Theory of Software Engineering (GTSE)</t>
  </si>
  <si>
    <t>Complexity Theory
Sensemaking-Coevolution-Implementation Theory
the Theory of Boundary Objects
Transactive Memory Theory
The Theory of Cognitive Biases</t>
  </si>
  <si>
    <t>memory
cognitive biases
cognitive load
problem-solving</t>
  </si>
  <si>
    <t>Paper describes different theories from cognitive psychology and behaviour to explain SE phenomena. However, paper does not provide any ampirical study, thus no assessment took place.</t>
  </si>
  <si>
    <t>Hossain2016a</t>
  </si>
  <si>
    <t>Influence of cognitive style on mobile payment system adoption: An extended technology acceptance model</t>
  </si>
  <si>
    <t>2016 International Conference on Computer Communication and Informatics (ICCCI)</t>
  </si>
  <si>
    <t>Snodgrass1988a</t>
  </si>
  <si>
    <t>Proceedings. 1988 International Conference on Computer Languages</t>
  </si>
  <si>
    <t>Rustia2012a</t>
  </si>
  <si>
    <t>Developing a system model for a software application to assess the cognitive work ability of nurses</t>
  </si>
  <si>
    <t>TENCON 2012 IEEE Region 10 Conference</t>
  </si>
  <si>
    <t>Coulter1983a</t>
  </si>
  <si>
    <t>Software Science and Cognitive Psychology</t>
  </si>
  <si>
    <t>Multistore memory theory/paradigm (sensory, short-term and long-term memory).</t>
  </si>
  <si>
    <t>Limitations of short-term memory, searches in human memory, psychological time.</t>
  </si>
  <si>
    <t>Paper reflects on Halstead's legacy and identifies concepts from cognitive psychology, which were incorporated incorrectly into software science.</t>
  </si>
  <si>
    <t>Redmiles1993a</t>
  </si>
  <si>
    <t>Observations on using empirical studies on developing a knowledge-based software engineering tool</t>
  </si>
  <si>
    <t>Proceedings of 8th Knowledge-Based Software Engineering Conference</t>
  </si>
  <si>
    <t>Upchurch1998a</t>
  </si>
  <si>
    <t>In support of student process improvement</t>
  </si>
  <si>
    <t>Proceedings 11th Conference on Software Engineering Education</t>
  </si>
  <si>
    <t>Chiew2002a</t>
  </si>
  <si>
    <t>A software engineering cognitive knowledge discovery framework</t>
  </si>
  <si>
    <t>Proceedings First IEEE International Conference on Cognitive Informatics</t>
  </si>
  <si>
    <t>PingZhou2008a</t>
  </si>
  <si>
    <t>Analysis of cognitive behavior in software interactive interface</t>
  </si>
  <si>
    <t>2008 9th International Conference on Computer-Aided Industrial Design and Conceptual Design</t>
  </si>
  <si>
    <t>Qi2009a</t>
  </si>
  <si>
    <t>Notice of Retraction: Innovative Mathematical Pedagogical Model Based on Cognitive psychology</t>
  </si>
  <si>
    <t>2009 International Conference on Computational Intelligence and Software Engineering</t>
  </si>
  <si>
    <t>Li2019a</t>
  </si>
  <si>
    <t>Detecting Basic Level Categories by Term Weighting and Feature Entropy</t>
  </si>
  <si>
    <t>2019 IEEE International Conference on Big Data and Smart Computing (BigComp)</t>
  </si>
  <si>
    <t>Aranda2006a</t>
  </si>
  <si>
    <t>Technology Selection to Improve Global Collaboration</t>
  </si>
  <si>
    <t>2006 IEEE International Conference on Global Software Engineering (ICGSE'06)</t>
  </si>
  <si>
    <t>Leveson2000a</t>
  </si>
  <si>
    <t>Intent specifications: an approach to building human-centered specifications</t>
  </si>
  <si>
    <t>Calikli2013a</t>
  </si>
  <si>
    <t>Towards a Metric Suite Proposal to Quantify Confirmation Biases of Developers</t>
  </si>
  <si>
    <t>2013 ACM / IEEE International Symposium on Empirical Software Engineering and Measurement</t>
  </si>
  <si>
    <t>BingruYang2008a</t>
  </si>
  <si>
    <t>Coordinators based on cognitive psychology features and the corresponding KDD process model</t>
  </si>
  <si>
    <t>2008 Chinese Control and Decision Conference</t>
  </si>
  <si>
    <t>Bak2013a</t>
  </si>
  <si>
    <t>Example-Driven Modeling: Model = Abstractions + Examples</t>
  </si>
  <si>
    <t>2013 35th International Conference on Software Engineering (ICSE)</t>
  </si>
  <si>
    <t>(Domain) knowledge. Model comprehension.</t>
  </si>
  <si>
    <t>Forms the basis for the suggestion of EDM, but is not examined as such.</t>
  </si>
  <si>
    <t>The paper is proposing Example-Driven Modeling (EDM), where examples and abstrations are equally important.</t>
  </si>
  <si>
    <t>JianChen2012a</t>
  </si>
  <si>
    <t>Multi-prototype based semantic similarity of concepts in ontology</t>
  </si>
  <si>
    <t>2012 International Conference on Machine Learning and Cybernetics</t>
  </si>
  <si>
    <t>Gnaho1999a</t>
  </si>
  <si>
    <t>A goal-driven approach to Web navigation modeling</t>
  </si>
  <si>
    <t>Proceedings. Tenth International Workshop on Database and Expert Systems Applications. DEXA 99</t>
  </si>
  <si>
    <t>Clark1999a</t>
  </si>
  <si>
    <t>Consulting experiences: making user-centred design work</t>
  </si>
  <si>
    <t>IEE colloquium on Making User-Centred Design Work in Software Development (Ref. No. 1999/010)</t>
  </si>
  <si>
    <t>Chiew2003a</t>
  </si>
  <si>
    <t>From cognitive psychology to cognitive informatics</t>
  </si>
  <si>
    <t>The Second IEEE International Conference on Cognitive Informatics, 2003. Proceedings.</t>
  </si>
  <si>
    <t>Carod2007a</t>
  </si>
  <si>
    <t>A Cognitive Psychology Approach for Balancing Elicitation Goals</t>
  </si>
  <si>
    <t>6th IEEE International Conference on Cognitive Informatics</t>
  </si>
  <si>
    <t>Breaux2012a</t>
  </si>
  <si>
    <t>2012 Second IEEE International Workshop on Requirements Patterns (RePa)</t>
  </si>
  <si>
    <t>Aranda2006b</t>
  </si>
  <si>
    <t>Cognitive-Based Rules as a Means to Select Suitable Groupware Tools</t>
  </si>
  <si>
    <t>2006 5th IEEE International Conference on Cognitive Informatics</t>
  </si>
  <si>
    <t>Jablokow2010a</t>
  </si>
  <si>
    <t>Managing Cognitive and Cultural Diversity in Global IT Teams</t>
  </si>
  <si>
    <t>2010 5th IEEE International Conference on Global Software Engineering</t>
  </si>
  <si>
    <t>Adaption-Innovation Theory and Hofstede's theory of cultural diversity</t>
  </si>
  <si>
    <t>Cognitive diversity, decision making differences in teams. Cognitive Style.</t>
  </si>
  <si>
    <t>The paper presents the importance of cognitive diveristy in IT Teams and presents questions for further resreach into how cognitive styles and different problem solving styles can effect teams. No assessment or study has been carried out but emphaisis is put on the future use of KAI for assesing cognitive diversity.</t>
  </si>
  <si>
    <t>Wang2008a</t>
  </si>
  <si>
    <t>A Study of Classification Algorithm for Data Mining Based on Hybrid Intelligent Systems</t>
  </si>
  <si>
    <t>2008 Ninth ACIS International Conference on Software Engineering, Artificial Intelligence, Networking, and Parallel/Distributed Computing</t>
  </si>
  <si>
    <t>Gordon1979a</t>
  </si>
  <si>
    <t>BrunodosSantos2011a</t>
  </si>
  <si>
    <t>Resilient control of a decision support system for emergency simulation at nuclear power plant</t>
  </si>
  <si>
    <t>Proceedings of the 2011 15th International Conference on Computer Supported Cooperative Work in Design (CSCWD)</t>
  </si>
  <si>
    <t>Richards2002a</t>
  </si>
  <si>
    <t>Application of multiple artificial intelligence techniques for an aircraft carrier landing decision support tool</t>
  </si>
  <si>
    <t>2002 IEEE World Congress on Computational Intelligence. 2002 IEEE International Conference on Fuzzy Systems. FUZZ-IEEE'02. Proceedings (Cat. No.02CH37291)</t>
  </si>
  <si>
    <t>Daniels1999a</t>
  </si>
  <si>
    <t>IT in society: a multi-disciplinary course</t>
  </si>
  <si>
    <t>FIE'99 Frontiers in Education. 29th Annual Frontiers in Education Conference. Designing the Future of Science and Engineering Education. Conference Proceedings (IEEE Cat. No.99CH37011)</t>
  </si>
  <si>
    <t>Agarwal1999a</t>
  </si>
  <si>
    <t>Comprehending object and process models: an empirical study</t>
  </si>
  <si>
    <t>QianWei2010a</t>
  </si>
  <si>
    <t>Key recommendation for key agreement in public safety mesh networks</t>
  </si>
  <si>
    <t>2010 International Conference on Computer Application and System Modeling (ICCASM 2010)</t>
  </si>
  <si>
    <t>Thomas2012a</t>
  </si>
  <si>
    <t>Using the ``Physics'' of notations to analyze a visual representation of business decision modeling</t>
  </si>
  <si>
    <t>2012 IEEE Symposium on Visual Languages and Human-Centric Computing (VL/HCC)</t>
  </si>
  <si>
    <t>Aranda2008a</t>
  </si>
  <si>
    <t>Strategies to recommend groupware tools according to virtual team characteristics</t>
  </si>
  <si>
    <t>2008 7th IEEE International Conference on Cognitive Informatics</t>
  </si>
  <si>
    <t>cognitive psychology
learning style
cognitive style</t>
  </si>
  <si>
    <t>learning-style models
precerences of groupware tools and requirements elicitation</t>
  </si>
  <si>
    <t>questionnaire on preferences</t>
  </si>
  <si>
    <t>used to create the method</t>
  </si>
  <si>
    <t>The paper presents three different strategies for groupware selection to improve Global Software Development projects, taking cognitive psychology into account.</t>
  </si>
  <si>
    <t>Popieul1993a</t>
  </si>
  <si>
    <t>From AMS design to realization: methods and tools</t>
  </si>
  <si>
    <t>Proceedings of IECON '93 - 19th Annual Conference of IEEE Industrial Electronics</t>
  </si>
  <si>
    <t>Wang2007a</t>
  </si>
  <si>
    <t>The Theoretical Framework and Cognitive Process of Learning</t>
  </si>
  <si>
    <t>Degtiarev2009a</t>
  </si>
  <si>
    <t>Perceptual proximity-based approach to structural complexity estimate of simplicial complex in the framework of Q-analysis holistic methodology</t>
  </si>
  <si>
    <t>2009 Fifth International Conference on Soft Computing, Computing with Words and Perceptions in System Analysis, Decision and Control</t>
  </si>
  <si>
    <t>Tosic2004a</t>
  </si>
  <si>
    <t>Towards a hierarchical taxonomy of autonomous agents</t>
  </si>
  <si>
    <t>2004 IEEE International Conference on Systems, Man and Cybernetics (IEEE Cat. No.04CH37583)</t>
  </si>
  <si>
    <t>Kodagoda2013a</t>
  </si>
  <si>
    <t>Using Interactive Visual Reasoning to Support Sense-Making: Implications for Design</t>
  </si>
  <si>
    <t>Dominguez-Mayo2014a</t>
  </si>
  <si>
    <t>Towards the quality improvement of Web applications by neuroscience techniques</t>
  </si>
  <si>
    <t>2014 9th International Conference on Software Engineering and Applications (ICSOFT-EA)</t>
  </si>
  <si>
    <t>Mohan2013a</t>
  </si>
  <si>
    <t>Understanding the Nature of Use Regarding System Development and Management Methodologies -- Using Psychoanalysis to Understand the Influences of Methodology Attributes</t>
  </si>
  <si>
    <t>2013 46th Hawaii International Conference on System Sciences</t>
  </si>
  <si>
    <t>Diffusion of innovations theory (DOI); Theory of psychoanalysis (by Freud).</t>
  </si>
  <si>
    <t>Motivation, attitude.</t>
  </si>
  <si>
    <t>Participants' experiences with adaption of system development methodologies (SDMs) in their most recent project.</t>
  </si>
  <si>
    <t>Online survey questions using a 7-point Likert scale.</t>
  </si>
  <si>
    <t>Central to the paper in terms of psychoanalysis.</t>
  </si>
  <si>
    <t>Employees' usage behaviour of SDMs categorised into: resistant, compliant, committed.</t>
  </si>
  <si>
    <t>Hoffman2008a</t>
  </si>
  <si>
    <t>Influencing versus Informing Design, Part 2: Macrocognitive Modeling</t>
  </si>
  <si>
    <t>IEEE Intelligent Systems</t>
  </si>
  <si>
    <t>Macrocognition, comprehension of larger goal oriented tasks. Reasoning and knowledge.</t>
  </si>
  <si>
    <t>The practitioners ability to reason and develop full comprehension of cognitive tasks in a project. Measured through preperation of the models, making of the models and then verification.</t>
  </si>
  <si>
    <t>The suggested research method was breifly discussed, but not fully assessed.</t>
  </si>
  <si>
    <t>Understanding macrocognition can bridge the gap between different types of engineers on a project.</t>
  </si>
  <si>
    <t>The paper presents a model that can be used to in different fields of work to help in the effiency of comprehension of cognitive tasks. The model has been verfied but briefly. No proper study was conducted, only briefly conducted with a small example case.</t>
  </si>
  <si>
    <t>Marcus2008a</t>
  </si>
  <si>
    <t>Using the Conceptual Cohesion of Classes for Fault Prediction in Object-Oriented Systems</t>
  </si>
  <si>
    <t>Mongiello2015a</t>
  </si>
  <si>
    <t>AC-Contract: Run-Time Verification of Context-Aware Applications</t>
  </si>
  <si>
    <t>2015 IEEE/ACM 10th International Symposium on Software Engineering for Adaptive and Self-Managing Systems</t>
  </si>
  <si>
    <t>Avery2011a</t>
  </si>
  <si>
    <t>Architectural Design and Development of a Hybrid Robotics Control System</t>
  </si>
  <si>
    <t>2011 Ninth International Conference on Software Engineering Research, Management and Applications</t>
  </si>
  <si>
    <t>Knight1999a</t>
  </si>
  <si>
    <t>Comprehension with[in] virtual environment visualisations</t>
  </si>
  <si>
    <t>Proceedings Seventh International Workshop on Program Comprehension</t>
  </si>
  <si>
    <t>Goschnick2003a</t>
  </si>
  <si>
    <t>An agent-based digital self in a 24x7 Web services world: architecture and implementation</t>
  </si>
  <si>
    <t>IEEE/WIC International Conference on Intelligent Agent Technology, 2003. IAT 2003.</t>
  </si>
  <si>
    <t>HaipingSong2005a</t>
  </si>
  <si>
    <t>Enhancing Course Content by Cognitive Styles: A Case Study with Bioinformatics at High Schools</t>
  </si>
  <si>
    <t>Proceedings Frontiers in Education 35th Annual Conference</t>
  </si>
  <si>
    <t>Swan2005a</t>
  </si>
  <si>
    <t>2005 International Symposium on Empirical Software Engineering, 2005.</t>
  </si>
  <si>
    <t>Stenmark2002a</t>
  </si>
  <si>
    <t>Group cohesiveness and extrinsic motivation in virtual groups: lessons from an action case study of electronic brainstorming</t>
  </si>
  <si>
    <t>Proceedings of the 35th Annual Hawaii International Conference on System Sciences</t>
  </si>
  <si>
    <t>Bai2007a</t>
  </si>
  <si>
    <t>FD/I-Based personalized recommendation in Context-aware Application</t>
  </si>
  <si>
    <t>2007 International Conference on Multimedia and Ubiquitous Engineering (MUE'07)</t>
  </si>
  <si>
    <t>Blackwell1996a</t>
  </si>
  <si>
    <t>Metacognitive theories of visual programming: what do we think we are doing?</t>
  </si>
  <si>
    <t>Proceedings 1996 IEEE Symposium on Visual Languages</t>
  </si>
  <si>
    <t>Neville2008a</t>
  </si>
  <si>
    <t>The Procurement Woes Revisited</t>
  </si>
  <si>
    <t>Rodrigues2011a</t>
  </si>
  <si>
    <t>Making the comprehension of software architecture attractive</t>
  </si>
  <si>
    <t>2011 24th IEEE-CS Conference on Software Engineering Education and Training (CSEE T)</t>
  </si>
  <si>
    <t>Chen2017b</t>
  </si>
  <si>
    <t>H-PARAFAC: Hierarchical Parallel Factor Analysis of Multidimensional Big Data</t>
  </si>
  <si>
    <t>IEEE Transactions on Parallel and Distributed Systems</t>
  </si>
  <si>
    <t>Staats1999a</t>
  </si>
  <si>
    <t>Enhancing an object-oriented curriculum: metacognitive assessment and training</t>
  </si>
  <si>
    <t>Arkin1990a</t>
  </si>
  <si>
    <t>The impact of cybernetics on the design of a mobile robot system: a case study</t>
  </si>
  <si>
    <t>IEEE Transactions on Systems, Man, and Cybernetics</t>
  </si>
  <si>
    <t>Mayer2017a</t>
  </si>
  <si>
    <t>Evaluation of the risk and security overlay of archimate to model information system security risks</t>
  </si>
  <si>
    <t>2017 IEEE 21st International Enterprise Distributed Object Computing Workshop (EDOCW)</t>
  </si>
  <si>
    <t>Moody's Physics of Notations</t>
  </si>
  <si>
    <t>Moody's nine principles (from "Physics of Notations")</t>
  </si>
  <si>
    <t>Analytical assessment against the principles</t>
  </si>
  <si>
    <t>Helps evaluate the cognitive effectiveness of the ArchiMate modelling language</t>
  </si>
  <si>
    <t>The paper evaluates the ArchiMate language for enterprise architecture modelling using the nine principles from Moody's Physics of Notations. The paper finds both positive and negative aspects of ArchiMate.</t>
  </si>
  <si>
    <t>Trousse1993a</t>
  </si>
  <si>
    <t>Use of case-based reasoning techniques for intelligent computer-aided-design systems</t>
  </si>
  <si>
    <t>Proceedings of IEEE Systems Man and Cybernetics Conference - SMC</t>
  </si>
  <si>
    <t>Liu2019a</t>
  </si>
  <si>
    <t>Facial Expression Recognition via Deep Action Units Graph Network Based on Psychological Mechanism</t>
  </si>
  <si>
    <t>IEEE Transactions on Cognitive and Developmental Systems</t>
  </si>
  <si>
    <t>Bickle2006a</t>
  </si>
  <si>
    <t>Ruthless reductionism in recent neuroscience</t>
  </si>
  <si>
    <t>IEEE Transactions on Systems, Man, and Cybernetics, Part C (Applications and Reviews)</t>
  </si>
  <si>
    <t>Begel2017a</t>
  </si>
  <si>
    <t>Keynote - The ABCs of Software Engineering: Affect, Biometrics, and Cognition</t>
  </si>
  <si>
    <t>2017 IEEE/ACM 25th International Conference on Program Comprehension (ICPC)</t>
  </si>
  <si>
    <t>Bo2019a</t>
  </si>
  <si>
    <t>Emotion-Based Interactive Art Design</t>
  </si>
  <si>
    <t>2019 IEEE 19th International Conference on Software Quality, Reliability and Security Companion (QRS-C)</t>
  </si>
  <si>
    <t>YingxuWang2008a</t>
  </si>
  <si>
    <t>The cognitive processes of consciousness and attention</t>
  </si>
  <si>
    <t>He2008a</t>
  </si>
  <si>
    <t>Research on the Routing Algorithm Based on QoS Requirement for Cognitive Radio Networks</t>
  </si>
  <si>
    <t>2008 International Conference on Computer Science and Software Engineering</t>
  </si>
  <si>
    <t>Labunets2017b</t>
  </si>
  <si>
    <t>Model Comprehension for Security Risk Assessment: An Empirical Comparison of Tabular vs. Graphical Representations</t>
  </si>
  <si>
    <t>2017 Empirical Software Engineering</t>
  </si>
  <si>
    <t>Vessey’s cognitive fit theory</t>
  </si>
  <si>
    <t>Comprehension of different representations. Task complexity. Precision and recall.</t>
  </si>
  <si>
    <t>The comprehension of risk anaylsis by using tabular vs graphical notations.</t>
  </si>
  <si>
    <t xml:space="preserve">Ran scenario based tasks in which the security risks were modelled using different notations. The participants were then tested on these scenarios with different ranges of complexities. </t>
  </si>
  <si>
    <t>Tests the effect of task complexity on comprehension pf risk models.</t>
  </si>
  <si>
    <t>Results showed that the tabular risk model allowed for better comprehension results. Additionally, participants showed equal preference when asked about their own perception of the two risk modeling notations</t>
  </si>
  <si>
    <t>Blackwell2002a</t>
  </si>
  <si>
    <t>Proceedings IEEE 2002 Symposia on Human Centric Computing Languages and Environments</t>
  </si>
  <si>
    <t>Yan2018a</t>
  </si>
  <si>
    <t>Multibranch Attention Networks for Action Recognition in Still Images</t>
  </si>
  <si>
    <t>Avellis1993a</t>
  </si>
  <si>
    <t>A blackboard architecture for intelligent assistance in software maintenance</t>
  </si>
  <si>
    <t>Proceedings of 6th International Workshop on Computer-Aided Software Engineering</t>
  </si>
  <si>
    <t>Chotisarn2013a</t>
  </si>
  <si>
    <t>2013 IEEE Third International Conference on Information Science and Technology (ICIST)</t>
  </si>
  <si>
    <t>Hundal2018a</t>
  </si>
  <si>
    <t>Model-Based Development with Distributed Cognition</t>
  </si>
  <si>
    <t>2018 IEEE 8th International Model-Driven Requirements Engineering Workshop (MoDRE)</t>
  </si>
  <si>
    <t>Iio1997a</t>
  </si>
  <si>
    <t>1997 Proceedings International Conference on Software Maintenance</t>
  </si>
  <si>
    <t>Bosse2006a</t>
  </si>
  <si>
    <t>A Cognitive Model for Visual Attention and Its Application</t>
  </si>
  <si>
    <t>2006 IEEE/WIC/ACM International Conference on Intelligent Agent Technology</t>
  </si>
  <si>
    <t>Jing2019a</t>
  </si>
  <si>
    <t>Aggregrated Transformation and Attention Neural Network for Remote Sensing Scene Recognition</t>
  </si>
  <si>
    <t>2019 2nd China Symposium on Cognitive Computing and Hybrid Intelligence (CCHI)</t>
  </si>
  <si>
    <t>WentingHu2017a</t>
  </si>
  <si>
    <t>Salient locations search based on human visual attention: An experimental analysis</t>
  </si>
  <si>
    <t>2017 IEEE 14th International Conference on Networking, Sensing and Control (ICNSC)</t>
  </si>
  <si>
    <t>Conroy2012a</t>
  </si>
  <si>
    <t>2012 25th IEEE Canadian Conference on Electrical and Computer Engineering (CCECE)</t>
  </si>
  <si>
    <t>Khatri2006a</t>
  </si>
  <si>
    <t>Cognitive fit between conceptual schemas and internal problem representations: the case of geospatio-temporal conceptual schema comprehension</t>
  </si>
  <si>
    <t>IEEE Transactions on Professional Communication</t>
  </si>
  <si>
    <t>Leano2017a</t>
  </si>
  <si>
    <t>What makes a task difficult? An empirical study of perceptions of task difficulty</t>
  </si>
  <si>
    <t>2017 IEEE Symposium on Visual Languages and Human-Centric Computing (VL/HCC)</t>
  </si>
  <si>
    <t>Mental effort.</t>
  </si>
  <si>
    <t>Metrics used by professionals to estimate task difficulty.</t>
  </si>
  <si>
    <t>Exploratory survey with professionals and semi-structured interviews with subset of the same participants.</t>
  </si>
  <si>
    <t>This is more the basis for the investigation, but the paper is more about assessing task difficulty and not about mental effort as such.</t>
  </si>
  <si>
    <t>Importance and means of task difficulty estimation for professionals, i.e. "why" and "how".</t>
  </si>
  <si>
    <t>Jarczyk1992a</t>
  </si>
  <si>
    <t>Design rationale for software engineering: a survey</t>
  </si>
  <si>
    <t>Proceedings of the Twenty-Fifth Hawaii International Conference on System Sciences</t>
  </si>
  <si>
    <t>Lehtinen2011a</t>
  </si>
  <si>
    <t>What are Problem Causes of Software Projects? Data of Root Cause Analysis at Four Software Companies</t>
  </si>
  <si>
    <t>2011 International Symposium on Empirical Software Engineering and Measurement</t>
  </si>
  <si>
    <t>Schots2012a</t>
  </si>
  <si>
    <t>Awareness and Comprehension in Software/Systems Engineering Practice and Education: Trends and Research Directions</t>
  </si>
  <si>
    <t>2012 26th Brazilian Symposium on Software Engineering</t>
  </si>
  <si>
    <t>Kawasaki2005a</t>
  </si>
  <si>
    <t>Impaired visual working memory capacity in case of motion direction and color-shape feature binding</t>
  </si>
  <si>
    <t>Proceedings. The 4th International Conference on Development and Learning, 2005</t>
  </si>
  <si>
    <t>Tzerpos1997a</t>
  </si>
  <si>
    <t>The Orphan Adoption problem in architecture maintenance</t>
  </si>
  <si>
    <t>Proceedings of the Fourth Working Conference on Reverse Engineering</t>
  </si>
  <si>
    <t>Arrabales2009a</t>
  </si>
  <si>
    <t>Establishing a roadmap and metrics for conscious machines development</t>
  </si>
  <si>
    <t>2009 8th IEEE International Conference on Cognitive Informatics</t>
  </si>
  <si>
    <t>Yuan2006a</t>
  </si>
  <si>
    <t>Theoretical Study of the Personal Capability Improvement in Unit Test</t>
  </si>
  <si>
    <t>He2014a</t>
  </si>
  <si>
    <t>A noninvasive real-time driving fatigue detection technology based on left prefrontal Attention and Meditation EEG</t>
  </si>
  <si>
    <t>2014 International Conference on Multisensor Fusion and Information Integration for Intelligent Systems (MFI)</t>
  </si>
  <si>
    <t>Bach1998a</t>
  </si>
  <si>
    <t>Microdynamics of process evolution</t>
  </si>
  <si>
    <t>Computer</t>
  </si>
  <si>
    <t>Dey2015a</t>
  </si>
  <si>
    <t>2015 IEEE 23rd International Requirements Engineering Conference (RE)</t>
  </si>
  <si>
    <t>Sinha1992a</t>
  </si>
  <si>
    <t>Cognitive fit: an empirical study of recursion and iteration</t>
  </si>
  <si>
    <t>Monwar2011a</t>
  </si>
  <si>
    <t>A novel fuzzy multimodal information fusion technology for human biometric traits identification</t>
  </si>
  <si>
    <t>IEEE 10th International Conference on Cognitive Informatics and Cognitive Computing (ICCI-CC'11)</t>
  </si>
  <si>
    <t>Goldbogen1981a</t>
  </si>
  <si>
    <t>PRIM: A Fast Matrix Transpose Method</t>
  </si>
  <si>
    <t>Budgen1993a</t>
  </si>
  <si>
    <t>CASE tools: Masters or servants?</t>
  </si>
  <si>
    <t>1993 Software Engineering Environments</t>
  </si>
  <si>
    <t>Cognitive model, knowledge.</t>
  </si>
  <si>
    <t>In a sense, the (cognitive) model of the developer in comparison to the way CASE tools are structured is the central point of this paper. Nevertheless, it is not going into details with the developers' cognitive model.</t>
  </si>
  <si>
    <t>Mismatch between the design process going on in developers' mind and the way CASE tools take input for a model. Suggestion to focus more on cognitive needs of the designer when building CASE tools.</t>
  </si>
  <si>
    <t>RomeroLopez2009a</t>
  </si>
  <si>
    <t>Hybridization of cognitive models using evolutionary strategies</t>
  </si>
  <si>
    <t>2009 IEEE Congress on Evolutionary Computation</t>
  </si>
  <si>
    <t>DeSilva2006a</t>
  </si>
  <si>
    <t>Modeling Cognitive Structure of Emotion for Developing a Pedagogical Agent Based Interactive Game</t>
  </si>
  <si>
    <t>2006 IEEE International Conference on Systems, Man and Cybernetics</t>
  </si>
  <si>
    <t>MacDonell1991a</t>
  </si>
  <si>
    <t>Functional complexity analysis</t>
  </si>
  <si>
    <t>IEE Colloquium on Designing Quality into Software Based Systems</t>
  </si>
  <si>
    <t>Burdea2009a</t>
  </si>
  <si>
    <t>Rubber ball to cloud rehabilitation musing on the future of therapy</t>
  </si>
  <si>
    <t>2009 Virtual Rehabilitation International Conference</t>
  </si>
  <si>
    <t>Fu2018a</t>
  </si>
  <si>
    <t>Lexicon-Enhanced LSTM With Attention for General Sentiment Analysis</t>
  </si>
  <si>
    <t>Wirfs-Brock2007a</t>
  </si>
  <si>
    <t>Giving Design Advice</t>
  </si>
  <si>
    <t>Gul2015a</t>
  </si>
  <si>
    <t>A machine learning approach to detect occluded faces in unconstrained crowd scene</t>
  </si>
  <si>
    <t>2015 IEEE 14th International Conference on Cognitive Informatics Cognitive Computing (ICCI*CC)</t>
  </si>
  <si>
    <t>Khan2019a</t>
  </si>
  <si>
    <t>A journey of WEB and Blockchain towards the Industry 4.0: An Overview</t>
  </si>
  <si>
    <t>2019 International Conference on Innovative Computing (ICIC)</t>
  </si>
  <si>
    <t>Canderle2004a</t>
  </si>
  <si>
    <t>A dual-task approach to the evaluation of the myokinemetric signal as an alternative to EMG</t>
  </si>
  <si>
    <t>The 26th Annual International Conference of the IEEE Engineering in Medicine and Biology Society</t>
  </si>
  <si>
    <t>Far2002a</t>
  </si>
  <si>
    <t>Software agents: quality, complexity and uncertainty issues</t>
  </si>
  <si>
    <t>Jin2006a</t>
  </si>
  <si>
    <t>Improving Software Quality Classification with Random Projection</t>
  </si>
  <si>
    <t>Piras2016a</t>
  </si>
  <si>
    <t>Acceptance Requirements and Their Gamification Solutions</t>
  </si>
  <si>
    <t>Li2020b</t>
  </si>
  <si>
    <t>Advances and Emerging Challenges in Cognitive Internet-of-Things</t>
  </si>
  <si>
    <t>IEEE Transactions on Industrial Informatics</t>
  </si>
  <si>
    <t>Potts1999a</t>
  </si>
  <si>
    <t>Proceedings IEEE International Symposium on Requirements Engineering (Cat. No.PR00188)</t>
  </si>
  <si>
    <t>Mohanani2019a</t>
  </si>
  <si>
    <t>Requirements Framing Affects Design Creativity</t>
  </si>
  <si>
    <t>Cognitive biases
Framing</t>
  </si>
  <si>
    <t>Expert judgement on 5-point scale</t>
  </si>
  <si>
    <t>Requirements presented as requirements or prioritised requirements resulted in less original designs than requirements presented as ideas. The paper concludes that framing influences design creativity.</t>
  </si>
  <si>
    <t>Huang2010a</t>
  </si>
  <si>
    <t>An Efficient Method for Diversifying Skylines in SOA Environment</t>
  </si>
  <si>
    <t>2010 International Conference on Intelligent Computing and Cognitive Informatics</t>
  </si>
  <si>
    <t>Prado2015a</t>
  </si>
  <si>
    <t>WAP: Cognitive aspects in unit testing: The hunting game and the hunter's perspective</t>
  </si>
  <si>
    <t>2015 IEEE 26th International Symposium on Software Reliability Engineering (ISSRE)</t>
  </si>
  <si>
    <t>Tahvildari1999a</t>
  </si>
  <si>
    <t>An approach for measuring software evolution using source code features</t>
  </si>
  <si>
    <t>Proceedings Sixth Asia Pacific Software Engineering Conference (ASPEC'99) (Cat. No.PR00509)</t>
  </si>
  <si>
    <t>HariPrasad2014a</t>
  </si>
  <si>
    <t>Value of bottom-up team formation for complex adaptive business systems</t>
  </si>
  <si>
    <t>2014 IEEE International Systems Conference Proceedings</t>
  </si>
  <si>
    <t>Mental models in teams, social cognition, knowledge transfer.</t>
  </si>
  <si>
    <t>The shared mental models and teamwork characteristics shown in a website development case study.</t>
  </si>
  <si>
    <t>Case study on several small groups to organize and complete the same development task.</t>
  </si>
  <si>
    <t>Central to paper</t>
  </si>
  <si>
    <t>The paper presents the  effectiveness of self organizing teams in a bottom-up approach, It fouses on the collaborative cognitive aspects that lead to succesful teams in SE. Case study highlights shared mental models and their effect on project completetion.</t>
  </si>
  <si>
    <t>Wang2010a</t>
  </si>
  <si>
    <t>Reflections on the Control of Cognitive Load in Multimedia Learning</t>
  </si>
  <si>
    <t>2010 Second International Conference on Multimedia and Information Technology</t>
  </si>
  <si>
    <t>Khan2013a</t>
  </si>
  <si>
    <t>Usability issues for smartphone users with special needs --- Autism</t>
  </si>
  <si>
    <t>2013 International Conference on Open Source Systems and Technologies</t>
  </si>
  <si>
    <t>Wang2009a</t>
  </si>
  <si>
    <t>Computerized Adaptive Testing: The Researches and Perspectives in Chinese Mainland</t>
  </si>
  <si>
    <t>Maxion2000a</t>
  </si>
  <si>
    <t>Eliminating exception handling errors with dependability cases: a comparative, empirical study</t>
  </si>
  <si>
    <t>Human error
Forgetting
Long-term memory
Recall</t>
  </si>
  <si>
    <t>Identification of exceptions</t>
  </si>
  <si>
    <t>Task-based experimental design
- Programming and non-programming conditions
- Each of the above was split into conditions using collaborations, n-versions, and dependability cases for enhancing coverage
- Multi-step procedure to score task results</t>
  </si>
  <si>
    <t>Motivates the assumed underlying reasons for study results</t>
  </si>
  <si>
    <t>The paper finds that using a coverage-enhancing method results in finding more exception cases in code. A proposed method, dependability cases, had the best balance in terms of cost and effectiveness. The paper argues that the methods reduce human error but does not show the exact cognitive mechanism involved.</t>
  </si>
  <si>
    <t>YucongDuan2005a</t>
  </si>
  <si>
    <t>A metamodel based model transformation approach</t>
  </si>
  <si>
    <t>Third ACIS Int'l Conference on Software Engineering Research, Management and Applications (SERA'05)</t>
  </si>
  <si>
    <t>Sucipto2012a</t>
  </si>
  <si>
    <t>Implementation of gesture recognition on aquarium application</t>
  </si>
  <si>
    <t>2012 International Conference on System Engineering and Technology (ICSET)</t>
  </si>
  <si>
    <t>Yamagata2013a</t>
  </si>
  <si>
    <t>Mobile app development and usability research to help dementia and Alzheimer patients</t>
  </si>
  <si>
    <t>2013 IEEE Long Island Systems, Applications and Technology Conference (LISAT)</t>
  </si>
  <si>
    <t>Murphy1999a</t>
  </si>
  <si>
    <t>Case studies of applying Gibson's ecological approach to mobile robots</t>
  </si>
  <si>
    <t>IEEE Transactions on Systems, Man, and Cybernetics - Part A: Systems and Humans</t>
  </si>
  <si>
    <t>WooYoungChung1994a</t>
  </si>
  <si>
    <t>Use of advanced features and perceptions of software quality: an experimental study</t>
  </si>
  <si>
    <t>1994 Proceedings of the Twenty-Seventh Hawaii International Conference on System Sciences</t>
  </si>
  <si>
    <t>Li2015a</t>
  </si>
  <si>
    <t>Learning-based movie summarization via role-community analysis and feature fusion</t>
  </si>
  <si>
    <t>2015 IEEE 17th International Workshop on Multimedia Signal Processing (MMSP)</t>
  </si>
  <si>
    <t>Chakrabarti2009a</t>
  </si>
  <si>
    <t>Test-the-REST: An Approach to Testing RESTful Web-Services</t>
  </si>
  <si>
    <t>2009 Computation World: Future Computing, Service Computation, Cognitive, Adaptive, Content, Patterns</t>
  </si>
  <si>
    <t>Murray1997a</t>
  </si>
  <si>
    <t>An experiment to assess task complexity in the supervision of networked systems</t>
  </si>
  <si>
    <t>1997 IEEE International Conference on Systems, Man, and Cybernetics. Computational Cybernetics and Simulation</t>
  </si>
  <si>
    <t>Spathe2018a</t>
  </si>
  <si>
    <t>Realization of IPv6 connectivity via RS485 fieldbus by adaption of 6LoWPAN</t>
  </si>
  <si>
    <t>2018 IEEE International Conference on Internet of Things and Intelligence System (IOTAIS)</t>
  </si>
  <si>
    <t>Darche1996a</t>
  </si>
  <si>
    <t>Set differentiation: a method for the automatic generation of filtering algorithms</t>
  </si>
  <si>
    <t>Proceedings of the 11th Knowledge-Based Software Engineering Conference</t>
  </si>
  <si>
    <t>Carey2007a</t>
  </si>
  <si>
    <t>Recovering Concepts from Source Code with Automated Concept Identification</t>
  </si>
  <si>
    <t>15th IEEE International Conference on Program Comprehension (ICPC '07)</t>
  </si>
  <si>
    <t>Du2010a</t>
  </si>
  <si>
    <t>Machine Learning for Second Language Learning: Effects on Syntactic Processing in Garden-Path Sentences</t>
  </si>
  <si>
    <t>2010 International Conference on Computational Intelligence and Software Engineering</t>
  </si>
  <si>
    <t>Ge2013a</t>
  </si>
  <si>
    <t>Evaluating upper-limb EMG-prosthesis user performance by combining psychometric measures and classification-rates</t>
  </si>
  <si>
    <t>2013 6th International IEEE/EMBS Conference on Neural Engineering (NER)</t>
  </si>
  <si>
    <t>Havens2012a</t>
  </si>
  <si>
    <t>Fuzzy c-Means Algorithms for Very Large Data</t>
  </si>
  <si>
    <t>IEEE Transactions on Fuzzy Systems</t>
  </si>
  <si>
    <t>Rugaber1993a</t>
  </si>
  <si>
    <t>The representation problem in reverse engineering</t>
  </si>
  <si>
    <t>[1993] Proceedings Working Conference on Reverse Engineering</t>
  </si>
  <si>
    <t>Sedlet1999a</t>
  </si>
  <si>
    <t>Computers, ethics, law and society: what do we teach undergraduates?</t>
  </si>
  <si>
    <t>1999 International Symposium on Technology and Society - Women and Technology: Historical, Societal, and Professional Perspectives. Proceedings. Networking the World (Cat. No.99CH37005)</t>
  </si>
  <si>
    <t>Moses2007a</t>
  </si>
  <si>
    <t>New visualization technology to enhance situational awareness for system operators</t>
  </si>
  <si>
    <t>2007 IEEE Power Engineering Society General Meeting</t>
  </si>
  <si>
    <t>Siddiqi1988a</t>
  </si>
  <si>
    <t>Models of programmer behaviour: a comparative study</t>
  </si>
  <si>
    <t>Proceedings COMPSAC 88: The Twelfth Annual International Computer Software Applications Conference</t>
  </si>
  <si>
    <t>Biros2005a</t>
  </si>
  <si>
    <t>Task Performance Under Deceptive Conditions: Using Military Scenarios in Deception Detection Research</t>
  </si>
  <si>
    <t>Proceedings of the 38th Annual Hawaii International Conference on System Sciences</t>
  </si>
  <si>
    <t>Germanakos2007a</t>
  </si>
  <si>
    <t>A Semantic Approach of an Adaptive and Personalized Web-Based Learning Content-The Case of AdaptiveWeb</t>
  </si>
  <si>
    <t>Second International Workshop on Semantic Media Adaptation and Personalization (SMAP 2007)</t>
  </si>
  <si>
    <t>Xu2013a</t>
  </si>
  <si>
    <t>The design of a domain-specified visualization modeling language for warfare simulation based on meta-model</t>
  </si>
  <si>
    <t>2013 IEEE 4th International Conference on Software Engineering and Service Science</t>
  </si>
  <si>
    <t>Ryoko2012a</t>
  </si>
  <si>
    <t>Does Talking to a Robot in a High-Pitched Voice Create a Good Impression of the Robot?</t>
  </si>
  <si>
    <t>2012 13th ACIS International Conference on Software Engineering, Artificial Intelligence, Networking and Parallel/Distributed Computing</t>
  </si>
  <si>
    <t>Weigand2012a</t>
  </si>
  <si>
    <t>Abduction's role in reverse engineering software</t>
  </si>
  <si>
    <t>2012 IEEE National Aerospace and Electronics Conference (NAECON)</t>
  </si>
  <si>
    <t>Abductive reasoning</t>
  </si>
  <si>
    <t>The paper explores the role of abductive reasoning in reverse engineering. It provides a conceptual treatment of where in reverse engineering abductive reasoning could occur, so that the task of reverse engineering can be understood in more detail (conceptually speaking) and to consider ways in which AI systems could support reverse engineering.</t>
  </si>
  <si>
    <t>KamalKantGupta1995a</t>
  </si>
  <si>
    <t>A 7-DOF practical motion planner based on sequential framework: theory and experiments</t>
  </si>
  <si>
    <t>Proceedings. IEEE International Symposium on Assembly and Task Planning</t>
  </si>
  <si>
    <t>Yang2019a</t>
  </si>
  <si>
    <t>AI-Powered Green Cloud and Data Center</t>
  </si>
  <si>
    <t>Brugali2009a</t>
  </si>
  <si>
    <t>Software engineering for robotics [From the Guest Editors]</t>
  </si>
  <si>
    <t>IEEE Robotics Automation Magazine</t>
  </si>
  <si>
    <t>Gong2018a</t>
  </si>
  <si>
    <t>Artificial Intelligence Course Design: iSTREAM-based Visual Cognitive Smart Vehicles</t>
  </si>
  <si>
    <t>2018 IEEE Intelligent Vehicles Symposium (IV)</t>
  </si>
  <si>
    <t>Fakhoury2019a</t>
  </si>
  <si>
    <t>Measuring the impact of lexical and structural inconsistencies on developers' cognitive load during bug localization</t>
  </si>
  <si>
    <t>Program comprehension,
Cognitive load</t>
  </si>
  <si>
    <t>Program comprehension, task performance, physiological measures (fNIRS: "Oxy"), eye-tracking data (gaze path, fixation duration).</t>
  </si>
  <si>
    <t>Using fNIRS and eye-tracking to measure cognitive load. Program comprehension assessed via questionnaires and task results.</t>
  </si>
  <si>
    <t>The paper studies program comprehension and cognitive load during bug localization by fNIRS and eye-tracking methods. Conclude that lexical inconsistencies increase cognitive load, while structural does not. However, both result in lower performance regarding time and success rate.</t>
  </si>
  <si>
    <t>Chandrika2020a</t>
  </si>
  <si>
    <t>Identification and Classification of~Expertise Using Eye Gaze{\textemdash}Industrial Use Case Study with Software Engineers</t>
  </si>
  <si>
    <t>Springer Singapore, Communication and Intelligent Systems</t>
  </si>
  <si>
    <t>Cognitive load, expertise. Visual attention, stress.</t>
  </si>
  <si>
    <t>Task performance, eye movement metrics.</t>
  </si>
  <si>
    <t>Debugging task: Categorise software engineers into competency groups (high, average, low) based on performance. Eye-tracking: Categorise cognitive load as "high" or "normal" based on pupil size, blinks, fixation duration.</t>
  </si>
  <si>
    <t>Eye tracking useful for assessment of expertise and comfort level. Relating cognitive load to competency. Presented how to categorise "software testers", possible application in recruitment processes.</t>
  </si>
  <si>
    <t>Terhoeven2017a</t>
  </si>
  <si>
    <t>Cognitive Load by Context-Sensitive Information Provision Using Binocular Smart Glasses in an Industrial Setting</t>
  </si>
  <si>
    <t>Springer International Publishing, {HCI} in Business, Government and Organizations. Interacting with Information Systems</t>
  </si>
  <si>
    <t>Huang2018b</t>
  </si>
  <si>
    <t>The Effect of Cognitive Load in 3D Virtual Environments</t>
  </si>
  <si>
    <t>Springer International Publishing, Human Systems Engineering and Design</t>
  </si>
  <si>
    <t>Freedman2020a</t>
  </si>
  <si>
    <t>Reducing Cognitive Load for Anatomy Students with a Multimodal {ITS} Platform</t>
  </si>
  <si>
    <t>Springer International Publishing, Intelligent Tutoring Systems</t>
  </si>
  <si>
    <t>Adnan2017a</t>
  </si>
  <si>
    <t>Software Engineering Design Principles Applied to Instructional Design: What can we Learn from our Sister Discipline?</t>
  </si>
  <si>
    <t>{TechTrends}</t>
  </si>
  <si>
    <t>Zykov2016a</t>
  </si>
  <si>
    <t>Software Engineering: The End of the Crisis?</t>
  </si>
  <si>
    <t>Springer International Publishing, Crisis Management for Software Development and Knowledge Transfer</t>
  </si>
  <si>
    <t>Chang2017a</t>
  </si>
  <si>
    <t>Exploration of Learning Effectiveness, Cognitive Load and Attitude on Mobile E-book Introduced in Nursing Education</t>
  </si>
  <si>
    <t>Springer International Publishing, Emerging Technologies for Education</t>
  </si>
  <si>
    <t>Thilaga2018a</t>
  </si>
  <si>
    <t>Impact of Negative Correlations in Characterizing Cognitive Load States Using {EEG} Based Functional Brain Networks</t>
  </si>
  <si>
    <t>Springer Singapore, Communications in Computer and Information Science</t>
  </si>
  <si>
    <t>Shin2018a</t>
  </si>
  <si>
    <t>Evaluating Impact of {AI} on Cognitive Load of Technicians During Diagnosis Tasks in Maintenance</t>
  </si>
  <si>
    <t>Springer International Publishing, Advances in Production Management Systems. Smart Manufacturing for Industry 4.0</t>
  </si>
  <si>
    <t>Miwa2018a</t>
  </si>
  <si>
    <t>Empirical Investigation of Cognitive Load Theory in Problem Solving Domain</t>
  </si>
  <si>
    <t>Gueheneuc2019a</t>
  </si>
  <si>
    <t>Springer International Publishing, Handbook of Software Engineering</t>
  </si>
  <si>
    <t>Johanssen2018a</t>
  </si>
  <si>
    <t>Feature Crumbs: Adapting Usage Monitoring to Continuous Software Engineering</t>
  </si>
  <si>
    <t>Springer International Publishing, Product-Focused Software Process Improvement</t>
  </si>
  <si>
    <t>Zykov2016b</t>
  </si>
  <si>
    <t>Knowledge Transfer: Manageable in Crisis?</t>
  </si>
  <si>
    <t>Ghazi2017a</t>
  </si>
  <si>
    <t>Challenges of working with artifacts in requirements engineering and software engineering</t>
  </si>
  <si>
    <t>Figueroa2018a</t>
  </si>
  <si>
    <t>Executive Functions and Their Relationship with Interaction Design</t>
  </si>
  <si>
    <t>Springer International Publishing, Computer Science and Engineering{\textemdash}Theory and Applications</t>
  </si>
  <si>
    <t>Sedano2019a</t>
  </si>
  <si>
    <t>Removing Software Development Waste to Improve Productivity</t>
  </si>
  <si>
    <t>Apress, Rethinking Productivity in Software Engineering</t>
  </si>
  <si>
    <t>Cognitive load, knowledge loss and stress</t>
  </si>
  <si>
    <t>Overall waste in software development management</t>
  </si>
  <si>
    <t>Using participant-observation grounded theory on a software development organization over the course of 2.5 yrs.</t>
  </si>
  <si>
    <t>9 factors for waste identified.Factors like cognitve load, stress, incorrect knowledge trasnfer and use of knowledge can lead to "waste" and inefficiency in software development. Some solutions have been provided for each.</t>
  </si>
  <si>
    <t>Wang2017c</t>
  </si>
  <si>
    <t>A problem posing-based practicing strategy for facilitating students' computer programming skills in the team-based learning mode</t>
  </si>
  <si>
    <t>Educational Technology Research and Development</t>
  </si>
  <si>
    <t>Acrectoaie2016a</t>
  </si>
  <si>
    <t>{VMTL}: a language for end-user model transformation</t>
  </si>
  <si>
    <t>Software {\&amp;} Systems Modeling</t>
  </si>
  <si>
    <t>Broccia2019a</t>
  </si>
  <si>
    <t>Formal modeling and analysis of safety-critical human multitasking</t>
  </si>
  <si>
    <t>Innovations in Systems and Software Engineering</t>
  </si>
  <si>
    <t>Siegmund2020a</t>
  </si>
  <si>
    <t>Preface to the special issue on program comprehension</t>
  </si>
  <si>
    <t>Zhao2020a</t>
  </si>
  <si>
    <t>Using the Summarizing Strategy to Engage Learners: Empirical Evidence in an Immersive Virtual Reality Environment</t>
  </si>
  <si>
    <t>The Asia-Pacific Education Researcher</t>
  </si>
  <si>
    <t>Ioannou2019a</t>
  </si>
  <si>
    <t>Towards a Software Architecture for Neurophysiological Experiments</t>
  </si>
  <si>
    <t>Springer International Publishing, Information Systems and Neuroscience</t>
  </si>
  <si>
    <t>Northwood2018a</t>
  </si>
  <si>
    <t>Ethics</t>
  </si>
  <si>
    <t>Apress, The Full Stack Developer</t>
  </si>
  <si>
    <t>El-Attar2019a</t>
  </si>
  <si>
    <t>A comparative study of students and professionals in syntactical model comprehension experiments</t>
  </si>
  <si>
    <t>Estivill-Castro2020a</t>
  </si>
  <si>
    <t>The Understandability of Models for Behaviour</t>
  </si>
  <si>
    <t>Springer International Publishing, Communications in Computer and Information Science</t>
  </si>
  <si>
    <t>Model comprehension, knowledge / expertise.</t>
  </si>
  <si>
    <t>Task performance, understandability efficiency.</t>
  </si>
  <si>
    <t>Participants describe what is communicated in UML statechart, measure accuracy per unit of time. Participants answer questions about different diagrams.</t>
  </si>
  <si>
    <t>Nested models are difficult to interpret for humans. They found an asymmetry in how participants understand entry vs. exit behaviour/actions.</t>
  </si>
  <si>
    <t>LaToza2020a</t>
  </si>
  <si>
    <t>Explicit programming strategies</t>
  </si>
  <si>
    <t>Problem solving,explicit strategies and reasoning.</t>
  </si>
  <si>
    <t>Explicit programming strategies vs self guided developers on how problem solving is carried out</t>
  </si>
  <si>
    <t>Task performance with and without explicit strategies given</t>
  </si>
  <si>
    <t>When given explicit programming strategies, developers found thier work to be more organized and effiicent. More success with guided solutions. One such solution proposed but further research is needed.</t>
  </si>
  <si>
    <t>Seel2017a</t>
  </si>
  <si>
    <t>Models of Instructional Design</t>
  </si>
  <si>
    <t>{SensePublishers}, Instructional Design for Learning</t>
  </si>
  <si>
    <t>Djurica2019a</t>
  </si>
  <si>
    <t>The Impact of Associative Coloring and Representational Formats on Decision-Making: An Eye-Tracking Study</t>
  </si>
  <si>
    <t>Jahani2017a</t>
  </si>
  <si>
    <t>User Evaluation of Hand Gestures for Designing an Intelligent In-Vehicle Interface</t>
  </si>
  <si>
    <t>Springer International Publishing, Lecture Notes in Computer Science</t>
  </si>
  <si>
    <t>Asadi2015a</t>
  </si>
  <si>
    <t>The effects of visualization and interaction techniques on feature model configuration</t>
  </si>
  <si>
    <t>comprehension
(impact of visualization)</t>
  </si>
  <si>
    <t>time on task and accuracy were measured while task-performing</t>
  </si>
  <si>
    <t>The paper is to find evidence that visualization and interaction techniques increase comprehension by decreasing the needed time and improving accuracy</t>
  </si>
  <si>
    <t>Wang2019e</t>
  </si>
  <si>
    <t>Rule Integration and Model Understanding: A Theoretical Underpinning</t>
  </si>
  <si>
    <t>Springer International Publishing, Integrating Business Process Models and Rules</t>
  </si>
  <si>
    <t>Loos2019a</t>
  </si>
  <si>
    <t>Impedances of Memorable Passphrase Design on Augmented Cognition</t>
  </si>
  <si>
    <t>Springer International Publishing, Augmented Cognition</t>
  </si>
  <si>
    <t>Casalnuovo2019a</t>
  </si>
  <si>
    <t>Studying the difference between natural and programming language corpora</t>
  </si>
  <si>
    <t>Brito2019a</t>
  </si>
  <si>
    <t>Understanding Process Models Using the Eye-Tracking: A Systematic Mapping</t>
  </si>
  <si>
    <t>Chen2016b</t>
  </si>
  <si>
    <t>Order Matters: Sequencing Scale-Realistic Versus Simplified Models to Improve Science Learning</t>
  </si>
  <si>
    <t>Journal of Science Education and Technology</t>
  </si>
  <si>
    <t>Anvari2016a</t>
  </si>
  <si>
    <t>A Method to Identify Talented Aspiring Designers in Use of Personas with Personality</t>
  </si>
  <si>
    <t>Patrick2017a</t>
  </si>
  <si>
    <t>Information Technology Infrastructure, Management, and Implementation: The Rise of the Emergent Clinical Information System and the Chief Medical Information Officer</t>
  </si>
  <si>
    <t>Springer International Publishing, Surgical Patient Care</t>
  </si>
  <si>
    <t>Koster2018a</t>
  </si>
  <si>
    <t>Evaluating a Graph Query Language for~Human-Robot Interaction Data in Smart Environments</t>
  </si>
  <si>
    <t>Springer International Publishing, Software Technologies: Applications and Foundations</t>
  </si>
  <si>
    <t>Beauchesne2019a</t>
  </si>
  <si>
    <t>User-Centered Gestures for Mobile Phones: Exploring a Method to Evaluate User Gestures for {UX} Designers</t>
  </si>
  <si>
    <t>Springer International Publishing, Design, User Experience, and Usability. User Experience in Advanced Technological Environments</t>
  </si>
  <si>
    <t>Bernhaupt2018a</t>
  </si>
  <si>
    <t>Absolute Indirect Touch Interaction: Impact of Haptic Marks and Animated Visual Feedback on Usability and User Experience</t>
  </si>
  <si>
    <t>Springer International Publishing, Human-Centered Software Engineering</t>
  </si>
  <si>
    <t>Cetinkaya2019a</t>
  </si>
  <si>
    <t>An Experimental Study on Decomposition: Process First or Structure First?</t>
  </si>
  <si>
    <t>Springer International Publishing, Lecture Notes in Business Information Processing</t>
  </si>
  <si>
    <t>Najar2016a</t>
  </si>
  <si>
    <t>Learning with intelligent tutors and worked examples: selecting learning activities adaptively leads to better learning outcomes than a fixed curriculum</t>
  </si>
  <si>
    <t>User Modeling and User-Adapted Interaction</t>
  </si>
  <si>
    <t>Petz2018a</t>
  </si>
  <si>
    <t>Towards Measuring the Potential for Semantically Enriched Texts in Knowledge Working Environments</t>
  </si>
  <si>
    <t>Springer International Publishing, {HCI} in Business, Government, and Organizations</t>
  </si>
  <si>
    <t>Fontana2015a</t>
  </si>
  <si>
    <t>Comparing and experimenting machine learning techniques for code smell detection</t>
  </si>
  <si>
    <t>Senanayake2019a</t>
  </si>
  <si>
    <t>Workstations of the Future for Transformational Gains in Solving Complex Problems</t>
  </si>
  <si>
    <t>Fricker2015a</t>
  </si>
  <si>
    <t>Workshop videos for requirements communication</t>
  </si>
  <si>
    <t>Perception, knowledge (requirements understanding), communication.</t>
  </si>
  <si>
    <t>Usefulness and acceptance of workshop videos.</t>
  </si>
  <si>
    <t>Participants watch the workshop video and can make annotations. Afterwards, they answer a questionnaire to assess the perceived usefulness of the video technique for requirements communication.</t>
  </si>
  <si>
    <t>Central to the paper, used for evaluating the proposed technique.</t>
  </si>
  <si>
    <t>Proposal for easing the communication of rich requirements information (from stakeholders to developers) by video recorded requirements workshops. Evaluated pros and cons, and gives recommendations for using this technique successfully.</t>
  </si>
  <si>
    <t>Tams2016a</t>
  </si>
  <si>
    <t>Helping an Old Workforce Interact with Modern {IT}: A {NeuroIS} Approach to Understanding Technostress and Technology Use in Older Workers</t>
  </si>
  <si>
    <t>Nelson2019a</t>
  </si>
  <si>
    <t>The life-cycle of merge conflicts: processes, barriers, and strategies</t>
  </si>
  <si>
    <t>Awareness (of merge conflicts)
Knowledge (of code area subject to merge conflict)
Perception (of merge conflict resolutions)
Program comprehension (of codes area subject to merge conflict)</t>
  </si>
  <si>
    <t>Merge conflict processes, barriers, and resolution strategies</t>
  </si>
  <si>
    <t>Interviews
Surveys (barriers and processes)</t>
  </si>
  <si>
    <t>Supports the understanding of how developers handle merge conflicts</t>
  </si>
  <si>
    <t>The paper investigates how software developers handle merge conflicts. It finds that developers use reactive strategies to monitor for merge conflicts, that deferring responses to merge conflicts are based on perceived complexity of the conflicting code, that deferring affects the team workflow, that developers rely on perception to visually evaluate merge conflict resolutions, and that their perceptions alter tool and process impact.</t>
  </si>
  <si>
    <t>Sagar2017a</t>
  </si>
  <si>
    <t>A systematic review of software usability studies</t>
  </si>
  <si>
    <t>International Journal of Information Technology</t>
  </si>
  <si>
    <t>Patel2019a</t>
  </si>
  <si>
    <t>{UTAUT}-{QiU}: Technology Acceptance Evaluation Model with Integrated Quality-in-Use Assessment for Mobile {UI} Adapted for Low- and Post-literate Users</t>
  </si>
  <si>
    <t>Springer International Publishing, Advances in Intelligent Systems and Computing</t>
  </si>
  <si>
    <t>Winkler2017a</t>
  </si>
  <si>
    <t>Towards Model Quality Assurance for Multi-Disciplinary Engineering</t>
  </si>
  <si>
    <t>Springer International Publishing, Multi-Disciplinary Engineering for Cyber-Physical Production Systems</t>
  </si>
  <si>
    <t>Billestrup2016a</t>
  </si>
  <si>
    <t>Usability Problems Experienced by Different Groups of Skilled Internet Users: Gender, Age, and Background</t>
  </si>
  <si>
    <t>Broccia2018b</t>
  </si>
  <si>
    <t>An Executable Formal Framework for Safety-Critical Human Multitasking</t>
  </si>
  <si>
    <t>Staron2018a</t>
  </si>
  <si>
    <t>New Techniques</t>
  </si>
  <si>
    <t>Springer International Publishing, Software Development Measurement Programs</t>
  </si>
  <si>
    <t>Potter2019a</t>
  </si>
  <si>
    <t>Engaging with {STEM} Students: Successes and Challenges in Course Design</t>
  </si>
  <si>
    <t>Springer Singapore, Blended Learning Designs in {STEM} Higher Education</t>
  </si>
  <si>
    <t>Afridi2020a</t>
  </si>
  <si>
    <t>{NASA}-{TLX}{\textendash}based workload assessment for academic resource recommender system</t>
  </si>
  <si>
    <t>Personal and Ubiquitous Computing</t>
  </si>
  <si>
    <t>Tanner2018a</t>
  </si>
  <si>
    <t>{\textquotedblleft}I Know It When I See It{\textquotedblright}: How Experts and Novices Recognize Good Design</t>
  </si>
  <si>
    <t>Springer International Publishing, Understanding Innovation</t>
  </si>
  <si>
    <t>Perception, cognitive load.</t>
  </si>
  <si>
    <t>Task performance, perceived mental effort / cognitive load.</t>
  </si>
  <si>
    <t>Participants (novices and experts) complete tasks, in which they either have to rate websites' design on a scale from 1 to 9 or select the visually more appealing website from pairs of two. Cognitive load is assessed via NASA TLX questionnaire.</t>
  </si>
  <si>
    <t>Novices' ability to recognise good design is almost as accurate as experts'. "Good design" is subjective, but still there is a high level of agreement, based on natural design intuition of people. Paper gives suggestions / ideas for future design tools.</t>
  </si>
  <si>
    <t>Damevski2015a</t>
  </si>
  <si>
    <t>A field study of how developers locate features in source code</t>
  </si>
  <si>
    <t>Behaviour</t>
  </si>
  <si>
    <t>Developer behaviour during feature location
(via "frequency and types of code search tools used", their behaviour "before and after search", "types of queries issued by developers", "complex feature location patterns").</t>
  </si>
  <si>
    <t>Data collected/recorded during the developers' normal work. Two data sets: IDE interactions, search tool queries.</t>
  </si>
  <si>
    <t>Cognitive aspects do not play any central role in this paper. The results are only of behavioural nature. Therfore, further classification into cognitive concepts is not possible.</t>
  </si>
  <si>
    <t>The paper does not explicitly measure the cognitve concepts. The only findings are on developers' behaviour during feature location in software maintenance activities. Article confirms some earlier findings. Additional results on behaviour: developers prefer search tools that are not too specific; searching occurs directly after opening software project; switching between queries and naviagtion.</t>
  </si>
  <si>
    <t>Iniguez-Jarrin2018a</t>
  </si>
  <si>
    <t>Guidelines for Designing User Interfaces to Analyze Genetic Data. Case of Study: {GenDomus}</t>
  </si>
  <si>
    <t>Zuger2019a</t>
  </si>
  <si>
    <t>Reducing Interruptions at Work with {FlowLight}</t>
  </si>
  <si>
    <t>Spichkova2016a</t>
  </si>
  <si>
    <t>{AHR}: Human-Centred Aspects of Test Design</t>
  </si>
  <si>
    <t>Letonsaari2018a</t>
  </si>
  <si>
    <t>Extended Cognition Hypothesis Applied to Computational Thinking in Computer Science Education</t>
  </si>
  <si>
    <t>Newcomb2016a</t>
  </si>
  <si>
    <t>A Fuzzy Logic Utility Framework ({FLUF}) to Support Information Assurance</t>
  </si>
  <si>
    <t>Springer International Publishing, Software Engineering Research, Management and Applications</t>
  </si>
  <si>
    <t>Herdin2017a</t>
  </si>
  <si>
    <t>{SitAdapt}: An Architecture for Situation-Aware Runtime Adaptation of Interactive Systems</t>
  </si>
  <si>
    <t>Springer International Publishing, Human-Computer Interaction. User Interface Design, Development and Multimodality</t>
  </si>
  <si>
    <t>Shahri2019a</t>
  </si>
  <si>
    <t>Engineering digital motivation in businesses: a modelling and analysis framework</t>
  </si>
  <si>
    <t>Tenbergen2017a</t>
  </si>
  <si>
    <t>Hazard Relation Diagrams: a diagrammatic representation to increase validation objectivity of requirements-based hazard mitigations</t>
  </si>
  <si>
    <t>Calefato2015a</t>
  </si>
  <si>
    <t>Assessing the impact of real-time machine translation on multilingual meetings in global software projects</t>
  </si>
  <si>
    <t>Spichkova2016b</t>
  </si>
  <si>
    <t>{\textquotedblleft}Boring Formal Methods{\textquotedblright} or {\textquotedblleft}Sherlock Holmes Deduction Methods{\textquotedblright}?</t>
  </si>
  <si>
    <t>Myka2019a</t>
  </si>
  <si>
    <t>Comparative Analysis of Usability of Data Entry Design Patterns for Mobile Applications</t>
  </si>
  <si>
    <t>Springer International Publishing, Intelligent Information and Database Systems</t>
  </si>
  <si>
    <t>Walsh2016a</t>
  </si>
  <si>
    <t>Stop the Mob! Pre-service Teachers Designing a Serious Game to Challenge Bullying</t>
  </si>
  <si>
    <t>Li2018a</t>
  </si>
  <si>
    <t>Quantified Self: Big Data Analysis Platform for Human Factor Efficacy Evaluation of Complex System</t>
  </si>
  <si>
    <t>Springer International Publishing, Human Centered Computing</t>
  </si>
  <si>
    <t>Miura2016a</t>
  </si>
  <si>
    <t>Designing Affordances for Virtual Reality-Based Services with Natural User Interaction</t>
  </si>
  <si>
    <t>Springer International Publishing, Design, User Experience, and Usability: Technological Contexts</t>
  </si>
  <si>
    <t>Katz2016a</t>
  </si>
  <si>
    <t>Learning from Errors as a Pedagogic Approach for Reaching a Higher Conceptual Level in Database Modeling</t>
  </si>
  <si>
    <t>Borys2017a</t>
  </si>
  <si>
    <t>Classifying Cognitive Workload Using Eye Activity and {EEG} Features in Arithmetic Tasks</t>
  </si>
  <si>
    <t>Giraldo2016a</t>
  </si>
  <si>
    <t>Considerations about quality in model-driven engineering</t>
  </si>
  <si>
    <t>Software Quality Journal</t>
  </si>
  <si>
    <t>Cerone2016a</t>
  </si>
  <si>
    <t>A Cognitive Framework Based on Rewriting Logic for the Analysis of Interactive Systems</t>
  </si>
  <si>
    <t>Springer International Publishing, Software Engineering and Formal Methods</t>
  </si>
  <si>
    <t>Vicentiy2019a</t>
  </si>
  <si>
    <t>Automated Extraction and Visualization of Spatial Data Obtained by Analyzing Texts About Projects of Arctic Transport Logistics Development</t>
  </si>
  <si>
    <t>Springer International Publishing, Intelligent Systems Applications in Software Engineering</t>
  </si>
  <si>
    <t>Campana2017a</t>
  </si>
  <si>
    <t>The Importance of Specific Usability Guidelines for Robot User Interfaces</t>
  </si>
  <si>
    <t>Hirumi2018a</t>
  </si>
  <si>
    <t>{NERVE}, {InterPLAY}, and Design-Based Research: Advancing Experiential Learning and the Design of Virtual Patient Simulation</t>
  </si>
  <si>
    <t>Springer International Publishing, Learning, Design, and Technology</t>
  </si>
  <si>
    <t>Collazos2018a</t>
  </si>
  <si>
    <t>Descriptive theory of awareness for groupware development</t>
  </si>
  <si>
    <t>Borstler2015a</t>
  </si>
  <si>
    <t>Beauty and the Beast: on the readability of object-oriented example programs</t>
  </si>
  <si>
    <t>Zimmermann2016a</t>
  </si>
  <si>
    <t>Microservices tenets</t>
  </si>
  <si>
    <t>Teixeira2019a</t>
  </si>
  <si>
    <t>Managing to release early, often and on time in the {OpenStack} software ecosystem</t>
  </si>
  <si>
    <t>Journal of Internet Services and Applications</t>
  </si>
  <si>
    <t>Jimenez2019a</t>
  </si>
  <si>
    <t>{DevOps} Round-Trip Engineering: Traceability from Dev to Ops and Back Again</t>
  </si>
  <si>
    <t>Springer International Publishing, Software Engineering Aspects of Continuous Development and New Paradigms of Software Production and Deployment</t>
  </si>
  <si>
    <t>Penha2018a</t>
  </si>
  <si>
    <t>Actor's social complexity: a proposal for managing the {iStar} model</t>
  </si>
  <si>
    <t>Journal of Software Engineering Research and Development</t>
  </si>
  <si>
    <t>Meixner2017a</t>
  </si>
  <si>
    <t>Retrospective and Future Automotive Infotainment Systems{\textemdash}100~Years of User Interface Evolution</t>
  </si>
  <si>
    <t>Springer International Publishing, Automotive User Interfaces</t>
  </si>
  <si>
    <t>Losey-Leon2018a</t>
  </si>
  <si>
    <t>Cognitive Approach to Adaptive Testing Implementation in Virtual Maritime English Language Learning Environment Based on a Spaced Repetition System</t>
  </si>
  <si>
    <t>Springer Singapore, Teaching Language and Teaching Literature in Virtual Environments</t>
  </si>
  <si>
    <t>Ivanchikj2019a</t>
  </si>
  <si>
    <t>Sketching Process Models by Mining Participant Stories</t>
  </si>
  <si>
    <t>Li2017a</t>
  </si>
  <si>
    <t>Improvement Strategies for Manufacturers Using the {MESA} {MOM} Capability Maturity Model</t>
  </si>
  <si>
    <t>Springer International Publishing, Advances in Production Management Systems. The Path to Intelligent, Collaborative and Sustainable Manufacturing</t>
  </si>
  <si>
    <t>Bihlmaier2016a</t>
  </si>
  <si>
    <t>{ROS}-Based Cognitive Surgical Robotics</t>
  </si>
  <si>
    <t>Springer International Publishing, Studies in Computational Intelligence</t>
  </si>
  <si>
    <t>Cheng2019a</t>
  </si>
  <si>
    <t>{CoqTL}: a Coq {DSL} for rule-based model transformation</t>
  </si>
  <si>
    <t>Rizvic2019a</t>
  </si>
  <si>
    <t>Interactive digital storytelling: bringing cultural heritage in a classroom</t>
  </si>
  <si>
    <t>Journal of Computers in Education</t>
  </si>
  <si>
    <t>Inoue2016a</t>
  </si>
  <si>
    <t>Wizard-of-Oz Support Using a Portable Dialogue Corpus</t>
  </si>
  <si>
    <t>Springer International Publishing, Principles and Practice of Multi-Agent Systems</t>
  </si>
  <si>
    <t>Sinha2020a</t>
  </si>
  <si>
    <t>Multiscale Analysis of Textual Content Using Eyegaze</t>
  </si>
  <si>
    <t>Springer Berlin Heidelberg, Lecture Notes in Computer Science</t>
  </si>
  <si>
    <t>Binamungu2020a</t>
  </si>
  <si>
    <t>Characterising the Quality of Behaviour Driven Development Specifications</t>
  </si>
  <si>
    <t>Hewelt2019a</t>
  </si>
  <si>
    <t>Toward a methodology for case modeling</t>
  </si>
  <si>
    <t>Schmidt2015b</t>
  </si>
  <si>
    <t>Research Methodology</t>
  </si>
  <si>
    <t>Springer International Publishing, Progress in {IS}</t>
  </si>
  <si>
    <t>Tanner2019a</t>
  </si>
  <si>
    <t>Poirot: A Web Inspector for Designers</t>
  </si>
  <si>
    <t>Fernandez-Perez2017a</t>
  </si>
  <si>
    <t>Fuzzy Multi-criteria Decision Making Methods Applied to Usability Software Assessment: An Annotated Bibliography</t>
  </si>
  <si>
    <t>Springer International Publishing, Complex Systems: Solutions and Challenges in Economics, Management and Engineering</t>
  </si>
  <si>
    <t>Hurbungs2018a</t>
  </si>
  <si>
    <t>A Practical Approach to Teaching Agile Methodologies and Principles at Tertiary Level Using Student-Centred Activities</t>
  </si>
  <si>
    <t>Springer Singapore, Agile and Lean Concepts for Teaching and Learning</t>
  </si>
  <si>
    <t>Huang2019d</t>
  </si>
  <si>
    <t>Users Perspective of Educational Technology</t>
  </si>
  <si>
    <t>Springer Singapore, Educational Technology</t>
  </si>
  <si>
    <t>Jannach2018a</t>
  </si>
  <si>
    <t>Fragment-based spreadsheet debugging</t>
  </si>
  <si>
    <t>Automated Software Engineering</t>
  </si>
  <si>
    <t>Huang2017a</t>
  </si>
  <si>
    <t>Interactive Animation Editing Based on Sketch Interaction</t>
  </si>
  <si>
    <t>Springer International Publishing, Challenges and Opportunity with Big Data</t>
  </si>
  <si>
    <t>Worrall2019a</t>
  </si>
  <si>
    <t>Sonification: An Overview</t>
  </si>
  <si>
    <t>Springer International Publishing, Human{\textendash}Computer Interaction Series</t>
  </si>
  <si>
    <t>Maksimov2019a</t>
  </si>
  <si>
    <t>Semantic Search Tools Based on Ontological Representations of Documentary Information</t>
  </si>
  <si>
    <t>Automatic Documentation and Mathematical Linguistics</t>
  </si>
  <si>
    <t>Nemoto2019a</t>
  </si>
  <si>
    <t>A Systems Thinking Approach to a Story-Centered Curriculum Design and Application in Japanese Higher Education</t>
  </si>
  <si>
    <t>Krober2016a</t>
  </si>
  <si>
    <t>Educational App Creation for the Cathedral in Freiberg</t>
  </si>
  <si>
    <t>Springer International Publishing, Competencies in Teaching, Learning and Educational Leadership in the Digital Age</t>
  </si>
  <si>
    <t>Devarakonda2016a</t>
  </si>
  <si>
    <t>Cognitive Computing for Electronic Medical Records</t>
  </si>
  <si>
    <t>Springer International Publishing, Health Informatics</t>
  </si>
  <si>
    <t>Krugel2018a</t>
  </si>
  <si>
    <t>Strictly Objects First: A Multipurpose Course on Computational Thinking</t>
  </si>
  <si>
    <t>Springer International Publishing, Computational Thinking in the {STEM} Disciplines</t>
  </si>
  <si>
    <t>Bernard2016a</t>
  </si>
  <si>
    <t>Optimizing Pattern Weights with a Genetic Algorithm to Improve Automatic Working Memory Capacity Identification</t>
  </si>
  <si>
    <t>An2019a</t>
  </si>
  <si>
    <t>Facilitating the Evolutionary Modifications in Distributed Apps via Automated Refactoring</t>
  </si>
  <si>
    <t>Burmeister2016a</t>
  </si>
  <si>
    <t>The development of assistive dementia technology that accounts for the values of those affected by its use</t>
  </si>
  <si>
    <t>Ethics and Information Technology</t>
  </si>
  <si>
    <t>Connaghan2019a</t>
  </si>
  <si>
    <t>Evaluation of Child-Friendly Augmented Reality Tool for Patient-Centered Education in Radiology and Bone Reconstruction</t>
  </si>
  <si>
    <t>Springer International Publishing, Advances in Experimental Medicine and Biology</t>
  </si>
  <si>
    <t>Rajesh2017a</t>
  </si>
  <si>
    <t>Esteemed software patterns for banking system</t>
  </si>
  <si>
    <t>Munaiah2017a</t>
  </si>
  <si>
    <t>Natural Language Insights from Code Reviews that Missed a Vulnerability</t>
  </si>
  <si>
    <t>Memory, cognitive load. Inquiistivenesss</t>
  </si>
  <si>
    <t>Code review messages are measured on 4 metrics, inquisitiveness, Sentiment and complexity are measures for the cognitive aspects.</t>
  </si>
  <si>
    <t>Large data sets of SE's code reviews and thier messages were analyzed using assesment mertics for aspects liek inquisitiveness and complexity.</t>
  </si>
  <si>
    <t xml:space="preserve">Improvements made in lowering cognitive load  in code review can improve code review success. </t>
  </si>
  <si>
    <t>The research found that code reviews with lower inquisitiveness, higher sentiment, and lower complexity were more likely to miss a vulnerability.</t>
  </si>
  <si>
    <t>Baker2020a</t>
  </si>
  <si>
    <t>Four Ironies of Self-quantification: Wearable Technologies and the Quantified Self</t>
  </si>
  <si>
    <t>Science and Engineering Ethics</t>
  </si>
  <si>
    <t>daSilva2019a-2</t>
  </si>
  <si>
    <t>Perspectives on how to evaluate augmented reality technology tools for education: a systematic review</t>
  </si>
  <si>
    <t>Journal of the Brazilian Computer Society</t>
  </si>
  <si>
    <t>Roy2017a</t>
  </si>
  <si>
    <t>On the Use of {ISO}/{IEC} Standards to Address Data Quality Aspects in Big Data Analytics Cloud Services</t>
  </si>
  <si>
    <t>Springer International Publishing, Business Information Systems</t>
  </si>
  <si>
    <t>Imene2019a</t>
  </si>
  <si>
    <t>Assessing Students' Clinical Reasoning Using Gaze and {EEG} Features</t>
  </si>
  <si>
    <t>Weichbroth2019a</t>
  </si>
  <si>
    <t>A Study of the Impact of Internal and External Usability on Knowledge Transfer by the Means of Mobile Technologies: Preliminary Results</t>
  </si>
  <si>
    <t>Springer International Publishing, Information Systems: Research, Development, Applications, Education</t>
  </si>
  <si>
    <t>Siegert2016a</t>
  </si>
  <si>
    <t>Discourse Particles in Human-Human and Human-Computer Interaction {\textendash} Analysis and Evaluation</t>
  </si>
  <si>
    <t>Fabic2019a</t>
  </si>
  <si>
    <t>Evaluation of Parsons Problems with Menu-Based Self-Explanation Prompts in a Mobile Python Tutor</t>
  </si>
  <si>
    <t>International Journal of Artificial Intelligence in Education</t>
  </si>
  <si>
    <t>Huang2019e</t>
  </si>
  <si>
    <t>Developing Usability Heuristics for Recommendation Systems Within the Mobile Context</t>
  </si>
  <si>
    <t>Springer International Publishing, Design, User Experience, and Usability. Practice and Case Studies</t>
  </si>
  <si>
    <t>daCosta2019a</t>
  </si>
  <si>
    <t>A Set of Usability Heuristics for Mobile Applications</t>
  </si>
  <si>
    <t>Springer International Publishing, Human-Computer Interaction. Perspectives on Design</t>
  </si>
  <si>
    <t>Gushima2019a</t>
  </si>
  <si>
    <t>Deriving Features for Designing Ambient Media</t>
  </si>
  <si>
    <t>Paravati2017a</t>
  </si>
  <si>
    <t>A Customizable Virtual Reality Framework for the Rehabilitation of Cognitive Functions</t>
  </si>
  <si>
    <t>Springer International Publishing, Recent Advances in Technologies for Inclusive Well-Being</t>
  </si>
  <si>
    <t>Peng2017a</t>
  </si>
  <si>
    <t>Research on the Effect of Visual Conventions on Perception and Inference</t>
  </si>
  <si>
    <t>Springer International Publishing, Design, User Experience, and Usability: Theory, Methodology, and Management</t>
  </si>
  <si>
    <t>deSouza2016a</t>
  </si>
  <si>
    <t>Introduction</t>
  </si>
  <si>
    <t>Springer International Publishing, Software Developers as Users</t>
  </si>
  <si>
    <t>Carvalho2016a</t>
  </si>
  <si>
    <t>Quality characteristics and measures for human{\textendash}computer interaction evaluation in ubiquitous systems</t>
  </si>
  <si>
    <t>Chechik2019a</t>
  </si>
  <si>
    <t>Software Assurance in an Uncertain World</t>
  </si>
  <si>
    <t>Springer International Publishing, Fundamental Approaches to Software Engineering</t>
  </si>
  <si>
    <t>Jannach2014a</t>
  </si>
  <si>
    <t>Model-based diagnosis of spreadsheet programs: a constraint-based debugging approach</t>
  </si>
  <si>
    <t>Spohrer2015a</t>
  </si>
  <si>
    <t>Theoretical Foundations</t>
  </si>
  <si>
    <t>Assila2017a</t>
  </si>
  <si>
    <t>Defining an Indicator for Navigation Performance Measurement in {VE} Based on {ISO}/{IEC}15939</t>
  </si>
  <si>
    <t>Vuckovic2019a</t>
  </si>
  <si>
    <t>You Are Not Netflix</t>
  </si>
  <si>
    <t>Springer International Publishing, Microservices</t>
  </si>
  <si>
    <t>Zhao2019a</t>
  </si>
  <si>
    <t>Improving the pull requests review process using learning-to-rank algorithms</t>
  </si>
  <si>
    <t>Santos2018a</t>
  </si>
  <si>
    <t>Increasing the Semantic Transparency of the {KAOS} Goal Model Concrete~Syntax</t>
  </si>
  <si>
    <t>Springer International Publishing, Conceptual Modeling</t>
  </si>
  <si>
    <t>Nguyen2020b</t>
  </si>
  <si>
    <t>Comparison User Engagement of Gamified and Non-gamified Augmented Reality Assembly Training</t>
  </si>
  <si>
    <t>Lutz2018a</t>
  </si>
  <si>
    <t>Piaget's Cognitive Development in Bebras Tasks - A Descriptive Analysis by Age Groups</t>
  </si>
  <si>
    <t>DeFranco2017a</t>
  </si>
  <si>
    <t>The nonfunctional requirement focus in medical device software: a systematic mapping study and taxonomy</t>
  </si>
  <si>
    <t>deVreede2019a</t>
  </si>
  <si>
    <t>Collaboration Engineering for Group Decision and Negotiation</t>
  </si>
  <si>
    <t>Springer International Publishing, Handbook of Group Decision and Negotiation</t>
  </si>
  <si>
    <t>Dai2018a</t>
  </si>
  <si>
    <t>Study on Learner's Interest Mining Based on {EEG} Signal Analysis</t>
  </si>
  <si>
    <t>Springer Singapore, Computer Supported Cooperative Work and Social Computing</t>
  </si>
  <si>
    <t>Giannopoulou2020a</t>
  </si>
  <si>
    <t>Neuroeducation and Computer Programming: A Review</t>
  </si>
  <si>
    <t>Dekel2018a</t>
  </si>
  <si>
    <t>Lecturus: Collaborative Mobile Phone Lecture Recording</t>
  </si>
  <si>
    <t>Springer International Publishing, Lecture Notes of the Institute for Computer Sciences, Social Informatics and Telecommunications Engineering</t>
  </si>
  <si>
    <t>Menestrina2017a</t>
  </si>
  <si>
    <t>End-User Development for Serious Games</t>
  </si>
  <si>
    <t>Springer International Publishing, New Perspectives in End-User Development</t>
  </si>
  <si>
    <t>Niemela2019a</t>
  </si>
  <si>
    <t>Algorithms and Logic as Programming Primers</t>
  </si>
  <si>
    <t>Santos2018b</t>
  </si>
  <si>
    <t>Towards a Definition of Simplicity in Agile Software Development: A Focus Group Study</t>
  </si>
  <si>
    <t>Springer International Publishing, Agile Methods</t>
  </si>
  <si>
    <t>Chatley2019a</t>
  </si>
  <si>
    <t>The Next 7000 Programming Languages</t>
  </si>
  <si>
    <t>Pena-Ayala2017a</t>
  </si>
  <si>
    <t>A Landscape of Learning Analytics: An Exercise to Highlight the Nature of an Emergent Field</t>
  </si>
  <si>
    <t>Springer International Publishing, Learning Analytics: Fundaments, Applications, and Trends</t>
  </si>
  <si>
    <t>Choudhury2016a</t>
  </si>
  <si>
    <t>Scale-Driven Automatic Hint Generation for Coding Style</t>
  </si>
  <si>
    <t>Giannakas2017a</t>
  </si>
  <si>
    <t>A critical review of 13 years of mobile game-based learning</t>
  </si>
  <si>
    <t>Weldon2019a</t>
  </si>
  <si>
    <t>Using Interactive 3D Visualisations in Neuropsychiatric Education</t>
  </si>
  <si>
    <t>Henry2019a</t>
  </si>
  <si>
    <t>Migrating to Microservices</t>
  </si>
  <si>
    <t>Farrell2017a</t>
  </si>
  <si>
    <t>{\textquotedblleft}We're Seeking Relevance{\textquotedblright}: Qualitative Perspectives on the Impact of Learning Analytics on Teaching and Learning</t>
  </si>
  <si>
    <t>Springer International Publishing, Data Driven Approaches in Digital Education</t>
  </si>
  <si>
    <t>Braad2016a</t>
  </si>
  <si>
    <t>Processes and Models for Serious Game Design and Development</t>
  </si>
  <si>
    <t>Springer International Publishing, Entertainment Computing and Serious Games</t>
  </si>
  <si>
    <t>Ahmad2016a</t>
  </si>
  <si>
    <t>Conceptual Design Model of {iCAL}4LA: A Review and Critical Analysis of Computer Assisted Learning Concept in Determining the Core Segments and Their Components</t>
  </si>
  <si>
    <t>Springer Singapore, Lecture Notes in Electrical Engineering</t>
  </si>
  <si>
    <t>Caulo2019a</t>
  </si>
  <si>
    <t>Does the Migration of Cross-Platform Apps Towards the Android Platform Matter? An Approach and a User Study</t>
  </si>
  <si>
    <t>Lloyd2018a</t>
  </si>
  <si>
    <t>Metro Map Colour-Coding: Effect on Usability in Route Tracing</t>
  </si>
  <si>
    <t>Springer International Publishing, Diagrammatic Representation and Inference</t>
  </si>
  <si>
    <t>Kerr2019a</t>
  </si>
  <si>
    <t>{UAS} Operator Workload Assessment During Search and Surveillance Tasks Through Simulated Fluctuations in Environmental Visibility</t>
  </si>
  <si>
    <t>Sell2016a</t>
  </si>
  <si>
    <t>Rambla: Supporting Collaborative Group Creativity for the Purpose of Concept Generation</t>
  </si>
  <si>
    <t>Wang2019b</t>
  </si>
  <si>
    <t>A Business Rule Modelling Decision Framework</t>
  </si>
  <si>
    <t>Leyer2019a</t>
  </si>
  <si>
    <t>3D Virtual World {BPM} Training Systems: Process Gateway Experimental Results</t>
  </si>
  <si>
    <t>Springer International Publishing, Advanced Information Systems Engineering</t>
  </si>
  <si>
    <t>Tang2020a</t>
  </si>
  <si>
    <t>Design guidelines for augmenting short-form videos using animated data visualizations</t>
  </si>
  <si>
    <t>Journal of Visualization</t>
  </si>
  <si>
    <t>Burattin2018a</t>
  </si>
  <si>
    <t>Who Is Behind the Model? Classifying Modelers Based on Pragmatic Model Features</t>
  </si>
  <si>
    <t>Ilbeygi2019a</t>
  </si>
  <si>
    <t>Equipping the {ACT}-R cognitive architecture with a temporal ratio model of memory and using it in a new intelligent adaptive interface</t>
  </si>
  <si>
    <t>Vesselov2019a</t>
  </si>
  <si>
    <t>Selling the System</t>
  </si>
  <si>
    <t>Apress, Building Design Systems</t>
  </si>
  <si>
    <t>Carneiro2016a</t>
  </si>
  <si>
    <t>Development Environment and Workflow</t>
  </si>
  <si>
    <t>Apress, Microservices From Day One</t>
  </si>
  <si>
    <t>Michaelson2018a</t>
  </si>
  <si>
    <t>Microworlds, Objects First, Computational Thinking and Programming</t>
  </si>
  <si>
    <t>Haisjackl2016a</t>
  </si>
  <si>
    <t>How do humans inspect {BPMN} models: an exploratory study</t>
  </si>
  <si>
    <t>Cognitive load theory. (briefly mentioned, but no details)</t>
  </si>
  <si>
    <t>Model comprehension. (Mental effort, cognitive load and domain knowledge just briefly mentioned).</t>
  </si>
  <si>
    <t>Strategies for process model inspection.</t>
  </si>
  <si>
    <t>Task-based: Participants evaluate two process models and identify occurring quality issues. At the same time: think-aloud method. Analysis of the results applies grounded theory methods.</t>
  </si>
  <si>
    <t>Not too strong, it is more mentioned as possible explanation for chosen strategies. The cognitive aspects do not play as much of a role here, as the paper makes believe in the beginning.</t>
  </si>
  <si>
    <t>Persons apply similar strategies for process model inspection. In this paper, these strategies were grouped into three different categories.</t>
  </si>
  <si>
    <t>Hu2016a</t>
  </si>
  <si>
    <t>Blended Learning: Beyond Technology to Pedagogical Structure Design</t>
  </si>
  <si>
    <t>Feldman2019a</t>
  </si>
  <si>
    <t>Diversity in Massively Multi-agent Systems: Concepts, Implementations, and Normal Accidents</t>
  </si>
  <si>
    <t>Springer International Publishing, Massively Multi-Agent Systems {II}</t>
  </si>
  <si>
    <t>Seel2017b</t>
  </si>
  <si>
    <t>Model-based learning: a synthesis of theory and research</t>
  </si>
  <si>
    <t>Filip2016a</t>
  </si>
  <si>
    <t>Collaborative Activities and Methods</t>
  </si>
  <si>
    <t>Springer International Publishing, Automation, Collaboration, {\&amp;} E-Services</t>
  </si>
  <si>
    <t>Aysolmaz2017a</t>
  </si>
  <si>
    <t>Selecting a process variant modeling approach: guidelines and application</t>
  </si>
  <si>
    <t>Hai-Jew2018a</t>
  </si>
  <si>
    <t>Early Designs, Prototypes, and Learning Sequences for Exploration and Decision Making</t>
  </si>
  <si>
    <t>Springer International Publishing, Designing Instruction For Open Sharing</t>
  </si>
  <si>
    <t>Jahnke2019a</t>
  </si>
  <si>
    <t>Unpacking the Inherent Design Principles of Mobile Microlearning</t>
  </si>
  <si>
    <t>Technology, Knowledge and Learning</t>
  </si>
  <si>
    <t>Berkemeier2019a</t>
  </si>
  <si>
    <t>Engineering of Augmented Reality-Based Information Systems</t>
  </si>
  <si>
    <t>Business {\&amp;} Information Systems Engineering</t>
  </si>
  <si>
    <t>Conner2018a</t>
  </si>
  <si>
    <t>Collaborative Autonomy Between High-Level Behaviors and Human Operators for Control of Complex Tasks with Different Humanoid Robots</t>
  </si>
  <si>
    <t>Springer International Publishing, Springer Tracts in Advanced Robotics</t>
  </si>
  <si>
    <t>Pena-Ayala2015a</t>
  </si>
  <si>
    <t>A Revision of the Literature Concerned with Mobile, Ubiquitous, and Pervasive Learning: A Survey</t>
  </si>
  <si>
    <t>Olaverri-Monreal2018a</t>
  </si>
  <si>
    <t>Road Safety: Human Factors Aspects of Intelligent Vehicle Technologies</t>
  </si>
  <si>
    <t>Oppl2019a</t>
  </si>
  <si>
    <t>Case Studies</t>
  </si>
  <si>
    <t>Springer International Publishing, Designing Digital Work</t>
  </si>
  <si>
    <t>Zozus2019a</t>
  </si>
  <si>
    <t>Data Quality in Clinical Research</t>
  </si>
  <si>
    <t>Madni2017a</t>
  </si>
  <si>
    <t>Thinking Different</t>
  </si>
  <si>
    <t>Springer International Publishing, Transdisciplinary Systems Engineering</t>
  </si>
  <si>
    <t>Carneiro2016b</t>
  </si>
  <si>
    <t>Polyglot Services</t>
  </si>
  <si>
    <t>Alrobai2016a</t>
  </si>
  <si>
    <t>Exploring the Requirements and Design of Persuasive Intervention Technology to Combat Digital Addiction</t>
  </si>
  <si>
    <t>Caulo2019b</t>
  </si>
  <si>
    <t>Dealing with Comprehension and Bugs in Native and Cross-Platform Apps: A Controlled Experiment</t>
  </si>
  <si>
    <t>program comprehension
cognitive load</t>
  </si>
  <si>
    <t>program comprehension
ability to identify and fix bugs in the source code</t>
  </si>
  <si>
    <t>task -performance where participants were to localize and fix bugs
task-performance for general comprehension
post questionnaire to assess difficulty</t>
  </si>
  <si>
    <t>Paper is to find results regarding the comprehension and ability to find and fix bugs in the source code of native and cross-platform apps. It concludes that there is no statistically significant difference.</t>
  </si>
  <si>
    <t>Mossmann2017a</t>
  </si>
  <si>
    <t>Evaluation of the Usability and Playability of an Exergame for Executive Functions Stimulation and Its Development Process</t>
  </si>
  <si>
    <t>Springer International Publishing, Engineering Psychology and Cognitive Ergonomics: Performance, Emotion and Situation Awareness</t>
  </si>
  <si>
    <t>Romano2019a</t>
  </si>
  <si>
    <t>An Empirical Assessment on Affective Reactions of Novice Developers When Applying Test-Driven Development</t>
  </si>
  <si>
    <t>Dimensional theory (of affective states).</t>
  </si>
  <si>
    <t>Pleasure, arousal, dominance, liking. Attitude.</t>
  </si>
  <si>
    <t>Affective reactions. Performance.</t>
  </si>
  <si>
    <t>Novice developers perform one of two development tasks (TDD or non-TDD) within three hours. Afterwards they fill in Self-Assessment Manikin (SAM) extended by liking dimension. Performance as number of user stories they managed to implement within given time.</t>
  </si>
  <si>
    <t>Central to the paper, but possibly too much focused on emotional aspect (consider IC1c).</t>
  </si>
  <si>
    <t>In general, the novice developers like their own approach more than TDD. In non-TDD compared to TDD, they also like the implementation phase more. When using TDD, the testing phase makes them less happy than in non-TDD approach. (No impact on performance observed in this short-time experiment.)</t>
  </si>
  <si>
    <t>Lemoine2020a</t>
  </si>
  <si>
    <t>{IoT} composition based on self-controlled services</t>
  </si>
  <si>
    <t>Ahmad2016b</t>
  </si>
  <si>
    <t>A Multi-domain Framework for Modelling Educational Games: Towards the Development of Effective Educational Games</t>
  </si>
  <si>
    <t>Springer Singapore, 7th International Conference on University Learning and Teaching ({InCULT} 2014) Proceedings</t>
  </si>
  <si>
    <t>deSouza2016b</t>
  </si>
  <si>
    <t>The {SigniFYI} Suite</t>
  </si>
  <si>
    <t>Alyamani2019a</t>
  </si>
  <si>
    <t>Preference Feedback for Driving in an Unfamiliar Traffic Regulation</t>
  </si>
  <si>
    <t>Springer International Publishing, Service Research and Innovation</t>
  </si>
  <si>
    <t>Zimoch2017a</t>
  </si>
  <si>
    <t>Eye Tracking Experiments on Process Model Comprehension: Lessons Learned</t>
  </si>
  <si>
    <t>Springer International Publishing, Enterprise, Business-Process and Information Systems Modeling</t>
  </si>
  <si>
    <t>Hou2019a</t>
  </si>
  <si>
    <t>Study on Spatiotemporal Characteristics of Gaze Gesture Input</t>
  </si>
  <si>
    <t>Springer International Publishing, Human-Computer Interaction. Recognition and Interaction Technologies</t>
  </si>
  <si>
    <t>Zhang2018a</t>
  </si>
  <si>
    <t>An Interactive Recommender System for Group Holiday Decision-Making</t>
  </si>
  <si>
    <t>Springer International Publishing, Design, User Experience, and Usability: Designing Interactions</t>
  </si>
  <si>
    <t>Seinen2018a</t>
  </si>
  <si>
    <t>Compatibility as a Mechanism for Responsible Further Processing of Personal Data</t>
  </si>
  <si>
    <t>Springer International Publishing, Privacy Technologies and Policy</t>
  </si>
  <si>
    <t>Still2020a</t>
  </si>
  <si>
    <t>Mobile Interface Attentional Priority Model</t>
  </si>
  <si>
    <t>{SN} Computer Science</t>
  </si>
  <si>
    <t>Chauhan2017a</t>
  </si>
  <si>
    <t>{BehavioCog}: An Observation Resistant Authentication Scheme</t>
  </si>
  <si>
    <t>Springer International Publishing, Financial Cryptography and Data Security</t>
  </si>
  <si>
    <t>Baig2018a</t>
  </si>
  <si>
    <t>{EEG} Signal Analysis in 3D Modelling to Identify Correlations Between Task Completion in Design User's Cognitive Activities</t>
  </si>
  <si>
    <t>Springer International Publishing, Neural Information Processing</t>
  </si>
  <si>
    <t>Chunhui2017a</t>
  </si>
  <si>
    <t>Research on Car Gesture Interaction Design Based on the Line Design</t>
  </si>
  <si>
    <t>Springer International Publishing, Cross-Cultural Design</t>
  </si>
  <si>
    <t>Spohrer2015b</t>
  </si>
  <si>
    <t>Findings</t>
  </si>
  <si>
    <t>Spichkova2016c</t>
  </si>
  <si>
    <t>A Visual Logical Language for System Modelling in Combinatorial Test Design</t>
  </si>
  <si>
    <t>cognitive load
human error</t>
  </si>
  <si>
    <t>Paper proposes a new logical language to lower cognitive load for test design of software systems.</t>
  </si>
  <si>
    <t>Romero2018a</t>
  </si>
  <si>
    <t>Digitalizing Occupational Health, Safety and Productivity for the Operator 4.0</t>
  </si>
  <si>
    <t>Thomassen2018a</t>
  </si>
  <si>
    <t>Information Support for Supplier Kit Preparation</t>
  </si>
  <si>
    <t>Hou2019b</t>
  </si>
  <si>
    <t>Applicability Study of Eye Movement Menu based on Analytic Hierarchy Process</t>
  </si>
  <si>
    <t>Bravo2018a</t>
  </si>
  <si>
    <t>Training Teacher in the Generation of Knowledge in Higher Education: b-Learning Teacher to Prosumer Teacher</t>
  </si>
  <si>
    <t>Chen2019a</t>
  </si>
  <si>
    <t>Comparison Between the Methods of Adjustment and Constant Stimuli for the Estimation of Redirection Detection Thresholds</t>
  </si>
  <si>
    <t>Springer International Publishing, Virtual Reality and Augmented Reality</t>
  </si>
  <si>
    <t>Czerniak2017a</t>
  </si>
  <si>
    <t>The Influence of Task-Oriented Human-Machine Interface Design on Usability Objectives</t>
  </si>
  <si>
    <t>Alturki2019a</t>
  </si>
  <si>
    <t>Usability Attributes for Mobile Applications: A Systematic Review</t>
  </si>
  <si>
    <t>Springer International Publishing, Recent Trends and Advances in Wireless and {IoT}-enabled Networks</t>
  </si>
  <si>
    <t>Zimoch2017b</t>
  </si>
  <si>
    <t>Cognitive Insights into Business Process Model Comprehension: Preliminary Results for Experienced and Inexperienced Individuals</t>
  </si>
  <si>
    <t>Process model comprehension, expertise.</t>
  </si>
  <si>
    <t>Task performance, eye movements.</t>
  </si>
  <si>
    <t>Participants (novices and intermediates) try to understand three process models of increasing difficulty and answer comprehension questions. At the same time: tracking and recording of their eye movements.</t>
  </si>
  <si>
    <t>The aspect of "model comprehension" is central to the paper.</t>
  </si>
  <si>
    <t>Both novices and intermediates have similar difficulties in reading and understanding business process models.</t>
  </si>
  <si>
    <t>Puch2018a</t>
  </si>
  <si>
    <t>Quantitative Risk Assessment of Safety-Critical Systems via Guided Simulation for Rare Events</t>
  </si>
  <si>
    <t>Springer International Publishing, Leveraging Applications of Formal Methods, Verification and Validation. Verification</t>
  </si>
  <si>
    <t>Schreder2018a</t>
  </si>
  <si>
    <t>Rediscovering Isotype from a Cognitive Perspective</t>
  </si>
  <si>
    <t>Lopez2020a</t>
  </si>
  <si>
    <t>Business Process Compliance Using Reference Models of Law</t>
  </si>
  <si>
    <t>Long2019a</t>
  </si>
  <si>
    <t>Optimize the Flow of Web Banners Design</t>
  </si>
  <si>
    <t>doCarmoNogueira2018a</t>
  </si>
  <si>
    <t>Comparing sighted and blind users task performance in responsive and non-responsive web design</t>
  </si>
  <si>
    <t>Knowledge and Information Systems</t>
  </si>
  <si>
    <t>Mendling2018a</t>
  </si>
  <si>
    <t>An Empirical Review of the Connection Between Model Viewer Characteristics and the Comprehension of Conceptual Process Models</t>
  </si>
  <si>
    <t>Information Systems Frontiers</t>
  </si>
  <si>
    <t>doMendes2016a</t>
  </si>
  <si>
    <t>A Process-Based Approach to Test Usability of Multi-platform Mobile Applications</t>
  </si>
  <si>
    <t>Springer International Publishing, Design, User Experience, and Usability: Design Thinking and Methods</t>
  </si>
  <si>
    <t>Olshannikova2016a</t>
  </si>
  <si>
    <t>Visualizing Big Data</t>
  </si>
  <si>
    <t>Springer International Publishing, Big Data Technologies and Applications</t>
  </si>
  <si>
    <t>Kaya2018a</t>
  </si>
  <si>
    <t>Utilizing a smart cognitive support system for K-8 education</t>
  </si>
  <si>
    <t>Smart Learning Environments</t>
  </si>
  <si>
    <t>Suleman2017a</t>
  </si>
  <si>
    <t>Testing Test-Driven Development</t>
  </si>
  <si>
    <t>Murolo2017a</t>
  </si>
  <si>
    <t>Scaffolding Relational Schemas and {APIs} from~Content in Web Mockups</t>
  </si>
  <si>
    <t>Cheng2018a</t>
  </si>
  <si>
    <t>Slicing {ATL} model transformations for scalable deductive verification and fault localization</t>
  </si>
  <si>
    <t>International Journal on Software Tools for Technology Transfer</t>
  </si>
  <si>
    <t>Ouali2020a</t>
  </si>
  <si>
    <t>Existing Business Process Models for Model Construction of Multidimensional Business Knowledge: An {MDA}-Based Transformation Methodology</t>
  </si>
  <si>
    <t>New Generation Computing</t>
  </si>
  <si>
    <t>Tisi2018a</t>
  </si>
  <si>
    <t>{CoqTL}: An Internal {DSL} for Model Transformation in Coq</t>
  </si>
  <si>
    <t>Springer International Publishing, Theory and Practice of Model Transformation</t>
  </si>
  <si>
    <t>Wang2019c</t>
  </si>
  <si>
    <t>The Effect of Rule Linking on Business Process Model Understanding</t>
  </si>
  <si>
    <t>Huber2018a</t>
  </si>
  <si>
    <t>Towards the Component-Based Approach for Evaluating Process Diagram Complexity</t>
  </si>
  <si>
    <t>Harel2020a</t>
  </si>
  <si>
    <t>Executing Scenario-Based Specification with Dynamic Generation of Rich Events</t>
  </si>
  <si>
    <t>Ahmad2017a</t>
  </si>
  <si>
    <t>A Systematic Literature Review of Social Network Systems for Older Adults</t>
  </si>
  <si>
    <t>Sale2020a</t>
  </si>
  <si>
    <t>Creative Teaching Competence and {EdTech}: Total Pedagogy</t>
  </si>
  <si>
    <t>Springer Singapore, Creative Teachers</t>
  </si>
  <si>
    <t>Kim2016a</t>
  </si>
  <si>
    <t>Purple Sky Framework Towards the Flight Deck of the Future Experience: Through Co-design, Rapid {UX} Prototyping, and User Testing</t>
  </si>
  <si>
    <t>Taulli2019a</t>
  </si>
  <si>
    <t>Implementation of {AI}</t>
  </si>
  <si>
    <t>Apress, Artificial Intelligence Basics</t>
  </si>
  <si>
    <t>Ewald2018a</t>
  </si>
  <si>
    <t>Emotions Along the Design Thinking Process</t>
  </si>
  <si>
    <t>Chen2019b</t>
  </si>
  <si>
    <t>Investigating the Effect of Agency on Learning from Worked Examples, Erroneous Examples and Problem Solving</t>
  </si>
  <si>
    <t>Andaloussi2019a</t>
  </si>
  <si>
    <t>Exploring the Modeling of Declarative Processes Using a Hybrid Approach</t>
  </si>
  <si>
    <t>Habibi2018a</t>
  </si>
  <si>
    <t>Circle of Health Based Access Control for Personal Health Information Systems</t>
  </si>
  <si>
    <t>Springer International Publishing, Graphical Models for Security</t>
  </si>
  <si>
    <t>Palaniappan2019a</t>
  </si>
  <si>
    <t>Predicting Java Computer Programming Task Difficulty Levels Using {EEG} for Educational Environments</t>
  </si>
  <si>
    <t>Ogawa2017a</t>
  </si>
  <si>
    <t>Assigning a Personality to a Spoken Dialogue Agent by Behavior Reporting</t>
  </si>
  <si>
    <t>Al-Tawil2017a</t>
  </si>
  <si>
    <t>Evaluating Knowledge Anchors in Data Graphs Against Basic Level Objects</t>
  </si>
  <si>
    <t>Sanchez-Gonzalez2015a</t>
  </si>
  <si>
    <t>A case study about the improvement of business process models driven by indicators</t>
  </si>
  <si>
    <t>Grebing2020a</t>
  </si>
  <si>
    <t>Seamless Interactive Program Verification</t>
  </si>
  <si>
    <t>Baum2016a</t>
  </si>
  <si>
    <t>On the Need for a New Generation of Code Review Tools</t>
  </si>
  <si>
    <t>Weisbrod2017a</t>
  </si>
  <si>
    <t>Idea-configuration-evaluation ({ICE}): development and demonstration of a new prescriptive model of the conceptual engineering design process based on parameter analysis and C{\textendash}K theory</t>
  </si>
  <si>
    <t>Zhou2018a</t>
  </si>
  <si>
    <t>A Framework for the Visualisation of Cyber Security Requirements and Its Application in {BPMN}</t>
  </si>
  <si>
    <t>Springer International Publishing, Computer Communications and Networks</t>
  </si>
  <si>
    <t>Mostafa2017a</t>
  </si>
  <si>
    <t>Adjustable autonomy: a systematic literature review</t>
  </si>
  <si>
    <t>Artificial Intelligence Review</t>
  </si>
  <si>
    <t>Ganser2015a</t>
  </si>
  <si>
    <t>Staged model evolution and proactive quality guidance for model libraries</t>
  </si>
  <si>
    <t>Deniz2016a</t>
  </si>
  <si>
    <t>{BCI}-Related Research Focus at {HCI} International Conference</t>
  </si>
  <si>
    <t>Jung2017a</t>
  </si>
  <si>
    <t>Guidelines for Education in Business and Information Systems Engineering at Tertiary Institutions</t>
  </si>
  <si>
    <t>Wong2020a</t>
  </si>
  <si>
    <t>{IDC} theory: interest and the interest loop</t>
  </si>
  <si>
    <t>Research and Practice in Technology Enhanced Learning</t>
  </si>
  <si>
    <t>Conejo2015a</t>
  </si>
  <si>
    <t>The {SIETTE} Automatic Assessment Environment</t>
  </si>
  <si>
    <t>Knabe2018a</t>
  </si>
  <si>
    <t>Team {VALOR}'s {ESCHER}: A Novel Electromechanical Biped for the {DARPA} Robotics Challenge</t>
  </si>
  <si>
    <t>Bihlmaier2016b</t>
  </si>
  <si>
    <t>Springer Fachmedien Wiesbaden, Learning Dynamic Spatial Relations</t>
  </si>
  <si>
    <t>Wijnants2016a</t>
  </si>
  <si>
    <t>Augmented {ODV}: Web-Driven Annotation and Interactivity Enhancement of 360 Degree Video in Both 2D and 3D</t>
  </si>
  <si>
    <t>Zeng2019a</t>
  </si>
  <si>
    <t>A Study on Integrated Design Process of Software and Hardware Interfaces for Automotive Human-Machine Interaction</t>
  </si>
  <si>
    <t>Springer International Publishing, Cross-Cultural Design. Methods, Tools and User Experience</t>
  </si>
  <si>
    <t>Frick2016a</t>
  </si>
  <si>
    <t>{MOOCs} for Research: The Case of the Indiana University Plagiarism Tutorials and Tests</t>
  </si>
  <si>
    <t>Wagenaar2017a</t>
  </si>
  <si>
    <t>Describing Criteria for Selecting a Scrum Tool Using the Technology Acceptance Model</t>
  </si>
  <si>
    <t>Cen2016a</t>
  </si>
  <si>
    <t>Quantitative approach to collaborative learning: performance prediction, individual assessment, and group composition</t>
  </si>
  <si>
    <t>International Journal of Computer-Supported Collaborative Learning</t>
  </si>
  <si>
    <t>Sarrab2018a</t>
  </si>
  <si>
    <t>Human Factors Considerations in Mobile Learning Management Systems</t>
  </si>
  <si>
    <t>Strong2019a</t>
  </si>
  <si>
    <t>Teaching Without a Net: Mindful Design Education</t>
  </si>
  <si>
    <t>Springer International Publishing, Design Education Today</t>
  </si>
  <si>
    <t>Gonzalez2017a</t>
  </si>
  <si>
    <t>Fairy Houses: A Creative Engineering Experience</t>
  </si>
  <si>
    <t>Springer International Publishing, Learning and Collaboration Technologies. Technology in Education</t>
  </si>
  <si>
    <t>Terhoeven2016a</t>
  </si>
  <si>
    <t>How to Evaluate the Usability of Smart Devices as Conceivable Work Assistance: A Systematic Review</t>
  </si>
  <si>
    <t>Springer Berlin Heidelberg, Advances in Ergonomic Design of Systems, Products and Processes</t>
  </si>
  <si>
    <t>Cheema2018a</t>
  </si>
  <si>
    <t>Using Animation to Enrich Learning Experience in Sketch-Based Physics Tutoring Systems</t>
  </si>
  <si>
    <t>Abbass2015a</t>
  </si>
  <si>
    <t>Trusted Autonomy and Cognitive Cyber Symbiosis: Open Challenges</t>
  </si>
  <si>
    <t>Cognitive Computation</t>
  </si>
  <si>
    <t>Friemert2019a</t>
  </si>
  <si>
    <t>First Impressions and Acceptance of Order Pickers Towards Using Data Glasses at a Simulated Workstation</t>
  </si>
  <si>
    <t>Bakaev2018a</t>
  </si>
  <si>
    <t>Assessing Similarity for Case-Based Web User Interface Design</t>
  </si>
  <si>
    <t>dosSantos2019a</t>
  </si>
  <si>
    <t>Digital Empathic Games and Their Relation with Mortality: Analysis of Discussion Forums</t>
  </si>
  <si>
    <t>Soylu2016a</t>
  </si>
  <si>
    <t>Ontology-based end-user visual query formulation: Why, what, who, how, and which?</t>
  </si>
  <si>
    <t>Licorish2018a</t>
  </si>
  <si>
    <t>Students' perception of Kahoot!'s influence on teaching and learning</t>
  </si>
  <si>
    <t>Hillmann2017a</t>
  </si>
  <si>
    <t>Logging Framework for the Evaluation of Interactive Systems</t>
  </si>
  <si>
    <t>Springer International Publishing, Simulation-Based Usability Evaluation of Spoken and Multimodal Dialogue Systems</t>
  </si>
  <si>
    <t>Collmus2016a</t>
  </si>
  <si>
    <t>Game-Thinking Within Social Media to Recruit and Select Job Candidates</t>
  </si>
  <si>
    <t>Springer International Publishing, Social Media in Employee Selection and Recruitment</t>
  </si>
  <si>
    <t>Calegario2018a</t>
  </si>
  <si>
    <t>Design Process</t>
  </si>
  <si>
    <t>Springer International Publishing, Designing Digital Musical Instruments Using Probatio</t>
  </si>
  <si>
    <t>Phillips-Grafflin2015a</t>
  </si>
  <si>
    <t>From Autonomy to Cooperative Traded Control of Humanoid Manipulation Tasks with Unreliable Communication</t>
  </si>
  <si>
    <t>Journal of Intelligent {\&amp;} Robotic Systems</t>
  </si>
  <si>
    <t>Uchidiuno2017a</t>
  </si>
  <si>
    <t>Going Global: Understanding English Language Learners' Student Motivation in English-Language {MOOCs}</t>
  </si>
  <si>
    <t>Razavi2018a</t>
  </si>
  <si>
    <t>Exploring Applications of Formal Methods in the {INSPEX} Project</t>
  </si>
  <si>
    <t>Lundin2018a</t>
  </si>
  <si>
    <t>Higher education dominance and siloed knowledge: a systematic review of flipped classroom research</t>
  </si>
  <si>
    <t>International Journal of Educational Technology in Higher Education</t>
  </si>
  <si>
    <t>Shivakumar2019a</t>
  </si>
  <si>
    <t>Digital Workplace Case Study</t>
  </si>
  <si>
    <t>Apress, Build a Next-Generation Digital Workplace</t>
  </si>
  <si>
    <t>Chen2017c</t>
  </si>
  <si>
    <t>{DanMOOC}: Enhancing Content and Social Interaction in {MOOCs} with Synchronized Commenting</t>
  </si>
  <si>
    <t>Das2018a</t>
  </si>
  <si>
    <t>Why Johnny Doesn't Use Two Factor A Two-Phase Usability Study of the {FIDO} U2F Security Key</t>
  </si>
  <si>
    <t>Springer Berlin Heidelberg, Financial Cryptography and Data Security</t>
  </si>
  <si>
    <t>Jiang2018a</t>
  </si>
  <si>
    <t>User-Experience-Based Visual Design Study for Carrier Optical Landing-Aid System</t>
  </si>
  <si>
    <t>Plimmer2016a</t>
  </si>
  <si>
    <t>Tabletop 3D Object Manipulation with Touch and Tangibles</t>
  </si>
  <si>
    <t>Springer International Publishing, Collaboration Meets Interactive Spaces</t>
  </si>
  <si>
    <t>Rein2017a</t>
  </si>
  <si>
    <t>Making the Domain Tangible: Implicit Object Lookup for Source Code Readability</t>
  </si>
  <si>
    <t>Kumar2019a</t>
  </si>
  <si>
    <t>Representing and Evaluating Strategies for Solving Parsons Puzzles</t>
  </si>
  <si>
    <t>Li2016a</t>
  </si>
  <si>
    <t>Off-Screen Landmarks on Mobile Devices: Levels of Measurement and the Perception of Distance on Resized Icons</t>
  </si>
  <si>
    <t>{KI} - K{\"u}nstliche Intelligenz</t>
  </si>
  <si>
    <t>Oto2017a</t>
  </si>
  <si>
    <t>The Difference in Cognitive Processing Between Route and Survey Descriptions Used by Visuo-Spatial Working Memory</t>
  </si>
  <si>
    <t>Springer International Publishing, Spatial Cognition X</t>
  </si>
  <si>
    <t>Tasooji2019a</t>
  </si>
  <si>
    <t>An Approach to Analysis of Physiological Responses to Stimulus</t>
  </si>
  <si>
    <t>Springer International Publishing, Design, User Experience, and Usability. Design Philosophy and Theory</t>
  </si>
  <si>
    <t>Cak2019a</t>
  </si>
  <si>
    <t>Effects of working memory, attention, and expertise on pilots' situation awareness</t>
  </si>
  <si>
    <t>Cognition, Technology {\&amp;} Work</t>
  </si>
  <si>
    <t>Stigberg2016a</t>
  </si>
  <si>
    <t>Gadgile Probing: Supporting Design of Active Mobile Interactions</t>
  </si>
  <si>
    <t>Villa2018a</t>
  </si>
  <si>
    <t>Survey of Biometric Techniques for Automotive Applications</t>
  </si>
  <si>
    <t>Wang2017b</t>
  </si>
  <si>
    <t>Effect of Linked Rules on Business Process Model Understanding</t>
  </si>
  <si>
    <t>Hu2019a</t>
  </si>
  <si>
    <t>A Literature Review of the Research on Interaction Mode of Self-driving Cars</t>
  </si>
  <si>
    <t>Petersen2018a</t>
  </si>
  <si>
    <t>A Framework to Navigate the Privacy Trade-offs for Human-Centred Manufacturing</t>
  </si>
  <si>
    <t>Springer International Publishing, {IFIP} Advances in Information and Communication Technology</t>
  </si>
  <si>
    <t>Shivakumar2019b</t>
  </si>
  <si>
    <t>Digital Workplace Development</t>
  </si>
  <si>
    <t>Atashpendar2019a</t>
  </si>
  <si>
    <t>Enhanced Sketchnoting Through Semantic Integration of Learning Material</t>
  </si>
  <si>
    <t>Promann2016a</t>
  </si>
  <si>
    <t>Pitfalls and Potentials of Home Energy Monitoring Feedback: An Information Experience Critique</t>
  </si>
  <si>
    <t>Springer International Publishing, Design, User Experience, and Usability: Novel User Experiences</t>
  </si>
  <si>
    <t>Calixte2017a</t>
  </si>
  <si>
    <t>The Interactive Projection Mapping as a Spatial Augmented Reality to Help Collaborative Design: Case Study in Architectural Design</t>
  </si>
  <si>
    <t>Tran-Van2017a</t>
  </si>
  <si>
    <t>A New Sharing Paradigm for the Personal Cloud</t>
  </si>
  <si>
    <t>Springer International Publishing, Trust, Privacy and Security in Digital Business</t>
  </si>
  <si>
    <t>Alloui2018a</t>
  </si>
  <si>
    <t>{WOF}: Towards Behavior Analysis and Representation of Emotions in Adaptive Systems</t>
  </si>
  <si>
    <t>Namoun2018a</t>
  </si>
  <si>
    <t>Three Column Website Layout vs. Grid Website Layout: An Eye Tracking Study</t>
  </si>
  <si>
    <t>Johnson2017a</t>
  </si>
  <si>
    <t>An Analysis of {CAD} Modeling Procedure Data Collection Using Synchronous and Retrospective Think Aloud Techniques</t>
  </si>
  <si>
    <t>Ionita2016a</t>
  </si>
  <si>
    <t>A Study on Tangible Participative Enterprise Modelling</t>
  </si>
  <si>
    <t>deFranca2016a</t>
  </si>
  <si>
    <t>Metaphors and Embodiment in Virtual Reality Systems</t>
  </si>
  <si>
    <t>Weichhart2019a</t>
  </si>
  <si>
    <t>Human/machine/roboter: technologies for cognitive processes</t>
  </si>
  <si>
    <t>e {\&amp;} i Elektrotechnik und Informationstechnik</t>
  </si>
  <si>
    <t>Stepanova2017a</t>
  </si>
  <si>
    <t>Gathering and Applying Guidelines for Mobile Robot Design for Urban Search and Rescue Application</t>
  </si>
  <si>
    <t>Butler2017a</t>
  </si>
  <si>
    <t>A Framework for Computer-Aided Design of Educational Domain Models</t>
  </si>
  <si>
    <t>Liu2018b</t>
  </si>
  <si>
    <t>Autonomous Retailing: A Frontier for Cyber-Physical-Human Systems</t>
  </si>
  <si>
    <t>Marzullo2017a</t>
  </si>
  <si>
    <t>Analysis of Users' Mental Model and Expectations from Usability and Information Design Point of View in e-Contracts: A Case of Hotel Reservation</t>
  </si>
  <si>
    <t>Poore2017a</t>
  </si>
  <si>
    <t>Software as a Medium for Understanding Human Behavior</t>
  </si>
  <si>
    <t>Quintana2020a</t>
  </si>
  <si>
    <t>Training Job Interview Online Simulator for Hearing-Impaired People</t>
  </si>
  <si>
    <t>Springer International Publishing, Computer Science {\textendash} {CACIC} 2019</t>
  </si>
  <si>
    <t>Schaefer2016a</t>
  </si>
  <si>
    <t>Multi-Agent Traffic Simulation for Development and Validation of Autonomic Car-to-Car Systems</t>
  </si>
  <si>
    <t>Springer International Publishing, Autonomic Road Transport Support Systems</t>
  </si>
  <si>
    <t>Amir2019a</t>
  </si>
  <si>
    <t>Summarizing agent strategies</t>
  </si>
  <si>
    <t>Autonomous Agents and Multi-Agent Systems</t>
  </si>
  <si>
    <t>Yaacob2017a</t>
  </si>
  <si>
    <t>Visualization Principles for Facilitating Strategy Development Process in the Organization</t>
  </si>
  <si>
    <t>Springer International Publishing, Advances in Visual Informatics</t>
  </si>
  <si>
    <t>Jiang2019a</t>
  </si>
  <si>
    <t>Research on Design Model of Human-Machine Interface of Automatic Driving Takeover System Based on User Experience</t>
  </si>
  <si>
    <t>Modanwal2019a</t>
  </si>
  <si>
    <t>Utilizing gestures to enable visually impaired for computer interaction</t>
  </si>
  <si>
    <t>{CSI} Transactions on {ICT}</t>
  </si>
  <si>
    <t>Mannhardt2019a</t>
  </si>
  <si>
    <t>Process Mining and Privacy in Smart Manufacturing</t>
  </si>
  <si>
    <t>Informatik Spektrum</t>
  </si>
  <si>
    <t>Ivanchikj2016a</t>
  </si>
  <si>
    <t>{RESTful} Conversation with {RESTalk}</t>
  </si>
  <si>
    <t>Ansaar2019a</t>
  </si>
  <si>
    <t>User's Emotional {eXperience} Analysis of Wizard Form Pattern Using Objective and Subjective Measures</t>
  </si>
  <si>
    <t>Fabic2017a</t>
  </si>
  <si>
    <t>Investigating the Effectiveness of Menu-Based Self-explanation Prompts in a Mobile Python Tutor</t>
  </si>
  <si>
    <t>Stegmaier2016a</t>
  </si>
  <si>
    <t>A Universal Control Construct for Abstract State Machines</t>
  </si>
  <si>
    <t>McGee2017a</t>
  </si>
  <si>
    <t>Composition of Verification Assets for Software Product Lines of Cyber Physical Systems</t>
  </si>
  <si>
    <t>Huang2017b</t>
  </si>
  <si>
    <t>Enhancing {UML} Class Diagram Abstraction with Page Rank Algorithm and Relationship Abstraction Rules</t>
  </si>
  <si>
    <t>Springer International Publishing, Service-Oriented Computing {\textendash} {ICSOC} 2016 Workshops</t>
  </si>
  <si>
    <t>Calefato2019a</t>
  </si>
  <si>
    <t>{RECODE}: revision control for digital images</t>
  </si>
  <si>
    <t>Chergui2018a</t>
  </si>
  <si>
    <t>A Valid {BPMN} Extension for Supporting Security Requirements Based on Cyber Security Ontology</t>
  </si>
  <si>
    <t>Springer International Publishing, Model and Data Engineering</t>
  </si>
  <si>
    <t>Lee2018b</t>
  </si>
  <si>
    <t>What Do Studies of Learning Analytics Reveal About Learning and Instruction? A Systematic Literature Review</t>
  </si>
  <si>
    <t>Dori2016a</t>
  </si>
  <si>
    <t>Participation Constraints and Forks</t>
  </si>
  <si>
    <t>Springer New York, Model-Based Systems Engineering with {OPM} and {SysML}</t>
  </si>
  <si>
    <t>Blowers2016a</t>
  </si>
  <si>
    <t>In Conclusion: The Future Internet of Things and Security of Its Control Systems</t>
  </si>
  <si>
    <t>Springer International Publishing, Advances in Information Security</t>
  </si>
  <si>
    <t>Paterno2017a</t>
  </si>
  <si>
    <t>deAraujo2016a</t>
  </si>
  <si>
    <t>Information Design Elements in Videogames: A Proposed Classification</t>
  </si>
  <si>
    <t>Siemon2017a</t>
  </si>
  <si>
    <t>One for all and all for one - towards a framework for collaboration support systems</t>
  </si>
  <si>
    <t>Bove2019a</t>
  </si>
  <si>
    <t>Adaptive Training: Designing Training for the Way People Work and Learn</t>
  </si>
  <si>
    <t>Springer International Publishing, Adaptive Instructional Systems</t>
  </si>
  <si>
    <t>Bolt2015a</t>
  </si>
  <si>
    <t>Scientific workflows for process mining: building blocks, scenarios, and implementation</t>
  </si>
  <si>
    <t>Fan2017a</t>
  </si>
  <si>
    <t>metrics and methods of video quality assessment: a brief review</t>
  </si>
  <si>
    <t>Diwan2018a</t>
  </si>
  <si>
    <t>Computing Exposition Coherence Across Learning Resources</t>
  </si>
  <si>
    <t>Cerone2018a</t>
  </si>
  <si>
    <t>Towards a Cognitive Architecture for the Formal Analysis of Human Behaviour and Learning</t>
  </si>
  <si>
    <t>Dockins2016a</t>
  </si>
  <si>
    <t>Constructing Semantic Models of Programs with the Software Analysis Workbench</t>
  </si>
  <si>
    <t>Shawky2018a</t>
  </si>
  <si>
    <t>Towards a Personalized Learning Experience Using Reinforcement Learning</t>
  </si>
  <si>
    <t>Springer International Publishing, Machine Learning Paradigms: Theory and Application</t>
  </si>
  <si>
    <t>Rajanen2017a</t>
  </si>
  <si>
    <t>{UX} Professionals' Definitions of Usability and {UX} {\textendash} A Comparison Between Turkey, Finland, Denmark, France and Malaysia</t>
  </si>
  <si>
    <t>Springer International Publishing, Human-Computer Interaction {\textendash} {INTERACT} 2017</t>
  </si>
  <si>
    <t>Leon2017a</t>
  </si>
  <si>
    <t>Hiding {IP} Strategy: Trading Secrets</t>
  </si>
  <si>
    <t>Springer International Publishing, Innovation, Startups and Intellectual Property Management</t>
  </si>
  <si>
    <t>Nordby2016a</t>
  </si>
  <si>
    <t>Designing calm technology and peripheral interaction for offshore service vessels</t>
  </si>
  <si>
    <t>Riedl2015a</t>
  </si>
  <si>
    <t>Tools in {NeuroIS} Research: An Overview</t>
  </si>
  <si>
    <t>Springer Berlin Heidelberg, Fundamentals of {NeuroIS}</t>
  </si>
  <si>
    <t>Hesse2018a</t>
  </si>
  <si>
    <t>Impacts of Emerging Fundamental Science on Health, Behavior, and Their Interaction</t>
  </si>
  <si>
    <t>Springer New York, Principles and Concepts of Behavioral Medicine</t>
  </si>
  <si>
    <t>doNascimento2016a</t>
  </si>
  <si>
    <t>Visual Debuggers and Deaf Programmers</t>
  </si>
  <si>
    <t>Springer International Publishing, Universal Access in Human-Computer Interaction. Users and Context Diversity</t>
  </si>
  <si>
    <t>Brazier2017a</t>
  </si>
  <si>
    <t>E-Government and the Digital Divide: A Study of English-as-a-Second-Language Users' Information Behaviour</t>
  </si>
  <si>
    <t>Kljun2020a</t>
  </si>
  <si>
    <t>Augmented Reality in Education: Current Status and Advancement of the Field</t>
  </si>
  <si>
    <t>Springer International Publishing, Augmented Reality in Education</t>
  </si>
  <si>
    <t>McEneaney2016a</t>
  </si>
  <si>
    <t>Simulation-Based Evaluation of Learning Sequences for Instructional Technologies</t>
  </si>
  <si>
    <t>Instructional Science</t>
  </si>
  <si>
    <t>Prescher2017a</t>
  </si>
  <si>
    <t>Systems Design, Modeling, and Simulation in Medicine</t>
  </si>
  <si>
    <t>Springer International Publishing, Simulation Foundations, Methods and Applications</t>
  </si>
  <si>
    <t>Krancher2020a</t>
  </si>
  <si>
    <t>Knowledge Transfer in Software Maintenance Outsourcing: The Key Roles of Software Knowledge and Guided Learning Tasks</t>
  </si>
  <si>
    <t>cognitive load, knowledge</t>
  </si>
  <si>
    <t>cognitive load,
vendor's and client's experiences concerning knowledge-transfer, 
task performance</t>
  </si>
  <si>
    <t>cognitive load and the way/effectiveness of knowledge-transfer were assessed by interviews, observation of five transition cases</t>
  </si>
  <si>
    <t>Paper investigates SM outsourcing and its difficulties through five case-studies at a swiss bank. Paper finds that software knowledge transfer was the most challenging part that usually resulted in high cognitive load. Guided learning tasks are the most effective knowledge-transfer technique.</t>
  </si>
  <si>
    <t>Eisenlauer2020a</t>
  </si>
  <si>
    <t>Digital Literacies in Virtual Reality Learning Contexts</t>
  </si>
  <si>
    <t>Springer International Publishing, Augmented Reality and Virtual Reality</t>
  </si>
  <si>
    <t>Nystrom2015a</t>
  </si>
  <si>
    <t>The {TimeStudio} Project: An open source scientific workflow system for the behavioral and brain sciences</t>
  </si>
  <si>
    <t>Behavior Research Methods</t>
  </si>
  <si>
    <t>vanderMei2018a</t>
  </si>
  <si>
    <t>State of the Art and Research Challenges in the Area of Autonomous Control for a Reliable Internet of Services</t>
  </si>
  <si>
    <t>Magnusson2019a</t>
  </si>
  <si>
    <t>Developing Crisis Training Software for Local Governments{\textemdash}From User Needs to Generic Requirements</t>
  </si>
  <si>
    <t>Springer International Publishing, Lecture Notes in Information Systems and Organisation</t>
  </si>
  <si>
    <t>Wojtynek2019a</t>
  </si>
  <si>
    <t>Plug, Plan and Produce as Enabler for Easy Workcell Setup and Collaborative Robot Programming in Smart Factories</t>
  </si>
  <si>
    <t>Tegos2020a</t>
  </si>
  <si>
    <t>Enriching Synchronous Collaboration in Online Courses with Configurable Conversational Agents</t>
  </si>
  <si>
    <t>Shivakumar2019c</t>
  </si>
  <si>
    <t>{EXP} Strategy</t>
  </si>
  <si>
    <t>Galeshchuk2018a</t>
  </si>
  <si>
    <t>Cooperative Agents for Discovering Pareto-Optimal Classifiers Under Dynamic Costs</t>
  </si>
  <si>
    <t>Springer International Publishing, Advances in Practical Applications of Agents, Multi-Agent Systems, and Complexity: The {PAAMS} Collection</t>
  </si>
  <si>
    <t>Fan2019a</t>
  </si>
  <si>
    <t>Deep Learning for Detecting Breast Cancer Metastases on {WSI}</t>
  </si>
  <si>
    <t>Springer Singapore, Innovation in Medicine and Healthcare Systems, and Multimedia</t>
  </si>
  <si>
    <t>Polancic2020a</t>
  </si>
  <si>
    <t>An Empirical Investigation of the Intuitiveness of Process Landscape Designs</t>
  </si>
  <si>
    <t>Chen2016c</t>
  </si>
  <si>
    <t>Do Erroneous Examples Improve Learning in Addition to Problem Solving and Worked Examples?</t>
  </si>
  <si>
    <t>Martin2017a</t>
  </si>
  <si>
    <t>A {VR}-{CAD} Data Model for Immersive Design</t>
  </si>
  <si>
    <t>Kotze2017a</t>
  </si>
  <si>
    <t>Augmenting a Data Warehousing Curriculum with Emerging Big Data Technologies</t>
  </si>
  <si>
    <t>Aromaa2018a</t>
  </si>
  <si>
    <t>User Evaluation of Industry 4.0 Concepts for Worker Engagement</t>
  </si>
  <si>
    <t>Zhang2020a</t>
  </si>
  <si>
    <t>Dealing with Mislabeling via Interactive Machine Learning</t>
  </si>
  <si>
    <t>Taub2016a</t>
  </si>
  <si>
    <t>Using Eye-Tracking to Determine the Impact of Prior Knowledge on Self-Regulated Learning with an Adaptive Hypermedia-Learning Environment</t>
  </si>
  <si>
    <t>Herbert2019a</t>
  </si>
  <si>
    <t>Comparative Analysis of Intelligent Personal Agent Performance</t>
  </si>
  <si>
    <t>Springer International Publishing, Knowledge Management and Acquisition for Intelligent Systems</t>
  </si>
  <si>
    <t>Hou2018a</t>
  </si>
  <si>
    <t>Research on Visual Feedback Based on Natural Gesture</t>
  </si>
  <si>
    <t>Book2016a</t>
  </si>
  <si>
    <t>A New Skill Set</t>
  </si>
  <si>
    <t>Springer International Publishing, Tamed Agility</t>
  </si>
  <si>
    <t>Vanderheiden2019a</t>
  </si>
  <si>
    <t>Multi-faceted Approach to Computer Simplification via Personalization and Layering</t>
  </si>
  <si>
    <t>Volpentesta2017a</t>
  </si>
  <si>
    <t>Intelligent Food Information Provision to Consumers in an Internet of Food Era</t>
  </si>
  <si>
    <t>Springer International Publishing, Collaboration in a Data-Rich World</t>
  </si>
  <si>
    <t>Li2017b</t>
  </si>
  <si>
    <t>Social interaction for efficient agent learning from human reward</t>
  </si>
  <si>
    <t>Kong2018a</t>
  </si>
  <si>
    <t>Strategies and Metrics for Evaluating the Quality of Experience in Virtual Reality Applications</t>
  </si>
  <si>
    <t>Siebers2018a</t>
  </si>
  <si>
    <t>Please delete that! Why should I?</t>
  </si>
  <si>
    <t>Andrade2018a</t>
  </si>
  <si>
    <t>State of the Art and Future Trends in the Usability of Patient Monitors</t>
  </si>
  <si>
    <t>Ghali2016a</t>
  </si>
  <si>
    <t>Using Electroencephalogram to Track Learner's Reasoning in Serious Games</t>
  </si>
  <si>
    <t>Bakaev2018b</t>
  </si>
  <si>
    <t>{HCI} Vision for Automated Analysis and Mining of Web User Interfaces</t>
  </si>
  <si>
    <t>Palmaz2016a</t>
  </si>
  <si>
    <t>Statistically-Guided Controlled Language Authoring</t>
  </si>
  <si>
    <t>Tondello2019a</t>
  </si>
  <si>
    <t>Gameful Design Heuristics: A Gamification Inspection Tool</t>
  </si>
  <si>
    <t>Cancedda2017a</t>
  </si>
  <si>
    <t>Mixed Reality-Based User Interaction Feedback for a Hand-Controlled Interface Targeted to Robot Teleoperation</t>
  </si>
  <si>
    <t>Matlen2018a</t>
  </si>
  <si>
    <t>Impact and Prevalence of Diagrammatic Supports in Mathematics Classrooms</t>
  </si>
  <si>
    <t>Blichmann2017a</t>
  </si>
  <si>
    <t>Sharing Composite Web Applications with Multiple Coupling Levels</t>
  </si>
  <si>
    <t>Yigitbas2020a</t>
  </si>
  <si>
    <t>On the Development of Context-Aware Augmented Reality Applications</t>
  </si>
  <si>
    <t>Springer International Publishing, Beyond Interactions</t>
  </si>
  <si>
    <t>Andrade2018b</t>
  </si>
  <si>
    <t>Investigation of the Human Factors, Usability and User Experience of Patient Monitors used in a Hospital Setting</t>
  </si>
  <si>
    <t>Murmann2019a</t>
  </si>
  <si>
    <t>To Be, or Not to Be Notified</t>
  </si>
  <si>
    <t>Springer International Publishing, {ICT} Systems Security and Privacy Protection</t>
  </si>
  <si>
    <t>Sulikowski2019a</t>
  </si>
  <si>
    <t>Evaluation of Varying Visual Intensity and Position of a Recommendation in a Recommending Interface Towards Reducing Habituation and Improving Sales</t>
  </si>
  <si>
    <t>Springer International Publishing, Advances in E-Business Engineering for Ubiquitous Computing</t>
  </si>
  <si>
    <t>Ellwart2018a</t>
  </si>
  <si>
    <t>Psychological Perspectives on Intentional Forgetting: An Overview of Concepts and Literature</t>
  </si>
  <si>
    <t>Mendes2018a</t>
  </si>
  <si>
    <t>Towards Verified Handwritten Calculational Proofs</t>
  </si>
  <si>
    <t>Springer International Publishing, Interactive Theorem Proving</t>
  </si>
  <si>
    <t>Klimmt2016a</t>
  </si>
  <si>
    <t>Interesting, but not Necessarily Effective: Testing a Serious Game with Socially Disadvantaged Children</t>
  </si>
  <si>
    <t>Dube2019a</t>
  </si>
  <si>
    <t>Text Entry in Virtual Reality: A Comprehensive Review of the Literature</t>
  </si>
  <si>
    <t>Monteleone2018a</t>
  </si>
  <si>
    <t>{NooJ} Grammars and Ethical Algorithms: Tackling On-Line Hate Speech</t>
  </si>
  <si>
    <t>Brito2017a</t>
  </si>
  <si>
    <t>U-Learning: A Collaborative Experience in the Urban Context</t>
  </si>
  <si>
    <t>Ivan2018a</t>
  </si>
  <si>
    <t>{EXOTica}: An Extensible Optimization Toolset for Prototyping and Benchmarking Motion Planning and Control</t>
  </si>
  <si>
    <t>Xin2019a</t>
  </si>
  <si>
    <t>A Literature Review of the Research on Take-Over Situation in Autonomous Driving</t>
  </si>
  <si>
    <t>Kolpondinos2019a</t>
  </si>
  <si>
    <t>{GARUSO}: a gamification approach for involving stakeholders outside organizational reach in requirements engineering</t>
  </si>
  <si>
    <t>Li2020c</t>
  </si>
  <si>
    <t>Facial feedback for reinforcement learning: a case study and offline analysis using the {TAMER} framework</t>
  </si>
  <si>
    <t>Okoe2018a</t>
  </si>
  <si>
    <t>Revisited Experimental Comparison of~Node-Link and Matrix Representations</t>
  </si>
  <si>
    <t>Dahl2018a</t>
  </si>
  <si>
    <t>bf-pd: Enabling Mediated Communication and Cooperation in Improvised Digital Orchestras</t>
  </si>
  <si>
    <t>Springer International Publishing, Music Technology with Swing</t>
  </si>
  <si>
    <t>Olteanu2017a</t>
  </si>
  <si>
    <t>Towards a Protocol for Inferring Preferences Using Majority-rule Sorting Models</t>
  </si>
  <si>
    <t>Springer International Publishing, Algorithmic Decision Theory</t>
  </si>
  <si>
    <t>Kloker2017a</t>
  </si>
  <si>
    <t>Designing a Crowd Forecasting Tool to Combine Prediction Markets and Real-Time Delphi</t>
  </si>
  <si>
    <t>Zaragoza2018a</t>
  </si>
  <si>
    <t>E-Learning Adaptation and Mobile Learning for Education</t>
  </si>
  <si>
    <t>Springer International Publishing, Applied Computing and Information Technology</t>
  </si>
  <si>
    <t>Hwang2017a</t>
  </si>
  <si>
    <t>Maker Movement Influence on Students' Learning Motivation and Learning Achievement {\textendash} A Learning Style Perspective</t>
  </si>
  <si>
    <t>Mastrodonato2017a</t>
  </si>
  <si>
    <t>The Effect of Rotation in the Navigation of Multi-level Buildings: A Pilot Study</t>
  </si>
  <si>
    <t>Springer International Publishing, Advances in Artificial Intelligence: From Theory to Practice</t>
  </si>
  <si>
    <t>Reinhardt2018a</t>
  </si>
  <si>
    <t>{CHAI}: Coding Heuristics for Assessing Intuitive Interaction</t>
  </si>
  <si>
    <t>Springer International Publishing, Design, User Experience, and Usability: Theory and Practice</t>
  </si>
  <si>
    <t>Kumar2018a</t>
  </si>
  <si>
    <t>Reliability Model</t>
  </si>
  <si>
    <t>Springer Singapore, Reliability Aspect of Cloud Computing Environment</t>
  </si>
  <si>
    <t>Li2015b</t>
  </si>
  <si>
    <t>Using informative behavior to increase engagement while learning from human reward</t>
  </si>
  <si>
    <t>Dong2016a</t>
  </si>
  <si>
    <t>The Interaction Design of Household Intelligent Breathing Training System</t>
  </si>
  <si>
    <t>David2019a</t>
  </si>
  <si>
    <t>Augmented Cognition for Socio-Technical Systems</t>
  </si>
  <si>
    <t>Katarzyna2018a</t>
  </si>
  <si>
    <t>Language of Benefits as a Novel Tool for Improving Website Personalisation</t>
  </si>
  <si>
    <t>Bodrunova2017a</t>
  </si>
  <si>
    <t>U-index: An Eye-Tracking-Tested Checklist on Webpage Aesthetics for University Web Spaces in Russia and the {USA}</t>
  </si>
  <si>
    <t>Staub2019a</t>
  </si>
  <si>
    <t>Programmierunterricht von Kindergarten bis zur Matura in einem Spiralcurriculum</t>
  </si>
  <si>
    <t>Hassan2018a</t>
  </si>
  <si>
    <t>Disrupting the Rote Learning Loop: {CS} Majors Iterating Over Learning Modules with an Adaptive Educational Hypermedia</t>
  </si>
  <si>
    <t>Rachman2018a</t>
  </si>
  <si>
    <t>Ontology-Based Semantic Modeling for Automated Identification of Damage Mechanisms in Process Plants</t>
  </si>
  <si>
    <t>Benzoni2016a</t>
  </si>
  <si>
    <t>A Review of Intervention Studies Aimed at Domestic Water Conservation</t>
  </si>
  <si>
    <t>Fraile2016a</t>
  </si>
  <si>
    <t>Using Attack-Defense Trees to Analyze Threats and Countermeasures in an {ATM}: A Case Study</t>
  </si>
  <si>
    <t>Demberg2015a</t>
  </si>
  <si>
    <t>Search Challenges in Natural Language Generation with Complex Optimization Objectives</t>
  </si>
  <si>
    <t>Adama2017a</t>
  </si>
  <si>
    <t>Towards Designing Mobile Banking User Interfaces for Novice Users</t>
  </si>
  <si>
    <t>Lee2017a</t>
  </si>
  <si>
    <t>Vouch-T: Multimodal Text Input for Mobile Devices Using Voice and Touch</t>
  </si>
  <si>
    <t>Rajaonarivo2019a</t>
  </si>
  <si>
    <t>An evolving museum metaphor applied to cultural heritage for personalized content delivery</t>
  </si>
  <si>
    <t>Fox2018a</t>
  </si>
  <si>
    <t>Read It This Way: Scaffolding Comprehension for Unconventional Statistical Graphs</t>
  </si>
  <si>
    <t>Harmse2018a</t>
  </si>
  <si>
    <t>Generating Armstrong {ABoxes} for {\textdollar}{\textdollar}{\textbackslash}mathcal $\lbrace${ALC}$\rbrace${\textdollar}{\textdollar} {ALC} {TBoxes}</t>
  </si>
  <si>
    <t>Springer International Publishing, Theoretical Aspects of Computing {\textendash} {ICTAC} 2018</t>
  </si>
  <si>
    <t>Smets2018a</t>
  </si>
  <si>
    <t>The Effort of Reasoning: Modelling the Inference Steps of Boundedly Rational Agents</t>
  </si>
  <si>
    <t>Springer Berlin Heidelberg, Logic, Language, Information, and Computation</t>
  </si>
  <si>
    <t>Varisco2019a</t>
  </si>
  <si>
    <t>Anticipating Ethical Issues When Designing Services that Employ Personal Data</t>
  </si>
  <si>
    <t>Bera2017a</t>
  </si>
  <si>
    <t>Improving the representation of roles in conceptual modeling: theory, method, and evidence</t>
  </si>
  <si>
    <t>Jain2018a</t>
  </si>
  <si>
    <t>Nuance Reasoning Framework: A Rule-Based System for Semantic Query Rewriting</t>
  </si>
  <si>
    <t>Springer International Publishing, Rules and Reasoning</t>
  </si>
  <si>
    <t>Huang2019c</t>
  </si>
  <si>
    <t>Usability of University Recruitment Web Pages from International Doctoral Students' Perspectives</t>
  </si>
  <si>
    <t>Ortega-Garcia2016a</t>
  </si>
  <si>
    <t>An M-Learning Open-Source Tool Comparation for Easy Creation of Educational Apps</t>
  </si>
  <si>
    <t>Wang2019d</t>
  </si>
  <si>
    <t>Zhong2017a</t>
  </si>
  <si>
    <t>Studying Analysts' Data Triage Operations in Cyber Defense Situational Analysis</t>
  </si>
  <si>
    <t>Springer International Publishing, Theory and Models for Cyber Situation Awareness</t>
  </si>
  <si>
    <t>Liu2019c</t>
  </si>
  <si>
    <t>A Multi-perspective and Multi-level Based Approach to Organize and Represent Inventive Knowledge</t>
  </si>
  <si>
    <t>Maccioni2019a</t>
  </si>
  <si>
    <t>Investigating the Value Perception of Specific {TRIZ} Solutions Aimed to Reduce Product's Environmental Impact</t>
  </si>
  <si>
    <t>Pilkington2017a</t>
  </si>
  <si>
    <t>Questioning the Value of Vodcasts in a Distance Learning Theoretical Computer Science Course</t>
  </si>
  <si>
    <t>Urrutia2017a</t>
  </si>
  <si>
    <t>Is a Holistic Criteria-Based Approach Possible in User Experience?</t>
  </si>
  <si>
    <t>Reuter2018a</t>
  </si>
  <si>
    <t>Intentional Forgetting in Distributed Artificial Intelligence</t>
  </si>
  <si>
    <t>Zimoch2016a</t>
  </si>
  <si>
    <t>Considering Social Distance as an Influence Factor in the Process of Process Modeling</t>
  </si>
  <si>
    <t>Aceituna2017a</t>
  </si>
  <si>
    <t>Addressing the state explosion problem when visualizing off-nominal behaviors in a set of reactive requirements</t>
  </si>
  <si>
    <t>Wade2017a</t>
  </si>
  <si>
    <t>A Pilot Study Assessing Performance and Visual Attention of Teenagers with {ASD} in a Novel Adaptive Driving Simulator</t>
  </si>
  <si>
    <t>Journal of Autism and Developmental Disorders</t>
  </si>
  <si>
    <t>daPereira2017a</t>
  </si>
  <si>
    <t>Handling Topical Metadata Regarding the Validity and Completeness of Multiple-Source Information: A Possibilistic Approach</t>
  </si>
  <si>
    <t>Rajivan2017a</t>
  </si>
  <si>
    <t>Impact of Team Collaboration on Cybersecurity Situational Awareness</t>
  </si>
  <si>
    <t>Grevisse2018a</t>
  </si>
  <si>
    <t>Knowledge Graph-Based Teacher Support for Learning Material Authoring</t>
  </si>
  <si>
    <t>Li2016b</t>
  </si>
  <si>
    <t>Communication in Human-Agent Teams for Tasks with Joint Action</t>
  </si>
  <si>
    <t>Fouad2019a</t>
  </si>
  <si>
    <t>An Instrumented Software Framework for the Rapid Development of Experimental User Interfaces</t>
  </si>
  <si>
    <t>Neumann2017a</t>
  </si>
  <si>
    <t>{\textquotedblleft}{KogniChef}{\textquotedblright}: A Cognitive Cooking Assistant</t>
  </si>
  <si>
    <t>Zhu2018a</t>
  </si>
  <si>
    <t>Detecting the Doubt Effect and Subjective Beliefs Using Neural Networks and Observers' Pupillary Responses</t>
  </si>
  <si>
    <t>Bourrier2018a</t>
  </si>
  <si>
    <t>A Hybrid Architecture for Non-technical Skills Diagnosis</t>
  </si>
  <si>
    <t>Alharbi2017a</t>
  </si>
  <si>
    <t>The Efficacy of {OWL} and {DL} on User Understanding of Axioms and Their Entailments</t>
  </si>
  <si>
    <t>Giannakopoulos2017a</t>
  </si>
  <si>
    <t>Programming: A Wicked Subject?</t>
  </si>
  <si>
    <t>Xu2017a</t>
  </si>
  <si>
    <t>Applying Working Memory Theory to Redesign a Mobile Application User Interface: Take a Handicraft Self-learning Page as an Example</t>
  </si>
  <si>
    <t>Sedrakyan2017a</t>
  </si>
  <si>
    <t>Cognitive Feedback and Behavioral Feedforward Automation Perspectives for Modeling and Validation in a Learning Context</t>
  </si>
  <si>
    <t>Zhauniarovich2016a</t>
  </si>
  <si>
    <t>Small Changes, Big Changes: An Updated View on the Android Permission System</t>
  </si>
  <si>
    <t>Springer International Publishing, Research in Attacks, Intrusions, and Defenses</t>
  </si>
  <si>
    <t>Biundo2016a</t>
  </si>
  <si>
    <t>Companion-Technology: An Overview</t>
  </si>
  <si>
    <t>Roy2016a</t>
  </si>
  <si>
    <t>Informing Authoring Best Practices Through an Analysis of Pedagogical Content and Student Behavior</t>
  </si>
  <si>
    <t>Shoaib2019a</t>
  </si>
  <si>
    <t>Automatic switching between speech and non-speech: adaptive auditory feedback in desktop assistance for the visually impaired</t>
  </si>
  <si>
    <t>Liu2019b</t>
  </si>
  <si>
    <t>Using Mobile Eye Tracking to Evaluate the Satisfaction with Service Office</t>
  </si>
  <si>
    <t>vanderTorre2017a</t>
  </si>
  <si>
    <t>Rational Enterprise Architecture</t>
  </si>
  <si>
    <t>An2019b</t>
  </si>
  <si>
    <t>Catch {\&amp;} Release: An Approach to Debugging Distributed Full-Stack {JavaScript} Applications</t>
  </si>
  <si>
    <t>Alkadhi2019a</t>
  </si>
  <si>
    <t>Labenah: An Arabic Block-Based Interactive Programming Environment for Children. The Journey of Learning and Playing</t>
  </si>
  <si>
    <t>Sendurur2016a</t>
  </si>
  <si>
    <t>How Do the User Experiences of Everyday Content Differ from Those of Academic Content?</t>
  </si>
  <si>
    <t>Melhart2020a</t>
  </si>
  <si>
    <t>I Feel I Feel You: A Theory of Mind Experiment in Games</t>
  </si>
  <si>
    <t>Goc2019a</t>
  </si>
  <si>
    <t>Investigating Active Tangibles and~Augmented Reality for Creativity Support in Remote Collaboration</t>
  </si>
  <si>
    <t>Schwarze2015a</t>
  </si>
  <si>
    <t>A Camera-Based Mobility Aid for Visually Impaired People</t>
  </si>
  <si>
    <t>Turetken2017a</t>
  </si>
  <si>
    <t>Cognitive Style and Business Process Model Understanding</t>
  </si>
  <si>
    <t>Helkala2017a</t>
  </si>
  <si>
    <t>Supporting the Human in Cyber Defence</t>
  </si>
  <si>
    <t>Springer International Publishing, Computer Security</t>
  </si>
  <si>
    <t>Green2016a</t>
  </si>
  <si>
    <t>Behavior and Learning of Students Using Worked-Out Examples in a Tutoring System</t>
  </si>
  <si>
    <t>Maguire2019a</t>
  </si>
  <si>
    <t>Development of a Heuristic Evaluation Tool for Voice User Interfaces</t>
  </si>
  <si>
    <t>Book2016b</t>
  </si>
  <si>
    <t>Using an Interaction Room for Digitalization Strategy Development ({IR}:digital)</t>
  </si>
  <si>
    <t>Morais2019a</t>
  </si>
  <si>
    <t>Learning Effects of Different Digital-Based Approaches in Chemistry: A Quasi-experimental Assessment</t>
  </si>
  <si>
    <t>Mercier2019a</t>
  </si>
  <si>
    <t>Predicting Subjective Enjoyment of Aspects of a Videogame from Psychophysiological Measures of Arousal and Valence</t>
  </si>
  <si>
    <t>Vanderdonckt2019a</t>
  </si>
  <si>
    <t>Head and Shoulders Gestures: Exploring User-Defined Gestures with Upper Body</t>
  </si>
  <si>
    <t>Long2016a</t>
  </si>
  <si>
    <t>Mastery-Oriented Shared Student/System Control Over Problem Selection in a Linear Equation Tutor</t>
  </si>
  <si>
    <t>Sato2019a</t>
  </si>
  <si>
    <t>Investigating the Relationship Between Connection, Agency and Autonomy for Controlling a Robot Arm for Remote Social Physical Interaction</t>
  </si>
  <si>
    <t>Quraishi2019a</t>
  </si>
  <si>
    <t>Guided Mindfulness: New Frontier to Augmented Learning</t>
  </si>
  <si>
    <t>Roelens2020a</t>
  </si>
  <si>
    <t>An Evaluation of the Intuitiveness of the {PGA} Modeling Language Notation</t>
  </si>
  <si>
    <t>Mayseless2017a</t>
  </si>
  <si>
    <t>Creativity in the Twenty-first Century: The Added Benefit of Training and Cooperation</t>
  </si>
  <si>
    <t>Gall2017a</t>
  </si>
  <si>
    <t>Visual Modeling of Instance-Spanning Constraints in Process-Aware Information Systems</t>
  </si>
  <si>
    <t>Tahir2019a</t>
  </si>
  <si>
    <t>Exploring Methods and Guidelines for Child-Computer Interaction Research with Refugee Children</t>
  </si>
  <si>
    <t>Vateekul2016a</t>
  </si>
  <si>
    <t>Item-Based Learning for Music Emotion Prediction Using {EEG} Data</t>
  </si>
  <si>
    <t>Aguirre2017a</t>
  </si>
  <si>
    <t>Extending the Concept of User Satisfaction in E-Learning Systems from {ISO}/{IEC} 25010</t>
  </si>
  <si>
    <t>Pavao2019a</t>
  </si>
  <si>
    <t>Considerations on the Usability of {SCl}\'{\i}nico</t>
  </si>
  <si>
    <t>Springer International Publishing, Biomedical Engineering Systems and Technologies</t>
  </si>
  <si>
    <t>Spinillo2017a</t>
  </si>
  <si>
    <t>The Open University of the Unified Health System in Brazil ({UNA}-{SUS}/{UFMA}): Identification and Hierarchization of Problems in Distance Learning Courses</t>
  </si>
  <si>
    <t>Diallo2017a</t>
  </si>
  <si>
    <t>Future Patent Search</t>
  </si>
  <si>
    <t>Springer Berlin Heidelberg, Current Challenges in Patent Information Retrieval</t>
  </si>
  <si>
    <t>Zamanirad2020a</t>
  </si>
  <si>
    <t>Dynamic event type recognition and tagging for data-driven insights in law-enforcement</t>
  </si>
  <si>
    <t>Computing</t>
  </si>
  <si>
    <t>Guo2017a</t>
  </si>
  <si>
    <t>Comparison of Circle and Dodecagon Clock Designs for Visualizing 24-Hour Cyclical Data</t>
  </si>
  <si>
    <t>Dias2019a</t>
  </si>
  <si>
    <t>Towards an Intelligent Learning Management System: The A/B/C-{TEACH} Approach</t>
  </si>
  <si>
    <t>Reddy2019a</t>
  </si>
  <si>
    <t>The Artificial Facilitator: Guiding Participants in Developing Causal Maps Using Voice-Activated Technologies</t>
  </si>
  <si>
    <t>Boletsis2017a</t>
  </si>
  <si>
    <t>The Smartkuber Case Study: Lessons Learned from the Development of an Augmented Reality Serious Game for Cognitive Screening</t>
  </si>
  <si>
    <t>Romero2016a</t>
  </si>
  <si>
    <t>The Operator 4.0: Human Cyber-Physical Systems {\&amp;} Adaptive Automation Towards Human-Automation Symbiosis Work Systems</t>
  </si>
  <si>
    <t>Andersen2018a</t>
  </si>
  <si>
    <t>A Conceptual Digital Assistance System Supporting Manual Changeovers in High-Variety Production</t>
  </si>
  <si>
    <t>Billinghurst2016a</t>
  </si>
  <si>
    <t>Is It in Your Eyes? Explorations in Using Gaze Cues for Remote Collaboration</t>
  </si>
  <si>
    <t>Budel2018a</t>
  </si>
  <si>
    <t>Predicting User Flight Preferences in an Airline E-Shop</t>
  </si>
  <si>
    <t>Villareal-Freire2017a</t>
  </si>
  <si>
    <t>{EMOVLE}: An Interface Design Guide</t>
  </si>
  <si>
    <t>Raj2018a</t>
  </si>
  <si>
    <t>Anisotropic Radial Layout for Visualizing Centrality and Structure in Graphs</t>
  </si>
  <si>
    <t>Blanchard2020a</t>
  </si>
  <si>
    <t>Reflexive Memory Authenticator: A~Proposal for Effortless Renewable Biometrics</t>
  </si>
  <si>
    <t>Summers2017a</t>
  </si>
  <si>
    <t>Understanding Voting Barriers to Access for Americans with Low Literacy Skills</t>
  </si>
  <si>
    <t>Yuan2017a</t>
  </si>
  <si>
    <t>When Eye-Tracking Meets Cognitive Modeling: Applications to Cyber Security Systems</t>
  </si>
  <si>
    <t>Springer International Publishing, Human Aspects of Information Security, Privacy and Trust</t>
  </si>
  <si>
    <t>Corno2018a</t>
  </si>
  <si>
    <t>User expectations in intelligent environments</t>
  </si>
  <si>
    <t>Journal of Reliable Intelligent Environments</t>
  </si>
  <si>
    <t>Giroux-Huppe2019a</t>
  </si>
  <si>
    <t>Identifying Psychophysiological Pain Points in the Online User Journey: The Case of Online Grocery</t>
  </si>
  <si>
    <t>Amparore2018a</t>
  </si>
  <si>
    <t>{GreatTeach}: A Tool for Teaching (Stochastic) Petri Nets</t>
  </si>
  <si>
    <t>Springer International Publishing, Application and Theory of Petri Nets and Concurrency</t>
  </si>
  <si>
    <t>Horkoff2014a</t>
  </si>
  <si>
    <t>Interactive goal model analysis for early requirements engineering</t>
  </si>
  <si>
    <t>Camarillo-Abad2019a</t>
  </si>
  <si>
    <t>Organizing Knowledge on Nonverbal Communication Mediated Through Haptic Technology</t>
  </si>
  <si>
    <t>Obaido2018a</t>
  </si>
  <si>
    <t>Generating {SQL} Queries from Visual Specifications</t>
  </si>
  <si>
    <t>Karam2015a</t>
  </si>
  <si>
    <t>{WhatsUpNow}: urban social application with real-time peer-to-peer ambient and sensory data exchanges</t>
  </si>
  <si>
    <t>Capra2018a</t>
  </si>
  <si>
    <t>Toward Augmented Familiarity of the Audience with Digital Musical Instruments</t>
  </si>
  <si>
    <t>Jha2020a</t>
  </si>
  <si>
    <t>Improving Cognitive and Emotional State Using 3D Virtual Reality Orientation Game</t>
  </si>
  <si>
    <t>Jilek2018a</t>
  </si>
  <si>
    <t>Managed Forgetting to Support Information Management and Knowledge Work</t>
  </si>
  <si>
    <t>Stigberg2018a</t>
  </si>
  <si>
    <t>Music at Your Fingertips: Designing Mobile Interaction Interfaces for Runners</t>
  </si>
  <si>
    <t>Hovhannisyan2019a</t>
  </si>
  <si>
    <t>Enacting Virtual Reality: The Philosophy and Cognitive Science of Optimal Virtual Experience</t>
  </si>
  <si>
    <t>Qassimi2019a</t>
  </si>
  <si>
    <t>The role of collaborative tagging and ontologies in emerging semantic of web resources</t>
  </si>
  <si>
    <t>Rahman2018a</t>
  </si>
  <si>
    <t>Vision-Based Remote Heart Rate Variability Monitoring Using Camera</t>
  </si>
  <si>
    <t>Springer International Publishing, Internet of Things ({IoT}) Technologies for {HealthCare}</t>
  </si>
  <si>
    <t>Crocker2015a</t>
  </si>
  <si>
    <t>Information Density and Linguistic Encoding ({IDeaL})</t>
  </si>
  <si>
    <t>Gulden2018a</t>
  </si>
  <si>
    <t>Toward Requirements-Driven Design of~Visual Modeling Languages</t>
  </si>
  <si>
    <t>deSalgado2017a</t>
  </si>
  <si>
    <t>Addressing Mobile Usability and Elderly Users: Validating Contextualized Heuristics</t>
  </si>
  <si>
    <t>Tuffley2019a</t>
  </si>
  <si>
    <t>Embedding Employability into an Information Technology Curriculum Using {PebblePad}: A Practice Report</t>
  </si>
  <si>
    <t>Wang2019f</t>
  </si>
  <si>
    <t>Literature Review</t>
  </si>
  <si>
    <t>Smet2018a</t>
  </si>
  <si>
    <t>Visualizing Conversational Structure: Effects of Conversation-Analytical Knowledge and Social Media Experience</t>
  </si>
  <si>
    <t>Burattin2017a</t>
  </si>
  <si>
    <t>Detection and quantification of flow consistency in business process models</t>
  </si>
  <si>
    <t>Bauman2019a</t>
  </si>
  <si>
    <t>Spherical image {QoE} approximations for vision augmentation scenarios</t>
  </si>
  <si>
    <t>Gibson2019a</t>
  </si>
  <si>
    <t>How Usable Are Usability Tests? Examining the Suitability of Standard Usability Testing Methods for the Assessment of Apps for People Living with Dementia</t>
  </si>
  <si>
    <t>Springer International Publishing, New Technologies to Improve Patient Rehabilitation</t>
  </si>
  <si>
    <t>Raja2017a</t>
  </si>
  <si>
    <t>Towards pervasive geospatial affect perception</t>
  </si>
  <si>
    <t>{GeoInformatica}</t>
  </si>
  <si>
    <t>Gude2018a</t>
  </si>
  <si>
    <t>Health professionals' perceptions about their clinical performance and the influence of audit and feedback on their intentions to improve practice: a theory-based study in Dutch intensive care units</t>
  </si>
  <si>
    <t>Implementation Science</t>
  </si>
  <si>
    <t>Baraka2020a</t>
  </si>
  <si>
    <t>An Extended Framework for Characterizing Social Robots</t>
  </si>
  <si>
    <t>Springer International Publishing, Springer Series on Bio- and Neurosystems</t>
  </si>
  <si>
    <t>Stefanidis2019a</t>
  </si>
  <si>
    <t>Learning prosocial skills through multiadaptive games: a case study</t>
  </si>
  <si>
    <t>Elahi2017a</t>
  </si>
  <si>
    <t>Smartphone Bloatware: An Overlooked Privacy Problem</t>
  </si>
  <si>
    <t>Springer International Publishing, Security, Privacy, and Anonymity in Computation, Communication, and Storage</t>
  </si>
  <si>
    <t>Heritsch2018a</t>
  </si>
  <si>
    <t>Engineering Model for Ethical Decision-Making and Regulation in Autonomous Systems</t>
  </si>
  <si>
    <t>Springer International Publishing, Handbook of Unmanned Aerial Vehicles</t>
  </si>
  <si>
    <t>Donick2020a</t>
  </si>
  <si>
    <t>{\"U}ber die Beziehung von Nutzer$\ast$in, Software und Nutzungssituation</t>
  </si>
  <si>
    <t>Springer Fachmedien Wiesbaden, Nutzerverhalten verstehen {\textendash} Softwarenutzen optimieren</t>
  </si>
  <si>
    <t>Boyce2018a</t>
  </si>
  <si>
    <t>Future Trusted Autonomous Space Scenarios</t>
  </si>
  <si>
    <t>Springer International Publishing, Foundations of Trusted Autonomy</t>
  </si>
  <si>
    <t>Metzger2016a</t>
  </si>
  <si>
    <t>Vom Techniker zum Modellierer {\textendash} Konzeption und Entwicklung eines Smart Glasses Systems zur Laufzeitmodellierung von Dienstleistungsprozessen</t>
  </si>
  <si>
    <t>Springer Fachmedien Wiesbaden, Smart Service Engineering</t>
  </si>
  <si>
    <t>Zeng2017a</t>
  </si>
  <si>
    <t>{GeoCoach}: A cross-device hypermedia system to assist visually impaired people to gain environmental accessibility</t>
  </si>
  <si>
    <t>Informatik-Spektrum</t>
  </si>
  <si>
    <t>Sadler2017a</t>
  </si>
  <si>
    <t>Abracadabra: Imagining Access to Creative Computing Tools for Everyone</t>
  </si>
  <si>
    <t>Jong2016a</t>
  </si>
  <si>
    <t>Using Non-player Characters to Scaffold Non-gamer Students in Serious Gaming</t>
  </si>
  <si>
    <t>Funes2020a</t>
  </si>
  <si>
    <t>Multimedia Games User Experience Data Collection: An Approach for Non-experts Researchers</t>
  </si>
  <si>
    <t>Springer International Publishing, Special Topics in Multimedia, {IoT} and Web Technologies</t>
  </si>
  <si>
    <t>Tran2017a</t>
  </si>
  <si>
    <t>A Kernel-Based Approach to Developing Adaptable and Reusable Sensor Retrieval Systems for the Web of Things</t>
  </si>
  <si>
    <t>Hamburger2020a</t>
  </si>
  <si>
    <t>Visual Landmarks are Exaggerated: A Theoretical and Empirical View on the Meaning of Landmarks in Human Wayfinding</t>
  </si>
  <si>
    <t>Donick2019a</t>
  </si>
  <si>
    <t>,,Sie k{\"o}nnen ja nichts daf{\"u}r, aber {\ldots}{\textquotedblleft} {\textendash} Kommunikation zwischen Techniknutzern und technischem Support</t>
  </si>
  <si>
    <t>Springer Fachmedien Wiesbaden, Die Unschuld der Maschinen</t>
  </si>
  <si>
    <t>Agarwal2019a</t>
  </si>
  <si>
    <t>Nutzergenerierte Dienstleistungssysteme zur digitalen Transformation von Organisationen</t>
  </si>
  <si>
    <t>Springer Berlin Heidelberg, Digitale Dienstleistungsinnovationen</t>
  </si>
  <si>
    <t>Ley2008a</t>
  </si>
  <si>
    <t>Afzal2020a</t>
  </si>
  <si>
    <t>Performance analysis of QoS in IoT based cognitive radio Ad Hoc network</t>
  </si>
  <si>
    <t>Concurrency and Computation: Practice and Experience</t>
  </si>
  <si>
    <t>Cai2020a</t>
  </si>
  <si>
    <t>A robust interclass and intraclass loss function for deep learning based tongue segmentation</t>
  </si>
  <si>
    <t>Ning2020a</t>
  </si>
  <si>
    <t>Conditional generative adversarial networks based on the principle of homologycontinuity for face aging</t>
  </si>
  <si>
    <t>Balamurugan2020a</t>
  </si>
  <si>
    <t>Brain--computer interface for assessment of mental efforts in e-learning using the nonmarkovian queueing model</t>
  </si>
  <si>
    <t>Computer Applications in Engineering Education</t>
  </si>
  <si>
    <t>Zhang2020b</t>
  </si>
  <si>
    <t>AGCNN: Adaptive Gabor Convolutional Neural Networks with Receptive Fields for Vein Biometric Recognition</t>
  </si>
  <si>
    <t>Kim2020a</t>
  </si>
  <si>
    <t>Robust and efficient memory management in Apache AsterixDB</t>
  </si>
  <si>
    <t>Singh2019a</t>
  </si>
  <si>
    <t>Evaluating the impact of the augmented reality learning environment on electronics laboratory skills of engineering students</t>
  </si>
  <si>
    <t>Guo2019a</t>
  </si>
  <si>
    <t>A physiological data-driven model for learners' cognitive load detection using HRV-PRV feature fusion and optimized XGBoost classification</t>
  </si>
  <si>
    <t>Boutrus2019a</t>
  </si>
  <si>
    <t>Increased facial asymmetry in autism spectrum conditions is associated with symptom presentation</t>
  </si>
  <si>
    <t>Autism Research</t>
  </si>
  <si>
    <t>Carpentieri2020a</t>
  </si>
  <si>
    <t>Compression-based steganography</t>
  </si>
  <si>
    <t>Ke2020a</t>
  </si>
  <si>
    <t>Cloud-aided online EEG classification system for brain healthcare: A case study of depression evaluation with a lightweight CNN</t>
  </si>
  <si>
    <t>VanNuland2017a</t>
  </si>
  <si>
    <t>The Anatomy of Traditional and E-Learning Education: How the spatial ability of learners can impact learning outcomes</t>
  </si>
  <si>
    <t>The FASEB Journal</t>
  </si>
  <si>
    <t>Shou2018a</t>
  </si>
  <si>
    <t>Large dataset summarization with automatic parameter optimization and parallel processing for local outlier detection</t>
  </si>
  <si>
    <t>Jurca2017a</t>
  </si>
  <si>
    <t>Agile User-Centered Design</t>
  </si>
  <si>
    <t>John Wiley \&amp; Sons, Ltd, The Wiley Handbook of Human Computer Interaction</t>
  </si>
  <si>
    <t>Wu2018a</t>
  </si>
  <si>
    <t>Verbal responses, depressive symptoms, reminiscence functions and cognitive emotion regulation in older women receiving individual reminiscence therapy</t>
  </si>
  <si>
    <t>Journal of Clinical Nursing</t>
  </si>
  <si>
    <t>Nishigaki2018a</t>
  </si>
  <si>
    <t>Humanics information security</t>
  </si>
  <si>
    <t>Yang2019b</t>
  </si>
  <si>
    <t>Rule extraction from autoencoder-based connectionist computational models</t>
  </si>
  <si>
    <t>Chen2017d</t>
  </si>
  <si>
    <t>Brain big data processing with massively parallel computing technology: challenges and opportunities</t>
  </si>
  <si>
    <t>VanNuland2016a</t>
  </si>
  <si>
    <t>The Anatomy of E-Learning Tools: Are modern e-learning tools a suitable replacement for traditional learning methods?</t>
  </si>
  <si>
    <t>Schmidt2015c</t>
  </si>
  <si>
    <t>Nonphysiological factors in navigated TMS studies; Confounding covariates and valid intracortical estimates</t>
  </si>
  <si>
    <t>Human Brain Mapping</t>
  </si>
  <si>
    <t>Balamuralithara2012a</t>
  </si>
  <si>
    <t>An investigation on adoption of the engineering simulation lab exercise: A case study in Multimedia University, Malaysia</t>
  </si>
  <si>
    <t>Cruz2012a</t>
  </si>
  <si>
    <t>A DDS-based middleware for quality-of-service and high-performance networked robotics</t>
  </si>
  <si>
    <t>Mateos2014a</t>
  </si>
  <si>
    <t>A software support to initiate systems engineering students in service-oriented computing</t>
  </si>
  <si>
    <t>Abdulwahed2014a</t>
  </si>
  <si>
    <t>The impact of different preparation modes on enhancing the undergraduate process control engineering laboratory: A comparative study</t>
  </si>
  <si>
    <t>Urbach2010a</t>
  </si>
  <si>
    <t>Poels2011a</t>
  </si>
  <si>
    <t>The pragmatic quality of Resources- Events-Agents diagrams: an experimental evaluation</t>
  </si>
  <si>
    <t>Smartt2011a</t>
  </si>
  <si>
    <t>Advancing systems engineering in support of the bid and proposal process</t>
  </si>
  <si>
    <t>Systems Engineering</t>
  </si>
  <si>
    <t>deGyurky2005a</t>
  </si>
  <si>
    <t>The Exercise of Project Control</t>
  </si>
  <si>
    <t>John Wiley \&amp; Sons, Ltd, The Cognitive Dynamics of Computer Science</t>
  </si>
  <si>
    <t>Laureano-Cruces2004a</t>
  </si>
  <si>
    <t>A learning model based on a didactic cognitive approach: The case of single-degree-of-freedom systems</t>
  </si>
  <si>
    <t>Kudo2003a</t>
  </si>
  <si>
    <t>Roth2002a</t>
  </si>
  <si>
    <t>Cognitive Engineering</t>
  </si>
  <si>
    <t>American Cancer Society, Encyclopedia of Software Engineering</t>
  </si>
  <si>
    <t>Cabodi1998a</t>
  </si>
  <si>
    <t>Memory optimization in function and set manipulation with BDDs</t>
  </si>
  <si>
    <t>Kandogan1998a</t>
  </si>
  <si>
    <t>Elastic windows: design, implementation, and evaluation of multi-window operations</t>
  </si>
  <si>
    <t>Dishaw1998a</t>
  </si>
  <si>
    <t>Assessing software maintenance tool utilization using task--technology fit and fitness-for-use models</t>
  </si>
  <si>
    <t>Cognitive fit
Behavioural control</t>
  </si>
  <si>
    <t>The cognitive concepts are used in a prediction model for technology utilisation (of maintenance tools)</t>
  </si>
  <si>
    <t>The paper investigates the use of software tools to support software maintenance from a task fitness perspective. It investigates cognitive fit and behavioural control as factors influencing intention to use and actual use. It finds that fit between maintenance tool functionality and maintenance task needs are associated with tool use, that use intention may not lead to actual use, and maintainers' control over their environment affects usage.</t>
  </si>
  <si>
    <t>Kahn1973a</t>
  </si>
  <si>
    <t>The Present Status of Computer Technology and Its Application Areas Among Psychophysiologists With Five Year Projections</t>
  </si>
  <si>
    <t>Psychophysiology</t>
  </si>
  <si>
    <t>Fritz2014a</t>
  </si>
  <si>
    <t>Using Psycho-Physiological Measures to Assess Task Difficulty in Software Development</t>
  </si>
  <si>
    <t>Proceedings of the 36th International Conference on Software Engineering</t>
  </si>
  <si>
    <t>Ikeuchi2015a</t>
  </si>
  <si>
    <t>Providing Ambient Information as Comfortable Sound for Reducing Cognitive Overload</t>
  </si>
  <si>
    <t>Proceedings of the 12th International Conference on Advances in Computer Entertainment Technology</t>
  </si>
  <si>
    <t>Murphy2010a</t>
  </si>
  <si>
    <t>Human-Centric Software Engineering</t>
  </si>
  <si>
    <t>Proceedings of the FSE/SDP Workshop on Future of Software Engineering Research</t>
  </si>
  <si>
    <t>Ahmed2011a</t>
  </si>
  <si>
    <t>The Impact of Design Media on Cognitive Load during Architectural Ideation Process</t>
  </si>
  <si>
    <t>Proceedings of the 8th ACM Conference on Creativity and Cognition</t>
  </si>
  <si>
    <t>Burnett2009a</t>
  </si>
  <si>
    <t>End-User Software Engineering and Distributed Cognition</t>
  </si>
  <si>
    <t>Proceedings of the 2009 ICSE Workshop on Software Engineering Foundations for End User Programming</t>
  </si>
  <si>
    <t>Alexandron2014a</t>
  </si>
  <si>
    <t>Scenario-Based Programming: Reducing the Cognitive Load, Fostering Abstract Thinking</t>
  </si>
  <si>
    <t>Companion Proceedings of the 36th International Conference on Software Engineering</t>
  </si>
  <si>
    <t>Lister2011a</t>
  </si>
  <si>
    <t>Programming, Syntax and Cognitive Load (Part 2)</t>
  </si>
  <si>
    <t>ACM Inroads</t>
  </si>
  <si>
    <t>Mullen2009a</t>
  </si>
  <si>
    <t>Writing Code for Other People: Cognitive Psychology and the Fundamentals of Good Software Design Principles</t>
  </si>
  <si>
    <t>Proceedings of the 24th ACM SIGPLAN Conference on Object Oriented Programming Systems Languages and Applications</t>
  </si>
  <si>
    <t>chunking analogies</t>
  </si>
  <si>
    <t>cognitive load
memory(short term, long term)
reasoning
knowledge</t>
  </si>
  <si>
    <t>Paper is to demonstrate link between software design principles and cognitive model of the mind. No research or measurement has been made, however, it is said that SD tasks are chunking analogies and shall be detailed enough in order to be easily understood.</t>
  </si>
  <si>
    <t>Alshakhouri2019a</t>
  </si>
  <si>
    <t>Synchronised Visualisation of Software Process and Product Artefacts: Concept, Design and Prototype Implementation</t>
  </si>
  <si>
    <t>Proceedings of the 10th International Workshop on Software and Systems Traceability</t>
  </si>
  <si>
    <t>Blasko2014a</t>
  </si>
  <si>
    <t>Spatial Perception Orientation Task (SPOT): Developing an Accessible Tool for Measuring Spatial Working Memory.</t>
  </si>
  <si>
    <t>CHI {\rq}14 Extended Abstracts on Human Factors in Computing Systems</t>
  </si>
  <si>
    <t>Doube2012a</t>
  </si>
  <si>
    <t>Typing over Autocomplete: Cognitive Load in Website Use by Older Adults</t>
  </si>
  <si>
    <t>Proceedings of the 24th Australian Computer-Human Interaction Conference</t>
  </si>
  <si>
    <t>Xie2011a</t>
  </si>
  <si>
    <t>Idea: Interactive Support for Secure Software Development</t>
  </si>
  <si>
    <t>Proceedings of the Third International Conference on Engineering Secure Software and Systems</t>
  </si>
  <si>
    <t>Tang2011a</t>
  </si>
  <si>
    <t>Software Designers, Are You Biased?</t>
  </si>
  <si>
    <t>Proceedings of the 6th International Workshop on SHAring and Reusing Architectural Knowledge</t>
  </si>
  <si>
    <t>Calikli2010a</t>
  </si>
  <si>
    <t>Empirical Analyses of the Factors Affecting Confirmation Bias and the Effects of Confirmation Bias on Software Developer/Tester Performance</t>
  </si>
  <si>
    <t>Proceedings of the 6th International Conference on Predictive Models in Software Engineering</t>
  </si>
  <si>
    <t>Zhang2017b</t>
  </si>
  <si>
    <t>Boosting Spectrum-Based Fault Localization Using PageRank</t>
  </si>
  <si>
    <t>Proceedings of the 26th ACM SIGSOFT International Symposium on Software Testing and Analysis</t>
  </si>
  <si>
    <t>Calikli2010b</t>
  </si>
  <si>
    <t>Preliminary Analysis of the Effects of Confirmation Bias on Software Defect Density</t>
  </si>
  <si>
    <t>Proceedings of the 2010 ACM-IEEE International Symposium on Empirical Software Engineering and Measurement</t>
  </si>
  <si>
    <t>Seidl2014a</t>
  </si>
  <si>
    <t>Teaching Variability Engineering to Cognitive Psychologists</t>
  </si>
  <si>
    <t>Proceedings of the 18th International Software Product Line Conference: Companion Volume for Workshops, Demonstrations and Tools - Volume 2</t>
  </si>
  <si>
    <t>Felfernig2010a</t>
  </si>
  <si>
    <t>Empirical Knowledge Engineering: Cognitive Aspects in the Development of Constraint-Based Recommenders</t>
  </si>
  <si>
    <t>Proceedings of the 23rd International Conference on Industrial Engineering and Other Applications of Applied Intelligent Systems - Volume Part I</t>
  </si>
  <si>
    <t>Zhou2010a</t>
  </si>
  <si>
    <t>Developer Fluency: Achieving True Mastery in Software Projects</t>
  </si>
  <si>
    <t>Proceedings of the Eighteenth ACM SIGSOFT International Symposium on Foundations of Software Engineering</t>
  </si>
  <si>
    <t>Mohanani2014a</t>
  </si>
  <si>
    <t>Mair2011a</t>
  </si>
  <si>
    <t>Human Judgement and Software Metrics: Vision for the Future</t>
  </si>
  <si>
    <t>Proceedings of the 2nd International Workshop on Emerging Trends in Software Metrics</t>
  </si>
  <si>
    <t>Biegel2015a</t>
  </si>
  <si>
    <t>CodeBasket: Making Developers{\rq} Mental Model Visible and Explorable</t>
  </si>
  <si>
    <t>Proceedings of the Second International Workshop on Context for Software Development</t>
  </si>
  <si>
    <t>Ruping2014a</t>
  </si>
  <si>
    <t>Taming the Biases: A Few Patterns on Successful Decision-Making</t>
  </si>
  <si>
    <t>Proceedings of the 19th European Conference on Pattern Languages of Programs</t>
  </si>
  <si>
    <t>Holmes2009a</t>
  </si>
  <si>
    <t>Automatically Recommending Triage Decisions for Pragmatic Reuse Tasks</t>
  </si>
  <si>
    <t>Proceedings of the 2009 IEEE/ACM International Conference on Automated Software Engineering</t>
  </si>
  <si>
    <t>Siegmund2014a</t>
  </si>
  <si>
    <t>Understanding Understanding Source Code with Functional Magnetic Resonance Imaging</t>
  </si>
  <si>
    <t>Biegel2014a</t>
  </si>
  <si>
    <t>U Can Touch This: Touchifying an IDE</t>
  </si>
  <si>
    <t>Proceedings of the 7th International Workshop on Cooperative and Human Aspects of Software Engineering</t>
  </si>
  <si>
    <t>Gulzar2018a</t>
  </si>
  <si>
    <t>Interactive and Automated Debugging for Big Data Analytics</t>
  </si>
  <si>
    <t>Proceedings of the 40th International Conference on Software Engineering: Companion Proceeedings</t>
  </si>
  <si>
    <t>Siegmund2017a</t>
  </si>
  <si>
    <t>Measuring Neural Efficiency of Program Comprehension</t>
  </si>
  <si>
    <t>Proceedings of the 2017 11th Joint Meeting on Foundations of Software Engineering</t>
  </si>
  <si>
    <t>program comprehension
brain area activation</t>
  </si>
  <si>
    <t>fMRI was used during tasks performed by participants</t>
  </si>
  <si>
    <t>Paper uses fMRI to assess program comprehension in two ways: bottom-up comprehension and comprehension based on semantic cues. They found evidence that comprehension based on semantic cues leads to neural efficiency.</t>
  </si>
  <si>
    <t>Williams2019a</t>
  </si>
  <si>
    <t>Find and Seek: Assessing the Impact of Table Navigation on Information Look-up with a Screen Reader</t>
  </si>
  <si>
    <t>ACM Trans. Access. Comput.</t>
  </si>
  <si>
    <t>Grapenthin2013a</t>
  </si>
  <si>
    <t>Reducing Complexity Using an Interaction Room: An Experience Report</t>
  </si>
  <si>
    <t>Proceedings of the 31st ACM International Conference on Design of Communication</t>
  </si>
  <si>
    <t>Zhang2018b</t>
  </si>
  <si>
    <t>Automated Refactoring of Nested-IF Formulae in Spreadsheets</t>
  </si>
  <si>
    <t>Sanderson2012a</t>
  </si>
  <si>
    <t>Envisioning Healthcare Work: Models for Prospective Evaluation of New Systems</t>
  </si>
  <si>
    <t>Proceedings of the 2nd ACM SIGHIT International Health Informatics Symposium</t>
  </si>
  <si>
    <t>Baker2009a</t>
  </si>
  <si>
    <t>Learning Theory and the Re-Education of Older Software Engineers</t>
  </si>
  <si>
    <t>SIGITERes. IT</t>
  </si>
  <si>
    <t>Oliveira2014a</t>
  </si>
  <si>
    <t>It{\rq}s the Psychology Stupid: How Heuristics Explain Software Vulnerabilities and How Priming Can Illuminate Developer{\rq}s Blind Spots</t>
  </si>
  <si>
    <t>Proceedings of the 30th Annual Computer Security Applications Conference</t>
  </si>
  <si>
    <t>Kleffmann2014a</t>
  </si>
  <si>
    <t>Automated Versioning and Temporal Navigation for Model Sketches on Large Interactive Displays</t>
  </si>
  <si>
    <t>Proceedings of the 29th Annual ACM Symposium on Applied Computing</t>
  </si>
  <si>
    <t>Bevans2011a</t>
  </si>
  <si>
    <t>Investigating the Effects of Bimanual Multitouch Interaction on Creativity</t>
  </si>
  <si>
    <t>Delano2018a</t>
  </si>
  <si>
    <t>System Design through the Exploration of Contemporary Web Services</t>
  </si>
  <si>
    <t>ACM Trans. Manage. Inf. Syst.</t>
  </si>
  <si>
    <t>Inostroza2014a</t>
  </si>
  <si>
    <t>Mapping Usability Heuristics and Design Principles for Touchscreen-Based Mobile Devices</t>
  </si>
  <si>
    <t>Proceedings of the 7th Euro American Conference on Telematics and Information Systems</t>
  </si>
  <si>
    <t>Rector2011a</t>
  </si>
  <si>
    <t>Quality Assurance of the Content of a Large DL-Based Terminology Using Mixed Lexical and Semantic Criteria: Experience with SNOMED CT</t>
  </si>
  <si>
    <t>Proceedings of the Sixth International Conference on Knowledge Capture</t>
  </si>
  <si>
    <t>Liu2018c</t>
  </si>
  <si>
    <t>FCatch: Automatically Detecting Time-of-Fault Bugs in Cloud Systems</t>
  </si>
  <si>
    <t>Proceedings of the Twenty-Third International Conference on Architectural Support for Programming Languages and Operating Systems</t>
  </si>
  <si>
    <t>Ceccarelli2018a</t>
  </si>
  <si>
    <t>Threat Analysis in Systems-of-Systems: An Emergence-Oriented Approach</t>
  </si>
  <si>
    <t>ACM Trans. Cyber-Phys. Syst.</t>
  </si>
  <si>
    <t>Law2017a</t>
  </si>
  <si>
    <t>Generation of Information Systems from Process Models to Support Intentional Forgetting of Work Habits</t>
  </si>
  <si>
    <t>Proceedings of the ACM SIGCHI Symposium on Engineering Interactive Computing Systems</t>
  </si>
  <si>
    <t>Ramnani2014a</t>
  </si>
  <si>
    <t>A Model to Incorporate Emotional Sensitivity into Human Computer Interactions</t>
  </si>
  <si>
    <t>Proceedings of the 2014 Workshop on Emotion Representation and Modelling in Human-Computer-Interaction-Systems</t>
  </si>
  <si>
    <t>Azevedo2013a</t>
  </si>
  <si>
    <t>Zombie Memory: Extending Memory Lifetime by Reviving Dead Blocks</t>
  </si>
  <si>
    <t>Proceedings of the 40th Annual International Symposium on Computer Architecture</t>
  </si>
  <si>
    <t>Ishizaki2012a</t>
  </si>
  <si>
    <t>Adding Dynamically-Typed Language Support to a Statically-Typed Language Compiler: Performance Evaluation, Analysis, and Tradeoffs</t>
  </si>
  <si>
    <t>Proceedings of the 8th ACM SIGPLAN/SIGOPS Conference on Virtual Execution Environments</t>
  </si>
  <si>
    <t>Onut2012a</t>
  </si>
  <si>
    <t>3rd Workshop on Smart Surveillance System Applications</t>
  </si>
  <si>
    <t>Proceedings of the 2012 Conference of the Center for Advanced Studies on Collaborative Research</t>
  </si>
  <si>
    <t>Errors</t>
  </si>
  <si>
    <t>Executive functions</t>
  </si>
  <si>
    <t>Inhibition</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</si>
  <si>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</si>
  <si>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</si>
  <si>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</si>
  <si>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</si>
  <si>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Requirements fixation</t>
  </si>
  <si>
    <t>Fixation and Framing Effects</t>
  </si>
  <si>
    <t>Cognitive Bias (Fixation, Framing Effects)</t>
  </si>
  <si>
    <t>Desiderata Formulation</t>
  </si>
  <si>
    <t>Diffenty formulation of desiderata</t>
  </si>
  <si>
    <t>cognitive mechanisms that mediate the framing-creativity relationship</t>
  </si>
  <si>
    <t>Design Method</t>
  </si>
  <si>
    <t>Metacognition</t>
  </si>
  <si>
    <t>Stressor-burnout relationship in software development teams</t>
  </si>
  <si>
    <t>Cognitive Requirement</t>
  </si>
  <si>
    <t>Time Spent for Thinking</t>
  </si>
  <si>
    <t>Percentage of time spent for thinking assessed in an interview</t>
  </si>
  <si>
    <t>Enhances relationship between stressors and burnout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</si>
  <si>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</si>
  <si>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</si>
  <si>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</si>
  <si>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Usability evaluation with the cognitive walkthrough</t>
  </si>
  <si>
    <t>Subjective Mental Workload</t>
  </si>
  <si>
    <t>Task Load Index (TLX) measuring mental, physical, temporal demands
effort required, subject's view of performance, frustration experienced</t>
  </si>
  <si>
    <t>TLX questionnaire</t>
  </si>
  <si>
    <t>Evaluation of programmer's usage of exploration tools</t>
  </si>
  <si>
    <t>Visualisation by developer</t>
  </si>
  <si>
    <t>Process teaching and learning in engineering education</t>
  </si>
  <si>
    <t>ASEE Annual Conference Proceedings</t>
  </si>
  <si>
    <t>U can touch this: Touchifying an IDE</t>
  </si>
  <si>
    <t>8th International Workshop on Cooperative and Human Aspects of Software Engineering, CHASE 2014 - Proceedings</t>
  </si>
  <si>
    <t>Modularizing error recovery</t>
  </si>
  <si>
    <t>Assessing software maintenance tool utilization using task-technology fit and fitness-for-use models</t>
  </si>
  <si>
    <t>Journal of Software Maintenance and Evolution</t>
  </si>
  <si>
    <t>DELIVER! - An educational game for teaching Earned Value Management in computing courses</t>
  </si>
  <si>
    <t>Unauthorized copying of software and levels of moral development: A literature analysis and its implications for research and practice</t>
  </si>
  <si>
    <t>Visser1999</t>
  </si>
  <si>
    <t>Etudes en ergonomie cognitive sur la r\'eutilisation en conception: Quelles le\ccons pour le raisonnement \`a partir de cas?</t>
  </si>
  <si>
    <t>Revue d'Intelligence Artificielle</t>
  </si>
  <si>
    <t>Measreument of Average Projects Per Day</t>
  </si>
  <si>
    <t>An analysis of the effects of company culture, education and experience on confirmation bias levels of software developers and testers</t>
  </si>
  <si>
    <t xml:space="preserve">Interactive Test Duration, Eliminative/Enumerative Index, Number of Rule Discovery Attempts, Frequencies Reason Repetition/Reformulation, Score and Duration to answer questions </t>
  </si>
  <si>
    <t>Experience with FADE for the visualization and abstraction of software views</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</si>
  <si>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</si>
  <si>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</si>
  <si>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Batra2014</t>
  </si>
  <si>
    <t>Novice designer performance comparison between the entity relationship event network and the event-based logical relational design techniques</t>
  </si>
  <si>
    <t>Case-Based Knowledge Management Tools for Software Development</t>
  </si>
  <si>
    <t>Interactive component visualization: Visual representation of component-based applications using the ENT meta-model</t>
  </si>
  <si>
    <t>ENASE 2011 - Proceedings of the 6th International Conference on Evaluation of Novel Approaches to Software Engineering</t>
  </si>
  <si>
    <t>Cognitive Style
Kirton adaption-innovation inventory (KAI)</t>
  </si>
  <si>
    <t>Cognitive Breakdowns</t>
  </si>
  <si>
    <t>9th International Conference on Computer-Aided Industrial Design and Conceptual Design: Multicultural Creation and Design - CAIDCD 2008</t>
  </si>
  <si>
    <t>How accessible is the process of web interface design?</t>
  </si>
  <si>
    <t>Proceedings of the 15th International ACM SIGACCESS Conference on Computers and Accessibility, ASSETS 2013</t>
  </si>
  <si>
    <t>Improving the System Software Requirements Development Process</t>
  </si>
  <si>
    <t>INCOSE International Symposium</t>
  </si>
  <si>
    <t>A system supporting design, implementation and maintenance of object oriented programs</t>
  </si>
  <si>
    <t>Israel Conference on Computer Systems and Software Engineering</t>
  </si>
  <si>
    <t>SNOWBALL SAMPLING RESULTS</t>
  </si>
  <si>
    <t>object-oriented cognitive structures
user cognitive representations</t>
  </si>
  <si>
    <t xml:space="preserve">Program comprehension models (bottom-up program comprehension, top-down program comprehension, knowledge-based understanding model, systematic and as-needed program understanding strategies) </t>
  </si>
  <si>
    <t>improvmement of distributed team cooperation</t>
  </si>
  <si>
    <t>Not clear</t>
  </si>
  <si>
    <t>Central but concepts are not well explained.</t>
  </si>
  <si>
    <t xml:space="preserve">Software quality perception model and its validation / TestLab, framework to conduct quality perception experiments </t>
  </si>
  <si>
    <t>Paper covers (shallowly) many topics, of which cognitive aspects are touched upon</t>
  </si>
  <si>
    <t>Survey with optional questions (questions not shown in paper).</t>
  </si>
  <si>
    <t>The architecture of the IIT-MRH stroke consultant</t>
  </si>
  <si>
    <t>Proceedings - Annual Symposium on Computer Applications in Medical Care</t>
  </si>
  <si>
    <t>Proceedings of the IEEE International Conference on Software Engineering and Service Sciences, ICSESS</t>
  </si>
  <si>
    <t>Improving requirements analysis rigourous problem analysis and formulation with Coloured Cognitive Maps</t>
  </si>
  <si>
    <t>ICEIS 2008 - Proceedings of the 10th International Conference on Enterprise Information Systems</t>
  </si>
  <si>
    <t>Activity Theory and the View from Somewhere: Team Perspectives on the Intellectual Work of Programming</t>
  </si>
  <si>
    <t>Mind, Culture, and Activity</t>
  </si>
  <si>
    <t>Understanding performance in information systems: Blending relevance and competence</t>
  </si>
  <si>
    <t>Journal of the American Society for Information Science</t>
  </si>
  <si>
    <t>Recovering concepts from source code with automated concept identification</t>
  </si>
  <si>
    <t>The role and design of screen images in software documentation</t>
  </si>
  <si>
    <t>Journal of Computer Assisted Learning</t>
  </si>
  <si>
    <t>Proceedings of the Hawaii International Conference on System Sciences</t>
  </si>
  <si>
    <t>Influence of confirmation biases of developers on software quality: An empirical study</t>
  </si>
  <si>
    <t>~25 quantitative metrics, based on a rule discovery task, that describe confirmation bias.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</si>
  <si>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</si>
  <si>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Cox2007</t>
  </si>
  <si>
    <t>Visual Programming Languages</t>
  </si>
  <si>
    <t>Wiley Encyclopedia of Computer Science and Engineering</t>
  </si>
  <si>
    <t>Using evolutionary computation to shed light on the effect of scale and complexity on object-oriented software design</t>
  </si>
  <si>
    <t>Conference Proceedings - IEEE International Conference on Systems, Man and Cybernetics</t>
  </si>
  <si>
    <t>ICSOFT-EA 2014 - Proceedings of the 9th International Conference on Software Engineering and Applications</t>
  </si>
  <si>
    <t>Effects of perceived prototype fidelity in usability testing under different conditions of observer presence</t>
  </si>
  <si>
    <t>Interacting with Computers</t>
  </si>
  <si>
    <t>Cognitive Dynamics of Capability Development Paths</t>
  </si>
  <si>
    <t>Journal of Management Studies</t>
  </si>
  <si>
    <t>No tools but objects: Towards direct manipulation programming environments</t>
  </si>
  <si>
    <t>Technische Berichte des Hasso-Plattner-Instituts fur Softwaresystemtechnik an der Universitat Potsdam</t>
  </si>
  <si>
    <t>Cognitive approach to systems engineering and re-engineering: Integrating new designs with old systems</t>
  </si>
  <si>
    <t>None in particular</t>
  </si>
  <si>
    <t>Cognitive complexity (or weight)</t>
  </si>
  <si>
    <t xml:space="preserve">None </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</si>
  <si>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</si>
  <si>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</si>
  <si>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</si>
  <si>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</si>
  <si>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</si>
  <si>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</si>
  <si>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</si>
  <si>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</si>
  <si>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</si>
  <si>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</si>
  <si>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</si>
  <si>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</si>
  <si>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</si>
  <si>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</si>
  <si>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</si>
  <si>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</si>
  <si>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</si>
  <si>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</si>
  <si>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</si>
  <si>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</si>
  <si>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</si>
  <si>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</si>
  <si>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</si>
  <si>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</si>
  <si>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</si>
  <si>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</si>
  <si>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</si>
  <si>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</si>
  <si>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</si>
  <si>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</si>
  <si>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</si>
  <si>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</si>
  <si>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</si>
  <si>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</si>
  <si>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</si>
  <si>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</si>
  <si>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</si>
  <si>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</si>
  <si>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</si>
  <si>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</si>
  <si>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</si>
  <si>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</si>
  <si>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</si>
  <si>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</si>
  <si>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</si>
  <si>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</si>
  <si>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</si>
  <si>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</si>
  <si>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</si>
  <si>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</si>
  <si>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</si>
  <si>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</si>
  <si>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</si>
  <si>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</si>
  <si>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</si>
  <si>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</si>
  <si>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</si>
  <si>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</si>
  <si>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</si>
  <si>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</si>
  <si>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</si>
  <si>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</si>
  <si>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</si>
  <si>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</si>
  <si>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</si>
  <si>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</si>
  <si>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</si>
  <si>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</si>
  <si>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</si>
  <si>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</si>
  <si>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</si>
  <si>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</si>
  <si>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</si>
  <si>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</si>
  <si>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</si>
  <si>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</si>
  <si>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</si>
  <si>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</si>
  <si>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</si>
  <si>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</si>
  <si>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</si>
  <si>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</si>
  <si>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</si>
  <si>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</si>
  <si>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</si>
  <si>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</si>
  <si>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</si>
  <si>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</si>
  <si>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</si>
  <si>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</si>
  <si>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</si>
  <si>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</si>
  <si>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</si>
  <si>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</si>
  <si>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</si>
  <si>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</si>
  <si>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</si>
  <si>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</si>
  <si>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</si>
  <si>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</si>
  <si>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</si>
  <si>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</si>
  <si>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</si>
  <si>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</si>
  <si>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</si>
  <si>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</si>
  <si>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</si>
  <si>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</si>
  <si>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</si>
  <si>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</si>
  <si>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</si>
  <si>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</si>
  <si>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</si>
  <si>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</si>
  <si>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</si>
  <si>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</si>
  <si>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</si>
  <si>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Example-driven modeling: Model = abstractions + examples</t>
  </si>
  <si>
    <t>A concept-oriented belief revision approach to domain knowledge recovery from source code</t>
  </si>
  <si>
    <t>Journal of Software Maintenance and Evolution: Research and Practice</t>
  </si>
  <si>
    <t>Decision-driven Maintenance</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</si>
  <si>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</si>
  <si>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</si>
  <si>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</si>
  <si>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</si>
  <si>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</si>
  <si>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</si>
  <si>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</si>
  <si>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</si>
  <si>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</si>
  <si>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</si>
  <si>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</si>
  <si>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</si>
  <si>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</si>
  <si>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</si>
  <si>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</si>
  <si>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</si>
  <si>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</si>
  <si>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</si>
  <si>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</si>
  <si>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</si>
  <si>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IEEE/ACM 38th IEEE International Conference on Software Engineering Companion</t>
  </si>
  <si>
    <t>The paper describes a project to conduct research on cognitive biases.</t>
  </si>
  <si>
    <t>The theoretical framework of cognitive informatics</t>
  </si>
  <si>
    <t>Selected Readings on the Human Side of Information Technology</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</si>
  <si>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</si>
  <si>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</si>
  <si>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</si>
  <si>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</si>
  <si>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</si>
  <si>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</si>
  <si>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</si>
  <si>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</si>
  <si>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</si>
  <si>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</si>
  <si>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</si>
  <si>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</si>
  <si>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</si>
  <si>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</si>
  <si>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</si>
  <si>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</si>
  <si>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</si>
  <si>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</si>
  <si>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</si>
  <si>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</si>
  <si>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</si>
  <si>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</si>
  <si>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</si>
  <si>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</si>
  <si>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</si>
  <si>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</si>
  <si>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</si>
  <si>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</si>
  <si>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</si>
  <si>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</si>
  <si>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</si>
  <si>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</si>
  <si>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</si>
  <si>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</si>
  <si>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Program understanding: models and experiments</t>
  </si>
  <si>
    <t>Advances in Computers, Vol. 40, Academic Press</t>
  </si>
  <si>
    <t>Cognitive characteristics for learning C++</t>
  </si>
  <si>
    <t>Journal of Computer Information Systems</t>
  </si>
  <si>
    <t>Toward a Theoretical Base for Representation Design in the Computer Medium: Ecological Perception and Aiding Human Cognition</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</si>
  <si>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</si>
  <si>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</si>
  <si>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</si>
  <si>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</si>
  <si>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</si>
  <si>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</si>
  <si>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</si>
  <si>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</si>
  <si>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</si>
  <si>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Cognitive processes in software design: activities in early, upstream design</t>
  </si>
  <si>
    <t>INTERACT’87</t>
  </si>
  <si>
    <t>Estimating the effects of Gold Plating using fuzzy cognitive maps</t>
  </si>
  <si>
    <t>Journal of Computer Science and Information Technologies</t>
  </si>
  <si>
    <t>Fuzzy cognitive maps</t>
  </si>
  <si>
    <t xml:space="preserve">Motivation </t>
  </si>
  <si>
    <t>Proposes the use of fuzzy cognitive maps</t>
  </si>
  <si>
    <t>Rist1986a</t>
  </si>
  <si>
    <t>Plan in Programming: Definition, Demonstration and Development</t>
  </si>
  <si>
    <t>conference on empirical studies of programmers</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</si>
  <si>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</si>
  <si>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</si>
  <si>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</si>
  <si>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</si>
  <si>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</si>
  <si>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</si>
  <si>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</si>
  <si>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</si>
  <si>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</si>
  <si>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</si>
  <si>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</si>
  <si>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</si>
  <si>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</si>
  <si>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</si>
  <si>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</si>
  <si>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</si>
  <si>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</si>
  <si>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</si>
  <si>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</si>
  <si>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</si>
  <si>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</si>
  <si>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</si>
  <si>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</si>
  <si>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</si>
  <si>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</si>
  <si>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</si>
  <si>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</si>
  <si>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</si>
  <si>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</si>
  <si>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</si>
  <si>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</si>
  <si>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</si>
  <si>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</si>
  <si>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</si>
  <si>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</si>
  <si>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</si>
  <si>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</si>
  <si>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</si>
  <si>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</si>
  <si>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</si>
  <si>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</si>
  <si>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</si>
  <si>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</si>
  <si>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</si>
  <si>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</si>
  <si>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</si>
  <si>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</si>
  <si>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</si>
  <si>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</si>
  <si>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</si>
  <si>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</si>
  <si>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</si>
  <si>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</si>
  <si>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</si>
  <si>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</si>
  <si>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</si>
  <si>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</si>
  <si>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</si>
  <si>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</si>
  <si>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</si>
  <si>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</si>
  <si>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</si>
  <si>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</si>
  <si>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</si>
  <si>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</si>
  <si>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</si>
  <si>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</si>
  <si>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</si>
  <si>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</si>
  <si>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</si>
  <si>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</si>
  <si>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</si>
  <si>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</si>
  <si>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</si>
  <si>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</si>
  <si>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</si>
  <si>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</si>
  <si>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</si>
  <si>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</si>
  <si>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</si>
  <si>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</si>
  <si>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</si>
  <si>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</si>
  <si>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</si>
  <si>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</si>
  <si>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</si>
  <si>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</si>
  <si>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</si>
  <si>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</si>
  <si>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</si>
  <si>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</si>
  <si>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</si>
  <si>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</si>
  <si>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</si>
  <si>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</si>
  <si>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</si>
  <si>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</si>
  <si>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</si>
  <si>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</si>
  <si>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</si>
  <si>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</si>
  <si>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</si>
  <si>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</si>
  <si>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</si>
  <si>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</si>
  <si>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</si>
  <si>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</si>
  <si>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</si>
  <si>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</si>
  <si>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</si>
  <si>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</si>
  <si>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</si>
  <si>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</si>
  <si>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</si>
  <si>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</si>
  <si>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</si>
  <si>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</si>
  <si>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</si>
  <si>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</si>
  <si>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</si>
  <si>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</si>
  <si>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</si>
  <si>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</si>
  <si>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</si>
  <si>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</si>
  <si>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</si>
  <si>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</si>
  <si>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</si>
  <si>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</si>
  <si>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</si>
  <si>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</si>
  <si>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</si>
  <si>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</si>
  <si>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</si>
  <si>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</si>
  <si>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</si>
  <si>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</si>
  <si>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</si>
  <si>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</si>
  <si>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</si>
  <si>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</si>
  <si>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</si>
  <si>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</si>
  <si>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</si>
  <si>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</si>
  <si>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</si>
  <si>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</si>
  <si>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</si>
  <si>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</si>
  <si>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</si>
  <si>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</si>
  <si>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</si>
  <si>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</si>
  <si>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</si>
  <si>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</si>
  <si>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</si>
  <si>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</si>
  <si>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</si>
  <si>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</si>
  <si>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</si>
  <si>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</si>
  <si>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</si>
  <si>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</si>
  <si>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</si>
  <si>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</si>
  <si>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</si>
  <si>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</si>
  <si>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</si>
  <si>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</si>
  <si>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</si>
  <si>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</si>
  <si>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</si>
  <si>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</si>
  <si>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</si>
  <si>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</si>
  <si>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</si>
  <si>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</si>
  <si>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</si>
  <si>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</si>
  <si>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</si>
  <si>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</si>
  <si>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</si>
  <si>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</si>
  <si>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</si>
  <si>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</si>
  <si>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</si>
  <si>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</si>
  <si>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</si>
  <si>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</si>
  <si>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</si>
  <si>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</si>
  <si>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</si>
  <si>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</si>
  <si>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</si>
  <si>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</si>
  <si>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</si>
  <si>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</si>
  <si>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</si>
  <si>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</si>
  <si>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</si>
  <si>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</si>
  <si>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</si>
  <si>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</si>
  <si>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</si>
  <si>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</si>
  <si>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</si>
  <si>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</si>
  <si>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</si>
  <si>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</si>
  <si>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</si>
  <si>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</si>
  <si>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</si>
  <si>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</si>
  <si>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</si>
  <si>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</si>
  <si>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</si>
  <si>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</si>
  <si>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</si>
  <si>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</si>
  <si>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</si>
  <si>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</si>
  <si>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</si>
  <si>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</si>
  <si>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</si>
  <si>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</si>
  <si>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</si>
  <si>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</si>
  <si>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</si>
  <si>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</si>
  <si>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</si>
  <si>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</si>
  <si>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</si>
  <si>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</si>
  <si>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</si>
  <si>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</si>
  <si>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</si>
  <si>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</si>
  <si>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</si>
  <si>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</si>
  <si>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</si>
  <si>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</si>
  <si>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</si>
  <si>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</si>
  <si>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</si>
  <si>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</si>
  <si>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</si>
  <si>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</si>
  <si>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</si>
  <si>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</si>
  <si>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</si>
  <si>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</si>
  <si>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</si>
  <si>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</si>
  <si>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</si>
  <si>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</si>
  <si>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</si>
  <si>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</si>
  <si>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</si>
  <si>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</si>
  <si>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</si>
  <si>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</si>
  <si>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</si>
  <si>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</si>
  <si>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</si>
  <si>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</si>
  <si>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</si>
  <si>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</si>
  <si>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</si>
  <si>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</si>
  <si>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</si>
  <si>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</si>
  <si>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</si>
  <si>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</si>
  <si>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</si>
  <si>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</si>
  <si>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</si>
  <si>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</si>
  <si>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</si>
  <si>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</si>
  <si>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</si>
  <si>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</si>
  <si>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</si>
  <si>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</si>
  <si>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</si>
  <si>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</si>
  <si>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</si>
  <si>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</si>
  <si>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</si>
  <si>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</si>
  <si>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</si>
  <si>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</si>
  <si>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</si>
  <si>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</si>
  <si>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</si>
  <si>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</si>
  <si>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</si>
  <si>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</si>
  <si>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</si>
  <si>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</si>
  <si>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</si>
  <si>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</si>
  <si>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</si>
  <si>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</si>
  <si>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</si>
  <si>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</si>
  <si>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</si>
  <si>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</si>
  <si>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</si>
  <si>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</si>
  <si>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</si>
  <si>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</si>
  <si>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</si>
  <si>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</si>
  <si>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</si>
  <si>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</si>
  <si>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</si>
  <si>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</si>
  <si>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</si>
  <si>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</si>
  <si>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</si>
  <si>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</si>
  <si>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</si>
  <si>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</si>
  <si>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</si>
  <si>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</si>
  <si>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</si>
  <si>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</si>
  <si>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</si>
  <si>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</si>
  <si>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</si>
  <si>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</si>
  <si>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</si>
  <si>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</si>
  <si>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</si>
  <si>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</si>
  <si>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</si>
  <si>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</si>
  <si>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</si>
  <si>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</si>
  <si>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</si>
  <si>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</si>
  <si>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</si>
  <si>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</si>
  <si>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</si>
  <si>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</si>
  <si>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</si>
  <si>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</si>
  <si>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</si>
  <si>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</si>
  <si>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</si>
  <si>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</si>
  <si>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</si>
  <si>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</si>
  <si>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</si>
  <si>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</si>
  <si>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</si>
  <si>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</si>
  <si>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</si>
  <si>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</si>
  <si>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</si>
  <si>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</si>
  <si>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</si>
  <si>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</si>
  <si>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</si>
  <si>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</si>
  <si>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</si>
  <si>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</si>
  <si>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</si>
  <si>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</si>
  <si>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</si>
  <si>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</si>
  <si>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</si>
  <si>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</si>
  <si>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</si>
  <si>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</si>
  <si>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</si>
  <si>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</si>
  <si>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</si>
  <si>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</si>
  <si>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</si>
  <si>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</si>
  <si>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</si>
  <si>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</si>
  <si>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</si>
  <si>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</si>
  <si>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</si>
  <si>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</si>
  <si>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</si>
  <si>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</si>
  <si>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</si>
  <si>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</si>
  <si>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</si>
  <si>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</si>
  <si>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</si>
  <si>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</si>
  <si>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</si>
  <si>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</si>
  <si>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</si>
  <si>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</si>
  <si>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</si>
  <si>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</si>
  <si>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</si>
  <si>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</si>
  <si>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</si>
  <si>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</si>
  <si>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</si>
  <si>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</si>
  <si>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</si>
  <si>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</si>
  <si>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</si>
  <si>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</si>
  <si>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</si>
  <si>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</si>
  <si>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</si>
  <si>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</si>
  <si>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</si>
  <si>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</si>
  <si>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</si>
  <si>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</si>
  <si>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</si>
  <si>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</si>
  <si>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</si>
  <si>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</si>
  <si>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</si>
  <si>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</si>
  <si>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</si>
  <si>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</si>
  <si>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</si>
  <si>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</si>
  <si>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</si>
  <si>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</si>
  <si>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</si>
  <si>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</si>
  <si>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</si>
  <si>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</si>
  <si>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</si>
  <si>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</si>
  <si>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</si>
  <si>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</si>
  <si>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</si>
  <si>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</si>
  <si>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</si>
  <si>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</si>
  <si>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</si>
  <si>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</si>
  <si>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</si>
  <si>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</si>
  <si>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</si>
  <si>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</si>
  <si>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</si>
  <si>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</si>
  <si>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</si>
  <si>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</si>
  <si>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</si>
  <si>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</si>
  <si>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</si>
  <si>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</si>
  <si>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</si>
  <si>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</si>
  <si>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</si>
  <si>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</si>
  <si>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</si>
  <si>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</si>
  <si>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</si>
  <si>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</si>
  <si>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</si>
  <si>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</si>
  <si>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</si>
  <si>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</si>
  <si>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</si>
  <si>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</si>
  <si>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</si>
  <si>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</si>
  <si>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</si>
  <si>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</si>
  <si>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</si>
  <si>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</si>
  <si>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</si>
  <si>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</si>
  <si>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</si>
  <si>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</si>
  <si>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</si>
  <si>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</si>
  <si>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</si>
  <si>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</si>
  <si>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</si>
  <si>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</si>
  <si>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</si>
  <si>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</si>
  <si>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</si>
  <si>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</si>
  <si>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</si>
  <si>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</si>
  <si>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</si>
  <si>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</si>
  <si>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</si>
  <si>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</si>
  <si>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</si>
  <si>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</si>
  <si>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</si>
  <si>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</si>
  <si>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</si>
  <si>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</si>
  <si>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</si>
  <si>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</si>
  <si>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</si>
  <si>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</si>
  <si>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</si>
  <si>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</si>
  <si>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</si>
  <si>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</si>
  <si>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</si>
  <si>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</si>
  <si>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</si>
  <si>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</si>
  <si>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</si>
  <si>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</si>
  <si>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</si>
  <si>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</si>
  <si>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</si>
  <si>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</si>
  <si>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</si>
  <si>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</si>
  <si>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</si>
  <si>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</si>
  <si>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</si>
  <si>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</si>
  <si>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</si>
  <si>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</si>
  <si>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</si>
  <si>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</si>
  <si>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</si>
  <si>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</si>
  <si>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</si>
  <si>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</si>
  <si>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</si>
  <si>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</si>
  <si>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</si>
  <si>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</si>
  <si>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</si>
  <si>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</si>
  <si>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</si>
  <si>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</si>
  <si>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</si>
  <si>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</si>
  <si>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</si>
  <si>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</si>
  <si>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</si>
  <si>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</si>
  <si>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</si>
  <si>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</si>
  <si>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</si>
  <si>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</si>
  <si>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</si>
  <si>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</si>
  <si>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</si>
  <si>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</si>
  <si>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</si>
  <si>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</si>
  <si>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</si>
  <si>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</si>
  <si>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</si>
  <si>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</si>
  <si>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</si>
  <si>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</si>
  <si>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</si>
  <si>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</si>
  <si>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</si>
  <si>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Blackwell2002</t>
  </si>
  <si>
    <t>Briggs2002</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</si>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</sst>
</file>

<file path=xl/styles.xml><?xml version="1.0" encoding="utf-8"?>
<styleSheet xmlns="http://schemas.openxmlformats.org/spreadsheetml/2006/main" xmlns:x14ac="http://schemas.microsoft.com/office/spreadsheetml/2009/9/ac" xmlns:mc="http://schemas.openxmlformats.org/markup-compatibility/2006">
  <fonts count="77">
    <font>
      <sz val="10.0"/>
      <color rgb="FF000000"/>
      <name val="Arial"/>
    </font>
    <font>
      <b/>
    </font>
    <font>
      <b/>
      <name val="Arial"/>
    </font>
    <font>
      <sz val="10.0"/>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name val="Arial"/>
    </font>
    <font>
      <color rgb="FF000000"/>
      <name val="Arial"/>
    </font>
    <font/>
    <font>
      <u/>
      <sz val="10.0"/>
      <color rgb="FF0000FF"/>
      <name val="Arial"/>
    </font>
    <font>
      <color rgb="FF333333"/>
      <name val="Arial"/>
    </font>
    <font>
      <u/>
      <color rgb="FF0000FF"/>
      <name val="Arial"/>
    </font>
    <font>
      <u/>
      <sz val="10.0"/>
      <color rgb="FF0000FF"/>
      <name val="Arial"/>
    </font>
    <font>
      <u/>
      <color rgb="FF1155CC"/>
      <name val="Arial"/>
    </font>
    <font>
      <u/>
      <color rgb="FF0000FF"/>
      <name val="Arial"/>
    </font>
    <font>
      <u/>
      <color rgb="FF0000FF"/>
      <name val="Arial"/>
    </font>
    <font>
      <u/>
      <color rgb="FF0000FF"/>
      <name val="Arial"/>
    </font>
    <font>
      <u/>
      <color rgb="FF0000FF"/>
      <name val="Arial"/>
    </font>
    <font>
      <u/>
      <sz val="10.0"/>
      <color rgb="FF0000FF"/>
      <name val="Arial"/>
    </font>
    <font>
      <u/>
      <sz val="10.0"/>
      <color rgb="FF0000FF"/>
      <name val="Arial"/>
    </font>
    <font>
      <sz val="11.0"/>
      <color rgb="FF000000"/>
    </font>
    <font>
      <u/>
      <color rgb="FF0000FF"/>
    </font>
    <font>
      <u/>
      <color rgb="FF0000FF"/>
    </font>
    <font>
      <u/>
      <color rgb="FF0000FF"/>
      <name val="Arial"/>
    </font>
    <font>
      <u/>
      <color rgb="FF0000FF"/>
    </font>
    <font>
      <u/>
      <color rgb="FF0000FF"/>
    </font>
    <font>
      <u/>
      <color rgb="FF0000FF"/>
    </font>
    <font>
      <u/>
      <sz val="10.0"/>
      <color rgb="FF0000FF"/>
      <name val="Arial"/>
    </font>
    <font>
      <u/>
      <sz val="10.0"/>
      <color rgb="FF0000FF"/>
      <name val="Arial"/>
    </font>
    <font>
      <u/>
      <sz val="10.0"/>
      <color rgb="FF0000FF"/>
      <name val="Arial"/>
    </font>
    <font>
      <u/>
      <sz val="10.0"/>
      <color rgb="FF0000FF"/>
      <name val="Arial"/>
    </font>
    <font>
      <color rgb="FF000000"/>
      <name val="Verdana"/>
    </font>
    <font>
      <u/>
      <sz val="10.0"/>
      <color rgb="FF0000FF"/>
      <name val="Arial"/>
    </font>
    <font>
      <color rgb="FF000000"/>
    </font>
    <font>
      <u/>
      <sz val="10.0"/>
      <color rgb="FF0000FF"/>
      <name val="Arial"/>
    </font>
    <font>
      <strike/>
      <u/>
    </font>
    <font>
      <strike/>
      <u/>
      <sz val="10.0"/>
      <color rgb="FF0000FF"/>
      <name val="Arial"/>
    </font>
    <font>
      <strike/>
      <u/>
    </font>
    <font>
      <strike/>
      <u/>
    </font>
    <font>
      <strike/>
      <u/>
    </font>
    <font>
      <u/>
      <color rgb="FF0000FF"/>
    </font>
    <font>
      <u/>
      <color rgb="FF0000FF"/>
    </font>
    <font>
      <u/>
      <sz val="10.0"/>
      <color rgb="FF0000FF"/>
      <name val="Arial"/>
    </font>
    <font>
      <strike/>
      <u/>
      <sz val="10.0"/>
      <color rgb="FF0000FF"/>
      <name val="Arial"/>
    </font>
    <font>
      <strike/>
      <u/>
      <sz val="10.0"/>
      <name val="Arial"/>
    </font>
    <font>
      <strike/>
      <u/>
      <sz val="10.0"/>
      <name val="Arial"/>
    </font>
    <font>
      <strike/>
      <u/>
      <sz val="10.0"/>
      <name val="Arial"/>
    </font>
    <font>
      <u/>
      <color rgb="FF0000FF"/>
    </font>
    <font>
      <u/>
      <sz val="10.0"/>
      <color rgb="FF0000FF"/>
      <name val="Arial"/>
    </font>
    <font>
      <strike/>
      <u/>
      <color rgb="FF0000FF"/>
      <name val="Arial"/>
    </font>
    <font>
      <strike/>
      <u/>
    </font>
    <font>
      <strike/>
      <u/>
      <color rgb="FF0000FF"/>
    </font>
    <font>
      <u/>
      <sz val="10.0"/>
      <color rgb="FF0000FF"/>
      <name val="Arial"/>
    </font>
    <font>
      <strike/>
    </font>
    <font>
      <u/>
      <sz val="10.0"/>
      <color rgb="FF0000FF"/>
      <name val="Arial"/>
    </font>
    <font>
      <sz val="10.0"/>
      <color rgb="FF333333"/>
      <name val="Arial"/>
    </font>
    <font>
      <sz val="11.0"/>
      <color rgb="FF333333"/>
      <name val="Sans-serif"/>
    </font>
    <font>
      <sz val="10.0"/>
      <color rgb="FF505050"/>
      <name val="Arial"/>
    </font>
    <font>
      <strike/>
      <color rgb="FF0000FF"/>
      <name val="Arial"/>
    </font>
    <font>
      <strike/>
      <color rgb="FF0000FF"/>
    </font>
    <font>
      <sz val="9.0"/>
      <color rgb="FF333333"/>
      <name val="Arial"/>
    </font>
    <font>
      <strike/>
      <sz val="10.0"/>
      <name val="Arial"/>
    </font>
    <font>
      <color rgb="FF333333"/>
    </font>
    <font>
      <color rgb="FF414141"/>
    </font>
    <font>
      <sz val="10.0"/>
      <color rgb="FF222222"/>
      <name val="Arial"/>
    </font>
    <font>
      <strike/>
      <sz val="10.0"/>
      <color rgb="FF0000FF"/>
      <name val="Arial"/>
    </font>
    <font>
      <u/>
      <sz val="10.0"/>
      <color rgb="FF0000FF"/>
      <name val="Arial"/>
    </font>
    <font>
      <sz val="11.0"/>
      <color rgb="FF555555"/>
      <name val="Roboto"/>
    </font>
  </fonts>
  <fills count="30">
    <fill>
      <patternFill patternType="none"/>
    </fill>
    <fill>
      <patternFill patternType="lightGray"/>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93C47D"/>
        <bgColor rgb="FF93C47D"/>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borders>
  <cellStyleXfs count="1">
    <xf borderId="0" fillId="0" fontId="0" numFmtId="0" applyAlignment="1" applyFont="1"/>
  </cellStyleXfs>
  <cellXfs count="281">
    <xf borderId="0" fillId="0" fontId="0" numFmtId="0" xfId="0" applyAlignment="1" applyFont="1">
      <alignment readingOrder="0" shrinkToFit="0" vertical="bottom" wrapText="0"/>
    </xf>
    <xf borderId="0" fillId="2" fontId="1" numFmtId="0" xfId="0" applyAlignment="1" applyFill="1" applyFont="1">
      <alignment horizontal="center" readingOrder="0" vertical="top"/>
    </xf>
    <xf borderId="0" fillId="3" fontId="1" numFmtId="0" xfId="0" applyAlignment="1" applyFill="1" applyFont="1">
      <alignment horizontal="center" readingOrder="0" vertical="top"/>
    </xf>
    <xf borderId="0" fillId="4" fontId="2" numFmtId="0" xfId="0" applyAlignment="1" applyFill="1" applyFont="1">
      <alignment horizontal="center" readingOrder="0" shrinkToFit="0" vertical="top" wrapText="1"/>
    </xf>
    <xf borderId="0" fillId="5" fontId="2" numFmtId="0" xfId="0" applyAlignment="1" applyFill="1" applyFont="1">
      <alignment horizontal="center" readingOrder="0" shrinkToFit="0" vertical="top" wrapText="1"/>
    </xf>
    <xf borderId="0" fillId="6" fontId="1" numFmtId="0" xfId="0" applyAlignment="1" applyFill="1" applyFont="1">
      <alignment horizontal="center" readingOrder="0"/>
    </xf>
    <xf borderId="0" fillId="7" fontId="1" numFmtId="0" xfId="0" applyAlignment="1" applyFill="1" applyFont="1">
      <alignment horizontal="center" readingOrder="0" shrinkToFit="0" wrapText="1"/>
    </xf>
    <xf borderId="0" fillId="5" fontId="1" numFmtId="0" xfId="0" applyAlignment="1" applyFont="1">
      <alignment horizontal="center" readingOrder="0"/>
    </xf>
    <xf borderId="0" fillId="8" fontId="1" numFmtId="0" xfId="0" applyAlignment="1" applyFill="1" applyFont="1">
      <alignment horizontal="center" readingOrder="0"/>
    </xf>
    <xf borderId="0" fillId="9" fontId="1" numFmtId="0" xfId="0" applyAlignment="1" applyFill="1" applyFont="1">
      <alignment horizontal="center" readingOrder="0" shrinkToFit="0" vertical="top" wrapText="1"/>
    </xf>
    <xf borderId="0" fillId="10" fontId="1" numFmtId="0" xfId="0" applyAlignment="1" applyFill="1" applyFont="1">
      <alignment horizontal="center" readingOrder="0" shrinkToFit="0" textRotation="90" vertical="bottom" wrapText="1"/>
    </xf>
    <xf borderId="0" fillId="3" fontId="1" numFmtId="0" xfId="0" applyAlignment="1" applyFont="1">
      <alignment horizontal="center" readingOrder="0" shrinkToFit="0" vertical="top" wrapText="1"/>
    </xf>
    <xf borderId="0" fillId="11" fontId="1" numFmtId="0" xfId="0" applyAlignment="1" applyFill="1" applyFont="1">
      <alignment horizontal="center" readingOrder="0" shrinkToFit="0" vertical="top" wrapText="1"/>
    </xf>
    <xf borderId="0" fillId="12" fontId="1" numFmtId="0" xfId="0" applyAlignment="1" applyFill="1" applyFont="1">
      <alignment horizontal="center" readingOrder="0" shrinkToFit="0" vertical="top" wrapText="1"/>
    </xf>
    <xf borderId="0" fillId="13" fontId="1" numFmtId="0" xfId="0" applyAlignment="1" applyFill="1" applyFont="1">
      <alignment horizontal="center" readingOrder="0" shrinkToFit="0" vertical="top" wrapText="1"/>
    </xf>
    <xf borderId="0" fillId="6" fontId="1" numFmtId="0" xfId="0" applyAlignment="1" applyFont="1">
      <alignment horizontal="center" readingOrder="0" shrinkToFit="0" vertical="top" wrapText="1"/>
    </xf>
    <xf borderId="0" fillId="14" fontId="1" numFmtId="0" xfId="0" applyAlignment="1" applyFill="1" applyFont="1">
      <alignment horizontal="center" readingOrder="0" shrinkToFit="0" vertical="top" wrapText="1"/>
    </xf>
    <xf borderId="0" fillId="15" fontId="1" numFmtId="0" xfId="0" applyAlignment="1" applyFill="1" applyFont="1">
      <alignment horizontal="center" readingOrder="0" shrinkToFit="0" vertical="top" wrapText="1"/>
    </xf>
    <xf borderId="0" fillId="16" fontId="1" numFmtId="0" xfId="0" applyAlignment="1" applyFill="1" applyFont="1">
      <alignment horizontal="center" readingOrder="0" shrinkToFit="0" vertical="top" wrapText="1"/>
    </xf>
    <xf borderId="0" fillId="17" fontId="1" numFmtId="0" xfId="0" applyAlignment="1" applyFill="1" applyFont="1">
      <alignment horizontal="center" readingOrder="0" shrinkToFit="0" vertical="top" wrapText="1"/>
    </xf>
    <xf borderId="0" fillId="18" fontId="1" numFmtId="0" xfId="0" applyAlignment="1" applyFill="1" applyFont="1">
      <alignment horizontal="center" readingOrder="0" shrinkToFit="0" vertical="top" wrapText="1"/>
    </xf>
    <xf borderId="0" fillId="19" fontId="1" numFmtId="0" xfId="0" applyAlignment="1" applyFill="1" applyFont="1">
      <alignment horizontal="center" readingOrder="0" shrinkToFit="0" vertical="top" wrapText="1"/>
    </xf>
    <xf borderId="0" fillId="20" fontId="1" numFmtId="0" xfId="0" applyAlignment="1" applyFill="1" applyFont="1">
      <alignment horizontal="center" readingOrder="0" shrinkToFit="0" vertical="top" wrapText="1"/>
    </xf>
    <xf borderId="0" fillId="7" fontId="1" numFmtId="0" xfId="0" applyAlignment="1" applyFont="1">
      <alignment horizontal="center" readingOrder="0" shrinkToFit="0" vertical="top" wrapText="1"/>
    </xf>
    <xf borderId="0" fillId="2" fontId="1" numFmtId="0" xfId="0" applyAlignment="1" applyFont="1">
      <alignment readingOrder="0" shrinkToFit="0" vertical="top" wrapText="1"/>
    </xf>
    <xf borderId="0" fillId="3" fontId="1" numFmtId="0" xfId="0" applyAlignment="1" applyFont="1">
      <alignment readingOrder="0" shrinkToFit="0" vertical="top" wrapText="1"/>
    </xf>
    <xf borderId="0" fillId="3" fontId="2" numFmtId="0" xfId="0" applyAlignment="1" applyFont="1">
      <alignment shrinkToFit="0" vertical="top" wrapText="1"/>
    </xf>
    <xf borderId="0" fillId="4" fontId="2" numFmtId="0" xfId="0" applyAlignment="1" applyFont="1">
      <alignment readingOrder="0" shrinkToFit="0" vertical="top" wrapText="1"/>
    </xf>
    <xf borderId="0" fillId="4" fontId="2" numFmtId="0" xfId="0" applyAlignment="1" applyFont="1">
      <alignment horizontal="left" shrinkToFit="0" vertical="top" wrapText="1"/>
    </xf>
    <xf borderId="0" fillId="5" fontId="2" numFmtId="0" xfId="0" applyAlignment="1" applyFont="1">
      <alignment horizontal="center" readingOrder="0" shrinkToFit="0" textRotation="90" vertical="bottom" wrapText="1"/>
    </xf>
    <xf borderId="0" fillId="7" fontId="1" numFmtId="0" xfId="0" applyAlignment="1" applyFont="1">
      <alignment readingOrder="0" shrinkToFit="0" vertical="top" wrapText="1"/>
    </xf>
    <xf borderId="0" fillId="5" fontId="1" numFmtId="0" xfId="0" applyAlignment="1" applyFont="1">
      <alignment horizontal="center" readingOrder="0" shrinkToFit="0" textRotation="90" vertical="bottom" wrapText="1"/>
    </xf>
    <xf borderId="0" fillId="8" fontId="1" numFmtId="0" xfId="0" applyAlignment="1" applyFont="1">
      <alignment horizontal="center" readingOrder="0" shrinkToFit="0" textRotation="90" vertical="bottom" wrapText="1"/>
    </xf>
    <xf borderId="0" fillId="3" fontId="1" numFmtId="0" xfId="0" applyAlignment="1" applyFont="1">
      <alignment horizontal="center" readingOrder="0" shrinkToFit="0" textRotation="90" vertical="bottom" wrapText="1"/>
    </xf>
    <xf borderId="0" fillId="11" fontId="1" numFmtId="0" xfId="0" applyAlignment="1" applyFont="1">
      <alignment horizontal="center" readingOrder="0" shrinkToFit="0" textRotation="90" vertical="bottom" wrapText="1"/>
    </xf>
    <xf borderId="0" fillId="12" fontId="1" numFmtId="0" xfId="0" applyAlignment="1" applyFont="1">
      <alignment horizontal="center" readingOrder="0" shrinkToFit="0" textRotation="90" vertical="bottom" wrapText="1"/>
    </xf>
    <xf borderId="0" fillId="13" fontId="1" numFmtId="0" xfId="0" applyAlignment="1" applyFont="1">
      <alignment horizontal="center" readingOrder="0" shrinkToFit="0" textRotation="90" vertical="bottom" wrapText="1"/>
    </xf>
    <xf borderId="0" fillId="6" fontId="1" numFmtId="0" xfId="0" applyAlignment="1" applyFont="1">
      <alignment horizontal="center" readingOrder="0" shrinkToFit="0" textRotation="90" vertical="bottom" wrapText="1"/>
    </xf>
    <xf borderId="0" fillId="14" fontId="1" numFmtId="0" xfId="0" applyAlignment="1" applyFont="1">
      <alignment horizontal="center" readingOrder="0" shrinkToFit="0" textRotation="90" vertical="bottom" wrapText="1"/>
    </xf>
    <xf borderId="0" fillId="15" fontId="1" numFmtId="0" xfId="0" applyAlignment="1" applyFont="1">
      <alignment horizontal="center" readingOrder="0" shrinkToFit="0" textRotation="90" vertical="bottom" wrapText="1"/>
    </xf>
    <xf borderId="0" fillId="16" fontId="1" numFmtId="0" xfId="0" applyAlignment="1" applyFont="1">
      <alignment horizontal="center" readingOrder="0" shrinkToFit="0" textRotation="90" vertical="bottom" wrapText="1"/>
    </xf>
    <xf borderId="0" fillId="17" fontId="1" numFmtId="0" xfId="0" applyAlignment="1" applyFont="1">
      <alignment horizontal="center" readingOrder="0" shrinkToFit="0" textRotation="90" vertical="bottom" wrapText="1"/>
    </xf>
    <xf borderId="0" fillId="18" fontId="1" numFmtId="0" xfId="0" applyAlignment="1" applyFont="1">
      <alignment horizontal="center" readingOrder="0" shrinkToFit="0" textRotation="90" vertical="bottom" wrapText="1"/>
    </xf>
    <xf borderId="0" fillId="19" fontId="1" numFmtId="0" xfId="0" applyAlignment="1" applyFont="1">
      <alignment horizontal="center" readingOrder="0" shrinkToFit="0" textRotation="90" vertical="bottom" wrapText="1"/>
    </xf>
    <xf borderId="0" fillId="20" fontId="1" numFmtId="0" xfId="0" applyAlignment="1" applyFont="1">
      <alignment horizontal="center" readingOrder="0" shrinkToFit="0" textRotation="90" vertical="bottom" wrapText="1"/>
    </xf>
    <xf borderId="0" fillId="7" fontId="1" numFmtId="0" xfId="0" applyAlignment="1" applyFont="1">
      <alignment horizontal="center" readingOrder="0" shrinkToFit="0" textRotation="90" vertical="bottom" wrapText="1"/>
    </xf>
    <xf borderId="0" fillId="0" fontId="3" numFmtId="0" xfId="0" applyAlignment="1" applyFont="1">
      <alignment readingOrder="0"/>
    </xf>
    <xf borderId="0" fillId="21" fontId="4" numFmtId="0" xfId="0" applyAlignment="1" applyFill="1" applyFont="1">
      <alignment shrinkToFit="0" vertical="top" wrapText="0"/>
    </xf>
    <xf borderId="0" fillId="0" fontId="3" numFmtId="0" xfId="0" applyAlignment="1" applyFont="1">
      <alignment shrinkToFit="0" vertical="top" wrapText="1"/>
    </xf>
    <xf borderId="0" fillId="0" fontId="3" numFmtId="0" xfId="0" applyAlignment="1" applyFont="1">
      <alignment horizontal="left" shrinkToFit="0" vertical="top" wrapText="0"/>
    </xf>
    <xf borderId="0" fillId="0" fontId="3" numFmtId="0" xfId="0" applyAlignment="1" applyFont="1">
      <alignment horizontal="center" shrinkToFit="0" vertical="top" wrapText="0"/>
    </xf>
    <xf borderId="0" fillId="0" fontId="3" numFmtId="0" xfId="0" applyAlignment="1" applyFont="1">
      <alignment horizontal="left" shrinkToFit="0" vertical="top" wrapText="1"/>
    </xf>
    <xf borderId="0" fillId="0" fontId="3" numFmtId="0" xfId="0" applyAlignment="1" applyFont="1">
      <alignment horizontal="left" readingOrder="0" shrinkToFit="0" vertical="top" wrapText="1"/>
    </xf>
    <xf borderId="0" fillId="0" fontId="5" numFmtId="0" xfId="0" applyAlignment="1" applyFont="1">
      <alignment shrinkToFit="0" vertical="top" wrapText="0"/>
    </xf>
    <xf borderId="0" fillId="21" fontId="6" numFmtId="0" xfId="0" applyAlignment="1" applyFont="1">
      <alignment shrinkToFit="0" vertical="bottom" wrapText="1"/>
    </xf>
    <xf borderId="0" fillId="0" fontId="3" numFmtId="0" xfId="0" applyAlignment="1" applyFont="1">
      <alignment shrinkToFit="0" vertical="bottom" wrapText="1"/>
    </xf>
    <xf borderId="0" fillId="0" fontId="7" numFmtId="0" xfId="0" applyAlignment="1" applyFont="1">
      <alignment shrinkToFit="0" vertical="bottom" wrapText="1"/>
    </xf>
    <xf borderId="0" fillId="0" fontId="3" numFmtId="0" xfId="0" applyAlignment="1" applyFont="1">
      <alignment horizontal="left" shrinkToFit="0" vertical="bottom" wrapText="1"/>
    </xf>
    <xf borderId="0" fillId="0" fontId="3" numFmtId="0" xfId="0" applyAlignment="1" applyFont="1">
      <alignment horizontal="center" shrinkToFit="0" vertical="bottom" wrapText="0"/>
    </xf>
    <xf borderId="0" fillId="0" fontId="3" numFmtId="0" xfId="0" applyAlignment="1" applyFont="1">
      <alignment horizontal="center" shrinkToFit="0" vertical="top" wrapText="1"/>
    </xf>
    <xf borderId="0" fillId="0" fontId="3" numFmtId="0" xfId="0" applyFont="1"/>
    <xf borderId="0" fillId="0" fontId="3" numFmtId="0" xfId="0" applyAlignment="1" applyFont="1">
      <alignment horizontal="center" readingOrder="0" shrinkToFit="0" vertical="top" wrapText="0"/>
    </xf>
    <xf borderId="0" fillId="22" fontId="0" numFmtId="0" xfId="0" applyAlignment="1" applyFill="1" applyFont="1">
      <alignment horizontal="left" shrinkToFit="0" vertical="center" wrapText="1"/>
    </xf>
    <xf borderId="0" fillId="22" fontId="0" numFmtId="0" xfId="0" applyAlignment="1" applyFont="1">
      <alignment shrinkToFit="0" vertical="bottom" wrapText="1"/>
    </xf>
    <xf borderId="0" fillId="0" fontId="3" numFmtId="0" xfId="0" applyAlignment="1" applyFont="1">
      <alignment horizontal="left" shrinkToFit="0" vertical="center" wrapText="1"/>
    </xf>
    <xf borderId="0" fillId="0" fontId="0" numFmtId="0" xfId="0" applyAlignment="1" applyFont="1">
      <alignment shrinkToFit="0" vertical="bottom" wrapText="1"/>
    </xf>
    <xf borderId="0" fillId="22" fontId="0" numFmtId="0" xfId="0" applyAlignment="1" applyFont="1">
      <alignment horizontal="left" shrinkToFit="0" vertical="bottom" wrapText="1"/>
    </xf>
    <xf borderId="0" fillId="0" fontId="8" numFmtId="0" xfId="0" applyAlignment="1" applyFont="1">
      <alignment shrinkToFit="0" vertical="bottom" wrapText="0"/>
    </xf>
    <xf borderId="0" fillId="21" fontId="9" numFmtId="0" xfId="0" applyAlignment="1" applyFont="1">
      <alignment shrinkToFit="0" vertical="bottom" wrapText="0"/>
    </xf>
    <xf borderId="0" fillId="0" fontId="3" numFmtId="0" xfId="0" applyAlignment="1" applyFont="1">
      <alignment readingOrder="0" shrinkToFit="0" vertical="top" wrapText="1"/>
    </xf>
    <xf borderId="0" fillId="0" fontId="3" numFmtId="0" xfId="0" applyAlignment="1" applyFont="1">
      <alignment horizontal="center" readingOrder="0" shrinkToFit="0" vertical="bottom" wrapText="0"/>
    </xf>
    <xf borderId="0" fillId="0" fontId="3" numFmtId="0" xfId="0" applyAlignment="1" applyFont="1">
      <alignment readingOrder="0" shrinkToFit="0" vertical="bottom" wrapText="1"/>
    </xf>
    <xf borderId="0" fillId="22" fontId="3" numFmtId="0" xfId="0" applyAlignment="1" applyFont="1">
      <alignment horizontal="center" shrinkToFit="0" vertical="top" wrapText="0"/>
    </xf>
    <xf borderId="0" fillId="21" fontId="10" numFmtId="0" xfId="0" applyAlignment="1" applyFont="1">
      <alignment horizontal="left" shrinkToFit="0" vertical="bottom" wrapText="1"/>
    </xf>
    <xf borderId="0" fillId="0" fontId="3" numFmtId="0" xfId="0" applyAlignment="1" applyFont="1">
      <alignment shrinkToFit="0" vertical="bottom" wrapText="0"/>
    </xf>
    <xf borderId="0" fillId="22" fontId="3" numFmtId="0" xfId="0" applyAlignment="1" applyFont="1">
      <alignment horizontal="center" shrinkToFit="0" vertical="bottom" wrapText="0"/>
    </xf>
    <xf borderId="0" fillId="0" fontId="3" numFmtId="0" xfId="0" applyAlignment="1" applyFont="1">
      <alignment horizontal="center" shrinkToFit="0" vertical="center" wrapText="0"/>
    </xf>
    <xf borderId="0" fillId="0" fontId="3" numFmtId="0" xfId="0" applyAlignment="1" applyFont="1">
      <alignment shrinkToFit="0" vertical="top" wrapText="0"/>
    </xf>
    <xf borderId="0" fillId="0" fontId="11" numFmtId="0" xfId="0" applyAlignment="1" applyFont="1">
      <alignment shrinkToFit="0" vertical="top" wrapText="0"/>
    </xf>
    <xf borderId="0" fillId="0" fontId="12" numFmtId="0" xfId="0" applyAlignment="1" applyFont="1">
      <alignment shrinkToFit="0" vertical="top" wrapText="1"/>
    </xf>
    <xf borderId="0" fillId="22" fontId="0" numFmtId="0" xfId="0" applyAlignment="1" applyFont="1">
      <alignment horizontal="left" shrinkToFit="0" vertical="top" wrapText="1"/>
    </xf>
    <xf borderId="0" fillId="22" fontId="0" numFmtId="0" xfId="0" applyAlignment="1" applyFont="1">
      <alignment shrinkToFit="0" vertical="bottom" wrapText="0"/>
    </xf>
    <xf borderId="0" fillId="22" fontId="13" numFmtId="0" xfId="0" applyAlignment="1" applyFont="1">
      <alignment shrinkToFit="0" vertical="bottom" wrapText="1"/>
    </xf>
    <xf borderId="0" fillId="22" fontId="3" numFmtId="0" xfId="0" applyAlignment="1" applyFont="1">
      <alignment shrinkToFit="0" vertical="bottom" wrapText="1"/>
    </xf>
    <xf borderId="0" fillId="22" fontId="3" numFmtId="0" xfId="0" applyAlignment="1" applyFont="1">
      <alignment horizontal="left" shrinkToFit="0" vertical="top" wrapText="0"/>
    </xf>
    <xf borderId="0" fillId="22" fontId="3" numFmtId="0" xfId="0" applyAlignment="1" applyFont="1">
      <alignment shrinkToFit="0" vertical="top" wrapText="1"/>
    </xf>
    <xf borderId="0" fillId="22" fontId="3" numFmtId="0" xfId="0" applyAlignment="1" applyFont="1">
      <alignment horizontal="left" shrinkToFit="0" vertical="top" wrapText="1"/>
    </xf>
    <xf borderId="0" fillId="22" fontId="0" numFmtId="0" xfId="0" applyAlignment="1" applyFont="1">
      <alignment horizontal="left" shrinkToFit="0" vertical="bottom" wrapText="0"/>
    </xf>
    <xf borderId="0" fillId="0" fontId="14" numFmtId="0" xfId="0" applyAlignment="1" applyFont="1">
      <alignment shrinkToFit="0" wrapText="1"/>
    </xf>
    <xf borderId="0" fillId="0" fontId="15" numFmtId="0" xfId="0" applyAlignment="1" applyFont="1">
      <alignment shrinkToFit="0" vertical="top" wrapText="1"/>
    </xf>
    <xf borderId="0" fillId="0" fontId="15" numFmtId="0" xfId="0" applyAlignment="1" applyFont="1">
      <alignment shrinkToFit="0" vertical="bottom" wrapText="1"/>
    </xf>
    <xf borderId="0" fillId="0" fontId="15" numFmtId="0" xfId="0" applyAlignment="1" applyFont="1">
      <alignment horizontal="right" shrinkToFit="0" vertical="top" wrapText="1"/>
    </xf>
    <xf borderId="0" fillId="0" fontId="15" numFmtId="0" xfId="0" applyAlignment="1" applyFont="1">
      <alignment horizontal="right" vertical="bottom"/>
    </xf>
    <xf borderId="0" fillId="0" fontId="15" numFmtId="0" xfId="0" applyAlignment="1" applyFont="1">
      <alignment vertical="bottom"/>
    </xf>
    <xf borderId="0" fillId="0" fontId="15" numFmtId="0" xfId="0" applyAlignment="1" applyFont="1">
      <alignment vertical="top"/>
    </xf>
    <xf borderId="0" fillId="0" fontId="15" numFmtId="0" xfId="0" applyAlignment="1" applyFont="1">
      <alignment vertical="bottom"/>
    </xf>
    <xf borderId="0" fillId="0" fontId="15" numFmtId="0" xfId="0" applyAlignment="1" applyFont="1">
      <alignment shrinkToFit="0" vertical="top" wrapText="1"/>
    </xf>
    <xf borderId="0" fillId="0" fontId="15" numFmtId="0" xfId="0" applyAlignment="1" applyFont="1">
      <alignment shrinkToFit="0" vertical="bottom" wrapText="0"/>
    </xf>
    <xf borderId="0" fillId="0" fontId="15" numFmtId="0" xfId="0" applyAlignment="1" applyFont="1">
      <alignment shrinkToFit="0" vertical="bottom" wrapText="1"/>
    </xf>
    <xf borderId="0" fillId="0" fontId="15" numFmtId="0" xfId="0" applyAlignment="1" applyFont="1">
      <alignment horizontal="right" shrinkToFit="0" vertical="bottom" wrapText="1"/>
    </xf>
    <xf borderId="0" fillId="0" fontId="16" numFmtId="0" xfId="0" applyAlignment="1" applyFont="1">
      <alignment shrinkToFit="0" vertical="bottom" wrapText="1"/>
    </xf>
    <xf borderId="0" fillId="22" fontId="16" numFmtId="0" xfId="0" applyAlignment="1" applyFont="1">
      <alignment shrinkToFit="0" vertical="bottom" wrapText="1"/>
    </xf>
    <xf borderId="0" fillId="0" fontId="15" numFmtId="0" xfId="0" applyAlignment="1" applyFont="1">
      <alignment horizontal="right" shrinkToFit="0" vertical="top" wrapText="1"/>
    </xf>
    <xf borderId="0" fillId="0" fontId="15" numFmtId="0" xfId="0" applyAlignment="1" applyFont="1">
      <alignment horizontal="right" shrinkToFit="0" vertical="bottom" wrapText="1"/>
    </xf>
    <xf borderId="0" fillId="0" fontId="15" numFmtId="0" xfId="0" applyAlignment="1" applyFont="1">
      <alignment horizontal="right" vertical="bottom"/>
    </xf>
    <xf borderId="0" fillId="0" fontId="15" numFmtId="0" xfId="0" applyAlignment="1" applyFont="1">
      <alignment shrinkToFit="0" vertical="bottom" wrapText="0"/>
    </xf>
    <xf borderId="0" fillId="0" fontId="17" numFmtId="0" xfId="0" applyAlignment="1" applyFont="1">
      <alignment shrinkToFit="0" wrapText="1"/>
    </xf>
    <xf borderId="0" fillId="0" fontId="17" numFmtId="0" xfId="0" applyAlignment="1" applyFont="1">
      <alignment shrinkToFit="0" vertical="top" wrapText="1"/>
    </xf>
    <xf borderId="0" fillId="0" fontId="18" numFmtId="0" xfId="0" applyAlignment="1" applyFont="1">
      <alignment shrinkToFit="0" vertical="top" wrapText="1"/>
    </xf>
    <xf borderId="0" fillId="22" fontId="16" numFmtId="0" xfId="0" applyAlignment="1" applyFont="1">
      <alignment horizontal="left" readingOrder="0" shrinkToFit="0" vertical="top" wrapText="1"/>
    </xf>
    <xf borderId="0" fillId="0" fontId="17" numFmtId="0" xfId="0" applyAlignment="1" applyFont="1">
      <alignment horizontal="left" readingOrder="0" vertical="top"/>
    </xf>
    <xf borderId="0" fillId="0" fontId="17" numFmtId="0" xfId="0" applyAlignment="1" applyFont="1">
      <alignment horizontal="center" readingOrder="0" vertical="top"/>
    </xf>
    <xf borderId="0" fillId="0" fontId="17" numFmtId="0" xfId="0" applyAlignment="1" applyFont="1">
      <alignment horizontal="center" vertical="top"/>
    </xf>
    <xf borderId="0" fillId="0" fontId="17" numFmtId="0" xfId="0" applyAlignment="1" applyFont="1">
      <alignment readingOrder="0" shrinkToFit="0" vertical="top" wrapText="1"/>
    </xf>
    <xf borderId="0" fillId="22" fontId="19" numFmtId="0" xfId="0" applyAlignment="1" applyFont="1">
      <alignment horizontal="left" readingOrder="0" shrinkToFit="0" vertical="top" wrapText="1"/>
    </xf>
    <xf borderId="0" fillId="0" fontId="17" numFmtId="0" xfId="0" applyAlignment="1" applyFont="1">
      <alignment horizontal="left" readingOrder="0" shrinkToFit="0" vertical="top" wrapText="1"/>
    </xf>
    <xf borderId="0" fillId="0" fontId="20" numFmtId="0" xfId="0" applyAlignment="1" applyFont="1">
      <alignment shrinkToFit="0" vertical="top" wrapText="1"/>
    </xf>
    <xf borderId="0" fillId="0" fontId="17" numFmtId="0" xfId="0" applyAlignment="1" applyFont="1">
      <alignment horizontal="center" shrinkToFit="0" vertical="top" wrapText="1"/>
    </xf>
    <xf borderId="0" fillId="22" fontId="19" numFmtId="0" xfId="0" applyAlignment="1" applyFont="1">
      <alignment horizontal="left" readingOrder="0" vertical="top"/>
    </xf>
    <xf borderId="0" fillId="23" fontId="21" numFmtId="0" xfId="0" applyAlignment="1" applyFill="1" applyFont="1">
      <alignment shrinkToFit="0" vertical="top" wrapText="1"/>
    </xf>
    <xf borderId="0" fillId="22" fontId="16" numFmtId="0" xfId="0" applyAlignment="1" applyFont="1">
      <alignment readingOrder="0" shrinkToFit="0" vertical="top" wrapText="1"/>
    </xf>
    <xf borderId="0" fillId="23" fontId="22" numFmtId="0" xfId="0" applyAlignment="1" applyFont="1">
      <alignment horizontal="left" readingOrder="0" vertical="top"/>
    </xf>
    <xf borderId="0" fillId="0" fontId="23" numFmtId="0" xfId="0" applyAlignment="1" applyFont="1">
      <alignment shrinkToFit="0" vertical="bottom" wrapText="1"/>
    </xf>
    <xf borderId="0" fillId="0" fontId="15" numFmtId="0" xfId="0" applyAlignment="1" applyFont="1">
      <alignment shrinkToFit="0" vertical="bottom" wrapText="1"/>
    </xf>
    <xf borderId="0" fillId="0" fontId="17" numFmtId="0" xfId="0" applyAlignment="1" applyFont="1">
      <alignment horizontal="left" shrinkToFit="0" vertical="top" wrapText="1"/>
    </xf>
    <xf borderId="0" fillId="0" fontId="24" numFmtId="0" xfId="0" applyAlignment="1" applyFont="1">
      <alignment shrinkToFit="0" vertical="bottom" wrapText="1"/>
    </xf>
    <xf borderId="0" fillId="0" fontId="15" numFmtId="0" xfId="0" applyAlignment="1" applyFont="1">
      <alignment readingOrder="0" shrinkToFit="0" vertical="bottom" wrapText="1"/>
    </xf>
    <xf borderId="0" fillId="23" fontId="25" numFmtId="0" xfId="0" applyAlignment="1" applyFont="1">
      <alignment shrinkToFit="0" vertical="bottom" wrapText="1"/>
    </xf>
    <xf borderId="0" fillId="0" fontId="15" numFmtId="0" xfId="0" applyAlignment="1" applyFont="1">
      <alignment horizontal="left" shrinkToFit="0" vertical="bottom" wrapText="1"/>
    </xf>
    <xf borderId="0" fillId="0" fontId="17" numFmtId="0" xfId="0" applyAlignment="1" applyFont="1">
      <alignment horizontal="center"/>
    </xf>
    <xf borderId="0" fillId="0" fontId="17" numFmtId="0" xfId="0" applyAlignment="1" applyFont="1">
      <alignment horizontal="center" readingOrder="0" shrinkToFit="0" vertical="top" wrapText="1"/>
    </xf>
    <xf borderId="0" fillId="0" fontId="17" numFmtId="0" xfId="0" applyAlignment="1" applyFont="1">
      <alignment horizontal="center" readingOrder="0"/>
    </xf>
    <xf borderId="0" fillId="0" fontId="15" numFmtId="0" xfId="0" applyAlignment="1" applyFont="1">
      <alignment horizontal="center" vertical="bottom"/>
    </xf>
    <xf borderId="0" fillId="0" fontId="15" numFmtId="0" xfId="0" applyAlignment="1" applyFont="1">
      <alignment horizontal="center" readingOrder="0" vertical="bottom"/>
    </xf>
    <xf borderId="0" fillId="23" fontId="26" numFmtId="0" xfId="0" applyAlignment="1" applyFont="1">
      <alignment horizontal="left" readingOrder="0" shrinkToFit="0" vertical="bottom" wrapText="1"/>
    </xf>
    <xf borderId="0" fillId="22" fontId="15" numFmtId="0" xfId="0" applyAlignment="1" applyFont="1">
      <alignment horizontal="center" readingOrder="0" vertical="bottom"/>
    </xf>
    <xf borderId="0" fillId="24" fontId="17" numFmtId="0" xfId="0" applyAlignment="1" applyFill="1" applyFont="1">
      <alignment readingOrder="0" vertical="top"/>
    </xf>
    <xf borderId="0" fillId="0" fontId="17" numFmtId="0" xfId="0" applyAlignment="1" applyFont="1">
      <alignment horizontal="left" vertical="top"/>
    </xf>
    <xf borderId="0" fillId="0" fontId="27" numFmtId="0" xfId="0" applyAlignment="1" applyFont="1">
      <alignment readingOrder="0"/>
    </xf>
    <xf borderId="0" fillId="23" fontId="28" numFmtId="0" xfId="0" applyAlignment="1" applyFont="1">
      <alignment readingOrder="0"/>
    </xf>
    <xf borderId="0" fillId="0" fontId="17" numFmtId="0" xfId="0" applyAlignment="1" applyFont="1">
      <alignment readingOrder="0"/>
    </xf>
    <xf borderId="0" fillId="0" fontId="17" numFmtId="0" xfId="0" applyAlignment="1" applyFont="1">
      <alignment vertical="top"/>
    </xf>
    <xf borderId="0" fillId="0" fontId="29" numFmtId="0" xfId="0" applyFont="1"/>
    <xf borderId="0" fillId="0" fontId="17" numFmtId="0" xfId="0" applyAlignment="1" applyFont="1">
      <alignment horizontal="left"/>
    </xf>
    <xf borderId="0" fillId="3" fontId="1" numFmtId="0" xfId="0" applyAlignment="1" applyFont="1">
      <alignment horizontal="center" readingOrder="0"/>
    </xf>
    <xf borderId="0" fillId="4" fontId="2" numFmtId="0" xfId="0" applyAlignment="1" applyFont="1">
      <alignment horizontal="center" readingOrder="0" shrinkToFit="0" vertical="bottom" wrapText="1"/>
    </xf>
    <xf borderId="0" fillId="6" fontId="1" numFmtId="0" xfId="0" applyAlignment="1" applyFont="1">
      <alignment horizontal="center" readingOrder="0" vertical="top"/>
    </xf>
    <xf borderId="0" fillId="5" fontId="1" numFmtId="0" xfId="0" applyAlignment="1" applyFont="1">
      <alignment horizontal="center" readingOrder="0" vertical="top"/>
    </xf>
    <xf borderId="0" fillId="8" fontId="1" numFmtId="0" xfId="0" applyAlignment="1" applyFont="1">
      <alignment horizontal="center" readingOrder="0" vertical="top"/>
    </xf>
    <xf borderId="0" fillId="9" fontId="1" numFmtId="0" xfId="0" applyAlignment="1" applyFont="1">
      <alignment horizontal="left" readingOrder="0" shrinkToFit="0" vertical="top" wrapText="1"/>
    </xf>
    <xf borderId="0" fillId="7" fontId="1" numFmtId="0" xfId="0" applyAlignment="1" applyFont="1">
      <alignment horizontal="left" readingOrder="0" shrinkToFit="0" vertical="top" wrapText="1"/>
    </xf>
    <xf borderId="0" fillId="22" fontId="16" numFmtId="0" xfId="0" applyAlignment="1" applyFont="1">
      <alignment horizontal="left" readingOrder="0" vertical="top"/>
    </xf>
    <xf borderId="0" fillId="0" fontId="30" numFmtId="0" xfId="0" applyAlignment="1" applyFont="1">
      <alignment vertical="top"/>
    </xf>
    <xf borderId="0" fillId="0" fontId="17" numFmtId="0" xfId="0" applyAlignment="1" applyFont="1">
      <alignment readingOrder="0" vertical="top"/>
    </xf>
    <xf borderId="0" fillId="0" fontId="31" numFmtId="0" xfId="0" applyAlignment="1" applyFont="1">
      <alignment readingOrder="0" vertical="top"/>
    </xf>
    <xf borderId="0" fillId="0" fontId="32" numFmtId="0" xfId="0" applyAlignment="1" applyFont="1">
      <alignment vertical="top"/>
    </xf>
    <xf borderId="0" fillId="0" fontId="15" numFmtId="0" xfId="0" applyAlignment="1" applyFont="1">
      <alignment shrinkToFit="0" vertical="top" wrapText="1"/>
    </xf>
    <xf borderId="0" fillId="0" fontId="15" numFmtId="0" xfId="0" applyAlignment="1" applyFont="1">
      <alignment horizontal="left" shrinkToFit="0" vertical="top" wrapText="1"/>
    </xf>
    <xf borderId="0" fillId="23" fontId="33" numFmtId="0" xfId="0" applyAlignment="1" applyFont="1">
      <alignment readingOrder="0" vertical="top"/>
    </xf>
    <xf borderId="0" fillId="0" fontId="16" numFmtId="0" xfId="0" applyAlignment="1" applyFont="1">
      <alignment readingOrder="0"/>
    </xf>
    <xf borderId="0" fillId="22" fontId="17" numFmtId="0" xfId="0" applyAlignment="1" applyFont="1">
      <alignment horizontal="center" readingOrder="0" vertical="top"/>
    </xf>
    <xf borderId="0" fillId="0" fontId="3" numFmtId="0" xfId="0" applyAlignment="1" applyFont="1">
      <alignment shrinkToFit="0" wrapText="1"/>
    </xf>
    <xf borderId="0" fillId="0" fontId="3" numFmtId="0" xfId="0" applyAlignment="1" applyFont="1">
      <alignment readingOrder="0" shrinkToFit="0" wrapText="0"/>
    </xf>
    <xf borderId="0" fillId="22" fontId="17" numFmtId="0" xfId="0" applyAlignment="1" applyFont="1">
      <alignment horizontal="center" vertical="top"/>
    </xf>
    <xf borderId="0" fillId="23" fontId="34" numFmtId="0" xfId="0" applyAlignment="1" applyFont="1">
      <alignment vertical="top"/>
    </xf>
    <xf borderId="0" fillId="23" fontId="17" numFmtId="0" xfId="0" applyAlignment="1" applyFont="1">
      <alignment horizontal="left" readingOrder="0" shrinkToFit="0" vertical="top" wrapText="1"/>
    </xf>
    <xf borderId="0" fillId="0" fontId="35" numFmtId="0" xfId="0" applyAlignment="1" applyFont="1">
      <alignment vertical="top"/>
    </xf>
    <xf borderId="0" fillId="0" fontId="17" numFmtId="0" xfId="0" applyAlignment="1" applyFont="1">
      <alignment horizontal="center" readingOrder="0" vertical="center"/>
    </xf>
    <xf borderId="0" fillId="0" fontId="17" numFmtId="0" xfId="0" applyAlignment="1" applyFont="1">
      <alignment horizontal="center" vertical="center"/>
    </xf>
    <xf borderId="0" fillId="5" fontId="17" numFmtId="0" xfId="0" applyAlignment="1" applyFont="1">
      <alignment readingOrder="0" vertical="top"/>
    </xf>
    <xf borderId="0" fillId="5" fontId="17" numFmtId="0" xfId="0" applyAlignment="1" applyFont="1">
      <alignment horizontal="left" readingOrder="0" vertical="top"/>
    </xf>
    <xf borderId="0" fillId="5" fontId="17" numFmtId="0" xfId="0" applyAlignment="1" applyFont="1">
      <alignment horizontal="center" readingOrder="0" vertical="top"/>
    </xf>
    <xf borderId="0" fillId="5" fontId="17" numFmtId="0" xfId="0" applyAlignment="1" applyFont="1">
      <alignment horizontal="center" vertical="top"/>
    </xf>
    <xf borderId="0" fillId="5" fontId="17" numFmtId="0" xfId="0" applyAlignment="1" applyFont="1">
      <alignment shrinkToFit="0" vertical="top" wrapText="1"/>
    </xf>
    <xf borderId="0" fillId="5" fontId="17" numFmtId="0" xfId="0" applyAlignment="1" applyFont="1">
      <alignment horizontal="left" shrinkToFit="0" vertical="top" wrapText="1"/>
    </xf>
    <xf borderId="0" fillId="5" fontId="36" numFmtId="0" xfId="0" applyAlignment="1" applyFont="1">
      <alignment shrinkToFit="0" wrapText="1"/>
    </xf>
    <xf borderId="0" fillId="22" fontId="3" numFmtId="0" xfId="0" applyAlignment="1" applyFont="1">
      <alignment shrinkToFit="0" wrapText="1"/>
    </xf>
    <xf borderId="0" fillId="22" fontId="17" numFmtId="0" xfId="0" applyAlignment="1" applyFont="1">
      <alignment shrinkToFit="0" vertical="top" wrapText="1"/>
    </xf>
    <xf borderId="0" fillId="22" fontId="17" numFmtId="0" xfId="0" applyAlignment="1" applyFont="1">
      <alignment horizontal="left" shrinkToFit="0" vertical="top" wrapText="1"/>
    </xf>
    <xf borderId="0" fillId="5" fontId="3" numFmtId="0" xfId="0" applyAlignment="1" applyFont="1">
      <alignment shrinkToFit="0" wrapText="1"/>
    </xf>
    <xf borderId="0" fillId="23" fontId="37" numFmtId="0" xfId="0" applyAlignment="1" applyFont="1">
      <alignment shrinkToFit="0" wrapText="1"/>
    </xf>
    <xf borderId="0" fillId="5" fontId="17" numFmtId="0" xfId="0" applyAlignment="1" applyFont="1">
      <alignment vertical="top"/>
    </xf>
    <xf borderId="0" fillId="5" fontId="17" numFmtId="0" xfId="0" applyAlignment="1" applyFont="1">
      <alignment horizontal="left" vertical="top"/>
    </xf>
    <xf borderId="0" fillId="22" fontId="16" numFmtId="0" xfId="0" applyAlignment="1" applyFont="1">
      <alignment horizontal="left" readingOrder="0"/>
    </xf>
    <xf borderId="0" fillId="22" fontId="38" numFmtId="0" xfId="0" applyAlignment="1" applyFont="1">
      <alignment shrinkToFit="0" wrapText="1"/>
    </xf>
    <xf borderId="0" fillId="22" fontId="17" numFmtId="0" xfId="0" applyAlignment="1" applyFont="1">
      <alignment horizontal="left" readingOrder="0" vertical="top"/>
    </xf>
    <xf borderId="0" fillId="22" fontId="17" numFmtId="0" xfId="0" applyAlignment="1" applyFont="1">
      <alignment readingOrder="0" shrinkToFit="0" vertical="top" wrapText="1"/>
    </xf>
    <xf borderId="0" fillId="5" fontId="17" numFmtId="0" xfId="0" applyAlignment="1" applyFont="1">
      <alignment readingOrder="0" shrinkToFit="0" vertical="top" wrapText="1"/>
    </xf>
    <xf borderId="0" fillId="22" fontId="16" numFmtId="0" xfId="0" applyAlignment="1" applyFont="1">
      <alignment readingOrder="0"/>
    </xf>
    <xf borderId="0" fillId="0" fontId="3" numFmtId="0" xfId="0" applyAlignment="1" applyFont="1">
      <alignment readingOrder="0" shrinkToFit="0" wrapText="1"/>
    </xf>
    <xf borderId="0" fillId="0" fontId="3" numFmtId="0" xfId="0" applyAlignment="1" applyFont="1">
      <alignment horizontal="left" shrinkToFit="0" wrapText="1"/>
    </xf>
    <xf borderId="0" fillId="0" fontId="15" numFmtId="0" xfId="0" applyAlignment="1" applyFont="1">
      <alignment horizontal="left" readingOrder="0" shrinkToFit="0" vertical="top" wrapText="1"/>
    </xf>
    <xf borderId="0" fillId="0" fontId="39" numFmtId="0" xfId="0" applyAlignment="1" applyFont="1">
      <alignment readingOrder="0" shrinkToFit="0" wrapText="1"/>
    </xf>
    <xf borderId="0" fillId="22" fontId="40" numFmtId="0" xfId="0" applyAlignment="1" applyFont="1">
      <alignment horizontal="left" readingOrder="0"/>
    </xf>
    <xf borderId="0" fillId="3" fontId="1" numFmtId="0" xfId="0" applyAlignment="1" applyFont="1">
      <alignment horizontal="center" readingOrder="0" shrinkToFit="0" wrapText="1"/>
    </xf>
    <xf borderId="0" fillId="5" fontId="1" numFmtId="0" xfId="0" applyAlignment="1" applyFont="1">
      <alignment horizontal="center" readingOrder="0" shrinkToFit="0" vertical="top" wrapText="1"/>
    </xf>
    <xf borderId="0" fillId="8" fontId="1" numFmtId="0" xfId="0" applyAlignment="1" applyFont="1">
      <alignment horizontal="center" readingOrder="0" shrinkToFit="0" vertical="top" wrapText="1"/>
    </xf>
    <xf borderId="0" fillId="3" fontId="2" numFmtId="0" xfId="0" applyAlignment="1" applyFont="1">
      <alignment horizontal="left" shrinkToFit="0" vertical="center" wrapText="1"/>
    </xf>
    <xf borderId="0" fillId="23" fontId="41" numFmtId="0" xfId="0" applyAlignment="1" applyFont="1">
      <alignment readingOrder="0" shrinkToFit="0" wrapText="1"/>
    </xf>
    <xf borderId="0" fillId="22" fontId="16" numFmtId="0" xfId="0" applyAlignment="1" applyFont="1">
      <alignment horizontal="left" readingOrder="0" shrinkToFit="0" vertical="center" wrapText="1"/>
    </xf>
    <xf borderId="0" fillId="22" fontId="16" numFmtId="0" xfId="0" applyAlignment="1" applyFont="1">
      <alignment readingOrder="0" shrinkToFit="0" wrapText="1"/>
    </xf>
    <xf borderId="0" fillId="0" fontId="17" numFmtId="0" xfId="0" applyAlignment="1" applyFont="1">
      <alignment readingOrder="0" shrinkToFit="0" wrapText="1"/>
    </xf>
    <xf borderId="0" fillId="0" fontId="17" numFmtId="0" xfId="0" applyAlignment="1" applyFont="1">
      <alignment horizontal="left" readingOrder="0" shrinkToFit="0" wrapText="1"/>
    </xf>
    <xf borderId="0" fillId="0" fontId="17" numFmtId="0" xfId="0" applyAlignment="1" applyFont="1">
      <alignment horizontal="left" readingOrder="0" shrinkToFit="0" vertical="center" wrapText="1"/>
    </xf>
    <xf borderId="0" fillId="22" fontId="16" numFmtId="0" xfId="0" applyAlignment="1" applyFont="1">
      <alignment horizontal="left" readingOrder="0" shrinkToFit="0" wrapText="1"/>
    </xf>
    <xf borderId="0" fillId="22" fontId="42" numFmtId="0" xfId="0" applyAlignment="1" applyFont="1">
      <alignment readingOrder="0" shrinkToFit="0" wrapText="1"/>
    </xf>
    <xf borderId="0" fillId="0" fontId="3" numFmtId="0" xfId="0" applyAlignment="1" applyFont="1">
      <alignment readingOrder="0"/>
    </xf>
    <xf borderId="0" fillId="0" fontId="17" numFmtId="0" xfId="0" applyAlignment="1" applyFont="1">
      <alignment horizontal="left" shrinkToFit="0" vertical="center" wrapText="1"/>
    </xf>
    <xf borderId="0" fillId="18" fontId="16" numFmtId="0" xfId="0" applyAlignment="1" applyFont="1">
      <alignment readingOrder="0" shrinkToFit="0" wrapText="1"/>
    </xf>
    <xf borderId="0" fillId="0" fontId="3" numFmtId="0" xfId="0" applyAlignment="1" applyFont="1">
      <alignment readingOrder="0" shrinkToFit="0" wrapText="1"/>
    </xf>
    <xf borderId="0" fillId="0" fontId="43" numFmtId="0" xfId="0" applyFont="1"/>
    <xf borderId="0" fillId="0" fontId="17" numFmtId="0" xfId="0" applyAlignment="1" applyFont="1">
      <alignment readingOrder="0" shrinkToFit="0" wrapText="0"/>
    </xf>
    <xf borderId="0" fillId="0" fontId="44" numFmtId="0" xfId="0" applyFont="1"/>
    <xf borderId="0" fillId="0" fontId="45" numFmtId="0" xfId="0" applyAlignment="1" applyFont="1">
      <alignment shrinkToFit="0" wrapText="1"/>
    </xf>
    <xf borderId="0" fillId="0" fontId="46" numFmtId="0" xfId="0" applyAlignment="1" applyFont="1">
      <alignment readingOrder="0"/>
    </xf>
    <xf borderId="0" fillId="0" fontId="47" numFmtId="0" xfId="0" applyAlignment="1" applyFont="1">
      <alignment readingOrder="0" shrinkToFit="0" wrapText="1"/>
    </xf>
    <xf borderId="0" fillId="0" fontId="48" numFmtId="0" xfId="0" applyAlignment="1" applyFont="1">
      <alignment readingOrder="0" shrinkToFit="0" wrapText="0"/>
    </xf>
    <xf borderId="0" fillId="0" fontId="0" numFmtId="0" xfId="0" applyAlignment="1" applyFont="1">
      <alignment readingOrder="0"/>
    </xf>
    <xf borderId="0" fillId="0" fontId="49" numFmtId="0" xfId="0" applyFont="1"/>
    <xf borderId="0" fillId="18" fontId="17" numFmtId="0" xfId="0" applyAlignment="1" applyFont="1">
      <alignment readingOrder="0" shrinkToFit="0" wrapText="0"/>
    </xf>
    <xf borderId="0" fillId="0" fontId="50" numFmtId="0" xfId="0" applyAlignment="1" applyFont="1">
      <alignment readingOrder="0"/>
    </xf>
    <xf borderId="0" fillId="0" fontId="51" numFmtId="0" xfId="0" applyAlignment="1" applyFont="1">
      <alignment shrinkToFit="0" vertical="bottom" wrapText="1"/>
    </xf>
    <xf borderId="0" fillId="0" fontId="17" numFmtId="0" xfId="0" applyAlignment="1" applyFont="1">
      <alignment shrinkToFit="0" wrapText="0"/>
    </xf>
    <xf borderId="0" fillId="0" fontId="52" numFmtId="0" xfId="0" applyFont="1"/>
    <xf borderId="0" fillId="0" fontId="53" numFmtId="0" xfId="0" applyAlignment="1" applyFont="1">
      <alignment readingOrder="0"/>
    </xf>
    <xf borderId="0" fillId="0" fontId="54" numFmtId="0" xfId="0" applyAlignment="1" applyFont="1">
      <alignment readingOrder="0" shrinkToFit="0" wrapText="1"/>
    </xf>
    <xf borderId="0" fillId="0" fontId="55" numFmtId="0" xfId="0" applyAlignment="1" applyFont="1">
      <alignment readingOrder="0" shrinkToFit="0" wrapText="0"/>
    </xf>
    <xf borderId="0" fillId="0" fontId="56" numFmtId="0" xfId="0" applyAlignment="1" applyFont="1">
      <alignment readingOrder="0"/>
    </xf>
    <xf borderId="0" fillId="0" fontId="57" numFmtId="0" xfId="0" applyAlignment="1" applyFont="1">
      <alignment readingOrder="0" vertical="top"/>
    </xf>
    <xf borderId="0" fillId="0" fontId="3" numFmtId="0" xfId="0" applyAlignment="1" applyFont="1">
      <alignment shrinkToFit="0" wrapText="0"/>
    </xf>
    <xf borderId="0" fillId="18" fontId="3" numFmtId="0" xfId="0" applyAlignment="1" applyFont="1">
      <alignment readingOrder="0" shrinkToFit="0" wrapText="0"/>
    </xf>
    <xf borderId="0" fillId="0" fontId="58" numFmtId="0" xfId="0" applyAlignment="1" applyFont="1">
      <alignment shrinkToFit="0" vertical="bottom" wrapText="1"/>
    </xf>
    <xf borderId="0" fillId="0" fontId="59" numFmtId="0" xfId="0" applyAlignment="1" applyFont="1">
      <alignment shrinkToFit="0" wrapText="0"/>
    </xf>
    <xf borderId="0" fillId="0" fontId="60" numFmtId="0" xfId="0" applyFont="1"/>
    <xf borderId="0" fillId="0" fontId="61" numFmtId="0" xfId="0" applyAlignment="1" applyFont="1">
      <alignment horizontal="left" readingOrder="0" shrinkToFit="0" vertical="bottom" wrapText="1"/>
    </xf>
    <xf borderId="0" fillId="18" fontId="3" numFmtId="0" xfId="0" applyAlignment="1" applyFont="1">
      <alignment shrinkToFit="0" wrapText="0"/>
    </xf>
    <xf borderId="0" fillId="0" fontId="62" numFmtId="0" xfId="0" applyFont="1"/>
    <xf borderId="0" fillId="0" fontId="63" numFmtId="0" xfId="0" applyAlignment="1" applyFont="1">
      <alignment shrinkToFit="0" vertical="top" wrapText="1"/>
    </xf>
    <xf borderId="0" fillId="22" fontId="64" numFmtId="0" xfId="0" applyAlignment="1" applyFont="1">
      <alignment readingOrder="0"/>
    </xf>
    <xf borderId="0" fillId="22" fontId="65" numFmtId="0" xfId="0" applyAlignment="1" applyFont="1">
      <alignment readingOrder="0"/>
    </xf>
    <xf borderId="0" fillId="22" fontId="0" numFmtId="0" xfId="0" applyAlignment="1" applyFont="1">
      <alignment horizontal="left" readingOrder="0"/>
    </xf>
    <xf borderId="0" fillId="0" fontId="66" numFmtId="0" xfId="0" applyAlignment="1" applyFont="1">
      <alignment readingOrder="0"/>
    </xf>
    <xf borderId="0" fillId="0" fontId="42" numFmtId="0" xfId="0" applyAlignment="1" applyFont="1">
      <alignment readingOrder="0"/>
    </xf>
    <xf borderId="0" fillId="0" fontId="67" numFmtId="0" xfId="0" applyAlignment="1" applyFont="1">
      <alignment shrinkToFit="0" vertical="bottom" wrapText="1"/>
    </xf>
    <xf borderId="0" fillId="0" fontId="62" numFmtId="0" xfId="0" applyAlignment="1" applyFont="1">
      <alignment readingOrder="0"/>
    </xf>
    <xf borderId="0" fillId="0" fontId="62" numFmtId="0" xfId="0" applyAlignment="1" applyFont="1">
      <alignment shrinkToFit="0" wrapText="1"/>
    </xf>
    <xf borderId="0" fillId="0" fontId="62" numFmtId="0" xfId="0" applyAlignment="1" applyFont="1">
      <alignment shrinkToFit="0" wrapText="0"/>
    </xf>
    <xf borderId="0" fillId="0" fontId="68" numFmtId="0" xfId="0" applyFont="1"/>
    <xf borderId="0" fillId="0" fontId="62" numFmtId="0" xfId="0" applyAlignment="1" applyFont="1">
      <alignment readingOrder="0" shrinkToFit="0" wrapText="1"/>
    </xf>
    <xf borderId="0" fillId="0" fontId="62" numFmtId="0" xfId="0" applyAlignment="1" applyFont="1">
      <alignment readingOrder="0" shrinkToFit="0" wrapText="0"/>
    </xf>
    <xf borderId="0" fillId="0" fontId="64" numFmtId="0" xfId="0" applyAlignment="1" applyFont="1">
      <alignment horizontal="left" readingOrder="0"/>
    </xf>
    <xf borderId="0" fillId="25" fontId="64" numFmtId="0" xfId="0" applyAlignment="1" applyFill="1" applyFont="1">
      <alignment readingOrder="0"/>
    </xf>
    <xf borderId="0" fillId="22" fontId="69" numFmtId="0" xfId="0" applyAlignment="1" applyFont="1">
      <alignment horizontal="left" readingOrder="0"/>
    </xf>
    <xf borderId="0" fillId="0" fontId="70" numFmtId="0" xfId="0" applyAlignment="1" applyFont="1">
      <alignment readingOrder="0"/>
    </xf>
    <xf borderId="0" fillId="18" fontId="3" numFmtId="0" xfId="0" applyAlignment="1" applyFont="1">
      <alignment readingOrder="0"/>
    </xf>
    <xf borderId="0" fillId="22" fontId="71" numFmtId="0" xfId="0" applyAlignment="1" applyFont="1">
      <alignment readingOrder="0"/>
    </xf>
    <xf borderId="0" fillId="18" fontId="0" numFmtId="0" xfId="0" applyAlignment="1" applyFont="1">
      <alignment readingOrder="0"/>
    </xf>
    <xf borderId="0" fillId="22" fontId="72" numFmtId="0" xfId="0" applyAlignment="1" applyFont="1">
      <alignment readingOrder="0"/>
    </xf>
    <xf borderId="0" fillId="22" fontId="73" numFmtId="0" xfId="0" applyAlignment="1" applyFont="1">
      <alignment readingOrder="0"/>
    </xf>
    <xf borderId="0" fillId="0" fontId="74" numFmtId="0" xfId="0" applyAlignment="1" applyFont="1">
      <alignment shrinkToFit="0" wrapText="1"/>
    </xf>
    <xf borderId="0" fillId="0" fontId="75" numFmtId="0" xfId="0" applyAlignment="1" applyFont="1">
      <alignment shrinkToFit="0" vertical="bottom" wrapText="1"/>
    </xf>
    <xf borderId="0" fillId="22" fontId="76" numFmtId="0" xfId="0" applyAlignment="1" applyFont="1">
      <alignment readingOrder="0"/>
    </xf>
    <xf borderId="0" fillId="0" fontId="15" numFmtId="0" xfId="0" applyAlignment="1" applyFont="1">
      <alignment shrinkToFit="0" vertical="bottom" wrapText="1"/>
    </xf>
    <xf borderId="0" fillId="17" fontId="17" numFmtId="0" xfId="0" applyAlignment="1" applyFont="1">
      <alignment readingOrder="0"/>
    </xf>
    <xf borderId="0" fillId="3" fontId="17" numFmtId="0" xfId="0" applyAlignment="1" applyFont="1">
      <alignment readingOrder="0"/>
    </xf>
    <xf borderId="0" fillId="26" fontId="17" numFmtId="0" xfId="0" applyAlignment="1" applyFill="1" applyFont="1">
      <alignment readingOrder="0"/>
    </xf>
    <xf borderId="0" fillId="27" fontId="17" numFmtId="0" xfId="0" applyAlignment="1" applyFill="1" applyFont="1">
      <alignment readingOrder="0"/>
    </xf>
    <xf borderId="0" fillId="17" fontId="17" numFmtId="0" xfId="0" applyFont="1"/>
    <xf borderId="0" fillId="3" fontId="17" numFmtId="0" xfId="0" applyFont="1"/>
    <xf borderId="0" fillId="26" fontId="17" numFmtId="0" xfId="0" applyFont="1"/>
    <xf borderId="0" fillId="27" fontId="17" numFmtId="0" xfId="0" applyAlignment="1" applyFont="1">
      <alignment horizontal="center" vertical="top"/>
    </xf>
    <xf borderId="0" fillId="27" fontId="17" numFmtId="0" xfId="0" applyAlignment="1" applyFont="1">
      <alignment horizontal="center" vertical="top"/>
    </xf>
    <xf borderId="0" fillId="27" fontId="17" numFmtId="0" xfId="0" applyFont="1"/>
    <xf borderId="0" fillId="22" fontId="17" numFmtId="0" xfId="0" applyFont="1"/>
    <xf borderId="0" fillId="26" fontId="17" numFmtId="0" xfId="0" applyAlignment="1" applyFont="1">
      <alignment readingOrder="0"/>
    </xf>
    <xf borderId="0" fillId="28" fontId="17" numFmtId="0" xfId="0" applyAlignment="1" applyFill="1" applyFont="1">
      <alignment readingOrder="0"/>
    </xf>
    <xf borderId="0" fillId="22" fontId="17" numFmtId="0" xfId="0" applyAlignment="1" applyFont="1">
      <alignment horizontal="left" vertical="top"/>
    </xf>
    <xf borderId="0" fillId="22" fontId="17" numFmtId="0" xfId="0" applyAlignment="1" applyFont="1">
      <alignment horizontal="center" vertical="top"/>
    </xf>
    <xf borderId="0" fillId="0" fontId="17" numFmtId="0" xfId="0" applyAlignment="1" applyFont="1">
      <alignment horizontal="center" vertical="top"/>
    </xf>
    <xf borderId="0" fillId="29" fontId="17" numFmtId="0" xfId="0" applyAlignment="1" applyFill="1" applyFont="1">
      <alignment readingOrder="0"/>
    </xf>
    <xf borderId="0" fillId="0" fontId="1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8.xml"/><Relationship Id="rId3"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86"/>
    <col customWidth="1" min="2" max="2" width="19.71"/>
    <col customWidth="1" min="3" max="3" width="28.43"/>
    <col customWidth="1" min="4" max="4" width="23.29"/>
    <col customWidth="1" min="5" max="5" width="10.86"/>
    <col customWidth="1" min="6" max="6" width="3.71"/>
    <col customWidth="1" min="7" max="7" width="4.57"/>
    <col customWidth="1" min="8" max="8" width="5.0"/>
    <col customWidth="1" min="9" max="10" width="4.71"/>
    <col customWidth="1" min="11" max="11" width="4.57"/>
    <col customWidth="1" min="12" max="12" width="6.57"/>
    <col customWidth="1" min="13" max="13" width="6.14"/>
    <col customWidth="1" min="14" max="14" width="5.14"/>
    <col customWidth="1" min="15" max="15" width="7.0"/>
    <col customWidth="1" min="16" max="16" width="4.71"/>
    <col customWidth="1" min="17" max="17" width="7.14"/>
    <col customWidth="1" min="18" max="18" width="5.57"/>
    <col customWidth="1" min="19" max="19" width="4.57"/>
    <col customWidth="1" min="20" max="21" width="4.71"/>
    <col customWidth="1" min="22" max="22" width="28.57"/>
    <col customWidth="1" min="23" max="23" width="40.71"/>
    <col customWidth="1" min="25" max="25" width="30.86"/>
    <col customWidth="1" min="26" max="26" width="30.0"/>
    <col customWidth="1" min="27" max="27" width="4.14"/>
    <col customWidth="1" min="28" max="28" width="3.57"/>
    <col customWidth="1" min="29" max="29" width="5.43"/>
    <col customWidth="1" min="30" max="31" width="4.57"/>
    <col customWidth="1" min="32" max="32" width="4.71"/>
    <col customWidth="1" min="33" max="33" width="4.14"/>
    <col customWidth="1" min="34" max="34" width="36.71"/>
    <col customWidth="1" min="35" max="78" width="3.29"/>
  </cols>
  <sheetData>
    <row r="1">
      <c r="A1" s="1"/>
      <c r="B1" s="2" t="s">
        <v>0</v>
      </c>
      <c r="D1" s="3" t="s">
        <v>1</v>
      </c>
      <c r="F1" s="4"/>
      <c r="G1" s="5" t="s">
        <v>2</v>
      </c>
      <c r="V1" s="6" t="s">
        <v>3</v>
      </c>
      <c r="AA1" s="7" t="s">
        <v>4</v>
      </c>
      <c r="AC1" s="8" t="s">
        <v>5</v>
      </c>
      <c r="AH1" s="9"/>
      <c r="AI1" s="10" t="s">
        <v>6</v>
      </c>
      <c r="AJ1" s="11" t="s">
        <v>7</v>
      </c>
      <c r="AN1" s="12" t="s">
        <v>8</v>
      </c>
      <c r="AR1" s="13" t="s">
        <v>9</v>
      </c>
      <c r="AU1" s="14" t="s">
        <v>10</v>
      </c>
      <c r="BD1" s="15"/>
      <c r="BE1" s="16" t="s">
        <v>11</v>
      </c>
      <c r="BH1" s="17"/>
      <c r="BI1" s="18" t="s">
        <v>12</v>
      </c>
      <c r="BN1" s="19" t="s">
        <v>13</v>
      </c>
      <c r="BO1" s="20"/>
      <c r="BP1" s="21"/>
      <c r="BQ1" s="22" t="s">
        <v>14</v>
      </c>
      <c r="BV1" s="23" t="s">
        <v>15</v>
      </c>
    </row>
    <row r="2" ht="24.0" customHeight="1">
      <c r="A2" s="24" t="s">
        <v>16</v>
      </c>
      <c r="B2" s="25" t="s">
        <v>17</v>
      </c>
      <c r="C2" s="26" t="s">
        <v>18</v>
      </c>
      <c r="D2" s="27" t="s">
        <v>19</v>
      </c>
      <c r="E2" s="28" t="s">
        <v>20</v>
      </c>
      <c r="F2" s="29" t="s">
        <v>21</v>
      </c>
      <c r="G2" s="15" t="s">
        <v>22</v>
      </c>
      <c r="H2" s="15" t="s">
        <v>23</v>
      </c>
      <c r="I2" s="15" t="s">
        <v>24</v>
      </c>
      <c r="J2" s="15" t="s">
        <v>25</v>
      </c>
      <c r="K2" s="15" t="s">
        <v>26</v>
      </c>
      <c r="L2" s="15" t="s">
        <v>27</v>
      </c>
      <c r="M2" s="15" t="s">
        <v>28</v>
      </c>
      <c r="N2" s="15" t="s">
        <v>29</v>
      </c>
      <c r="O2" s="15" t="s">
        <v>30</v>
      </c>
      <c r="P2" s="15" t="s">
        <v>31</v>
      </c>
      <c r="Q2" s="15" t="s">
        <v>32</v>
      </c>
      <c r="R2" s="15" t="s">
        <v>33</v>
      </c>
      <c r="S2" s="15" t="s">
        <v>34</v>
      </c>
      <c r="T2" s="15" t="s">
        <v>35</v>
      </c>
      <c r="U2" s="15" t="s">
        <v>36</v>
      </c>
      <c r="V2" s="30" t="s">
        <v>37</v>
      </c>
      <c r="W2" s="30" t="s">
        <v>38</v>
      </c>
      <c r="X2" s="30" t="s">
        <v>39</v>
      </c>
      <c r="Y2" s="30" t="s">
        <v>40</v>
      </c>
      <c r="Z2" s="30" t="s">
        <v>41</v>
      </c>
      <c r="AA2" s="31" t="s">
        <v>42</v>
      </c>
      <c r="AB2" s="31" t="s">
        <v>43</v>
      </c>
      <c r="AC2" s="32" t="s">
        <v>44</v>
      </c>
      <c r="AD2" s="32" t="s">
        <v>45</v>
      </c>
      <c r="AE2" s="32" t="s">
        <v>46</v>
      </c>
      <c r="AF2" s="32" t="s">
        <v>47</v>
      </c>
      <c r="AG2" s="32" t="s">
        <v>48</v>
      </c>
      <c r="AH2" s="9" t="s">
        <v>49</v>
      </c>
      <c r="AJ2" s="33" t="s">
        <v>7</v>
      </c>
      <c r="AK2" s="33" t="s">
        <v>50</v>
      </c>
      <c r="AL2" s="33" t="s">
        <v>51</v>
      </c>
      <c r="AM2" s="33" t="s">
        <v>52</v>
      </c>
      <c r="AN2" s="34" t="s">
        <v>8</v>
      </c>
      <c r="AO2" s="34" t="s">
        <v>53</v>
      </c>
      <c r="AP2" s="34" t="s">
        <v>54</v>
      </c>
      <c r="AQ2" s="34" t="s">
        <v>55</v>
      </c>
      <c r="AR2" s="35" t="s">
        <v>9</v>
      </c>
      <c r="AS2" s="35" t="s">
        <v>56</v>
      </c>
      <c r="AT2" s="35" t="s">
        <v>57</v>
      </c>
      <c r="AU2" s="36" t="s">
        <v>10</v>
      </c>
      <c r="AV2" s="36" t="s">
        <v>58</v>
      </c>
      <c r="AW2" s="36" t="s">
        <v>59</v>
      </c>
      <c r="AX2" s="36" t="s">
        <v>60</v>
      </c>
      <c r="AY2" s="36" t="s">
        <v>61</v>
      </c>
      <c r="AZ2" s="36" t="s">
        <v>62</v>
      </c>
      <c r="BA2" s="36" t="s">
        <v>63</v>
      </c>
      <c r="BB2" s="36" t="s">
        <v>64</v>
      </c>
      <c r="BC2" s="36" t="s">
        <v>65</v>
      </c>
      <c r="BD2" s="37" t="s">
        <v>66</v>
      </c>
      <c r="BE2" s="38" t="s">
        <v>67</v>
      </c>
      <c r="BF2" s="38" t="s">
        <v>68</v>
      </c>
      <c r="BG2" s="38" t="s">
        <v>69</v>
      </c>
      <c r="BH2" s="39" t="s">
        <v>70</v>
      </c>
      <c r="BI2" s="40" t="s">
        <v>71</v>
      </c>
      <c r="BJ2" s="40" t="s">
        <v>72</v>
      </c>
      <c r="BK2" s="40" t="s">
        <v>73</v>
      </c>
      <c r="BL2" s="40" t="s">
        <v>74</v>
      </c>
      <c r="BM2" s="40" t="s">
        <v>75</v>
      </c>
      <c r="BN2" s="41" t="s">
        <v>76</v>
      </c>
      <c r="BO2" s="42" t="s">
        <v>77</v>
      </c>
      <c r="BP2" s="43"/>
      <c r="BQ2" s="44" t="s">
        <v>78</v>
      </c>
      <c r="BR2" s="44" t="s">
        <v>79</v>
      </c>
      <c r="BS2" s="44" t="s">
        <v>80</v>
      </c>
      <c r="BT2" s="44" t="s">
        <v>81</v>
      </c>
      <c r="BU2" s="44" t="s">
        <v>82</v>
      </c>
      <c r="BV2" s="45" t="s">
        <v>83</v>
      </c>
      <c r="BW2" s="45" t="s">
        <v>84</v>
      </c>
      <c r="BX2" s="45" t="s">
        <v>85</v>
      </c>
      <c r="BY2" s="45" t="s">
        <v>86</v>
      </c>
      <c r="BZ2" s="45" t="s">
        <v>87</v>
      </c>
    </row>
    <row r="3" ht="12.75" customHeight="1">
      <c r="A3" s="46" t="s">
        <v>88</v>
      </c>
      <c r="B3" s="47" t="str">
        <f>HYPERLINK("https://drive.google.com/open?id=1udUHGMCVraVbXnC-efjkY6U-jE0fdgT-","Abrahao2013")</f>
        <v>Abrahao2013</v>
      </c>
      <c r="C3" s="48" t="s">
        <v>89</v>
      </c>
      <c r="D3" s="48" t="s">
        <v>90</v>
      </c>
      <c r="E3" s="49">
        <v>2013.0</v>
      </c>
      <c r="F3" s="50"/>
      <c r="G3" s="50">
        <v>1.0</v>
      </c>
      <c r="H3" s="50"/>
      <c r="I3" s="50"/>
      <c r="J3" s="50"/>
      <c r="K3" s="50"/>
      <c r="L3" s="50"/>
      <c r="M3" s="50"/>
      <c r="N3" s="50"/>
      <c r="O3" s="50"/>
      <c r="P3" s="50"/>
      <c r="Q3" s="50"/>
      <c r="R3" s="50"/>
      <c r="S3" s="50"/>
      <c r="T3" s="50"/>
      <c r="U3" s="50"/>
      <c r="V3" s="51"/>
      <c r="W3" s="51" t="s">
        <v>91</v>
      </c>
      <c r="X3" s="51" t="s">
        <v>92</v>
      </c>
      <c r="Y3" s="51" t="s">
        <v>93</v>
      </c>
      <c r="Z3" s="51" t="s">
        <v>94</v>
      </c>
      <c r="AA3" s="50">
        <v>1.0</v>
      </c>
      <c r="AB3" s="50">
        <v>1.0</v>
      </c>
      <c r="AC3" s="50"/>
      <c r="AD3" s="50">
        <v>1.0</v>
      </c>
      <c r="AE3" s="50"/>
      <c r="AF3" s="50"/>
      <c r="AG3" s="50"/>
      <c r="AH3" s="51"/>
      <c r="AI3" s="51">
        <v>1.0</v>
      </c>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2">
        <v>1.0</v>
      </c>
      <c r="BJ3" s="51"/>
      <c r="BK3" s="51"/>
      <c r="BL3" s="51"/>
      <c r="BM3" s="51"/>
      <c r="BN3" s="51"/>
      <c r="BO3" s="51"/>
      <c r="BP3" s="51"/>
      <c r="BQ3" s="51"/>
      <c r="BR3" s="51"/>
      <c r="BS3" s="51"/>
      <c r="BT3" s="51"/>
      <c r="BU3" s="51"/>
      <c r="BV3" s="51"/>
      <c r="BW3" s="51">
        <v>1.0</v>
      </c>
      <c r="BX3" s="51"/>
      <c r="BY3" s="51"/>
      <c r="BZ3" s="51"/>
    </row>
    <row r="4" ht="12.75" customHeight="1">
      <c r="A4" s="46" t="s">
        <v>88</v>
      </c>
      <c r="B4" s="53" t="str">
        <f>HYPERLINK("https://drive.google.com/open?id=1A-fqtpQk5qcyGSMnBML6hnUPtwRFD6B4","Adelson1981")</f>
        <v>Adelson1981</v>
      </c>
      <c r="C4" s="48" t="s">
        <v>95</v>
      </c>
      <c r="D4" s="48" t="s">
        <v>96</v>
      </c>
      <c r="E4" s="49">
        <v>1981.0</v>
      </c>
      <c r="F4" s="50"/>
      <c r="G4" s="50"/>
      <c r="H4" s="50"/>
      <c r="I4" s="50">
        <v>1.0</v>
      </c>
      <c r="J4" s="50"/>
      <c r="K4" s="50"/>
      <c r="L4" s="50"/>
      <c r="M4" s="50"/>
      <c r="N4" s="50"/>
      <c r="O4" s="50"/>
      <c r="P4" s="50"/>
      <c r="Q4" s="50"/>
      <c r="R4" s="50"/>
      <c r="S4" s="50"/>
      <c r="T4" s="50"/>
      <c r="U4" s="50"/>
      <c r="V4" s="51"/>
      <c r="W4" s="51" t="s">
        <v>97</v>
      </c>
      <c r="X4" s="51" t="s">
        <v>98</v>
      </c>
      <c r="Y4" s="51" t="s">
        <v>99</v>
      </c>
      <c r="Z4" s="51" t="s">
        <v>100</v>
      </c>
      <c r="AA4" s="50">
        <v>1.0</v>
      </c>
      <c r="AB4" s="50"/>
      <c r="AC4" s="50"/>
      <c r="AD4" s="50">
        <v>1.0</v>
      </c>
      <c r="AE4" s="50"/>
      <c r="AF4" s="50"/>
      <c r="AG4" s="50"/>
      <c r="AH4" s="51"/>
      <c r="AI4" s="51">
        <v>1.0</v>
      </c>
      <c r="AJ4" s="51"/>
      <c r="AK4" s="51"/>
      <c r="AL4" s="51"/>
      <c r="AM4" s="51"/>
      <c r="AN4" s="51">
        <v>1.0</v>
      </c>
      <c r="AO4" s="51"/>
      <c r="AP4" s="51"/>
      <c r="AQ4" s="51"/>
      <c r="AR4" s="51"/>
      <c r="AS4" s="51"/>
      <c r="AT4" s="51"/>
      <c r="AU4" s="51"/>
      <c r="AV4" s="51"/>
      <c r="AW4" s="51"/>
      <c r="AX4" s="51"/>
      <c r="AY4" s="51"/>
      <c r="AZ4" s="51"/>
      <c r="BA4" s="51"/>
      <c r="BB4" s="51"/>
      <c r="BC4" s="51"/>
      <c r="BD4" s="51"/>
      <c r="BE4" s="51"/>
      <c r="BF4" s="51"/>
      <c r="BG4" s="51"/>
      <c r="BH4" s="51"/>
      <c r="BI4" s="51">
        <v>1.0</v>
      </c>
      <c r="BJ4" s="51"/>
      <c r="BK4" s="51"/>
      <c r="BL4" s="51"/>
      <c r="BM4" s="51"/>
      <c r="BN4" s="51"/>
      <c r="BO4" s="51"/>
      <c r="BP4" s="51"/>
      <c r="BQ4" s="51"/>
      <c r="BR4" s="51"/>
      <c r="BS4" s="51"/>
      <c r="BT4" s="51">
        <v>1.0</v>
      </c>
      <c r="BU4" s="51"/>
      <c r="BV4" s="51"/>
      <c r="BW4" s="51"/>
      <c r="BX4" s="51"/>
      <c r="BY4" s="51"/>
      <c r="BZ4" s="51"/>
    </row>
    <row r="5" ht="12.75" customHeight="1">
      <c r="A5" s="46" t="s">
        <v>88</v>
      </c>
      <c r="B5" s="53" t="str">
        <f>HYPERLINK("https://drive.google.com/open?id=1GGXpUzRNGEowPBrn7AhpVRMEyD7tmzkx","Agarwal1996a")</f>
        <v>Agarwal1996a</v>
      </c>
      <c r="C5" s="48" t="s">
        <v>101</v>
      </c>
      <c r="D5" s="48" t="s">
        <v>102</v>
      </c>
      <c r="E5" s="49">
        <v>1996.0</v>
      </c>
      <c r="F5" s="50"/>
      <c r="G5" s="50"/>
      <c r="H5" s="50">
        <v>1.0</v>
      </c>
      <c r="I5" s="50"/>
      <c r="J5" s="50"/>
      <c r="K5" s="50"/>
      <c r="L5" s="50"/>
      <c r="M5" s="50"/>
      <c r="N5" s="50"/>
      <c r="O5" s="50"/>
      <c r="P5" s="50"/>
      <c r="Q5" s="50"/>
      <c r="R5" s="50"/>
      <c r="S5" s="50"/>
      <c r="T5" s="50"/>
      <c r="U5" s="50"/>
      <c r="V5" s="51"/>
      <c r="W5" s="51" t="s">
        <v>103</v>
      </c>
      <c r="X5" s="51" t="s">
        <v>84</v>
      </c>
      <c r="Y5" s="51" t="s">
        <v>104</v>
      </c>
      <c r="Z5" s="51" t="s">
        <v>100</v>
      </c>
      <c r="AA5" s="50">
        <v>1.0</v>
      </c>
      <c r="AB5" s="50"/>
      <c r="AC5" s="50"/>
      <c r="AD5" s="50">
        <v>1.0</v>
      </c>
      <c r="AE5" s="50"/>
      <c r="AF5" s="50"/>
      <c r="AG5" s="50"/>
      <c r="AH5" s="51"/>
      <c r="AI5" s="51">
        <v>1.0</v>
      </c>
      <c r="AJ5" s="51"/>
      <c r="AK5" s="51"/>
      <c r="AL5" s="51"/>
      <c r="AM5" s="51"/>
      <c r="AN5" s="51"/>
      <c r="AO5" s="51"/>
      <c r="AP5" s="51"/>
      <c r="AQ5" s="51"/>
      <c r="AR5" s="51"/>
      <c r="AS5" s="51"/>
      <c r="AT5" s="51"/>
      <c r="AU5" s="51"/>
      <c r="AV5" s="51"/>
      <c r="AW5" s="51"/>
      <c r="AX5" s="51"/>
      <c r="AY5" s="51"/>
      <c r="AZ5" s="51"/>
      <c r="BA5" s="51"/>
      <c r="BB5" s="51"/>
      <c r="BC5" s="51"/>
      <c r="BD5" s="51"/>
      <c r="BE5" s="51">
        <v>1.0</v>
      </c>
      <c r="BF5" s="51"/>
      <c r="BG5" s="51"/>
      <c r="BH5" s="51"/>
      <c r="BI5" s="51"/>
      <c r="BJ5" s="51"/>
      <c r="BK5" s="51"/>
      <c r="BL5" s="51"/>
      <c r="BM5" s="51"/>
      <c r="BN5" s="51"/>
      <c r="BO5" s="51"/>
      <c r="BP5" s="51"/>
      <c r="BQ5" s="51"/>
      <c r="BR5" s="51"/>
      <c r="BS5" s="51"/>
      <c r="BT5" s="51"/>
      <c r="BU5" s="51"/>
      <c r="BV5" s="51"/>
      <c r="BW5" s="51">
        <v>1.0</v>
      </c>
      <c r="BX5" s="51"/>
      <c r="BY5" s="51"/>
      <c r="BZ5" s="51"/>
    </row>
    <row r="6" ht="12.75" customHeight="1">
      <c r="A6" s="46" t="s">
        <v>88</v>
      </c>
      <c r="B6" s="53" t="str">
        <f>HYPERLINK("https://drive.google.com/open?id=1X8v6g164iQc6AnXBh2QY8FMURxz_s3sh","Agarwal1996b")</f>
        <v>Agarwal1996b</v>
      </c>
      <c r="C6" s="48" t="s">
        <v>105</v>
      </c>
      <c r="D6" s="48" t="s">
        <v>106</v>
      </c>
      <c r="E6" s="49">
        <v>1996.0</v>
      </c>
      <c r="F6" s="50"/>
      <c r="G6" s="50"/>
      <c r="H6" s="50">
        <v>1.0</v>
      </c>
      <c r="I6" s="50"/>
      <c r="J6" s="50"/>
      <c r="K6" s="50"/>
      <c r="L6" s="50"/>
      <c r="M6" s="50"/>
      <c r="N6" s="50"/>
      <c r="O6" s="50"/>
      <c r="P6" s="50"/>
      <c r="Q6" s="50"/>
      <c r="R6" s="50"/>
      <c r="S6" s="50"/>
      <c r="T6" s="50"/>
      <c r="U6" s="50"/>
      <c r="V6" s="51"/>
      <c r="W6" s="51" t="s">
        <v>107</v>
      </c>
      <c r="X6" s="51" t="s">
        <v>84</v>
      </c>
      <c r="Y6" s="51" t="s">
        <v>104</v>
      </c>
      <c r="Z6" s="51" t="s">
        <v>100</v>
      </c>
      <c r="AA6" s="50">
        <v>1.0</v>
      </c>
      <c r="AB6" s="50">
        <v>1.0</v>
      </c>
      <c r="AC6" s="50"/>
      <c r="AD6" s="50">
        <v>1.0</v>
      </c>
      <c r="AE6" s="50"/>
      <c r="AF6" s="50"/>
      <c r="AG6" s="50"/>
      <c r="AH6" s="51"/>
      <c r="AI6" s="51">
        <v>1.0</v>
      </c>
      <c r="AJ6" s="51"/>
      <c r="AK6" s="51"/>
      <c r="AL6" s="51"/>
      <c r="AM6" s="51"/>
      <c r="AN6" s="51"/>
      <c r="AO6" s="51"/>
      <c r="AP6" s="51"/>
      <c r="AQ6" s="51"/>
      <c r="AR6" s="51"/>
      <c r="AS6" s="51"/>
      <c r="AT6" s="51"/>
      <c r="AU6" s="51"/>
      <c r="AV6" s="51"/>
      <c r="AW6" s="51"/>
      <c r="AX6" s="51"/>
      <c r="AY6" s="51"/>
      <c r="AZ6" s="51"/>
      <c r="BA6" s="51"/>
      <c r="BB6" s="51"/>
      <c r="BC6" s="51"/>
      <c r="BD6" s="51"/>
      <c r="BE6" s="51">
        <v>1.0</v>
      </c>
      <c r="BF6" s="51"/>
      <c r="BG6" s="51"/>
      <c r="BH6" s="51"/>
      <c r="BI6" s="51">
        <v>1.0</v>
      </c>
      <c r="BJ6" s="51"/>
      <c r="BK6" s="51"/>
      <c r="BL6" s="51"/>
      <c r="BM6" s="51"/>
      <c r="BN6" s="51"/>
      <c r="BO6" s="51"/>
      <c r="BP6" s="51"/>
      <c r="BQ6" s="51"/>
      <c r="BR6" s="51"/>
      <c r="BS6" s="51"/>
      <c r="BT6" s="51"/>
      <c r="BU6" s="51"/>
      <c r="BV6" s="51"/>
      <c r="BW6" s="51">
        <v>1.0</v>
      </c>
      <c r="BX6" s="51"/>
      <c r="BY6" s="51"/>
      <c r="BZ6" s="51"/>
    </row>
    <row r="7" ht="12.75" customHeight="1">
      <c r="A7" s="46" t="s">
        <v>108</v>
      </c>
      <c r="B7" s="54" t="str">
        <f>HYPERLINK("https://drive.google.com/open?id=0B3oar8-GeP-IT29tMXpHQWtKQnc","Agarwal1999")</f>
        <v>Agarwal1999</v>
      </c>
      <c r="C7" s="55" t="s">
        <v>109</v>
      </c>
      <c r="D7" s="48"/>
      <c r="E7" s="49">
        <v>1999.0</v>
      </c>
      <c r="F7" s="50"/>
      <c r="G7" s="50"/>
      <c r="H7" s="50">
        <v>1.0</v>
      </c>
      <c r="I7" s="50">
        <v>1.0</v>
      </c>
      <c r="J7" s="50"/>
      <c r="K7" s="50"/>
      <c r="L7" s="50"/>
      <c r="M7" s="50"/>
      <c r="N7" s="50"/>
      <c r="O7" s="50"/>
      <c r="P7" s="50"/>
      <c r="Q7" s="50"/>
      <c r="R7" s="50"/>
      <c r="S7" s="50"/>
      <c r="T7" s="50"/>
      <c r="U7" s="50"/>
      <c r="V7" s="48" t="s">
        <v>110</v>
      </c>
      <c r="W7" s="48" t="s">
        <v>111</v>
      </c>
      <c r="X7" s="48" t="s">
        <v>112</v>
      </c>
      <c r="Y7" s="48" t="s">
        <v>113</v>
      </c>
      <c r="Z7" s="48" t="s">
        <v>114</v>
      </c>
      <c r="AA7" s="50">
        <v>1.0</v>
      </c>
      <c r="AB7" s="50"/>
      <c r="AC7" s="50"/>
      <c r="AD7" s="50">
        <v>1.0</v>
      </c>
      <c r="AE7" s="50"/>
      <c r="AF7" s="50"/>
      <c r="AG7" s="50"/>
      <c r="AH7" s="51" t="s">
        <v>115</v>
      </c>
      <c r="AI7" s="51">
        <v>1.0</v>
      </c>
      <c r="AJ7" s="51"/>
      <c r="AK7" s="51"/>
      <c r="AL7" s="51"/>
      <c r="AM7" s="51"/>
      <c r="AN7" s="51"/>
      <c r="AO7" s="51"/>
      <c r="AP7" s="51"/>
      <c r="AQ7" s="51"/>
      <c r="AR7" s="51"/>
      <c r="AS7" s="51"/>
      <c r="AT7" s="51"/>
      <c r="AU7" s="51"/>
      <c r="AV7" s="51"/>
      <c r="AW7" s="51"/>
      <c r="AX7" s="51"/>
      <c r="AY7" s="51"/>
      <c r="AZ7" s="51"/>
      <c r="BA7" s="51"/>
      <c r="BB7" s="51"/>
      <c r="BC7" s="51"/>
      <c r="BD7" s="51"/>
      <c r="BE7" s="51">
        <v>1.0</v>
      </c>
      <c r="BF7" s="51"/>
      <c r="BG7" s="51"/>
      <c r="BH7" s="51"/>
      <c r="BI7" s="52">
        <v>1.0</v>
      </c>
      <c r="BJ7" s="51"/>
      <c r="BK7" s="51"/>
      <c r="BL7" s="51"/>
      <c r="BM7" s="51"/>
      <c r="BN7" s="51"/>
      <c r="BO7" s="51"/>
      <c r="BP7" s="51"/>
      <c r="BQ7" s="51"/>
      <c r="BR7" s="51"/>
      <c r="BS7" s="51"/>
      <c r="BT7" s="51"/>
      <c r="BU7" s="51"/>
      <c r="BV7" s="51"/>
      <c r="BW7" s="51"/>
      <c r="BX7" s="51"/>
      <c r="BY7" s="51">
        <v>1.0</v>
      </c>
      <c r="BZ7" s="51"/>
    </row>
    <row r="8" ht="12.75" customHeight="1">
      <c r="A8" s="46" t="s">
        <v>116</v>
      </c>
      <c r="B8" s="56" t="str">
        <f>HYPERLINK("https://drive.google.com/open?id=0B1GMAYMj9v6rUjNEb25DZGFWSEU","Alexandron2014")</f>
        <v>Alexandron2014</v>
      </c>
      <c r="C8" s="55" t="s">
        <v>117</v>
      </c>
      <c r="D8" s="55" t="s">
        <v>118</v>
      </c>
      <c r="E8" s="49">
        <v>2014.0</v>
      </c>
      <c r="F8" s="50"/>
      <c r="G8" s="50"/>
      <c r="H8" s="50"/>
      <c r="I8" s="50">
        <v>1.0</v>
      </c>
      <c r="J8" s="50"/>
      <c r="K8" s="50"/>
      <c r="L8" s="50"/>
      <c r="M8" s="50"/>
      <c r="N8" s="50"/>
      <c r="O8" s="50"/>
      <c r="P8" s="50"/>
      <c r="Q8" s="50"/>
      <c r="R8" s="50"/>
      <c r="S8" s="50"/>
      <c r="T8" s="50"/>
      <c r="U8" s="50"/>
      <c r="V8" s="51" t="s">
        <v>9</v>
      </c>
      <c r="W8" s="51" t="s">
        <v>119</v>
      </c>
      <c r="X8" s="51" t="s">
        <v>120</v>
      </c>
      <c r="Y8" s="51" t="s">
        <v>121</v>
      </c>
      <c r="Z8" s="51" t="s">
        <v>122</v>
      </c>
      <c r="AA8" s="50">
        <v>1.0</v>
      </c>
      <c r="AB8" s="50"/>
      <c r="AC8" s="50"/>
      <c r="AD8" s="50">
        <v>1.0</v>
      </c>
      <c r="AE8" s="50"/>
      <c r="AF8" s="50"/>
      <c r="AG8" s="50"/>
      <c r="AH8" s="51" t="s">
        <v>123</v>
      </c>
      <c r="AI8" s="51">
        <v>1.0</v>
      </c>
      <c r="AJ8" s="51"/>
      <c r="AK8" s="51"/>
      <c r="AL8" s="51"/>
      <c r="AM8" s="51"/>
      <c r="AN8" s="51"/>
      <c r="AO8" s="51"/>
      <c r="AP8" s="51"/>
      <c r="AQ8" s="51"/>
      <c r="AR8" s="51">
        <v>1.0</v>
      </c>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v>1.0</v>
      </c>
      <c r="BT8" s="51"/>
      <c r="BU8" s="51"/>
      <c r="BV8" s="51"/>
      <c r="BW8" s="51"/>
      <c r="BX8" s="51"/>
      <c r="BY8" s="51"/>
      <c r="BZ8" s="51"/>
    </row>
    <row r="9" ht="12.75" customHeight="1">
      <c r="A9" s="46" t="s">
        <v>124</v>
      </c>
      <c r="B9" s="56" t="str">
        <f>HYPERLINK("https://drive.google.com/open?id=0B-nn5iJ29NJaTXd6ckdfbDlIWVU","Anu2016")</f>
        <v>Anu2016</v>
      </c>
      <c r="C9" s="55" t="s">
        <v>125</v>
      </c>
      <c r="D9" s="55" t="s">
        <v>126</v>
      </c>
      <c r="E9" s="57">
        <v>2016.0</v>
      </c>
      <c r="F9" s="58"/>
      <c r="G9" s="50">
        <v>1.0</v>
      </c>
      <c r="H9" s="50"/>
      <c r="I9" s="50"/>
      <c r="J9" s="50"/>
      <c r="K9" s="50"/>
      <c r="L9" s="50"/>
      <c r="M9" s="50"/>
      <c r="N9" s="50"/>
      <c r="O9" s="50"/>
      <c r="P9" s="50"/>
      <c r="Q9" s="50"/>
      <c r="R9" s="50"/>
      <c r="S9" s="50"/>
      <c r="T9" s="50"/>
      <c r="U9" s="50"/>
      <c r="V9" s="48" t="s">
        <v>127</v>
      </c>
      <c r="W9" s="48" t="s">
        <v>128</v>
      </c>
      <c r="X9" s="48" t="s">
        <v>129</v>
      </c>
      <c r="Y9" s="48" t="s">
        <v>130</v>
      </c>
      <c r="Z9" s="48" t="s">
        <v>131</v>
      </c>
      <c r="AA9" s="50">
        <v>1.0</v>
      </c>
      <c r="AB9" s="50"/>
      <c r="AC9" s="50"/>
      <c r="AD9" s="50">
        <v>1.0</v>
      </c>
      <c r="AE9" s="50"/>
      <c r="AF9" s="50"/>
      <c r="AG9" s="50"/>
      <c r="AH9" s="59"/>
      <c r="AI9" s="51">
        <v>1.0</v>
      </c>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v>1.0</v>
      </c>
      <c r="BX9" s="51"/>
      <c r="BY9" s="51"/>
      <c r="BZ9" s="51"/>
    </row>
    <row r="10" ht="12.75" customHeight="1">
      <c r="A10" s="46" t="s">
        <v>88</v>
      </c>
      <c r="B10" s="53" t="str">
        <f>HYPERLINK("https://drive.google.com/open?id=0B00cIHsghs6UM1FBdzFnS0R4d2c","Aranda2005")</f>
        <v>Aranda2005</v>
      </c>
      <c r="C10" s="48" t="s">
        <v>132</v>
      </c>
      <c r="D10" s="48" t="s">
        <v>133</v>
      </c>
      <c r="E10" s="49">
        <v>2005.0</v>
      </c>
      <c r="F10" s="60"/>
      <c r="G10" s="50"/>
      <c r="H10" s="50"/>
      <c r="I10" s="50"/>
      <c r="J10" s="50"/>
      <c r="K10" s="50"/>
      <c r="L10" s="50"/>
      <c r="M10" s="50">
        <v>1.0</v>
      </c>
      <c r="N10" s="50"/>
      <c r="O10" s="50"/>
      <c r="P10" s="50"/>
      <c r="Q10" s="50"/>
      <c r="R10" s="50"/>
      <c r="S10" s="50"/>
      <c r="T10" s="50"/>
      <c r="U10" s="50"/>
      <c r="V10" s="51"/>
      <c r="W10" s="51" t="s">
        <v>134</v>
      </c>
      <c r="X10" s="51" t="s">
        <v>135</v>
      </c>
      <c r="Y10" s="51" t="s">
        <v>136</v>
      </c>
      <c r="Z10" s="51" t="s">
        <v>137</v>
      </c>
      <c r="AA10" s="50">
        <v>1.0</v>
      </c>
      <c r="AB10" s="50">
        <v>1.0</v>
      </c>
      <c r="AC10" s="50"/>
      <c r="AD10" s="50">
        <v>1.0</v>
      </c>
      <c r="AE10" s="50"/>
      <c r="AF10" s="50"/>
      <c r="AG10" s="50"/>
      <c r="AH10" s="51"/>
      <c r="AI10" s="51">
        <v>1.0</v>
      </c>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v>1.0</v>
      </c>
      <c r="BI10" s="51"/>
      <c r="BJ10" s="51"/>
      <c r="BK10" s="51"/>
      <c r="BL10" s="51"/>
      <c r="BM10" s="51"/>
      <c r="BN10" s="51"/>
      <c r="BO10" s="51"/>
      <c r="BP10" s="51"/>
      <c r="BQ10" s="51"/>
      <c r="BR10" s="51"/>
      <c r="BS10" s="51"/>
      <c r="BT10" s="51"/>
      <c r="BU10" s="51"/>
      <c r="BV10" s="51"/>
      <c r="BW10" s="51">
        <v>1.0</v>
      </c>
      <c r="BX10" s="51"/>
      <c r="BY10" s="51"/>
      <c r="BZ10" s="51"/>
    </row>
    <row r="11" ht="12.75" customHeight="1">
      <c r="A11" s="46" t="s">
        <v>88</v>
      </c>
      <c r="B11" s="47" t="str">
        <f>HYPERLINK("https://drive.google.com/open?id=1A-Qgl1TC-kmQI8iWXf10Tc6gafly854y","Aranda2005")</f>
        <v>Aranda2005</v>
      </c>
      <c r="C11" s="48" t="s">
        <v>138</v>
      </c>
      <c r="D11" s="48" t="s">
        <v>139</v>
      </c>
      <c r="E11" s="49">
        <v>2005.0</v>
      </c>
      <c r="F11" s="50"/>
      <c r="G11" s="50">
        <v>1.0</v>
      </c>
      <c r="H11" s="50"/>
      <c r="I11" s="50"/>
      <c r="J11" s="50"/>
      <c r="K11" s="50"/>
      <c r="L11" s="50"/>
      <c r="M11" s="50"/>
      <c r="N11" s="50"/>
      <c r="O11" s="50"/>
      <c r="P11" s="50"/>
      <c r="Q11" s="50"/>
      <c r="R11" s="50"/>
      <c r="S11" s="50"/>
      <c r="T11" s="50"/>
      <c r="U11" s="50"/>
      <c r="V11" s="51" t="s">
        <v>140</v>
      </c>
      <c r="W11" s="51" t="s">
        <v>141</v>
      </c>
      <c r="X11" s="51" t="s">
        <v>142</v>
      </c>
      <c r="Y11" s="51" t="s">
        <v>143</v>
      </c>
      <c r="Z11" s="51" t="s">
        <v>100</v>
      </c>
      <c r="AA11" s="50"/>
      <c r="AB11" s="50"/>
      <c r="AC11" s="50">
        <v>1.0</v>
      </c>
      <c r="AD11" s="50"/>
      <c r="AE11" s="50"/>
      <c r="AF11" s="50"/>
      <c r="AG11" s="50"/>
      <c r="AH11" s="51"/>
      <c r="AI11" s="52">
        <v>1.0</v>
      </c>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2">
        <v>1.0</v>
      </c>
      <c r="BJ11" s="51"/>
      <c r="BK11" s="51"/>
      <c r="BL11" s="51"/>
      <c r="BM11" s="51"/>
      <c r="BN11" s="51"/>
      <c r="BO11" s="51"/>
      <c r="BP11" s="51"/>
      <c r="BQ11" s="51"/>
      <c r="BR11" s="51"/>
      <c r="BS11" s="51"/>
      <c r="BT11" s="51"/>
      <c r="BU11" s="51"/>
      <c r="BV11" s="51"/>
      <c r="BW11" s="51"/>
      <c r="BX11" s="51"/>
      <c r="BY11" s="52">
        <v>1.0</v>
      </c>
      <c r="BZ11" s="51"/>
    </row>
    <row r="12" ht="12.75" customHeight="1">
      <c r="A12" s="46" t="s">
        <v>124</v>
      </c>
      <c r="B12" s="54" t="str">
        <f>HYPERLINK("https://drive.google.com/open?id=0B-nn5iJ29NJaajQ3RFR5dHpMQUE","Aranda2005a")</f>
        <v>Aranda2005a</v>
      </c>
      <c r="C12" s="55" t="s">
        <v>144</v>
      </c>
      <c r="D12" s="55" t="s">
        <v>145</v>
      </c>
      <c r="E12" s="57">
        <v>2005.0</v>
      </c>
      <c r="F12" s="58"/>
      <c r="G12" s="50">
        <v>1.0</v>
      </c>
      <c r="H12" s="50"/>
      <c r="I12" s="50"/>
      <c r="J12" s="50"/>
      <c r="K12" s="50"/>
      <c r="L12" s="50"/>
      <c r="M12" s="50"/>
      <c r="N12" s="50"/>
      <c r="O12" s="50"/>
      <c r="P12" s="50"/>
      <c r="Q12" s="50"/>
      <c r="R12" s="50"/>
      <c r="S12" s="50"/>
      <c r="T12" s="50"/>
      <c r="U12" s="50"/>
      <c r="V12" s="48"/>
      <c r="W12" s="48" t="s">
        <v>146</v>
      </c>
      <c r="X12" s="48" t="s">
        <v>147</v>
      </c>
      <c r="Y12" s="48" t="s">
        <v>148</v>
      </c>
      <c r="Z12" s="48" t="s">
        <v>149</v>
      </c>
      <c r="AA12" s="61"/>
      <c r="AB12" s="61">
        <v>1.0</v>
      </c>
      <c r="AC12" s="50">
        <v>1.0</v>
      </c>
      <c r="AD12" s="50"/>
      <c r="AE12" s="50"/>
      <c r="AF12" s="50"/>
      <c r="AG12" s="50"/>
      <c r="AH12" s="59"/>
      <c r="AI12" s="52">
        <v>1.0</v>
      </c>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2">
        <v>1.0</v>
      </c>
      <c r="BJ12" s="51"/>
      <c r="BK12" s="51"/>
      <c r="BL12" s="51"/>
      <c r="BM12" s="51"/>
      <c r="BN12" s="51"/>
      <c r="BO12" s="51"/>
      <c r="BP12" s="51"/>
      <c r="BQ12" s="51"/>
      <c r="BR12" s="51"/>
      <c r="BS12" s="51"/>
      <c r="BT12" s="51"/>
      <c r="BU12" s="51"/>
      <c r="BV12" s="52"/>
      <c r="BW12" s="51"/>
      <c r="BX12" s="51"/>
      <c r="BY12" s="52">
        <v>1.0</v>
      </c>
      <c r="BZ12" s="51"/>
    </row>
    <row r="13" ht="12.75" customHeight="1">
      <c r="A13" s="46" t="s">
        <v>116</v>
      </c>
      <c r="B13" s="54" t="str">
        <f>HYPERLINK("https://drive.google.com/open?id=0B1GMAYMj9v6raXVlejY2RzkwbUE","Aranda2006")</f>
        <v>Aranda2006</v>
      </c>
      <c r="C13" s="55" t="s">
        <v>150</v>
      </c>
      <c r="D13" s="55" t="s">
        <v>151</v>
      </c>
      <c r="E13" s="49">
        <v>2006.0</v>
      </c>
      <c r="F13" s="50"/>
      <c r="G13" s="50">
        <v>1.0</v>
      </c>
      <c r="H13" s="50"/>
      <c r="I13" s="50"/>
      <c r="J13" s="50"/>
      <c r="K13" s="50"/>
      <c r="L13" s="50"/>
      <c r="M13" s="50">
        <v>1.0</v>
      </c>
      <c r="N13" s="50"/>
      <c r="O13" s="50"/>
      <c r="P13" s="50"/>
      <c r="Q13" s="50"/>
      <c r="R13" s="50"/>
      <c r="S13" s="50"/>
      <c r="T13" s="50"/>
      <c r="U13" s="50"/>
      <c r="V13" s="51" t="s">
        <v>152</v>
      </c>
      <c r="W13" s="51" t="s">
        <v>153</v>
      </c>
      <c r="X13" s="51" t="s">
        <v>154</v>
      </c>
      <c r="Y13" s="51" t="s">
        <v>155</v>
      </c>
      <c r="Z13" s="51" t="s">
        <v>156</v>
      </c>
      <c r="AA13" s="50">
        <v>1.0</v>
      </c>
      <c r="AB13" s="50">
        <v>1.0</v>
      </c>
      <c r="AC13" s="50"/>
      <c r="AD13" s="50">
        <v>1.0</v>
      </c>
      <c r="AE13" s="50"/>
      <c r="AF13" s="50"/>
      <c r="AG13" s="50"/>
      <c r="AH13" s="51" t="s">
        <v>157</v>
      </c>
      <c r="AI13" s="52">
        <v>1.0</v>
      </c>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2">
        <v>1.0</v>
      </c>
      <c r="BJ13" s="51"/>
      <c r="BK13" s="51"/>
      <c r="BL13" s="51"/>
      <c r="BM13" s="51"/>
      <c r="BN13" s="51"/>
      <c r="BO13" s="51"/>
      <c r="BP13" s="51"/>
      <c r="BQ13" s="51"/>
      <c r="BR13" s="51"/>
      <c r="BS13" s="51"/>
      <c r="BT13" s="51"/>
      <c r="BU13" s="51"/>
      <c r="BV13" s="51"/>
      <c r="BW13" s="51"/>
      <c r="BX13" s="51"/>
      <c r="BY13" s="51">
        <v>1.0</v>
      </c>
      <c r="BZ13" s="51"/>
    </row>
    <row r="14" ht="12.75" customHeight="1">
      <c r="A14" s="46" t="s">
        <v>116</v>
      </c>
      <c r="B14" s="54" t="str">
        <f>HYPERLINK("https://drive.google.com/open?id=0B1GMAYMj9v6ra3ZOUEtKcU9zS28","Aranda2006b")</f>
        <v>Aranda2006b</v>
      </c>
      <c r="C14" s="55" t="s">
        <v>158</v>
      </c>
      <c r="D14" s="55" t="s">
        <v>159</v>
      </c>
      <c r="E14" s="49">
        <v>2006.0</v>
      </c>
      <c r="F14" s="50"/>
      <c r="G14" s="50">
        <v>1.0</v>
      </c>
      <c r="H14" s="50"/>
      <c r="I14" s="50"/>
      <c r="J14" s="50"/>
      <c r="K14" s="50"/>
      <c r="L14" s="50"/>
      <c r="M14" s="50">
        <v>1.0</v>
      </c>
      <c r="N14" s="50"/>
      <c r="O14" s="50"/>
      <c r="P14" s="50"/>
      <c r="Q14" s="50"/>
      <c r="R14" s="50"/>
      <c r="S14" s="50"/>
      <c r="T14" s="50"/>
      <c r="U14" s="50"/>
      <c r="V14" s="51" t="s">
        <v>160</v>
      </c>
      <c r="W14" s="51" t="s">
        <v>161</v>
      </c>
      <c r="X14" s="51" t="s">
        <v>162</v>
      </c>
      <c r="Y14" s="51" t="s">
        <v>163</v>
      </c>
      <c r="Z14" s="51" t="s">
        <v>156</v>
      </c>
      <c r="AA14" s="50">
        <v>1.0</v>
      </c>
      <c r="AB14" s="50">
        <v>1.0</v>
      </c>
      <c r="AC14" s="50"/>
      <c r="AD14" s="50">
        <v>1.0</v>
      </c>
      <c r="AE14" s="50"/>
      <c r="AF14" s="50"/>
      <c r="AG14" s="50"/>
      <c r="AH14" s="51" t="s">
        <v>164</v>
      </c>
      <c r="AI14" s="52">
        <v>1.0</v>
      </c>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2">
        <v>1.0</v>
      </c>
      <c r="BJ14" s="51"/>
      <c r="BK14" s="51"/>
      <c r="BL14" s="51"/>
      <c r="BM14" s="51"/>
      <c r="BN14" s="51"/>
      <c r="BO14" s="51"/>
      <c r="BP14" s="51"/>
      <c r="BQ14" s="51"/>
      <c r="BR14" s="51"/>
      <c r="BS14" s="51"/>
      <c r="BT14" s="51"/>
      <c r="BU14" s="51"/>
      <c r="BV14" s="51"/>
      <c r="BW14" s="51"/>
      <c r="BX14" s="51"/>
      <c r="BY14" s="51">
        <v>1.0</v>
      </c>
      <c r="BZ14" s="51"/>
    </row>
    <row r="15" ht="12.75" customHeight="1">
      <c r="A15" s="46" t="s">
        <v>88</v>
      </c>
      <c r="B15" s="47" t="str">
        <f>HYPERLINK("https://drive.google.com/open?id=0B00cIHsghs6UVzRza2FWS3RmcWc","Aranda2010")</f>
        <v>Aranda2010</v>
      </c>
      <c r="C15" s="48" t="s">
        <v>165</v>
      </c>
      <c r="D15" s="48" t="s">
        <v>166</v>
      </c>
      <c r="E15" s="49">
        <v>2010.0</v>
      </c>
      <c r="F15" s="50"/>
      <c r="G15" s="50">
        <v>1.0</v>
      </c>
      <c r="H15" s="50"/>
      <c r="I15" s="50"/>
      <c r="J15" s="50"/>
      <c r="K15" s="50"/>
      <c r="L15" s="50"/>
      <c r="M15" s="50"/>
      <c r="N15" s="50"/>
      <c r="O15" s="50"/>
      <c r="P15" s="50"/>
      <c r="Q15" s="50">
        <v>1.0</v>
      </c>
      <c r="R15" s="50"/>
      <c r="S15" s="50"/>
      <c r="T15" s="50"/>
      <c r="U15" s="50"/>
      <c r="V15" s="51" t="s">
        <v>167</v>
      </c>
      <c r="W15" s="51" t="s">
        <v>168</v>
      </c>
      <c r="X15" s="51" t="s">
        <v>169</v>
      </c>
      <c r="Y15" s="51" t="s">
        <v>170</v>
      </c>
      <c r="Z15" s="51" t="s">
        <v>100</v>
      </c>
      <c r="AA15" s="50">
        <v>1.0</v>
      </c>
      <c r="AB15" s="50"/>
      <c r="AC15" s="50"/>
      <c r="AD15" s="50">
        <v>1.0</v>
      </c>
      <c r="AE15" s="50"/>
      <c r="AF15" s="50"/>
      <c r="AG15" s="50"/>
      <c r="AH15" s="51" t="s">
        <v>171</v>
      </c>
      <c r="AI15" s="52">
        <v>1.0</v>
      </c>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2">
        <v>1.0</v>
      </c>
      <c r="BJ15" s="51"/>
      <c r="BK15" s="51"/>
      <c r="BL15" s="51"/>
      <c r="BM15" s="51"/>
      <c r="BN15" s="51"/>
      <c r="BO15" s="51"/>
      <c r="BP15" s="51"/>
      <c r="BQ15" s="51"/>
      <c r="BR15" s="51"/>
      <c r="BS15" s="51"/>
      <c r="BT15" s="51"/>
      <c r="BU15" s="51"/>
      <c r="BV15" s="51"/>
      <c r="BW15" s="51"/>
      <c r="BX15" s="51"/>
      <c r="BY15" s="51">
        <v>1.0</v>
      </c>
      <c r="BZ15" s="51"/>
    </row>
    <row r="16" ht="12.75" customHeight="1">
      <c r="A16" s="46" t="s">
        <v>172</v>
      </c>
      <c r="B16" s="54" t="str">
        <f>HYPERLINK("https://drive.google.com/open?id=1tSPIqz0LPVMrYYERBGrXa5tezBu_sKXo","Armstrong2007")</f>
        <v>Armstrong2007</v>
      </c>
      <c r="C16" s="62" t="s">
        <v>173</v>
      </c>
      <c r="D16" s="63" t="s">
        <v>174</v>
      </c>
      <c r="E16" s="55">
        <v>2007.0</v>
      </c>
      <c r="F16" s="55"/>
      <c r="G16" s="55"/>
      <c r="H16" s="55"/>
      <c r="I16" s="55">
        <v>1.0</v>
      </c>
      <c r="J16" s="55"/>
      <c r="K16" s="55"/>
      <c r="L16" s="55"/>
      <c r="M16" s="55"/>
      <c r="N16" s="55"/>
      <c r="O16" s="55"/>
      <c r="P16" s="55"/>
      <c r="Q16" s="55"/>
      <c r="R16" s="55"/>
      <c r="S16" s="55"/>
      <c r="T16" s="55"/>
      <c r="U16" s="55"/>
      <c r="V16" s="55" t="s">
        <v>175</v>
      </c>
      <c r="W16" s="55" t="s">
        <v>176</v>
      </c>
      <c r="X16" s="55" t="s">
        <v>177</v>
      </c>
      <c r="Y16" s="55" t="s">
        <v>178</v>
      </c>
      <c r="Z16" s="57" t="s">
        <v>100</v>
      </c>
      <c r="AA16" s="55"/>
      <c r="AB16" s="55">
        <v>1.0</v>
      </c>
      <c r="AC16" s="55"/>
      <c r="AD16" s="55">
        <v>1.0</v>
      </c>
      <c r="AE16" s="55"/>
      <c r="AF16" s="55"/>
      <c r="AG16" s="55"/>
      <c r="AH16" s="48" t="s">
        <v>179</v>
      </c>
      <c r="AI16" s="52">
        <v>1.0</v>
      </c>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2">
        <v>1.0</v>
      </c>
      <c r="BJ16" s="51"/>
      <c r="BK16" s="51"/>
      <c r="BL16" s="52">
        <v>1.0</v>
      </c>
      <c r="BM16" s="51"/>
      <c r="BN16" s="51"/>
      <c r="BO16" s="51"/>
      <c r="BP16" s="51"/>
      <c r="BQ16" s="51"/>
      <c r="BR16" s="51"/>
      <c r="BS16" s="51"/>
      <c r="BT16" s="51"/>
      <c r="BU16" s="51"/>
      <c r="BV16" s="51"/>
      <c r="BW16" s="51"/>
      <c r="BX16" s="51"/>
      <c r="BY16" s="51">
        <v>1.0</v>
      </c>
      <c r="BZ16" s="51"/>
    </row>
    <row r="17" ht="12.75" customHeight="1">
      <c r="A17" s="46" t="s">
        <v>172</v>
      </c>
      <c r="B17" s="56" t="str">
        <f>HYPERLINK("https://drive.google.com/open?id=1L61Nl17Xa4kVGW887nv5j-W5KC3kQzxE","Arnott2006")</f>
        <v>Arnott2006</v>
      </c>
      <c r="C17" s="64" t="s">
        <v>180</v>
      </c>
      <c r="D17" s="55" t="s">
        <v>181</v>
      </c>
      <c r="E17" s="55">
        <v>2006.0</v>
      </c>
      <c r="F17" s="55"/>
      <c r="G17" s="55"/>
      <c r="H17" s="55">
        <v>1.0</v>
      </c>
      <c r="I17" s="55">
        <v>1.0</v>
      </c>
      <c r="J17" s="55"/>
      <c r="K17" s="55"/>
      <c r="L17" s="55"/>
      <c r="M17" s="55">
        <v>1.0</v>
      </c>
      <c r="N17" s="55"/>
      <c r="O17" s="55">
        <v>1.0</v>
      </c>
      <c r="P17" s="55"/>
      <c r="Q17" s="55"/>
      <c r="R17" s="55"/>
      <c r="S17" s="55"/>
      <c r="T17" s="55"/>
      <c r="U17" s="55"/>
      <c r="V17" s="55" t="s">
        <v>182</v>
      </c>
      <c r="W17" s="55" t="s">
        <v>183</v>
      </c>
      <c r="X17" s="55"/>
      <c r="Y17" s="55" t="s">
        <v>184</v>
      </c>
      <c r="Z17" s="55" t="s">
        <v>100</v>
      </c>
      <c r="AA17" s="55"/>
      <c r="AB17" s="55">
        <v>1.0</v>
      </c>
      <c r="AC17" s="55">
        <v>1.0</v>
      </c>
      <c r="AD17" s="55">
        <v>1.0</v>
      </c>
      <c r="AE17" s="55">
        <v>1.0</v>
      </c>
      <c r="AF17" s="55"/>
      <c r="AG17" s="55"/>
      <c r="AH17" s="48" t="s">
        <v>185</v>
      </c>
      <c r="AI17" s="51">
        <v>1.0</v>
      </c>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v>1.0</v>
      </c>
      <c r="BI17" s="51"/>
      <c r="BJ17" s="51"/>
      <c r="BK17" s="51"/>
      <c r="BL17" s="51"/>
      <c r="BM17" s="51"/>
      <c r="BN17" s="51"/>
      <c r="BO17" s="51"/>
      <c r="BP17" s="51"/>
      <c r="BQ17" s="51"/>
      <c r="BR17" s="51"/>
      <c r="BS17" s="51"/>
      <c r="BT17" s="51"/>
      <c r="BU17" s="51"/>
      <c r="BV17" s="51"/>
      <c r="BW17" s="51"/>
      <c r="BX17" s="51"/>
      <c r="BY17" s="51"/>
      <c r="BZ17" s="51"/>
    </row>
    <row r="18" ht="12.75" customHeight="1">
      <c r="A18" s="46" t="s">
        <v>108</v>
      </c>
      <c r="B18" s="56" t="str">
        <f>HYPERLINK("https://drive.google.com/open?id=0B3oar8-GeP-INnBMUWhOdjE0ODQ","Austrem2011")</f>
        <v>Austrem2011</v>
      </c>
      <c r="C18" s="55" t="s">
        <v>186</v>
      </c>
      <c r="D18" s="55" t="s">
        <v>187</v>
      </c>
      <c r="E18" s="49">
        <v>2011.0</v>
      </c>
      <c r="F18" s="50"/>
      <c r="G18" s="50"/>
      <c r="H18" s="50">
        <v>1.0</v>
      </c>
      <c r="I18" s="50"/>
      <c r="J18" s="50"/>
      <c r="K18" s="50"/>
      <c r="L18" s="50"/>
      <c r="M18" s="50"/>
      <c r="N18" s="50"/>
      <c r="O18" s="50"/>
      <c r="P18" s="50"/>
      <c r="Q18" s="50"/>
      <c r="R18" s="50"/>
      <c r="S18" s="50"/>
      <c r="T18" s="50"/>
      <c r="U18" s="50"/>
      <c r="V18" s="48"/>
      <c r="W18" s="48" t="s">
        <v>188</v>
      </c>
      <c r="X18" s="48" t="s">
        <v>189</v>
      </c>
      <c r="Y18" s="48"/>
      <c r="Z18" s="48" t="s">
        <v>190</v>
      </c>
      <c r="AA18" s="50">
        <v>1.0</v>
      </c>
      <c r="AB18" s="50"/>
      <c r="AC18" s="50"/>
      <c r="AD18" s="50">
        <v>1.0</v>
      </c>
      <c r="AE18" s="50"/>
      <c r="AF18" s="50"/>
      <c r="AG18" s="50"/>
      <c r="AH18" s="51" t="s">
        <v>191</v>
      </c>
      <c r="AI18" s="51">
        <v>1.0</v>
      </c>
      <c r="AJ18" s="51"/>
      <c r="AK18" s="51"/>
      <c r="AL18" s="51"/>
      <c r="AM18" s="51"/>
      <c r="AN18" s="51"/>
      <c r="AO18" s="51"/>
      <c r="AP18" s="51"/>
      <c r="AQ18" s="51"/>
      <c r="AR18" s="51">
        <v>1.0</v>
      </c>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row>
    <row r="19" ht="12.75" customHeight="1">
      <c r="A19" s="46" t="s">
        <v>108</v>
      </c>
      <c r="B19" s="56" t="str">
        <f>HYPERLINK("https://drive.google.com/open?id=0B3oar8-GeP-INTRJMWxsS1AxQnM","Ballis2008")</f>
        <v>Ballis2008</v>
      </c>
      <c r="C19" s="55" t="s">
        <v>192</v>
      </c>
      <c r="D19" s="55" t="s">
        <v>193</v>
      </c>
      <c r="E19" s="55">
        <v>2008.0</v>
      </c>
      <c r="F19" s="50"/>
      <c r="G19" s="50"/>
      <c r="H19" s="50">
        <v>1.0</v>
      </c>
      <c r="I19" s="50"/>
      <c r="J19" s="50"/>
      <c r="K19" s="50"/>
      <c r="L19" s="50"/>
      <c r="M19" s="50"/>
      <c r="N19" s="50"/>
      <c r="O19" s="50"/>
      <c r="P19" s="50"/>
      <c r="Q19" s="50"/>
      <c r="R19" s="50"/>
      <c r="S19" s="50"/>
      <c r="T19" s="50"/>
      <c r="U19" s="50"/>
      <c r="V19" s="48"/>
      <c r="W19" s="48" t="s">
        <v>9</v>
      </c>
      <c r="X19" s="48"/>
      <c r="Y19" s="48"/>
      <c r="Z19" s="48" t="s">
        <v>194</v>
      </c>
      <c r="AA19" s="50">
        <v>1.0</v>
      </c>
      <c r="AB19" s="50"/>
      <c r="AC19" s="50">
        <v>1.0</v>
      </c>
      <c r="AD19" s="50"/>
      <c r="AE19" s="50"/>
      <c r="AF19" s="50"/>
      <c r="AG19" s="50"/>
      <c r="AH19" s="51"/>
      <c r="AI19" s="51">
        <v>1.0</v>
      </c>
      <c r="AJ19" s="51"/>
      <c r="AK19" s="51"/>
      <c r="AL19" s="51"/>
      <c r="AM19" s="51"/>
      <c r="AN19" s="51"/>
      <c r="AO19" s="51"/>
      <c r="AP19" s="51"/>
      <c r="AQ19" s="51"/>
      <c r="AR19" s="51">
        <v>1.0</v>
      </c>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row>
    <row r="20" ht="12.75" customHeight="1">
      <c r="A20" s="46" t="s">
        <v>88</v>
      </c>
      <c r="B20" s="53" t="str">
        <f>HYPERLINK("https://drive.google.com/open?id=0B00cIHsghs6URDZ2emFvSmJJRmc","Barik2015")</f>
        <v>Barik2015</v>
      </c>
      <c r="C20" s="65" t="s">
        <v>195</v>
      </c>
      <c r="D20" s="48" t="s">
        <v>196</v>
      </c>
      <c r="E20" s="49">
        <v>2015.0</v>
      </c>
      <c r="F20" s="50"/>
      <c r="G20" s="50"/>
      <c r="H20" s="50"/>
      <c r="I20" s="50">
        <v>1.0</v>
      </c>
      <c r="J20" s="50"/>
      <c r="K20" s="50"/>
      <c r="L20" s="50"/>
      <c r="M20" s="50"/>
      <c r="N20" s="50"/>
      <c r="O20" s="50"/>
      <c r="P20" s="50"/>
      <c r="Q20" s="50"/>
      <c r="R20" s="50"/>
      <c r="S20" s="50"/>
      <c r="T20" s="50"/>
      <c r="U20" s="50"/>
      <c r="V20" s="51"/>
      <c r="W20" s="51" t="s">
        <v>197</v>
      </c>
      <c r="X20" s="51" t="s">
        <v>92</v>
      </c>
      <c r="Y20" s="51" t="s">
        <v>92</v>
      </c>
      <c r="Z20" s="51" t="s">
        <v>198</v>
      </c>
      <c r="AA20" s="50"/>
      <c r="AB20" s="50"/>
      <c r="AC20" s="50">
        <v>1.0</v>
      </c>
      <c r="AD20" s="50"/>
      <c r="AE20" s="50"/>
      <c r="AF20" s="50"/>
      <c r="AG20" s="50"/>
      <c r="AH20" s="51" t="s">
        <v>199</v>
      </c>
      <c r="AI20" s="51">
        <v>1.0</v>
      </c>
      <c r="AJ20" s="51"/>
      <c r="AK20" s="51"/>
      <c r="AL20" s="51"/>
      <c r="AM20" s="51"/>
      <c r="AN20" s="51"/>
      <c r="AO20" s="51"/>
      <c r="AP20" s="51"/>
      <c r="AQ20" s="51"/>
      <c r="AR20" s="51">
        <v>1.0</v>
      </c>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row>
    <row r="21" ht="12.75" customHeight="1">
      <c r="A21" s="46" t="s">
        <v>172</v>
      </c>
      <c r="B21" s="54" t="str">
        <f>HYPERLINK("https://drive.google.com/open?id=10lUjDLIUCCNUpJhPmMJ3KKnhemH3nxSF","Bednarik2006")</f>
        <v>Bednarik2006</v>
      </c>
      <c r="C21" s="63" t="s">
        <v>200</v>
      </c>
      <c r="D21" s="66" t="s">
        <v>201</v>
      </c>
      <c r="E21" s="55">
        <v>2006.0</v>
      </c>
      <c r="F21" s="55"/>
      <c r="G21" s="55"/>
      <c r="H21" s="55"/>
      <c r="I21" s="55"/>
      <c r="J21" s="55"/>
      <c r="K21" s="55">
        <v>1.0</v>
      </c>
      <c r="L21" s="55"/>
      <c r="M21" s="55"/>
      <c r="N21" s="55"/>
      <c r="O21" s="55"/>
      <c r="P21" s="55"/>
      <c r="Q21" s="55"/>
      <c r="R21" s="55"/>
      <c r="S21" s="55"/>
      <c r="T21" s="55"/>
      <c r="U21" s="55"/>
      <c r="V21" s="55"/>
      <c r="W21" s="55" t="s">
        <v>202</v>
      </c>
      <c r="X21" s="55" t="s">
        <v>203</v>
      </c>
      <c r="Y21" s="66" t="s">
        <v>204</v>
      </c>
      <c r="Z21" s="55" t="s">
        <v>100</v>
      </c>
      <c r="AA21" s="55">
        <v>1.0</v>
      </c>
      <c r="AB21" s="55"/>
      <c r="AC21" s="55"/>
      <c r="AD21" s="55">
        <v>1.0</v>
      </c>
      <c r="AE21" s="55"/>
      <c r="AF21" s="55"/>
      <c r="AG21" s="55"/>
      <c r="AH21" s="48" t="s">
        <v>205</v>
      </c>
      <c r="AI21" s="51">
        <v>1.0</v>
      </c>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2">
        <v>1.0</v>
      </c>
      <c r="BJ21" s="51"/>
      <c r="BK21" s="51"/>
      <c r="BL21" s="52">
        <v>1.0</v>
      </c>
      <c r="BM21" s="51"/>
      <c r="BN21" s="51"/>
      <c r="BO21" s="51"/>
      <c r="BP21" s="51"/>
      <c r="BQ21" s="51"/>
      <c r="BR21" s="51"/>
      <c r="BS21" s="51"/>
      <c r="BT21" s="51"/>
      <c r="BU21" s="51"/>
      <c r="BV21" s="51"/>
      <c r="BW21" s="51"/>
      <c r="BX21" s="51"/>
      <c r="BY21" s="51"/>
      <c r="BZ21" s="51">
        <v>1.0</v>
      </c>
    </row>
    <row r="22" ht="12.75" customHeight="1">
      <c r="A22" s="46" t="s">
        <v>172</v>
      </c>
      <c r="B22" s="56" t="str">
        <f>HYPERLINK("https://drive.google.com/open?id=153ZFMNYR_5zHDHDYEVCxkuemEU7oZWcI","Bednarik2008")</f>
        <v>Bednarik2008</v>
      </c>
      <c r="C22" s="64" t="s">
        <v>206</v>
      </c>
      <c r="D22" s="63" t="s">
        <v>201</v>
      </c>
      <c r="E22" s="55">
        <v>2008.0</v>
      </c>
      <c r="F22" s="55"/>
      <c r="G22" s="55"/>
      <c r="H22" s="55"/>
      <c r="I22" s="55"/>
      <c r="J22" s="55"/>
      <c r="K22" s="55">
        <v>1.0</v>
      </c>
      <c r="L22" s="55"/>
      <c r="M22" s="55"/>
      <c r="N22" s="55"/>
      <c r="O22" s="55"/>
      <c r="P22" s="55"/>
      <c r="Q22" s="55"/>
      <c r="R22" s="55"/>
      <c r="S22" s="55"/>
      <c r="T22" s="55"/>
      <c r="U22" s="55"/>
      <c r="V22" s="55"/>
      <c r="W22" s="55" t="s">
        <v>207</v>
      </c>
      <c r="X22" s="55" t="s">
        <v>208</v>
      </c>
      <c r="Y22" s="55"/>
      <c r="Z22" s="55" t="s">
        <v>100</v>
      </c>
      <c r="AA22" s="55">
        <v>1.0</v>
      </c>
      <c r="AB22" s="55"/>
      <c r="AC22" s="55"/>
      <c r="AD22" s="55">
        <v>1.0</v>
      </c>
      <c r="AE22" s="55"/>
      <c r="AF22" s="55"/>
      <c r="AG22" s="55"/>
      <c r="AH22" s="48" t="s">
        <v>209</v>
      </c>
      <c r="AI22" s="51">
        <v>1.0</v>
      </c>
      <c r="AJ22" s="51">
        <v>1.0</v>
      </c>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v>1.0</v>
      </c>
    </row>
    <row r="23" ht="12.75" customHeight="1">
      <c r="A23" s="46" t="s">
        <v>116</v>
      </c>
      <c r="B23" s="54" t="str">
        <f>HYPERLINK("https://drive.google.com/open?id=0B1GMAYMj9v6rSnFQdjVMX25kcEk","Belk2013")</f>
        <v>Belk2013</v>
      </c>
      <c r="C23" s="55" t="s">
        <v>210</v>
      </c>
      <c r="D23" s="55" t="s">
        <v>211</v>
      </c>
      <c r="E23" s="49">
        <v>2013.0</v>
      </c>
      <c r="F23" s="50"/>
      <c r="G23" s="50">
        <v>1.0</v>
      </c>
      <c r="H23" s="50">
        <v>1.0</v>
      </c>
      <c r="I23" s="50"/>
      <c r="J23" s="50"/>
      <c r="K23" s="50"/>
      <c r="L23" s="50"/>
      <c r="M23" s="50"/>
      <c r="N23" s="50"/>
      <c r="O23" s="50"/>
      <c r="P23" s="50"/>
      <c r="Q23" s="50"/>
      <c r="R23" s="50"/>
      <c r="S23" s="50"/>
      <c r="T23" s="50"/>
      <c r="U23" s="50"/>
      <c r="V23" s="51" t="s">
        <v>212</v>
      </c>
      <c r="W23" s="51" t="s">
        <v>160</v>
      </c>
      <c r="X23" s="51" t="s">
        <v>213</v>
      </c>
      <c r="Y23" s="51" t="s">
        <v>214</v>
      </c>
      <c r="Z23" s="51" t="s">
        <v>215</v>
      </c>
      <c r="AA23" s="50">
        <v>1.0</v>
      </c>
      <c r="AB23" s="50"/>
      <c r="AC23" s="50"/>
      <c r="AD23" s="50">
        <v>1.0</v>
      </c>
      <c r="AE23" s="50"/>
      <c r="AF23" s="50"/>
      <c r="AG23" s="50"/>
      <c r="AH23" s="51" t="s">
        <v>216</v>
      </c>
      <c r="AI23" s="52">
        <v>1.0</v>
      </c>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2">
        <v>1.0</v>
      </c>
      <c r="BJ23" s="51"/>
      <c r="BK23" s="51"/>
      <c r="BL23" s="51"/>
      <c r="BM23" s="51"/>
      <c r="BN23" s="51"/>
      <c r="BO23" s="51"/>
      <c r="BP23" s="51"/>
      <c r="BQ23" s="51"/>
      <c r="BR23" s="51"/>
      <c r="BS23" s="51"/>
      <c r="BT23" s="51"/>
      <c r="BU23" s="51"/>
      <c r="BV23" s="51"/>
      <c r="BW23" s="51"/>
      <c r="BX23" s="51"/>
      <c r="BY23" s="52">
        <v>1.0</v>
      </c>
      <c r="BZ23" s="52">
        <v>1.0</v>
      </c>
    </row>
    <row r="24" ht="12.75" customHeight="1">
      <c r="A24" s="46" t="s">
        <v>116</v>
      </c>
      <c r="B24" s="67" t="str">
        <f>HYPERLINK("https://drive.google.com/open?id=1Fhmlo8O5-dpsIegZS6zEMGeeYHMhFgau","Benbasat1982")</f>
        <v>Benbasat1982</v>
      </c>
      <c r="C24" s="63" t="s">
        <v>217</v>
      </c>
      <c r="D24" s="63" t="s">
        <v>218</v>
      </c>
      <c r="E24" s="49">
        <v>1982.0</v>
      </c>
      <c r="F24" s="50"/>
      <c r="G24" s="50">
        <v>1.0</v>
      </c>
      <c r="H24" s="50"/>
      <c r="I24" s="50"/>
      <c r="J24" s="50"/>
      <c r="K24" s="50"/>
      <c r="L24" s="50"/>
      <c r="M24" s="50"/>
      <c r="N24" s="50"/>
      <c r="O24" s="50"/>
      <c r="P24" s="50"/>
      <c r="Q24" s="50"/>
      <c r="R24" s="50"/>
      <c r="S24" s="50"/>
      <c r="T24" s="50"/>
      <c r="U24" s="50"/>
      <c r="V24" s="51" t="s">
        <v>219</v>
      </c>
      <c r="W24" s="51" t="s">
        <v>220</v>
      </c>
      <c r="X24" s="51" t="s">
        <v>221</v>
      </c>
      <c r="Y24" s="51" t="s">
        <v>221</v>
      </c>
      <c r="Z24" s="51" t="s">
        <v>222</v>
      </c>
      <c r="AA24" s="50"/>
      <c r="AB24" s="50"/>
      <c r="AC24" s="50"/>
      <c r="AD24" s="50"/>
      <c r="AE24" s="50"/>
      <c r="AF24" s="50">
        <v>1.0</v>
      </c>
      <c r="AG24" s="50"/>
      <c r="AH24" s="51" t="s">
        <v>223</v>
      </c>
      <c r="AI24" s="51">
        <v>1.0</v>
      </c>
      <c r="AJ24" s="51"/>
      <c r="AK24" s="51"/>
      <c r="AL24" s="51"/>
      <c r="AM24" s="51"/>
      <c r="AN24" s="51"/>
      <c r="AO24" s="51"/>
      <c r="AP24" s="51"/>
      <c r="AQ24" s="51"/>
      <c r="AR24" s="51">
        <v>1.0</v>
      </c>
      <c r="AS24" s="51"/>
      <c r="AT24" s="51"/>
      <c r="AU24" s="51"/>
      <c r="AV24" s="51"/>
      <c r="AW24" s="51"/>
      <c r="AX24" s="51"/>
      <c r="AY24" s="51"/>
      <c r="AZ24" s="51"/>
      <c r="BA24" s="51"/>
      <c r="BB24" s="51"/>
      <c r="BC24" s="51"/>
      <c r="BD24" s="51"/>
      <c r="BE24" s="51"/>
      <c r="BF24" s="51"/>
      <c r="BG24" s="51">
        <v>1.0</v>
      </c>
      <c r="BH24" s="51">
        <v>1.0</v>
      </c>
      <c r="BI24" s="51"/>
      <c r="BJ24" s="51"/>
      <c r="BK24" s="51"/>
      <c r="BL24" s="51"/>
      <c r="BM24" s="51"/>
      <c r="BN24" s="51"/>
      <c r="BO24" s="51"/>
      <c r="BP24" s="51"/>
      <c r="BQ24" s="51"/>
      <c r="BR24" s="51"/>
      <c r="BS24" s="51"/>
      <c r="BT24" s="51"/>
      <c r="BU24" s="51"/>
      <c r="BV24" s="51"/>
      <c r="BW24" s="51"/>
      <c r="BX24" s="51"/>
      <c r="BY24" s="51"/>
      <c r="BZ24" s="51"/>
    </row>
    <row r="25" ht="12.75" customHeight="1">
      <c r="A25" s="46" t="s">
        <v>124</v>
      </c>
      <c r="B25" s="68" t="str">
        <f>HYPERLINK("https://drive.google.com/open?id=0B-nn5iJ29NJaWXdTQlYteDlReXc","Biegel2015")</f>
        <v>Biegel2015</v>
      </c>
      <c r="C25" s="55" t="s">
        <v>224</v>
      </c>
      <c r="D25" s="55" t="s">
        <v>225</v>
      </c>
      <c r="E25" s="57">
        <v>2015.0</v>
      </c>
      <c r="F25" s="58"/>
      <c r="G25" s="50"/>
      <c r="H25" s="50"/>
      <c r="I25" s="50">
        <v>1.0</v>
      </c>
      <c r="J25" s="50"/>
      <c r="K25" s="50"/>
      <c r="L25" s="50"/>
      <c r="M25" s="50"/>
      <c r="N25" s="50"/>
      <c r="O25" s="50"/>
      <c r="P25" s="50"/>
      <c r="Q25" s="50"/>
      <c r="R25" s="50"/>
      <c r="S25" s="50"/>
      <c r="T25" s="50"/>
      <c r="U25" s="50"/>
      <c r="V25" s="60"/>
      <c r="W25" s="48" t="s">
        <v>226</v>
      </c>
      <c r="X25" s="48" t="s">
        <v>227</v>
      </c>
      <c r="Y25" s="69" t="s">
        <v>228</v>
      </c>
      <c r="Z25" s="48" t="s">
        <v>229</v>
      </c>
      <c r="AA25" s="50">
        <v>1.0</v>
      </c>
      <c r="AB25" s="50"/>
      <c r="AC25" s="50"/>
      <c r="AD25" s="50">
        <v>1.0</v>
      </c>
      <c r="AE25" s="50"/>
      <c r="AF25" s="50"/>
      <c r="AG25" s="50"/>
      <c r="AH25" s="59"/>
      <c r="AI25" s="52">
        <v>1.0</v>
      </c>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2">
        <v>1.0</v>
      </c>
      <c r="BJ25" s="52"/>
      <c r="BK25" s="51"/>
      <c r="BL25" s="52">
        <v>1.0</v>
      </c>
      <c r="BM25" s="51"/>
      <c r="BN25" s="51"/>
      <c r="BO25" s="51"/>
      <c r="BP25" s="51"/>
      <c r="BQ25" s="51"/>
      <c r="BR25" s="51"/>
      <c r="BS25" s="52">
        <v>1.0</v>
      </c>
      <c r="BT25" s="51"/>
      <c r="BU25" s="51"/>
      <c r="BV25" s="51"/>
      <c r="BW25" s="51"/>
      <c r="BX25" s="51"/>
      <c r="BY25" s="51"/>
      <c r="BZ25" s="51"/>
    </row>
    <row r="26" ht="12.75" customHeight="1">
      <c r="A26" s="46" t="s">
        <v>116</v>
      </c>
      <c r="B26" s="68" t="str">
        <f>HYPERLINK("https://drive.google.com/open?id=1g07QiLAU4hmS6bqWeu5I-BhgMFgc8HRn","Biehl2007")</f>
        <v>Biehl2007</v>
      </c>
      <c r="C26" s="63" t="s">
        <v>230</v>
      </c>
      <c r="D26" s="63" t="s">
        <v>231</v>
      </c>
      <c r="E26" s="49">
        <v>2007.0</v>
      </c>
      <c r="F26" s="50"/>
      <c r="G26" s="50"/>
      <c r="H26" s="50">
        <v>1.0</v>
      </c>
      <c r="I26" s="50">
        <v>1.0</v>
      </c>
      <c r="J26" s="50"/>
      <c r="K26" s="50">
        <v>1.0</v>
      </c>
      <c r="L26" s="50"/>
      <c r="M26" s="50"/>
      <c r="N26" s="50"/>
      <c r="O26" s="50"/>
      <c r="P26" s="50"/>
      <c r="Q26" s="50"/>
      <c r="R26" s="50"/>
      <c r="S26" s="50"/>
      <c r="T26" s="50"/>
      <c r="U26" s="50"/>
      <c r="V26" s="51" t="s">
        <v>92</v>
      </c>
      <c r="W26" s="51" t="s">
        <v>232</v>
      </c>
      <c r="X26" s="51" t="s">
        <v>233</v>
      </c>
      <c r="Y26" s="51" t="s">
        <v>234</v>
      </c>
      <c r="Z26" s="51" t="s">
        <v>122</v>
      </c>
      <c r="AA26" s="50"/>
      <c r="AB26" s="50">
        <v>1.0</v>
      </c>
      <c r="AC26" s="50"/>
      <c r="AD26" s="50">
        <v>1.0</v>
      </c>
      <c r="AE26" s="50"/>
      <c r="AF26" s="50"/>
      <c r="AG26" s="50"/>
      <c r="AH26" s="51" t="s">
        <v>235</v>
      </c>
      <c r="AI26" s="51">
        <v>1.0</v>
      </c>
      <c r="AJ26" s="52">
        <v>1.0</v>
      </c>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v>1.0</v>
      </c>
      <c r="BZ26" s="51"/>
    </row>
    <row r="27" ht="12.75" customHeight="1">
      <c r="A27" s="46" t="s">
        <v>116</v>
      </c>
      <c r="B27" s="68" t="str">
        <f>HYPERLINK("https://drive.google.com/open?id=1YLOWAy-JwNL4ZOiKKYW7KjXODvbMqS-1","Binkley2002")</f>
        <v>Binkley2002</v>
      </c>
      <c r="C27" s="63" t="s">
        <v>236</v>
      </c>
      <c r="D27" s="63" t="s">
        <v>237</v>
      </c>
      <c r="E27" s="49">
        <v>2002.0</v>
      </c>
      <c r="F27" s="50"/>
      <c r="G27" s="50"/>
      <c r="H27" s="50"/>
      <c r="I27" s="50">
        <v>1.0</v>
      </c>
      <c r="J27" s="50"/>
      <c r="K27" s="50">
        <v>1.0</v>
      </c>
      <c r="L27" s="50"/>
      <c r="M27" s="50"/>
      <c r="N27" s="50"/>
      <c r="O27" s="50"/>
      <c r="P27" s="50"/>
      <c r="Q27" s="50"/>
      <c r="R27" s="50"/>
      <c r="S27" s="50"/>
      <c r="T27" s="50"/>
      <c r="U27" s="50"/>
      <c r="V27" s="51" t="s">
        <v>92</v>
      </c>
      <c r="W27" s="51" t="s">
        <v>238</v>
      </c>
      <c r="X27" s="51" t="s">
        <v>239</v>
      </c>
      <c r="Y27" s="51" t="s">
        <v>240</v>
      </c>
      <c r="Z27" s="51" t="s">
        <v>122</v>
      </c>
      <c r="AA27" s="50">
        <v>1.0</v>
      </c>
      <c r="AB27" s="50"/>
      <c r="AC27" s="50"/>
      <c r="AD27" s="50">
        <v>1.0</v>
      </c>
      <c r="AE27" s="50"/>
      <c r="AF27" s="50"/>
      <c r="AG27" s="50"/>
      <c r="AH27" s="51" t="s">
        <v>241</v>
      </c>
      <c r="AI27" s="51">
        <v>1.0</v>
      </c>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2">
        <v>1.0</v>
      </c>
      <c r="BK27" s="51"/>
      <c r="BL27" s="51"/>
      <c r="BM27" s="51"/>
      <c r="BN27" s="51"/>
      <c r="BO27" s="51"/>
      <c r="BP27" s="51"/>
      <c r="BQ27" s="51"/>
      <c r="BR27" s="51"/>
      <c r="BS27" s="51"/>
      <c r="BT27" s="51"/>
      <c r="BU27" s="51"/>
      <c r="BV27" s="51"/>
      <c r="BW27" s="51">
        <v>1.0</v>
      </c>
      <c r="BX27" s="51"/>
      <c r="BY27" s="51"/>
      <c r="BZ27" s="51"/>
    </row>
    <row r="28" ht="12.75" customHeight="1">
      <c r="A28" s="46" t="s">
        <v>124</v>
      </c>
      <c r="B28" s="54" t="str">
        <f>HYPERLINK("https://drive.google.com/open?id=0B-nn5iJ29NJab19vdWtRdENOcnc","Blackwell2002")</f>
        <v>Blackwell2002</v>
      </c>
      <c r="C28" s="55" t="s">
        <v>242</v>
      </c>
      <c r="D28" s="55" t="s">
        <v>243</v>
      </c>
      <c r="E28" s="57">
        <v>2002.0</v>
      </c>
      <c r="F28" s="58"/>
      <c r="G28" s="50"/>
      <c r="H28" s="50"/>
      <c r="I28" s="50">
        <v>1.0</v>
      </c>
      <c r="J28" s="50"/>
      <c r="K28" s="50"/>
      <c r="L28" s="50"/>
      <c r="M28" s="50"/>
      <c r="N28" s="50"/>
      <c r="O28" s="50"/>
      <c r="P28" s="50"/>
      <c r="Q28" s="50"/>
      <c r="R28" s="50"/>
      <c r="S28" s="50"/>
      <c r="T28" s="50"/>
      <c r="U28" s="50"/>
      <c r="V28" s="48" t="s">
        <v>244</v>
      </c>
      <c r="W28" s="69" t="s">
        <v>7</v>
      </c>
      <c r="X28" s="48"/>
      <c r="Y28" s="48"/>
      <c r="Z28" s="48" t="s">
        <v>245</v>
      </c>
      <c r="AA28" s="50"/>
      <c r="AB28" s="50"/>
      <c r="AC28" s="50">
        <v>1.0</v>
      </c>
      <c r="AD28" s="50">
        <v>1.0</v>
      </c>
      <c r="AE28" s="50"/>
      <c r="AF28" s="50"/>
      <c r="AG28" s="50"/>
      <c r="AH28" s="59"/>
      <c r="AI28" s="52">
        <v>1.0</v>
      </c>
      <c r="AJ28" s="52">
        <v>1.0</v>
      </c>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row>
    <row r="29" ht="12.75" customHeight="1">
      <c r="A29" s="46" t="s">
        <v>124</v>
      </c>
      <c r="B29" s="54" t="str">
        <f>HYPERLINK("https://drive.google.com/open?id=0B-nn5iJ29NJaTkt5NGtXdFRTYkE","Breaux2012")</f>
        <v>Breaux2012</v>
      </c>
      <c r="C29" s="55" t="s">
        <v>246</v>
      </c>
      <c r="D29" s="55" t="s">
        <v>247</v>
      </c>
      <c r="E29" s="57">
        <v>2012.0</v>
      </c>
      <c r="F29" s="58"/>
      <c r="G29" s="50">
        <v>1.0</v>
      </c>
      <c r="H29" s="50"/>
      <c r="I29" s="50"/>
      <c r="J29" s="50"/>
      <c r="K29" s="50"/>
      <c r="L29" s="50"/>
      <c r="M29" s="50"/>
      <c r="N29" s="50"/>
      <c r="O29" s="50"/>
      <c r="P29" s="50"/>
      <c r="Q29" s="50"/>
      <c r="R29" s="50"/>
      <c r="S29" s="50"/>
      <c r="T29" s="50"/>
      <c r="U29" s="50"/>
      <c r="V29" s="48" t="s">
        <v>248</v>
      </c>
      <c r="W29" s="69" t="s">
        <v>249</v>
      </c>
      <c r="X29" s="48"/>
      <c r="Y29" s="48"/>
      <c r="Z29" s="48" t="s">
        <v>250</v>
      </c>
      <c r="AA29" s="50"/>
      <c r="AB29" s="50"/>
      <c r="AC29" s="50"/>
      <c r="AD29" s="50"/>
      <c r="AE29" s="50"/>
      <c r="AF29" s="50"/>
      <c r="AG29" s="50">
        <v>1.0</v>
      </c>
      <c r="AH29" s="59"/>
      <c r="AI29" s="52">
        <v>1.0</v>
      </c>
      <c r="AJ29" s="51"/>
      <c r="AK29" s="51"/>
      <c r="AL29" s="51"/>
      <c r="AM29" s="51"/>
      <c r="AN29" s="51"/>
      <c r="AO29" s="51"/>
      <c r="AP29" s="51"/>
      <c r="AQ29" s="52">
        <v>1.0</v>
      </c>
      <c r="AR29" s="51"/>
      <c r="AS29" s="51"/>
      <c r="AT29" s="51"/>
      <c r="AU29" s="51"/>
      <c r="AV29" s="51"/>
      <c r="AW29" s="51"/>
      <c r="AX29" s="51"/>
      <c r="AY29" s="51"/>
      <c r="AZ29" s="51"/>
      <c r="BA29" s="51"/>
      <c r="BB29" s="51"/>
      <c r="BC29" s="51"/>
      <c r="BD29" s="51"/>
      <c r="BE29" s="51"/>
      <c r="BF29" s="51"/>
      <c r="BG29" s="51"/>
      <c r="BH29" s="51"/>
      <c r="BI29" s="52">
        <v>1.0</v>
      </c>
      <c r="BJ29" s="51"/>
      <c r="BK29" s="51"/>
      <c r="BL29" s="51"/>
      <c r="BM29" s="51"/>
      <c r="BN29" s="51"/>
      <c r="BO29" s="51"/>
      <c r="BP29" s="51"/>
      <c r="BQ29" s="51"/>
      <c r="BR29" s="51"/>
      <c r="BS29" s="51"/>
      <c r="BT29" s="51"/>
      <c r="BU29" s="51"/>
      <c r="BV29" s="51"/>
      <c r="BW29" s="51"/>
      <c r="BX29" s="51"/>
      <c r="BY29" s="51"/>
      <c r="BZ29" s="51"/>
    </row>
    <row r="30" ht="12.75" customHeight="1">
      <c r="A30" s="46" t="s">
        <v>88</v>
      </c>
      <c r="B30" s="53" t="str">
        <f>HYPERLINK("https://drive.google.com/open?id=0B00cIHsghs6US0hPVC04N1ZSdUk","Briggs2002")</f>
        <v>Briggs2002</v>
      </c>
      <c r="C30" s="48" t="s">
        <v>251</v>
      </c>
      <c r="D30" s="48" t="s">
        <v>252</v>
      </c>
      <c r="E30" s="49">
        <v>2002.0</v>
      </c>
      <c r="F30" s="50"/>
      <c r="G30" s="50">
        <v>1.0</v>
      </c>
      <c r="H30" s="50"/>
      <c r="I30" s="50"/>
      <c r="J30" s="50"/>
      <c r="K30" s="50"/>
      <c r="L30" s="50"/>
      <c r="M30" s="50"/>
      <c r="N30" s="50"/>
      <c r="O30" s="50"/>
      <c r="P30" s="50"/>
      <c r="Q30" s="50"/>
      <c r="R30" s="50"/>
      <c r="S30" s="50"/>
      <c r="T30" s="50"/>
      <c r="U30" s="50"/>
      <c r="V30" s="51" t="s">
        <v>253</v>
      </c>
      <c r="W30" s="51" t="s">
        <v>9</v>
      </c>
      <c r="X30" s="51" t="s">
        <v>92</v>
      </c>
      <c r="Y30" s="51" t="s">
        <v>92</v>
      </c>
      <c r="Z30" s="51" t="s">
        <v>254</v>
      </c>
      <c r="AA30" s="50"/>
      <c r="AB30" s="50"/>
      <c r="AC30" s="50">
        <v>1.0</v>
      </c>
      <c r="AD30" s="50"/>
      <c r="AE30" s="50"/>
      <c r="AF30" s="50"/>
      <c r="AG30" s="50"/>
      <c r="AH30" s="51" t="s">
        <v>255</v>
      </c>
      <c r="AI30" s="51">
        <v>1.0</v>
      </c>
      <c r="AJ30" s="51"/>
      <c r="AK30" s="51"/>
      <c r="AL30" s="51"/>
      <c r="AM30" s="51"/>
      <c r="AN30" s="51"/>
      <c r="AO30" s="51"/>
      <c r="AP30" s="51"/>
      <c r="AQ30" s="51"/>
      <c r="AR30" s="51">
        <v>1.0</v>
      </c>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row>
    <row r="31" ht="12.75" customHeight="1">
      <c r="A31" s="46" t="s">
        <v>124</v>
      </c>
      <c r="B31" s="67" t="str">
        <f>HYPERLINK("https://drive.google.com/open?id=1i4TXOosnai-wnNjxWbLEkksA4W72RsvW","Brooks1983")</f>
        <v>Brooks1983</v>
      </c>
      <c r="C31" s="48" t="s">
        <v>256</v>
      </c>
      <c r="D31" s="48" t="s">
        <v>257</v>
      </c>
      <c r="E31" s="49">
        <v>1983.0</v>
      </c>
      <c r="F31" s="50"/>
      <c r="G31" s="50"/>
      <c r="H31" s="50"/>
      <c r="I31" s="50">
        <v>1.0</v>
      </c>
      <c r="J31" s="50"/>
      <c r="K31" s="50"/>
      <c r="L31" s="50"/>
      <c r="M31" s="50"/>
      <c r="N31" s="50"/>
      <c r="O31" s="50"/>
      <c r="P31" s="50"/>
      <c r="Q31" s="50"/>
      <c r="R31" s="50"/>
      <c r="S31" s="50"/>
      <c r="T31" s="50"/>
      <c r="U31" s="50"/>
      <c r="V31" s="48"/>
      <c r="W31" s="48" t="s">
        <v>258</v>
      </c>
      <c r="X31" s="48"/>
      <c r="Y31" s="48"/>
      <c r="Z31" s="48" t="s">
        <v>259</v>
      </c>
      <c r="AA31" s="50"/>
      <c r="AB31" s="50">
        <v>1.0</v>
      </c>
      <c r="AC31" s="50"/>
      <c r="AD31" s="50"/>
      <c r="AE31" s="50"/>
      <c r="AF31" s="50">
        <v>1.0</v>
      </c>
      <c r="AG31" s="50"/>
      <c r="AH31" s="59"/>
      <c r="AI31" s="51">
        <v>1.0</v>
      </c>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v>1.0</v>
      </c>
      <c r="BJ31" s="51"/>
      <c r="BK31" s="51"/>
      <c r="BL31" s="51"/>
      <c r="BM31" s="51"/>
      <c r="BN31" s="51"/>
      <c r="BO31" s="51"/>
      <c r="BP31" s="51"/>
      <c r="BQ31" s="51"/>
      <c r="BR31" s="51"/>
      <c r="BS31" s="51"/>
      <c r="BT31" s="51"/>
      <c r="BU31" s="51"/>
      <c r="BV31" s="51"/>
      <c r="BW31" s="51"/>
      <c r="BX31" s="51"/>
      <c r="BY31" s="51"/>
      <c r="BZ31" s="51"/>
    </row>
    <row r="32" ht="12.75" customHeight="1">
      <c r="A32" s="46" t="s">
        <v>124</v>
      </c>
      <c r="B32" s="67" t="str">
        <f>HYPERLINK("https://drive.google.com/open?id=192KK8UbQdNX2Q7NJDtZ_h23wbkprk06_","Browne2002")</f>
        <v>Browne2002</v>
      </c>
      <c r="C32" s="48" t="s">
        <v>260</v>
      </c>
      <c r="D32" s="48" t="s">
        <v>261</v>
      </c>
      <c r="E32" s="49">
        <v>2002.0</v>
      </c>
      <c r="F32" s="50"/>
      <c r="G32" s="50">
        <v>1.0</v>
      </c>
      <c r="H32" s="50"/>
      <c r="I32" s="50"/>
      <c r="J32" s="50"/>
      <c r="K32" s="50"/>
      <c r="L32" s="50"/>
      <c r="M32" s="50"/>
      <c r="N32" s="50"/>
      <c r="O32" s="50"/>
      <c r="P32" s="50"/>
      <c r="Q32" s="50"/>
      <c r="R32" s="50"/>
      <c r="S32" s="50"/>
      <c r="T32" s="50"/>
      <c r="U32" s="50"/>
      <c r="V32" s="48" t="s">
        <v>262</v>
      </c>
      <c r="W32" s="48" t="s">
        <v>263</v>
      </c>
      <c r="X32" s="48" t="s">
        <v>264</v>
      </c>
      <c r="Y32" s="48" t="s">
        <v>265</v>
      </c>
      <c r="Z32" s="48" t="s">
        <v>266</v>
      </c>
      <c r="AA32" s="50"/>
      <c r="AB32" s="50"/>
      <c r="AC32" s="50">
        <v>1.0</v>
      </c>
      <c r="AD32" s="50"/>
      <c r="AE32" s="50"/>
      <c r="AF32" s="50"/>
      <c r="AG32" s="50"/>
      <c r="AH32" s="59"/>
      <c r="AI32" s="51">
        <v>1.0</v>
      </c>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v>1.0</v>
      </c>
      <c r="BI32" s="51"/>
      <c r="BJ32" s="51"/>
      <c r="BK32" s="51"/>
      <c r="BL32" s="51"/>
      <c r="BM32" s="51"/>
      <c r="BN32" s="51"/>
      <c r="BO32" s="51"/>
      <c r="BP32" s="51"/>
      <c r="BQ32" s="51"/>
      <c r="BR32" s="51"/>
      <c r="BS32" s="51"/>
      <c r="BT32" s="51"/>
      <c r="BU32" s="51"/>
      <c r="BV32" s="51"/>
      <c r="BW32" s="51">
        <v>1.0</v>
      </c>
      <c r="BX32" s="51"/>
      <c r="BY32" s="51"/>
      <c r="BZ32" s="51"/>
    </row>
    <row r="33" ht="12.75" customHeight="1">
      <c r="A33" s="46" t="s">
        <v>124</v>
      </c>
      <c r="B33" s="68" t="str">
        <f>HYPERLINK("https://drive.google.com/open?id=17eGC-n3xmlQwz2BJvvI_OKSdZojSBlu4","Burkhardt2002")</f>
        <v>Burkhardt2002</v>
      </c>
      <c r="C33" s="48" t="s">
        <v>267</v>
      </c>
      <c r="D33" s="48" t="s">
        <v>268</v>
      </c>
      <c r="E33" s="49">
        <v>2002.0</v>
      </c>
      <c r="F33" s="50"/>
      <c r="G33" s="50"/>
      <c r="H33" s="50">
        <v>1.0</v>
      </c>
      <c r="I33" s="50">
        <v>1.0</v>
      </c>
      <c r="J33" s="50"/>
      <c r="K33" s="50"/>
      <c r="L33" s="50"/>
      <c r="M33" s="50"/>
      <c r="N33" s="50"/>
      <c r="O33" s="50"/>
      <c r="P33" s="50"/>
      <c r="Q33" s="50"/>
      <c r="R33" s="50"/>
      <c r="S33" s="50"/>
      <c r="T33" s="50"/>
      <c r="U33" s="50"/>
      <c r="V33" s="48" t="s">
        <v>269</v>
      </c>
      <c r="W33" s="48" t="s">
        <v>270</v>
      </c>
      <c r="X33" s="48"/>
      <c r="Y33" s="48" t="s">
        <v>271</v>
      </c>
      <c r="Z33" s="48" t="s">
        <v>272</v>
      </c>
      <c r="AA33" s="50">
        <v>1.0</v>
      </c>
      <c r="AB33" s="50">
        <v>1.0</v>
      </c>
      <c r="AC33" s="50"/>
      <c r="AD33" s="50">
        <v>1.0</v>
      </c>
      <c r="AE33" s="50"/>
      <c r="AF33" s="50"/>
      <c r="AG33" s="50"/>
      <c r="AH33" s="59"/>
      <c r="AI33" s="51">
        <v>1.0</v>
      </c>
      <c r="AJ33" s="51"/>
      <c r="AK33" s="51"/>
      <c r="AL33" s="51"/>
      <c r="AM33" s="51"/>
      <c r="AN33" s="51"/>
      <c r="AO33" s="51"/>
      <c r="AP33" s="51"/>
      <c r="AQ33" s="51"/>
      <c r="AR33" s="51"/>
      <c r="AS33" s="51"/>
      <c r="AT33" s="51"/>
      <c r="AU33" s="51"/>
      <c r="AV33" s="51"/>
      <c r="AW33" s="51"/>
      <c r="AX33" s="51"/>
      <c r="AY33" s="51"/>
      <c r="AZ33" s="51"/>
      <c r="BA33" s="51"/>
      <c r="BB33" s="51"/>
      <c r="BC33" s="51"/>
      <c r="BD33" s="51"/>
      <c r="BE33" s="52">
        <v>1.0</v>
      </c>
      <c r="BF33" s="51"/>
      <c r="BG33" s="51"/>
      <c r="BH33" s="51"/>
      <c r="BI33" s="52">
        <v>1.0</v>
      </c>
      <c r="BJ33" s="51"/>
      <c r="BK33" s="51"/>
      <c r="BL33" s="51"/>
      <c r="BM33" s="51"/>
      <c r="BN33" s="51"/>
      <c r="BO33" s="51"/>
      <c r="BP33" s="51"/>
      <c r="BQ33" s="51"/>
      <c r="BR33" s="51"/>
      <c r="BS33" s="51"/>
      <c r="BT33" s="51"/>
      <c r="BU33" s="51"/>
      <c r="BV33" s="51"/>
      <c r="BW33" s="51">
        <v>1.0</v>
      </c>
      <c r="BX33" s="51"/>
      <c r="BY33" s="51"/>
      <c r="BZ33" s="51"/>
    </row>
    <row r="34" ht="12.75" customHeight="1">
      <c r="A34" s="46" t="s">
        <v>88</v>
      </c>
      <c r="B34" s="53" t="str">
        <f>HYPERLINK("https://drive.google.com/open?id=1wDqVM-XyISIANaZ_p2GNviZ5r-_0OFSH","Burton-Jones2006")</f>
        <v>Burton-Jones2006</v>
      </c>
      <c r="C34" s="48" t="s">
        <v>273</v>
      </c>
      <c r="D34" s="48" t="s">
        <v>274</v>
      </c>
      <c r="E34" s="49">
        <v>2006.0</v>
      </c>
      <c r="F34" s="50"/>
      <c r="G34" s="50"/>
      <c r="H34" s="50">
        <v>1.0</v>
      </c>
      <c r="I34" s="50"/>
      <c r="J34" s="50"/>
      <c r="K34" s="50"/>
      <c r="L34" s="50"/>
      <c r="M34" s="50"/>
      <c r="N34" s="50"/>
      <c r="O34" s="50"/>
      <c r="P34" s="50"/>
      <c r="Q34" s="50"/>
      <c r="R34" s="50"/>
      <c r="S34" s="50"/>
      <c r="T34" s="50"/>
      <c r="U34" s="50"/>
      <c r="V34" s="51"/>
      <c r="W34" s="51" t="s">
        <v>275</v>
      </c>
      <c r="X34" s="51" t="s">
        <v>84</v>
      </c>
      <c r="Y34" s="51" t="s">
        <v>276</v>
      </c>
      <c r="Z34" s="51" t="s">
        <v>100</v>
      </c>
      <c r="AA34" s="50">
        <v>1.0</v>
      </c>
      <c r="AB34" s="50"/>
      <c r="AC34" s="50"/>
      <c r="AD34" s="50">
        <v>1.0</v>
      </c>
      <c r="AE34" s="50"/>
      <c r="AF34" s="50"/>
      <c r="AG34" s="50"/>
      <c r="AH34" s="51"/>
      <c r="AI34" s="51">
        <v>1.0</v>
      </c>
      <c r="AJ34" s="51"/>
      <c r="AK34" s="51"/>
      <c r="AL34" s="51"/>
      <c r="AM34" s="51"/>
      <c r="AN34" s="51">
        <v>1.0</v>
      </c>
      <c r="AO34" s="51"/>
      <c r="AP34" s="51"/>
      <c r="AQ34" s="51"/>
      <c r="AR34" s="51"/>
      <c r="AS34" s="51"/>
      <c r="AT34" s="51"/>
      <c r="AU34" s="51"/>
      <c r="AV34" s="51"/>
      <c r="AW34" s="51"/>
      <c r="AX34" s="51"/>
      <c r="AY34" s="51"/>
      <c r="AZ34" s="51"/>
      <c r="BA34" s="51"/>
      <c r="BB34" s="51"/>
      <c r="BC34" s="51"/>
      <c r="BD34" s="51"/>
      <c r="BE34" s="51">
        <v>1.0</v>
      </c>
      <c r="BF34" s="51"/>
      <c r="BG34" s="51"/>
      <c r="BH34" s="51"/>
      <c r="BI34" s="51"/>
      <c r="BJ34" s="51"/>
      <c r="BK34" s="51"/>
      <c r="BL34" s="51"/>
      <c r="BM34" s="51"/>
      <c r="BN34" s="51"/>
      <c r="BO34" s="51"/>
      <c r="BP34" s="51"/>
      <c r="BQ34" s="51"/>
      <c r="BR34" s="51"/>
      <c r="BS34" s="51"/>
      <c r="BT34" s="51"/>
      <c r="BU34" s="51"/>
      <c r="BV34" s="51"/>
      <c r="BW34" s="51">
        <v>1.0</v>
      </c>
      <c r="BX34" s="51"/>
      <c r="BY34" s="51">
        <v>1.0</v>
      </c>
      <c r="BZ34" s="51"/>
    </row>
    <row r="35" ht="12.75" customHeight="1">
      <c r="A35" s="46" t="s">
        <v>88</v>
      </c>
      <c r="B35" s="53" t="str">
        <f>HYPERLINK("https://drive.google.com/open?id=0B00cIHsghs6US29kUUxuaGVXS1k","Calikli2010")</f>
        <v>Calikli2010</v>
      </c>
      <c r="C35" s="48" t="s">
        <v>277</v>
      </c>
      <c r="D35" s="48" t="s">
        <v>278</v>
      </c>
      <c r="E35" s="49">
        <v>2010.0</v>
      </c>
      <c r="F35" s="58"/>
      <c r="G35" s="50"/>
      <c r="H35" s="50"/>
      <c r="I35" s="50"/>
      <c r="J35" s="50">
        <v>1.0</v>
      </c>
      <c r="K35" s="50"/>
      <c r="L35" s="50"/>
      <c r="M35" s="50"/>
      <c r="N35" s="50"/>
      <c r="O35" s="50"/>
      <c r="P35" s="50"/>
      <c r="Q35" s="50"/>
      <c r="R35" s="50"/>
      <c r="S35" s="50"/>
      <c r="T35" s="50"/>
      <c r="U35" s="50"/>
      <c r="V35" s="51"/>
      <c r="W35" s="51" t="s">
        <v>279</v>
      </c>
      <c r="X35" s="51" t="s">
        <v>280</v>
      </c>
      <c r="Y35" s="51" t="s">
        <v>281</v>
      </c>
      <c r="Z35" s="51" t="s">
        <v>137</v>
      </c>
      <c r="AA35" s="50">
        <v>1.0</v>
      </c>
      <c r="AB35" s="50">
        <v>1.0</v>
      </c>
      <c r="AC35" s="50"/>
      <c r="AD35" s="50">
        <v>1.0</v>
      </c>
      <c r="AE35" s="50"/>
      <c r="AF35" s="50"/>
      <c r="AG35" s="50"/>
      <c r="AH35" s="51" t="s">
        <v>282</v>
      </c>
      <c r="AI35" s="51">
        <v>1.0</v>
      </c>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v>1.0</v>
      </c>
      <c r="BI35" s="51"/>
      <c r="BJ35" s="51"/>
      <c r="BK35" s="51"/>
      <c r="BL35" s="51"/>
      <c r="BM35" s="51"/>
      <c r="BN35" s="51"/>
      <c r="BO35" s="51"/>
      <c r="BP35" s="51"/>
      <c r="BQ35" s="51"/>
      <c r="BR35" s="51"/>
      <c r="BS35" s="51"/>
      <c r="BT35" s="51"/>
      <c r="BU35" s="51"/>
      <c r="BV35" s="51"/>
      <c r="BW35" s="51">
        <v>1.0</v>
      </c>
      <c r="BX35" s="51"/>
      <c r="BY35" s="51"/>
      <c r="BZ35" s="51"/>
    </row>
    <row r="36" ht="12.75" customHeight="1">
      <c r="A36" s="46" t="s">
        <v>88</v>
      </c>
      <c r="B36" s="53" t="str">
        <f>HYPERLINK("https://drive.google.com/open?id=1fcMG7VLxvLv0V7VCK5HEmvmM37MfJUH2","Calikli2010")</f>
        <v>Calikli2010</v>
      </c>
      <c r="C36" s="48" t="s">
        <v>283</v>
      </c>
      <c r="D36" s="48" t="s">
        <v>284</v>
      </c>
      <c r="E36" s="49">
        <v>2010.0</v>
      </c>
      <c r="F36" s="50"/>
      <c r="G36" s="50"/>
      <c r="H36" s="50"/>
      <c r="I36" s="50"/>
      <c r="J36" s="50">
        <v>1.0</v>
      </c>
      <c r="K36" s="50"/>
      <c r="L36" s="50"/>
      <c r="M36" s="50"/>
      <c r="N36" s="50"/>
      <c r="O36" s="50"/>
      <c r="P36" s="50"/>
      <c r="Q36" s="50"/>
      <c r="R36" s="50"/>
      <c r="S36" s="50"/>
      <c r="T36" s="50"/>
      <c r="U36" s="50"/>
      <c r="V36" s="51"/>
      <c r="W36" s="51" t="s">
        <v>285</v>
      </c>
      <c r="X36" s="51" t="s">
        <v>84</v>
      </c>
      <c r="Y36" s="51" t="s">
        <v>286</v>
      </c>
      <c r="Z36" s="51" t="s">
        <v>100</v>
      </c>
      <c r="AA36" s="50">
        <v>1.0</v>
      </c>
      <c r="AB36" s="50">
        <v>1.0</v>
      </c>
      <c r="AC36" s="50"/>
      <c r="AD36" s="50">
        <v>1.0</v>
      </c>
      <c r="AE36" s="50"/>
      <c r="AF36" s="50"/>
      <c r="AG36" s="50"/>
      <c r="AH36" s="51"/>
      <c r="AI36" s="51">
        <v>1.0</v>
      </c>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v>1.0</v>
      </c>
      <c r="BI36" s="51"/>
      <c r="BJ36" s="51"/>
      <c r="BK36" s="51"/>
      <c r="BL36" s="51"/>
      <c r="BM36" s="51"/>
      <c r="BN36" s="51"/>
      <c r="BO36" s="51"/>
      <c r="BP36" s="51"/>
      <c r="BQ36" s="51"/>
      <c r="BR36" s="51"/>
      <c r="BS36" s="51"/>
      <c r="BT36" s="51"/>
      <c r="BU36" s="51"/>
      <c r="BV36" s="51"/>
      <c r="BW36" s="51">
        <v>1.0</v>
      </c>
      <c r="BX36" s="51"/>
      <c r="BY36" s="51"/>
      <c r="BZ36" s="51"/>
    </row>
    <row r="37" ht="12.75" customHeight="1">
      <c r="A37" s="46" t="s">
        <v>124</v>
      </c>
      <c r="B37" s="56" t="str">
        <f>HYPERLINK("https://drive.google.com/open?id=0B-nn5iJ29NJaeVdEbEwzZWpyWGM","Calikli2010b")</f>
        <v>Calikli2010b</v>
      </c>
      <c r="C37" s="55" t="s">
        <v>287</v>
      </c>
      <c r="D37" s="55" t="s">
        <v>288</v>
      </c>
      <c r="E37" s="57">
        <v>2010.0</v>
      </c>
      <c r="F37" s="58"/>
      <c r="G37" s="50"/>
      <c r="H37" s="50"/>
      <c r="I37" s="50"/>
      <c r="J37" s="50"/>
      <c r="K37" s="50"/>
      <c r="L37" s="50"/>
      <c r="M37" s="50"/>
      <c r="N37" s="50"/>
      <c r="O37" s="50"/>
      <c r="P37" s="50">
        <v>1.0</v>
      </c>
      <c r="Q37" s="50"/>
      <c r="R37" s="50"/>
      <c r="S37" s="50"/>
      <c r="T37" s="50"/>
      <c r="U37" s="50"/>
      <c r="V37" s="48"/>
      <c r="W37" s="48" t="s">
        <v>289</v>
      </c>
      <c r="X37" s="48"/>
      <c r="Y37" s="48" t="s">
        <v>290</v>
      </c>
      <c r="Z37" s="48" t="s">
        <v>291</v>
      </c>
      <c r="AA37" s="50"/>
      <c r="AB37" s="50">
        <v>1.0</v>
      </c>
      <c r="AC37" s="50"/>
      <c r="AD37" s="50">
        <v>1.0</v>
      </c>
      <c r="AE37" s="50"/>
      <c r="AF37" s="50"/>
      <c r="AG37" s="50"/>
      <c r="AH37" s="59"/>
      <c r="AI37" s="51">
        <v>1.0</v>
      </c>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v>1.0</v>
      </c>
      <c r="BI37" s="51"/>
      <c r="BJ37" s="51"/>
      <c r="BK37" s="51"/>
      <c r="BL37" s="51"/>
      <c r="BM37" s="51"/>
      <c r="BN37" s="51"/>
      <c r="BO37" s="51"/>
      <c r="BP37" s="51"/>
      <c r="BQ37" s="51"/>
      <c r="BR37" s="51"/>
      <c r="BS37" s="51"/>
      <c r="BT37" s="51"/>
      <c r="BU37" s="51"/>
      <c r="BV37" s="51"/>
      <c r="BW37" s="51">
        <v>1.0</v>
      </c>
      <c r="BX37" s="51"/>
      <c r="BY37" s="51"/>
      <c r="BZ37" s="51"/>
    </row>
    <row r="38" ht="12.75" customHeight="1">
      <c r="A38" s="46" t="s">
        <v>88</v>
      </c>
      <c r="B38" s="53" t="str">
        <f>HYPERLINK("https://drive.google.com/open?id=1s4pfRkUWC9WZ87QiCrjSPmoZmsrLoN7u","Calikli2010c")</f>
        <v>Calikli2010c</v>
      </c>
      <c r="C38" s="48" t="s">
        <v>292</v>
      </c>
      <c r="D38" s="48" t="s">
        <v>293</v>
      </c>
      <c r="E38" s="49">
        <v>2010.0</v>
      </c>
      <c r="F38" s="50"/>
      <c r="G38" s="50"/>
      <c r="H38" s="50"/>
      <c r="I38" s="50"/>
      <c r="J38" s="50">
        <v>1.0</v>
      </c>
      <c r="K38" s="50"/>
      <c r="L38" s="50"/>
      <c r="M38" s="50"/>
      <c r="N38" s="50"/>
      <c r="O38" s="50"/>
      <c r="P38" s="50"/>
      <c r="Q38" s="50"/>
      <c r="R38" s="50"/>
      <c r="S38" s="50"/>
      <c r="T38" s="50"/>
      <c r="U38" s="50"/>
      <c r="V38" s="51"/>
      <c r="W38" s="51" t="s">
        <v>285</v>
      </c>
      <c r="X38" s="51" t="s">
        <v>84</v>
      </c>
      <c r="Y38" s="51" t="s">
        <v>286</v>
      </c>
      <c r="Z38" s="51" t="s">
        <v>100</v>
      </c>
      <c r="AA38" s="50">
        <v>1.0</v>
      </c>
      <c r="AB38" s="50">
        <v>1.0</v>
      </c>
      <c r="AC38" s="50"/>
      <c r="AD38" s="50">
        <v>1.0</v>
      </c>
      <c r="AE38" s="50"/>
      <c r="AF38" s="50"/>
      <c r="AG38" s="50"/>
      <c r="AH38" s="51" t="s">
        <v>294</v>
      </c>
      <c r="AI38" s="51">
        <v>1.0</v>
      </c>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v>1.0</v>
      </c>
      <c r="BI38" s="51"/>
      <c r="BJ38" s="51"/>
      <c r="BK38" s="51"/>
      <c r="BL38" s="51"/>
      <c r="BM38" s="51"/>
      <c r="BN38" s="51"/>
      <c r="BO38" s="51"/>
      <c r="BP38" s="51"/>
      <c r="BQ38" s="51"/>
      <c r="BR38" s="51"/>
      <c r="BS38" s="51"/>
      <c r="BT38" s="51"/>
      <c r="BU38" s="51"/>
      <c r="BV38" s="51"/>
      <c r="BW38" s="51">
        <v>1.0</v>
      </c>
      <c r="BX38" s="51"/>
      <c r="BY38" s="51"/>
      <c r="BZ38" s="51"/>
    </row>
    <row r="39" ht="12.75" customHeight="1">
      <c r="A39" s="46" t="s">
        <v>124</v>
      </c>
      <c r="B39" s="56" t="str">
        <f>HYPERLINK("https://drive.google.com/open?id=0B-nn5iJ29NJaaTRaYkt1MGdYbWs","Calikli2012")</f>
        <v>Calikli2012</v>
      </c>
      <c r="C39" s="55" t="s">
        <v>295</v>
      </c>
      <c r="D39" s="55" t="s">
        <v>296</v>
      </c>
      <c r="E39" s="57">
        <v>2012.0</v>
      </c>
      <c r="F39" s="58"/>
      <c r="G39" s="50"/>
      <c r="H39" s="50"/>
      <c r="I39" s="50"/>
      <c r="J39" s="50"/>
      <c r="K39" s="50"/>
      <c r="L39" s="50"/>
      <c r="M39" s="50"/>
      <c r="N39" s="50"/>
      <c r="O39" s="50"/>
      <c r="P39" s="50">
        <v>1.0</v>
      </c>
      <c r="Q39" s="50"/>
      <c r="R39" s="50"/>
      <c r="S39" s="50"/>
      <c r="T39" s="50"/>
      <c r="U39" s="50"/>
      <c r="V39" s="48"/>
      <c r="W39" s="48" t="s">
        <v>263</v>
      </c>
      <c r="X39" s="48"/>
      <c r="Y39" s="48"/>
      <c r="Z39" s="48" t="s">
        <v>297</v>
      </c>
      <c r="AA39" s="50"/>
      <c r="AB39" s="50"/>
      <c r="AC39" s="50">
        <v>1.0</v>
      </c>
      <c r="AD39" s="50"/>
      <c r="AE39" s="50"/>
      <c r="AF39" s="50"/>
      <c r="AG39" s="50"/>
      <c r="AH39" s="59"/>
      <c r="AI39" s="51">
        <v>1.0</v>
      </c>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v>1.0</v>
      </c>
      <c r="BI39" s="51"/>
      <c r="BJ39" s="51"/>
      <c r="BK39" s="51"/>
      <c r="BL39" s="51"/>
      <c r="BM39" s="51"/>
      <c r="BN39" s="51"/>
      <c r="BO39" s="51"/>
      <c r="BP39" s="51"/>
      <c r="BQ39" s="51"/>
      <c r="BR39" s="51"/>
      <c r="BS39" s="51"/>
      <c r="BT39" s="51"/>
      <c r="BU39" s="51"/>
      <c r="BV39" s="51"/>
      <c r="BW39" s="51"/>
      <c r="BX39" s="51"/>
      <c r="BY39" s="51"/>
      <c r="BZ39" s="51"/>
    </row>
    <row r="40" ht="12.75" customHeight="1">
      <c r="A40" s="46" t="s">
        <v>88</v>
      </c>
      <c r="B40" s="53" t="str">
        <f>HYPERLINK("https://drive.google.com/open?id=18g7tRYFuCAbQl_d30ozSZCjR_9zWBkQQ","Calikli2013")</f>
        <v>Calikli2013</v>
      </c>
      <c r="C40" s="48" t="s">
        <v>298</v>
      </c>
      <c r="D40" s="48" t="s">
        <v>299</v>
      </c>
      <c r="E40" s="49">
        <v>2013.0</v>
      </c>
      <c r="F40" s="50"/>
      <c r="G40" s="50"/>
      <c r="H40" s="50"/>
      <c r="I40" s="50"/>
      <c r="J40" s="50">
        <v>1.0</v>
      </c>
      <c r="K40" s="50"/>
      <c r="L40" s="50"/>
      <c r="M40" s="50"/>
      <c r="N40" s="50"/>
      <c r="O40" s="50"/>
      <c r="P40" s="50"/>
      <c r="Q40" s="50"/>
      <c r="R40" s="50"/>
      <c r="S40" s="50"/>
      <c r="T40" s="50"/>
      <c r="U40" s="50"/>
      <c r="V40" s="51"/>
      <c r="W40" s="51" t="s">
        <v>285</v>
      </c>
      <c r="X40" s="51" t="s">
        <v>84</v>
      </c>
      <c r="Y40" s="51" t="s">
        <v>286</v>
      </c>
      <c r="Z40" s="51" t="s">
        <v>100</v>
      </c>
      <c r="AA40" s="50"/>
      <c r="AB40" s="50">
        <v>1.0</v>
      </c>
      <c r="AC40" s="50"/>
      <c r="AD40" s="50">
        <v>1.0</v>
      </c>
      <c r="AE40" s="50"/>
      <c r="AF40" s="50"/>
      <c r="AG40" s="50"/>
      <c r="AH40" s="51" t="s">
        <v>300</v>
      </c>
      <c r="AI40" s="51">
        <v>1.0</v>
      </c>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v>1.0</v>
      </c>
      <c r="BI40" s="51"/>
      <c r="BJ40" s="51"/>
      <c r="BK40" s="51"/>
      <c r="BL40" s="51"/>
      <c r="BM40" s="51"/>
      <c r="BN40" s="51"/>
      <c r="BO40" s="51"/>
      <c r="BP40" s="51"/>
      <c r="BQ40" s="51"/>
      <c r="BR40" s="51"/>
      <c r="BS40" s="51"/>
      <c r="BT40" s="51"/>
      <c r="BU40" s="51"/>
      <c r="BV40" s="51"/>
      <c r="BW40" s="51">
        <v>1.0</v>
      </c>
      <c r="BX40" s="51"/>
      <c r="BY40" s="51"/>
      <c r="BZ40" s="51"/>
    </row>
    <row r="41" ht="12.75" customHeight="1">
      <c r="A41" s="46" t="s">
        <v>108</v>
      </c>
      <c r="B41" s="56" t="str">
        <f>HYPERLINK("http://oro.open.ac.uk/45345/1/ESEM2013.pdf","Calikli2013a")</f>
        <v>Calikli2013a</v>
      </c>
      <c r="C41" s="55" t="s">
        <v>301</v>
      </c>
      <c r="D41" s="55" t="s">
        <v>302</v>
      </c>
      <c r="E41" s="49">
        <v>2013.0</v>
      </c>
      <c r="F41" s="50"/>
      <c r="G41" s="50"/>
      <c r="H41" s="50"/>
      <c r="I41" s="50"/>
      <c r="J41" s="50"/>
      <c r="K41" s="50"/>
      <c r="L41" s="50"/>
      <c r="M41" s="50">
        <v>1.0</v>
      </c>
      <c r="N41" s="50">
        <v>1.0</v>
      </c>
      <c r="O41" s="50"/>
      <c r="P41" s="50"/>
      <c r="Q41" s="50"/>
      <c r="R41" s="50"/>
      <c r="S41" s="50"/>
      <c r="T41" s="50"/>
      <c r="U41" s="50"/>
      <c r="V41" s="48" t="s">
        <v>303</v>
      </c>
      <c r="W41" s="48" t="s">
        <v>304</v>
      </c>
      <c r="X41" s="48" t="s">
        <v>305</v>
      </c>
      <c r="Y41" s="48" t="s">
        <v>306</v>
      </c>
      <c r="Z41" s="48" t="s">
        <v>307</v>
      </c>
      <c r="AA41" s="50"/>
      <c r="AB41" s="50">
        <v>1.0</v>
      </c>
      <c r="AC41" s="50"/>
      <c r="AD41" s="50">
        <v>1.0</v>
      </c>
      <c r="AE41" s="50"/>
      <c r="AF41" s="50"/>
      <c r="AG41" s="50"/>
      <c r="AH41" s="51" t="s">
        <v>308</v>
      </c>
      <c r="AI41" s="51">
        <v>1.0</v>
      </c>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v>1.0</v>
      </c>
      <c r="BI41" s="51"/>
      <c r="BJ41" s="51"/>
      <c r="BK41" s="51"/>
      <c r="BL41" s="51"/>
      <c r="BM41" s="51"/>
      <c r="BN41" s="51"/>
      <c r="BO41" s="51"/>
      <c r="BP41" s="51"/>
      <c r="BQ41" s="51"/>
      <c r="BR41" s="51"/>
      <c r="BS41" s="51"/>
      <c r="BT41" s="51"/>
      <c r="BU41" s="51"/>
      <c r="BV41" s="51"/>
      <c r="BW41" s="51">
        <v>1.0</v>
      </c>
      <c r="BX41" s="51"/>
      <c r="BY41" s="51"/>
      <c r="BZ41" s="51"/>
    </row>
    <row r="42" ht="12.75" customHeight="1">
      <c r="A42" s="46" t="s">
        <v>88</v>
      </c>
      <c r="B42" s="53" t="str">
        <f>HYPERLINK("https://drive.google.com/open?id=1q2hvBxeBL4rUfCzbrz8n_Uucbc-PqiJs","Cant1995")</f>
        <v>Cant1995</v>
      </c>
      <c r="C42" s="48" t="s">
        <v>309</v>
      </c>
      <c r="D42" s="48" t="s">
        <v>310</v>
      </c>
      <c r="E42" s="49">
        <v>1995.0</v>
      </c>
      <c r="F42" s="50"/>
      <c r="G42" s="50"/>
      <c r="H42" s="50"/>
      <c r="I42" s="50">
        <v>1.0</v>
      </c>
      <c r="J42" s="50"/>
      <c r="K42" s="50"/>
      <c r="L42" s="50"/>
      <c r="M42" s="50"/>
      <c r="N42" s="50"/>
      <c r="O42" s="50"/>
      <c r="P42" s="50"/>
      <c r="Q42" s="50"/>
      <c r="R42" s="50"/>
      <c r="S42" s="50"/>
      <c r="T42" s="50"/>
      <c r="U42" s="50"/>
      <c r="V42" s="51"/>
      <c r="W42" s="51" t="s">
        <v>311</v>
      </c>
      <c r="X42" s="51" t="s">
        <v>92</v>
      </c>
      <c r="Y42" s="51" t="s">
        <v>92</v>
      </c>
      <c r="Z42" s="51" t="s">
        <v>100</v>
      </c>
      <c r="AA42" s="50"/>
      <c r="AB42" s="50"/>
      <c r="AC42" s="50"/>
      <c r="AD42" s="50"/>
      <c r="AE42" s="50"/>
      <c r="AF42" s="50">
        <v>1.0</v>
      </c>
      <c r="AG42" s="50"/>
      <c r="AH42" s="51" t="s">
        <v>312</v>
      </c>
      <c r="AI42" s="51">
        <v>1.0</v>
      </c>
      <c r="AJ42" s="51"/>
      <c r="AK42" s="51"/>
      <c r="AL42" s="51"/>
      <c r="AM42" s="51"/>
      <c r="AN42" s="51">
        <v>1.0</v>
      </c>
      <c r="AO42" s="51"/>
      <c r="AP42" s="51"/>
      <c r="AQ42" s="51"/>
      <c r="AR42" s="51"/>
      <c r="AS42" s="51"/>
      <c r="AT42" s="51"/>
      <c r="AU42" s="51"/>
      <c r="AV42" s="51"/>
      <c r="AW42" s="51"/>
      <c r="AX42" s="51"/>
      <c r="AY42" s="51"/>
      <c r="AZ42" s="51"/>
      <c r="BA42" s="51"/>
      <c r="BB42" s="51"/>
      <c r="BC42" s="51"/>
      <c r="BD42" s="51"/>
      <c r="BE42" s="51"/>
      <c r="BF42" s="51"/>
      <c r="BG42" s="51"/>
      <c r="BH42" s="51"/>
      <c r="BI42" s="51">
        <v>1.0</v>
      </c>
      <c r="BJ42" s="51"/>
      <c r="BK42" s="51"/>
      <c r="BL42" s="51"/>
      <c r="BM42" s="51"/>
      <c r="BN42" s="51"/>
      <c r="BO42" s="51"/>
      <c r="BP42" s="51"/>
      <c r="BQ42" s="51"/>
      <c r="BR42" s="51"/>
      <c r="BS42" s="51"/>
      <c r="BT42" s="51"/>
      <c r="BU42" s="51"/>
      <c r="BV42" s="51"/>
      <c r="BW42" s="51"/>
      <c r="BX42" s="51"/>
      <c r="BY42" s="51"/>
      <c r="BZ42" s="51"/>
    </row>
    <row r="43" ht="12.75" customHeight="1">
      <c r="A43" s="46" t="s">
        <v>124</v>
      </c>
      <c r="B43" s="54" t="str">
        <f>HYPERLINK("https://drive.google.com/open?id=0B-nn5iJ29NJaMHBOUFpUYnVCeVk","Carod2007")</f>
        <v>Carod2007</v>
      </c>
      <c r="C43" s="55" t="s">
        <v>313</v>
      </c>
      <c r="D43" s="55" t="s">
        <v>314</v>
      </c>
      <c r="E43" s="49">
        <v>2007.0</v>
      </c>
      <c r="F43" s="50"/>
      <c r="G43" s="50">
        <v>1.0</v>
      </c>
      <c r="H43" s="50"/>
      <c r="I43" s="50"/>
      <c r="J43" s="50"/>
      <c r="K43" s="50"/>
      <c r="L43" s="50"/>
      <c r="M43" s="50"/>
      <c r="N43" s="50"/>
      <c r="O43" s="50"/>
      <c r="P43" s="50"/>
      <c r="Q43" s="50"/>
      <c r="R43" s="50"/>
      <c r="S43" s="50"/>
      <c r="T43" s="50"/>
      <c r="U43" s="50"/>
      <c r="V43" s="48" t="s">
        <v>315</v>
      </c>
      <c r="W43" s="48" t="s">
        <v>316</v>
      </c>
      <c r="X43" s="48" t="s">
        <v>317</v>
      </c>
      <c r="Y43" s="48" t="s">
        <v>318</v>
      </c>
      <c r="Z43" s="48" t="s">
        <v>319</v>
      </c>
      <c r="AA43" s="50"/>
      <c r="AB43" s="50"/>
      <c r="AC43" s="60"/>
      <c r="AD43" s="50">
        <v>1.0</v>
      </c>
      <c r="AE43" s="50"/>
      <c r="AF43" s="50"/>
      <c r="AG43" s="50"/>
      <c r="AH43" s="59"/>
      <c r="AI43" s="52">
        <v>1.0</v>
      </c>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2">
        <v>1.0</v>
      </c>
      <c r="BJ43" s="51"/>
      <c r="BK43" s="51"/>
      <c r="BL43" s="51"/>
      <c r="BM43" s="51"/>
      <c r="BN43" s="51"/>
      <c r="BO43" s="51"/>
      <c r="BP43" s="51"/>
      <c r="BQ43" s="51"/>
      <c r="BR43" s="51"/>
      <c r="BS43" s="51"/>
      <c r="BT43" s="51"/>
      <c r="BU43" s="51"/>
      <c r="BV43" s="51"/>
      <c r="BW43" s="51"/>
      <c r="BX43" s="51"/>
      <c r="BY43" s="51">
        <v>1.0</v>
      </c>
      <c r="BZ43" s="51"/>
    </row>
    <row r="44" ht="12.75" customHeight="1">
      <c r="A44" s="46" t="s">
        <v>124</v>
      </c>
      <c r="B44" s="54" t="str">
        <f>HYPERLINK("https://drive.google.com/open?id=0B-nn5iJ29NJaaTAtUTk0M0psSjA","Chilton2005")</f>
        <v>Chilton2005</v>
      </c>
      <c r="C44" s="55" t="s">
        <v>320</v>
      </c>
      <c r="D44" s="55" t="s">
        <v>321</v>
      </c>
      <c r="E44" s="57">
        <v>2005.0</v>
      </c>
      <c r="F44" s="70">
        <v>1.0</v>
      </c>
      <c r="G44" s="50"/>
      <c r="H44" s="50"/>
      <c r="I44" s="50"/>
      <c r="J44" s="50"/>
      <c r="K44" s="50"/>
      <c r="L44" s="50"/>
      <c r="M44" s="50"/>
      <c r="N44" s="50"/>
      <c r="O44" s="50"/>
      <c r="P44" s="50"/>
      <c r="Q44" s="50">
        <v>1.0</v>
      </c>
      <c r="R44" s="50"/>
      <c r="S44" s="50"/>
      <c r="T44" s="50"/>
      <c r="U44" s="50"/>
      <c r="V44" s="69" t="s">
        <v>322</v>
      </c>
      <c r="W44" s="48" t="s">
        <v>323</v>
      </c>
      <c r="X44" s="48"/>
      <c r="Y44" s="48" t="s">
        <v>324</v>
      </c>
      <c r="Z44" s="48" t="s">
        <v>325</v>
      </c>
      <c r="AA44" s="50"/>
      <c r="AB44" s="50">
        <v>1.0</v>
      </c>
      <c r="AC44" s="50"/>
      <c r="AD44" s="50">
        <v>1.0</v>
      </c>
      <c r="AE44" s="50"/>
      <c r="AF44" s="50"/>
      <c r="AG44" s="50"/>
      <c r="AH44" s="59"/>
      <c r="AI44" s="52">
        <v>1.0</v>
      </c>
      <c r="AJ44" s="51"/>
      <c r="AK44" s="51"/>
      <c r="AL44" s="51"/>
      <c r="AM44" s="51"/>
      <c r="AN44" s="51"/>
      <c r="AO44" s="51"/>
      <c r="AP44" s="51"/>
      <c r="AQ44" s="51"/>
      <c r="AR44" s="51"/>
      <c r="AS44" s="51"/>
      <c r="AT44" s="51"/>
      <c r="AU44" s="51"/>
      <c r="AV44" s="51"/>
      <c r="AW44" s="51"/>
      <c r="AX44" s="51"/>
      <c r="AY44" s="52">
        <v>1.0</v>
      </c>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v>1.0</v>
      </c>
      <c r="BZ44" s="51"/>
    </row>
    <row r="45" ht="12.75" customHeight="1">
      <c r="A45" s="46" t="s">
        <v>124</v>
      </c>
      <c r="B45" s="54" t="str">
        <f>HYPERLINK("https://drive.google.com/open?id=0B-nn5iJ29NJaXzMzOEM0UEVreXM","Chiu2014")</f>
        <v>Chiu2014</v>
      </c>
      <c r="C45" s="55" t="s">
        <v>326</v>
      </c>
      <c r="D45" s="55" t="s">
        <v>327</v>
      </c>
      <c r="E45" s="57">
        <v>2014.0</v>
      </c>
      <c r="F45" s="58"/>
      <c r="G45" s="50"/>
      <c r="H45" s="50"/>
      <c r="I45" s="50"/>
      <c r="J45" s="50">
        <v>1.0</v>
      </c>
      <c r="K45" s="50"/>
      <c r="L45" s="50"/>
      <c r="M45" s="50"/>
      <c r="N45" s="50"/>
      <c r="O45" s="50"/>
      <c r="P45" s="50"/>
      <c r="Q45" s="50"/>
      <c r="R45" s="50"/>
      <c r="S45" s="50"/>
      <c r="T45" s="50"/>
      <c r="U45" s="50"/>
      <c r="V45" s="48"/>
      <c r="W45" s="48" t="s">
        <v>328</v>
      </c>
      <c r="X45" s="48" t="s">
        <v>329</v>
      </c>
      <c r="Y45" s="48" t="s">
        <v>330</v>
      </c>
      <c r="Z45" s="48" t="s">
        <v>331</v>
      </c>
      <c r="AA45" s="50"/>
      <c r="AB45" s="50"/>
      <c r="AC45" s="50"/>
      <c r="AD45" s="50">
        <v>1.0</v>
      </c>
      <c r="AE45" s="50"/>
      <c r="AF45" s="50"/>
      <c r="AG45" s="50"/>
      <c r="AH45" s="59"/>
      <c r="AI45" s="52">
        <v>1.0</v>
      </c>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2">
        <v>1.0</v>
      </c>
      <c r="BJ45" s="51"/>
      <c r="BK45" s="51"/>
      <c r="BL45" s="51"/>
      <c r="BM45" s="51"/>
      <c r="BN45" s="51"/>
      <c r="BO45" s="51"/>
      <c r="BP45" s="51"/>
      <c r="BQ45" s="51"/>
      <c r="BR45" s="51"/>
      <c r="BS45" s="51"/>
      <c r="BT45" s="51"/>
      <c r="BU45" s="51"/>
      <c r="BV45" s="51"/>
      <c r="BW45" s="51"/>
      <c r="BX45" s="51"/>
      <c r="BY45" s="51">
        <v>1.0</v>
      </c>
      <c r="BZ45" s="51"/>
    </row>
    <row r="46" ht="12.75" customHeight="1">
      <c r="A46" s="46" t="s">
        <v>116</v>
      </c>
      <c r="B46" s="56" t="str">
        <f>HYPERLINK("https://drive.google.com/open?id=0B1GMAYMj9v6rSi1OYkZvQWNWaE0","Chotisarn2013")</f>
        <v>Chotisarn2013</v>
      </c>
      <c r="C46" s="55" t="s">
        <v>332</v>
      </c>
      <c r="D46" s="55" t="s">
        <v>333</v>
      </c>
      <c r="E46" s="49">
        <v>2013.0</v>
      </c>
      <c r="F46" s="50"/>
      <c r="G46" s="50">
        <v>1.0</v>
      </c>
      <c r="H46" s="50"/>
      <c r="I46" s="50"/>
      <c r="J46" s="50"/>
      <c r="K46" s="50"/>
      <c r="L46" s="50"/>
      <c r="M46" s="50"/>
      <c r="N46" s="50"/>
      <c r="O46" s="50"/>
      <c r="P46" s="50"/>
      <c r="Q46" s="50"/>
      <c r="R46" s="50"/>
      <c r="S46" s="50"/>
      <c r="T46" s="50"/>
      <c r="U46" s="50"/>
      <c r="V46" s="51" t="s">
        <v>70</v>
      </c>
      <c r="W46" s="51" t="s">
        <v>334</v>
      </c>
      <c r="X46" s="51" t="s">
        <v>335</v>
      </c>
      <c r="Y46" s="51" t="s">
        <v>336</v>
      </c>
      <c r="Z46" s="51" t="s">
        <v>100</v>
      </c>
      <c r="AA46" s="50"/>
      <c r="AB46" s="50">
        <v>1.0</v>
      </c>
      <c r="AC46" s="50"/>
      <c r="AD46" s="50">
        <v>1.0</v>
      </c>
      <c r="AE46" s="50"/>
      <c r="AF46" s="50"/>
      <c r="AG46" s="50"/>
      <c r="AH46" s="51" t="s">
        <v>337</v>
      </c>
      <c r="AI46" s="51">
        <v>1.0</v>
      </c>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v>1.0</v>
      </c>
      <c r="BI46" s="51"/>
      <c r="BJ46" s="51"/>
      <c r="BK46" s="51"/>
      <c r="BL46" s="51"/>
      <c r="BM46" s="51"/>
      <c r="BN46" s="51"/>
      <c r="BO46" s="51"/>
      <c r="BP46" s="51"/>
      <c r="BQ46" s="51"/>
      <c r="BR46" s="51"/>
      <c r="BS46" s="51"/>
      <c r="BT46" s="51"/>
      <c r="BU46" s="51"/>
      <c r="BV46" s="51"/>
      <c r="BW46" s="51"/>
      <c r="BX46" s="51"/>
      <c r="BY46" s="51">
        <v>1.0</v>
      </c>
      <c r="BZ46" s="51"/>
    </row>
    <row r="47" ht="12.75" customHeight="1">
      <c r="A47" s="46" t="s">
        <v>116</v>
      </c>
      <c r="B47" s="54" t="str">
        <f>HYPERLINK("https://drive.google.com/open?id=0B1GMAYMj9v6rb0V4TEo3VzJaRmc","Chou2011")</f>
        <v>Chou2011</v>
      </c>
      <c r="C47" s="55" t="s">
        <v>338</v>
      </c>
      <c r="D47" s="55" t="s">
        <v>181</v>
      </c>
      <c r="E47" s="49">
        <v>2011.0</v>
      </c>
      <c r="F47" s="50"/>
      <c r="G47" s="50"/>
      <c r="H47" s="50"/>
      <c r="I47" s="50"/>
      <c r="J47" s="50"/>
      <c r="K47" s="50"/>
      <c r="L47" s="50"/>
      <c r="M47" s="50"/>
      <c r="N47" s="50"/>
      <c r="O47" s="50"/>
      <c r="P47" s="50"/>
      <c r="Q47" s="50">
        <v>1.0</v>
      </c>
      <c r="R47" s="50"/>
      <c r="S47" s="50"/>
      <c r="T47" s="50"/>
      <c r="U47" s="50"/>
      <c r="V47" s="51" t="s">
        <v>339</v>
      </c>
      <c r="W47" s="51" t="s">
        <v>340</v>
      </c>
      <c r="X47" s="51" t="s">
        <v>341</v>
      </c>
      <c r="Y47" s="51" t="s">
        <v>342</v>
      </c>
      <c r="Z47" s="51" t="s">
        <v>343</v>
      </c>
      <c r="AA47" s="50"/>
      <c r="AB47" s="50">
        <v>1.0</v>
      </c>
      <c r="AC47" s="50"/>
      <c r="AD47" s="50">
        <v>1.0</v>
      </c>
      <c r="AE47" s="50"/>
      <c r="AF47" s="50"/>
      <c r="AG47" s="50"/>
      <c r="AH47" s="51" t="s">
        <v>344</v>
      </c>
      <c r="AI47" s="51">
        <v>1.0</v>
      </c>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v>1.0</v>
      </c>
      <c r="BJ47" s="52">
        <v>1.0</v>
      </c>
      <c r="BK47" s="52">
        <v>1.0</v>
      </c>
      <c r="BL47" s="52"/>
      <c r="BM47" s="52"/>
      <c r="BN47" s="51"/>
      <c r="BO47" s="51"/>
      <c r="BP47" s="51"/>
      <c r="BQ47" s="51"/>
      <c r="BR47" s="51"/>
      <c r="BS47" s="51"/>
      <c r="BT47" s="51"/>
      <c r="BU47" s="51"/>
      <c r="BV47" s="51"/>
      <c r="BW47" s="51"/>
      <c r="BX47" s="51"/>
      <c r="BY47" s="51">
        <v>1.0</v>
      </c>
      <c r="BZ47" s="51"/>
    </row>
    <row r="48" ht="12.75" customHeight="1">
      <c r="A48" s="46" t="s">
        <v>124</v>
      </c>
      <c r="B48" s="54" t="str">
        <f>HYPERLINK("https://drive.google.com/open?id=0B-nn5iJ29NJaR2VkeTJIbjdVbEk","Chu2006")</f>
        <v>Chu2006</v>
      </c>
      <c r="C48" s="55" t="s">
        <v>345</v>
      </c>
      <c r="D48" s="55" t="s">
        <v>346</v>
      </c>
      <c r="E48" s="57">
        <v>2006.0</v>
      </c>
      <c r="F48" s="55"/>
      <c r="G48" s="55"/>
      <c r="H48" s="55"/>
      <c r="I48" s="59">
        <v>1.0</v>
      </c>
      <c r="J48" s="55"/>
      <c r="K48" s="55"/>
      <c r="L48" s="55"/>
      <c r="M48" s="55"/>
      <c r="N48" s="55"/>
      <c r="O48" s="55"/>
      <c r="P48" s="55"/>
      <c r="Q48" s="55"/>
      <c r="R48" s="55"/>
      <c r="S48" s="55"/>
      <c r="T48" s="55"/>
      <c r="U48" s="55"/>
      <c r="V48" s="55"/>
      <c r="W48" s="48" t="s">
        <v>347</v>
      </c>
      <c r="X48" s="69" t="s">
        <v>348</v>
      </c>
      <c r="Y48" s="69" t="s">
        <v>349</v>
      </c>
      <c r="Z48" s="48" t="s">
        <v>350</v>
      </c>
      <c r="AA48" s="59"/>
      <c r="AB48" s="59">
        <v>1.0</v>
      </c>
      <c r="AC48" s="59"/>
      <c r="AD48" s="59">
        <v>1.0</v>
      </c>
      <c r="AE48" s="59"/>
      <c r="AF48" s="59"/>
      <c r="AG48" s="59"/>
      <c r="AH48" s="59"/>
      <c r="AI48" s="51">
        <v>1.0</v>
      </c>
      <c r="AJ48" s="51"/>
      <c r="AK48" s="51"/>
      <c r="AL48" s="51"/>
      <c r="AM48" s="51"/>
      <c r="AN48" s="51"/>
      <c r="AO48" s="51"/>
      <c r="AP48" s="51"/>
      <c r="AQ48" s="51"/>
      <c r="AR48" s="51"/>
      <c r="AS48" s="51"/>
      <c r="AT48" s="51"/>
      <c r="AU48" s="51"/>
      <c r="AV48" s="51"/>
      <c r="AW48" s="51"/>
      <c r="AX48" s="51"/>
      <c r="AY48" s="51"/>
      <c r="AZ48" s="51"/>
      <c r="BA48" s="51"/>
      <c r="BB48" s="51"/>
      <c r="BC48" s="51"/>
      <c r="BD48" s="51"/>
      <c r="BE48" s="52">
        <v>1.0</v>
      </c>
      <c r="BF48" s="51"/>
      <c r="BG48" s="51"/>
      <c r="BH48" s="51"/>
      <c r="BI48" s="52">
        <v>1.0</v>
      </c>
      <c r="BJ48" s="51"/>
      <c r="BK48" s="51"/>
      <c r="BL48" s="51"/>
      <c r="BM48" s="51"/>
      <c r="BN48" s="51"/>
      <c r="BO48" s="51"/>
      <c r="BP48" s="51"/>
      <c r="BQ48" s="51"/>
      <c r="BR48" s="51"/>
      <c r="BS48" s="51"/>
      <c r="BT48" s="51"/>
      <c r="BU48" s="51"/>
      <c r="BV48" s="51"/>
      <c r="BW48" s="52"/>
      <c r="BX48" s="51"/>
      <c r="BY48" s="51"/>
      <c r="BZ48" s="52">
        <v>1.0</v>
      </c>
    </row>
    <row r="49" ht="12.75" customHeight="1">
      <c r="A49" s="46" t="s">
        <v>124</v>
      </c>
      <c r="B49" s="54" t="str">
        <f>HYPERLINK("https://drive.google.com/open?id=0B-nn5iJ29NJaUkdWb0dFSVZDNE0","Colazo2016")</f>
        <v>Colazo2016</v>
      </c>
      <c r="C49" s="55" t="s">
        <v>351</v>
      </c>
      <c r="D49" s="55" t="s">
        <v>352</v>
      </c>
      <c r="E49" s="57">
        <v>2016.0</v>
      </c>
      <c r="F49" s="58"/>
      <c r="G49" s="50"/>
      <c r="H49" s="50">
        <v>1.0</v>
      </c>
      <c r="I49" s="50"/>
      <c r="J49" s="50"/>
      <c r="K49" s="50"/>
      <c r="L49" s="50"/>
      <c r="M49" s="50">
        <v>1.0</v>
      </c>
      <c r="N49" s="50"/>
      <c r="O49" s="50"/>
      <c r="P49" s="50"/>
      <c r="Q49" s="50"/>
      <c r="R49" s="50"/>
      <c r="S49" s="50"/>
      <c r="T49" s="50"/>
      <c r="U49" s="50"/>
      <c r="V49" s="48" t="s">
        <v>353</v>
      </c>
      <c r="W49" s="48"/>
      <c r="X49" s="69" t="s">
        <v>354</v>
      </c>
      <c r="Y49" s="69" t="s">
        <v>355</v>
      </c>
      <c r="Z49" s="48" t="s">
        <v>356</v>
      </c>
      <c r="AA49" s="50"/>
      <c r="AB49" s="50">
        <v>1.0</v>
      </c>
      <c r="AC49" s="50"/>
      <c r="AD49" s="50">
        <v>1.0</v>
      </c>
      <c r="AE49" s="50"/>
      <c r="AF49" s="50"/>
      <c r="AG49" s="50"/>
      <c r="AH49" s="59"/>
      <c r="AI49" s="51">
        <v>1.0</v>
      </c>
      <c r="AJ49" s="51"/>
      <c r="AK49" s="51"/>
      <c r="AL49" s="51"/>
      <c r="AM49" s="51"/>
      <c r="AN49" s="51"/>
      <c r="AO49" s="51"/>
      <c r="AP49" s="51"/>
      <c r="AQ49" s="51"/>
      <c r="AR49" s="51">
        <v>1.0</v>
      </c>
      <c r="AS49" s="51"/>
      <c r="AT49" s="51"/>
      <c r="AU49" s="51"/>
      <c r="AV49" s="51"/>
      <c r="AW49" s="51"/>
      <c r="AX49" s="51"/>
      <c r="AY49" s="51"/>
      <c r="AZ49" s="51"/>
      <c r="BA49" s="51"/>
      <c r="BB49" s="51"/>
      <c r="BC49" s="51"/>
      <c r="BD49" s="51"/>
      <c r="BE49" s="51"/>
      <c r="BF49" s="51"/>
      <c r="BG49" s="51"/>
      <c r="BH49" s="51"/>
      <c r="BI49" s="52"/>
      <c r="BJ49" s="51"/>
      <c r="BK49" s="51"/>
      <c r="BL49" s="51"/>
      <c r="BM49" s="51"/>
      <c r="BN49" s="51"/>
      <c r="BO49" s="51"/>
      <c r="BP49" s="51"/>
      <c r="BQ49" s="51"/>
      <c r="BR49" s="51"/>
      <c r="BS49" s="51"/>
      <c r="BT49" s="51"/>
      <c r="BU49" s="51"/>
      <c r="BV49" s="52">
        <v>1.0</v>
      </c>
      <c r="BW49" s="51"/>
      <c r="BX49" s="51"/>
      <c r="BY49" s="51"/>
      <c r="BZ49" s="51"/>
    </row>
    <row r="50" ht="12.75" customHeight="1">
      <c r="A50" s="46" t="s">
        <v>108</v>
      </c>
      <c r="B50" s="56" t="str">
        <f>HYPERLINK("https://drive.google.com/open?id=0B3oar8-GeP-IU096VVV1ZnQ2a0U","Conroy2012")</f>
        <v>Conroy2012</v>
      </c>
      <c r="C50" s="55" t="s">
        <v>357</v>
      </c>
      <c r="D50" s="55" t="s">
        <v>358</v>
      </c>
      <c r="E50" s="49">
        <v>2012.0</v>
      </c>
      <c r="F50" s="50"/>
      <c r="G50" s="50"/>
      <c r="H50" s="50"/>
      <c r="I50" s="50"/>
      <c r="J50" s="50"/>
      <c r="K50" s="50"/>
      <c r="L50" s="50"/>
      <c r="M50" s="50">
        <v>1.0</v>
      </c>
      <c r="N50" s="50"/>
      <c r="O50" s="50"/>
      <c r="P50" s="50"/>
      <c r="Q50" s="50"/>
      <c r="R50" s="50"/>
      <c r="S50" s="50"/>
      <c r="T50" s="50"/>
      <c r="U50" s="50"/>
      <c r="V50" s="48"/>
      <c r="W50" s="48" t="s">
        <v>359</v>
      </c>
      <c r="X50" s="48" t="s">
        <v>189</v>
      </c>
      <c r="Y50" s="48"/>
      <c r="Z50" s="48" t="s">
        <v>360</v>
      </c>
      <c r="AA50" s="50"/>
      <c r="AB50" s="50">
        <v>1.0</v>
      </c>
      <c r="AC50" s="50"/>
      <c r="AD50" s="50">
        <v>1.0</v>
      </c>
      <c r="AE50" s="50"/>
      <c r="AF50" s="50"/>
      <c r="AG50" s="50"/>
      <c r="AH50" s="51"/>
      <c r="AI50" s="51">
        <v>1.0</v>
      </c>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v>1.0</v>
      </c>
      <c r="BI50" s="51"/>
      <c r="BJ50" s="51"/>
      <c r="BK50" s="51"/>
      <c r="BL50" s="51"/>
      <c r="BM50" s="51"/>
      <c r="BN50" s="51"/>
      <c r="BO50" s="51"/>
      <c r="BP50" s="51"/>
      <c r="BQ50" s="51"/>
      <c r="BR50" s="51"/>
      <c r="BS50" s="51"/>
      <c r="BT50" s="51"/>
      <c r="BU50" s="51"/>
      <c r="BV50" s="51"/>
      <c r="BW50" s="51"/>
      <c r="BX50" s="51"/>
      <c r="BY50" s="51"/>
      <c r="BZ50" s="51"/>
    </row>
    <row r="51" ht="12.75" customHeight="1">
      <c r="A51" s="46" t="s">
        <v>172</v>
      </c>
      <c r="B51" s="56" t="str">
        <f>HYPERLINK("https://drive.google.com/open?id=1iqR3K7cP7KEfWXHDBqrsjxGg-EhkKSrw","Corritore1999")</f>
        <v>Corritore1999</v>
      </c>
      <c r="C51" s="63" t="s">
        <v>361</v>
      </c>
      <c r="D51" s="55" t="s">
        <v>362</v>
      </c>
      <c r="E51" s="55">
        <v>1999.0</v>
      </c>
      <c r="F51" s="55"/>
      <c r="G51" s="55"/>
      <c r="H51" s="55"/>
      <c r="I51" s="55"/>
      <c r="J51" s="55"/>
      <c r="K51" s="55">
        <v>1.0</v>
      </c>
      <c r="L51" s="55"/>
      <c r="M51" s="55"/>
      <c r="N51" s="55"/>
      <c r="O51" s="55"/>
      <c r="P51" s="55"/>
      <c r="Q51" s="55"/>
      <c r="R51" s="55"/>
      <c r="S51" s="55"/>
      <c r="T51" s="55"/>
      <c r="U51" s="55"/>
      <c r="V51" s="55" t="s">
        <v>363</v>
      </c>
      <c r="W51" s="55" t="s">
        <v>364</v>
      </c>
      <c r="X51" s="55" t="s">
        <v>365</v>
      </c>
      <c r="Y51" s="55" t="s">
        <v>366</v>
      </c>
      <c r="Z51" s="55" t="s">
        <v>100</v>
      </c>
      <c r="AA51" s="55">
        <v>1.0</v>
      </c>
      <c r="AB51" s="55"/>
      <c r="AC51" s="55"/>
      <c r="AD51" s="55">
        <v>1.0</v>
      </c>
      <c r="AE51" s="55"/>
      <c r="AF51" s="55"/>
      <c r="AG51" s="55"/>
      <c r="AH51" s="48" t="s">
        <v>367</v>
      </c>
      <c r="AI51" s="51">
        <v>1.0</v>
      </c>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v>1.0</v>
      </c>
      <c r="BJ51" s="51"/>
      <c r="BK51" s="51"/>
      <c r="BL51" s="51">
        <v>1.0</v>
      </c>
      <c r="BM51" s="51"/>
      <c r="BN51" s="51"/>
      <c r="BO51" s="51"/>
      <c r="BP51" s="51"/>
      <c r="BQ51" s="51"/>
      <c r="BR51" s="51"/>
      <c r="BS51" s="51"/>
      <c r="BT51" s="51"/>
      <c r="BU51" s="51"/>
      <c r="BV51" s="51"/>
      <c r="BW51" s="51">
        <v>1.0</v>
      </c>
      <c r="BX51" s="51"/>
      <c r="BY51" s="51"/>
      <c r="BZ51" s="51"/>
    </row>
    <row r="52" ht="12.75" customHeight="1">
      <c r="A52" s="46" t="s">
        <v>172</v>
      </c>
      <c r="B52" s="54" t="str">
        <f>HYPERLINK("https://drive.google.com/open?id=14IlZpfQv8PT8Zy3ZqFGUPu9lkuFdJUM4","Cruz-Lemus2009")</f>
        <v>Cruz-Lemus2009</v>
      </c>
      <c r="C52" s="63" t="s">
        <v>368</v>
      </c>
      <c r="D52" s="55" t="s">
        <v>268</v>
      </c>
      <c r="E52" s="55">
        <v>2009.0</v>
      </c>
      <c r="F52" s="55"/>
      <c r="G52" s="55"/>
      <c r="H52" s="55"/>
      <c r="I52" s="55"/>
      <c r="J52" s="55"/>
      <c r="K52" s="55">
        <v>1.0</v>
      </c>
      <c r="L52" s="55"/>
      <c r="M52" s="55"/>
      <c r="N52" s="55"/>
      <c r="O52" s="55"/>
      <c r="P52" s="55"/>
      <c r="Q52" s="55"/>
      <c r="R52" s="55"/>
      <c r="S52" s="55"/>
      <c r="T52" s="55"/>
      <c r="U52" s="55"/>
      <c r="V52" s="55" t="s">
        <v>369</v>
      </c>
      <c r="W52" s="55" t="s">
        <v>370</v>
      </c>
      <c r="X52" s="55" t="s">
        <v>371</v>
      </c>
      <c r="Y52" s="55" t="s">
        <v>372</v>
      </c>
      <c r="Z52" s="55" t="s">
        <v>100</v>
      </c>
      <c r="AA52" s="55">
        <v>1.0</v>
      </c>
      <c r="AB52" s="55"/>
      <c r="AC52" s="55"/>
      <c r="AD52" s="55">
        <v>1.0</v>
      </c>
      <c r="AE52" s="55"/>
      <c r="AF52" s="55"/>
      <c r="AG52" s="55"/>
      <c r="AH52" s="48" t="s">
        <v>373</v>
      </c>
      <c r="AI52" s="51">
        <v>1.0</v>
      </c>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2">
        <v>1.0</v>
      </c>
      <c r="BJ52" s="51"/>
      <c r="BK52" s="51"/>
      <c r="BL52" s="52">
        <v>1.0</v>
      </c>
      <c r="BM52" s="51"/>
      <c r="BN52" s="51"/>
      <c r="BO52" s="51"/>
      <c r="BP52" s="51"/>
      <c r="BQ52" s="51"/>
      <c r="BR52" s="51"/>
      <c r="BS52" s="51"/>
      <c r="BT52" s="51"/>
      <c r="BU52" s="51"/>
      <c r="BV52" s="51"/>
      <c r="BW52" s="51">
        <v>1.0</v>
      </c>
      <c r="BX52" s="51"/>
      <c r="BY52" s="51"/>
      <c r="BZ52" s="51"/>
    </row>
    <row r="53" ht="12.75" customHeight="1">
      <c r="A53" s="46" t="s">
        <v>172</v>
      </c>
      <c r="B53" s="56" t="str">
        <f>HYPERLINK("https://drive.google.com/open?id=1_ak7t8NRAlUHkfNlShgYpUa0Y64up_k_","Curtis1979")</f>
        <v>Curtis1979</v>
      </c>
      <c r="C53" s="63" t="s">
        <v>374</v>
      </c>
      <c r="D53" s="55" t="s">
        <v>375</v>
      </c>
      <c r="E53" s="55">
        <v>1979.0</v>
      </c>
      <c r="F53" s="55"/>
      <c r="G53" s="55"/>
      <c r="H53" s="55"/>
      <c r="I53" s="55"/>
      <c r="J53" s="55"/>
      <c r="K53" s="55">
        <v>1.0</v>
      </c>
      <c r="L53" s="55"/>
      <c r="M53" s="55"/>
      <c r="N53" s="55"/>
      <c r="O53" s="55"/>
      <c r="P53" s="55"/>
      <c r="Q53" s="55"/>
      <c r="R53" s="55"/>
      <c r="S53" s="55"/>
      <c r="T53" s="55"/>
      <c r="U53" s="55"/>
      <c r="V53" s="55"/>
      <c r="W53" s="55" t="s">
        <v>376</v>
      </c>
      <c r="X53" s="55" t="s">
        <v>377</v>
      </c>
      <c r="Y53" s="63" t="s">
        <v>378</v>
      </c>
      <c r="Z53" s="55" t="s">
        <v>100</v>
      </c>
      <c r="AA53" s="55">
        <v>1.0</v>
      </c>
      <c r="AB53" s="55"/>
      <c r="AC53" s="55"/>
      <c r="AD53" s="55">
        <v>1.0</v>
      </c>
      <c r="AE53" s="55"/>
      <c r="AF53" s="55"/>
      <c r="AG53" s="55"/>
      <c r="AH53" s="48" t="s">
        <v>379</v>
      </c>
      <c r="AI53" s="51">
        <v>1.0</v>
      </c>
      <c r="AJ53" s="51"/>
      <c r="AK53" s="51"/>
      <c r="AL53" s="51"/>
      <c r="AM53" s="51"/>
      <c r="AN53" s="51">
        <v>1.0</v>
      </c>
      <c r="AO53" s="51"/>
      <c r="AP53" s="51"/>
      <c r="AQ53" s="51"/>
      <c r="AR53" s="51"/>
      <c r="AS53" s="51"/>
      <c r="AT53" s="51"/>
      <c r="AU53" s="51"/>
      <c r="AV53" s="51"/>
      <c r="AW53" s="51"/>
      <c r="AX53" s="51"/>
      <c r="AY53" s="51"/>
      <c r="AZ53" s="51"/>
      <c r="BA53" s="51"/>
      <c r="BB53" s="51"/>
      <c r="BC53" s="51"/>
      <c r="BD53" s="51"/>
      <c r="BE53" s="51">
        <v>1.0</v>
      </c>
      <c r="BF53" s="51"/>
      <c r="BG53" s="51"/>
      <c r="BH53" s="51"/>
      <c r="BI53" s="51"/>
      <c r="BJ53" s="51"/>
      <c r="BK53" s="51"/>
      <c r="BL53" s="51"/>
      <c r="BM53" s="51"/>
      <c r="BN53" s="51"/>
      <c r="BO53" s="51"/>
      <c r="BP53" s="51"/>
      <c r="BQ53" s="51"/>
      <c r="BR53" s="51"/>
      <c r="BS53" s="51"/>
      <c r="BT53" s="51"/>
      <c r="BU53" s="51"/>
      <c r="BV53" s="51"/>
      <c r="BW53" s="51">
        <v>1.0</v>
      </c>
      <c r="BX53" s="51"/>
      <c r="BY53" s="51"/>
      <c r="BZ53" s="51"/>
    </row>
    <row r="54" ht="12.75" customHeight="1">
      <c r="A54" s="46" t="s">
        <v>172</v>
      </c>
      <c r="B54" s="54" t="str">
        <f>HYPERLINK("https://drive.google.com/open?id=1HDSfZX6mUBhrYf-hLFeafUVax6Rj7g1M","Curtis1988")</f>
        <v>Curtis1988</v>
      </c>
      <c r="C54" s="63" t="s">
        <v>380</v>
      </c>
      <c r="D54" s="55" t="s">
        <v>381</v>
      </c>
      <c r="E54" s="55">
        <v>1988.0</v>
      </c>
      <c r="F54" s="71">
        <v>1.0</v>
      </c>
      <c r="G54" s="55">
        <v>1.0</v>
      </c>
      <c r="H54" s="55">
        <v>1.0</v>
      </c>
      <c r="I54" s="55"/>
      <c r="J54" s="55"/>
      <c r="K54" s="55"/>
      <c r="L54" s="55"/>
      <c r="M54" s="55"/>
      <c r="N54" s="55">
        <v>1.0</v>
      </c>
      <c r="O54" s="55"/>
      <c r="P54" s="55"/>
      <c r="Q54" s="55"/>
      <c r="R54" s="55"/>
      <c r="S54" s="55"/>
      <c r="T54" s="55"/>
      <c r="U54" s="55"/>
      <c r="V54" s="55" t="s">
        <v>382</v>
      </c>
      <c r="W54" s="55"/>
      <c r="X54" s="55"/>
      <c r="Y54" s="55"/>
      <c r="Z54" s="55" t="s">
        <v>383</v>
      </c>
      <c r="AA54" s="55"/>
      <c r="AB54" s="55">
        <v>1.0</v>
      </c>
      <c r="AC54" s="55"/>
      <c r="AD54" s="55">
        <v>1.0</v>
      </c>
      <c r="AE54" s="55"/>
      <c r="AF54" s="55"/>
      <c r="AG54" s="55"/>
      <c r="AH54" s="48" t="s">
        <v>384</v>
      </c>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row>
    <row r="55" ht="12.75" customHeight="1">
      <c r="A55" s="46" t="s">
        <v>116</v>
      </c>
      <c r="B55" s="56" t="str">
        <f>HYPERLINK("https://drive.google.com/open?id=0B1GMAYMj9v6rOUM0aldXN3FfTTg","DaCunha2015")</f>
        <v>DaCunha2015</v>
      </c>
      <c r="C55" s="55" t="s">
        <v>385</v>
      </c>
      <c r="D55" s="55" t="s">
        <v>386</v>
      </c>
      <c r="E55" s="49">
        <v>2015.0</v>
      </c>
      <c r="F55" s="50"/>
      <c r="G55" s="50"/>
      <c r="H55" s="50"/>
      <c r="I55" s="50"/>
      <c r="J55" s="50"/>
      <c r="K55" s="50"/>
      <c r="L55" s="50"/>
      <c r="M55" s="50">
        <v>1.0</v>
      </c>
      <c r="N55" s="50"/>
      <c r="O55" s="50"/>
      <c r="P55" s="50"/>
      <c r="Q55" s="50">
        <v>1.0</v>
      </c>
      <c r="R55" s="50">
        <v>1.0</v>
      </c>
      <c r="S55" s="50"/>
      <c r="T55" s="50"/>
      <c r="U55" s="50"/>
      <c r="V55" s="51" t="s">
        <v>70</v>
      </c>
      <c r="W55" s="51" t="s">
        <v>387</v>
      </c>
      <c r="X55" s="51" t="s">
        <v>388</v>
      </c>
      <c r="Y55" s="51" t="s">
        <v>389</v>
      </c>
      <c r="Z55" s="51" t="s">
        <v>122</v>
      </c>
      <c r="AA55" s="50"/>
      <c r="AB55" s="50">
        <v>1.0</v>
      </c>
      <c r="AC55" s="50"/>
      <c r="AD55" s="50">
        <v>1.0</v>
      </c>
      <c r="AE55" s="50"/>
      <c r="AF55" s="50"/>
      <c r="AG55" s="50"/>
      <c r="AH55" s="51" t="s">
        <v>390</v>
      </c>
      <c r="AI55" s="51">
        <v>1.0</v>
      </c>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v>1.0</v>
      </c>
      <c r="BI55" s="51"/>
      <c r="BJ55" s="51"/>
      <c r="BK55" s="51"/>
      <c r="BL55" s="51"/>
      <c r="BM55" s="51"/>
      <c r="BN55" s="51"/>
      <c r="BO55" s="51"/>
      <c r="BP55" s="51"/>
      <c r="BQ55" s="51"/>
      <c r="BR55" s="51"/>
      <c r="BS55" s="51">
        <v>1.0</v>
      </c>
      <c r="BT55" s="51"/>
      <c r="BU55" s="51"/>
      <c r="BV55" s="51"/>
      <c r="BW55" s="51"/>
      <c r="BX55" s="51"/>
      <c r="BY55" s="51"/>
      <c r="BZ55" s="51"/>
    </row>
    <row r="56" ht="12.75" customHeight="1">
      <c r="A56" s="46" t="s">
        <v>88</v>
      </c>
      <c r="B56" s="53" t="str">
        <f>HYPERLINK("https://drive.google.com/open?id=0B00cIHsghs6UVlVEYkRzelhyVzQ","DaCunha2016")</f>
        <v>DaCunha2016</v>
      </c>
      <c r="C56" s="48" t="s">
        <v>391</v>
      </c>
      <c r="D56" s="48" t="s">
        <v>392</v>
      </c>
      <c r="E56" s="49">
        <v>2016.0</v>
      </c>
      <c r="F56" s="50"/>
      <c r="G56" s="50"/>
      <c r="H56" s="50"/>
      <c r="I56" s="50"/>
      <c r="J56" s="50"/>
      <c r="K56" s="50"/>
      <c r="L56" s="50"/>
      <c r="M56" s="50">
        <v>1.0</v>
      </c>
      <c r="N56" s="50"/>
      <c r="O56" s="50"/>
      <c r="P56" s="50"/>
      <c r="Q56" s="50"/>
      <c r="R56" s="50"/>
      <c r="S56" s="50"/>
      <c r="T56" s="50"/>
      <c r="U56" s="50"/>
      <c r="V56" s="51"/>
      <c r="W56" s="51" t="s">
        <v>393</v>
      </c>
      <c r="X56" s="51" t="s">
        <v>92</v>
      </c>
      <c r="Y56" s="51" t="s">
        <v>92</v>
      </c>
      <c r="Z56" s="51" t="s">
        <v>394</v>
      </c>
      <c r="AA56" s="50"/>
      <c r="AB56" s="50">
        <v>1.0</v>
      </c>
      <c r="AC56" s="50"/>
      <c r="AD56" s="50">
        <v>1.0</v>
      </c>
      <c r="AE56" s="50"/>
      <c r="AF56" s="50"/>
      <c r="AG56" s="50"/>
      <c r="AH56" s="51" t="s">
        <v>395</v>
      </c>
      <c r="AI56" s="51">
        <v>1.0</v>
      </c>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v>1.0</v>
      </c>
      <c r="BH56" s="51">
        <v>1.0</v>
      </c>
      <c r="BI56" s="51"/>
      <c r="BJ56" s="51"/>
      <c r="BK56" s="51"/>
      <c r="BL56" s="51"/>
      <c r="BM56" s="51"/>
      <c r="BN56" s="51"/>
      <c r="BO56" s="51"/>
      <c r="BP56" s="51"/>
      <c r="BQ56" s="51"/>
      <c r="BR56" s="51"/>
      <c r="BS56" s="51"/>
      <c r="BT56" s="51"/>
      <c r="BU56" s="51"/>
      <c r="BV56" s="51"/>
      <c r="BW56" s="51"/>
      <c r="BX56" s="51"/>
      <c r="BY56" s="51"/>
      <c r="BZ56" s="51"/>
    </row>
    <row r="57" ht="12.75" customHeight="1">
      <c r="A57" s="46" t="s">
        <v>172</v>
      </c>
      <c r="B57" s="56" t="str">
        <f>HYPERLINK("https://drive.google.com/open?id=10LsMmsYvJU5QcU6q_GW6uHkGNSJZjPmr","Davies1994")</f>
        <v>Davies1994</v>
      </c>
      <c r="C57" s="63" t="s">
        <v>396</v>
      </c>
      <c r="D57" s="63" t="s">
        <v>362</v>
      </c>
      <c r="E57" s="55">
        <v>1994.0</v>
      </c>
      <c r="F57" s="55"/>
      <c r="G57" s="55"/>
      <c r="H57" s="55"/>
      <c r="I57" s="55">
        <v>1.0</v>
      </c>
      <c r="J57" s="55"/>
      <c r="K57" s="55"/>
      <c r="L57" s="55"/>
      <c r="M57" s="55"/>
      <c r="N57" s="55"/>
      <c r="O57" s="55"/>
      <c r="P57" s="55"/>
      <c r="Q57" s="55"/>
      <c r="R57" s="55"/>
      <c r="S57" s="55"/>
      <c r="T57" s="55"/>
      <c r="U57" s="55"/>
      <c r="V57" s="55" t="s">
        <v>397</v>
      </c>
      <c r="W57" s="55" t="s">
        <v>398</v>
      </c>
      <c r="X57" s="55" t="s">
        <v>399</v>
      </c>
      <c r="Y57" s="55" t="s">
        <v>400</v>
      </c>
      <c r="Z57" s="55" t="s">
        <v>100</v>
      </c>
      <c r="AA57" s="55">
        <v>1.0</v>
      </c>
      <c r="AB57" s="55"/>
      <c r="AC57" s="55"/>
      <c r="AD57" s="55">
        <v>1.0</v>
      </c>
      <c r="AE57" s="55"/>
      <c r="AF57" s="55"/>
      <c r="AG57" s="55"/>
      <c r="AH57" s="48" t="s">
        <v>401</v>
      </c>
      <c r="AI57" s="51">
        <v>1.0</v>
      </c>
      <c r="AJ57" s="51"/>
      <c r="AK57" s="51"/>
      <c r="AL57" s="51"/>
      <c r="AM57" s="51"/>
      <c r="AN57" s="51">
        <v>1.0</v>
      </c>
      <c r="AO57" s="51"/>
      <c r="AP57" s="51"/>
      <c r="AQ57" s="51"/>
      <c r="AR57" s="51"/>
      <c r="AS57" s="51"/>
      <c r="AT57" s="51"/>
      <c r="AU57" s="51"/>
      <c r="AV57" s="51"/>
      <c r="AW57" s="51"/>
      <c r="AX57" s="51"/>
      <c r="AY57" s="51"/>
      <c r="AZ57" s="51"/>
      <c r="BA57" s="51"/>
      <c r="BB57" s="51"/>
      <c r="BC57" s="51"/>
      <c r="BD57" s="51"/>
      <c r="BE57" s="51">
        <v>1.0</v>
      </c>
      <c r="BF57" s="51"/>
      <c r="BG57" s="51"/>
      <c r="BH57" s="51"/>
      <c r="BI57" s="51">
        <v>1.0</v>
      </c>
      <c r="BJ57" s="51"/>
      <c r="BK57" s="51"/>
      <c r="BL57" s="51"/>
      <c r="BM57" s="51"/>
      <c r="BN57" s="51"/>
      <c r="BO57" s="51"/>
      <c r="BP57" s="51"/>
      <c r="BQ57" s="51"/>
      <c r="BR57" s="51"/>
      <c r="BS57" s="51"/>
      <c r="BT57" s="51"/>
      <c r="BU57" s="51"/>
      <c r="BV57" s="51"/>
      <c r="BW57" s="51">
        <v>1.0</v>
      </c>
      <c r="BX57" s="51"/>
      <c r="BY57" s="51"/>
      <c r="BZ57" s="51"/>
    </row>
    <row r="58" ht="12.75" customHeight="1">
      <c r="A58" s="46" t="s">
        <v>88</v>
      </c>
      <c r="B58" s="53" t="str">
        <f>HYPERLINK("https://drive.google.com/open?id=0B00cIHsghs6URUFSU3lCLVZYOG8","DeAlwis2007")</f>
        <v>DeAlwis2007</v>
      </c>
      <c r="C58" s="48" t="s">
        <v>402</v>
      </c>
      <c r="D58" s="48" t="s">
        <v>403</v>
      </c>
      <c r="E58" s="49">
        <v>2007.0</v>
      </c>
      <c r="F58" s="50"/>
      <c r="G58" s="50"/>
      <c r="H58" s="50"/>
      <c r="I58" s="50">
        <v>1.0</v>
      </c>
      <c r="J58" s="50"/>
      <c r="K58" s="50"/>
      <c r="L58" s="50"/>
      <c r="M58" s="50"/>
      <c r="N58" s="50"/>
      <c r="O58" s="50"/>
      <c r="P58" s="50"/>
      <c r="Q58" s="50"/>
      <c r="R58" s="50"/>
      <c r="S58" s="50"/>
      <c r="T58" s="50"/>
      <c r="U58" s="50"/>
      <c r="V58" s="51"/>
      <c r="W58" s="51" t="s">
        <v>404</v>
      </c>
      <c r="X58" s="51" t="s">
        <v>405</v>
      </c>
      <c r="Y58" s="51" t="s">
        <v>406</v>
      </c>
      <c r="Z58" s="51" t="s">
        <v>100</v>
      </c>
      <c r="AA58" s="50"/>
      <c r="AB58" s="50">
        <v>1.0</v>
      </c>
      <c r="AC58" s="50"/>
      <c r="AD58" s="50">
        <v>1.0</v>
      </c>
      <c r="AE58" s="50"/>
      <c r="AF58" s="50"/>
      <c r="AG58" s="50"/>
      <c r="AH58" s="51" t="s">
        <v>407</v>
      </c>
      <c r="AI58" s="51">
        <v>1.0</v>
      </c>
      <c r="AJ58" s="52">
        <v>1.0</v>
      </c>
      <c r="AK58" s="51"/>
      <c r="AL58" s="51"/>
      <c r="AM58" s="51"/>
      <c r="AN58" s="51"/>
      <c r="AO58" s="51"/>
      <c r="AP58" s="51"/>
      <c r="AQ58" s="51"/>
      <c r="AR58" s="51">
        <v>1.0</v>
      </c>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v>1.0</v>
      </c>
      <c r="BZ58" s="51"/>
    </row>
    <row r="59" ht="25.5" customHeight="1">
      <c r="A59" s="46" t="s">
        <v>88</v>
      </c>
      <c r="B59" s="53" t="str">
        <f>HYPERLINK("https://drive.google.com/open?id=0B00cIHsghs6UUmI0ejNXSmtOYTQ","DeAlwis2008")</f>
        <v>DeAlwis2008</v>
      </c>
      <c r="C59" s="48" t="s">
        <v>408</v>
      </c>
      <c r="D59" s="48"/>
      <c r="E59" s="49">
        <v>2008.0</v>
      </c>
      <c r="F59" s="72"/>
      <c r="G59" s="50"/>
      <c r="H59" s="50"/>
      <c r="I59" s="50"/>
      <c r="J59" s="50"/>
      <c r="K59" s="50">
        <v>1.0</v>
      </c>
      <c r="L59" s="50"/>
      <c r="M59" s="50"/>
      <c r="N59" s="50"/>
      <c r="O59" s="50"/>
      <c r="P59" s="50"/>
      <c r="Q59" s="50"/>
      <c r="R59" s="50"/>
      <c r="S59" s="50"/>
      <c r="T59" s="50"/>
      <c r="U59" s="50"/>
      <c r="V59" s="51"/>
      <c r="W59" s="51" t="s">
        <v>409</v>
      </c>
      <c r="X59" s="51" t="s">
        <v>410</v>
      </c>
      <c r="Y59" s="51" t="s">
        <v>411</v>
      </c>
      <c r="Z59" s="51" t="s">
        <v>137</v>
      </c>
      <c r="AA59" s="50">
        <v>1.0</v>
      </c>
      <c r="AB59" s="50"/>
      <c r="AC59" s="50"/>
      <c r="AD59" s="50">
        <v>1.0</v>
      </c>
      <c r="AE59" s="50"/>
      <c r="AF59" s="50"/>
      <c r="AG59" s="50"/>
      <c r="AH59" s="51" t="s">
        <v>412</v>
      </c>
      <c r="AI59" s="51">
        <v>1.0</v>
      </c>
      <c r="AJ59" s="51"/>
      <c r="AK59" s="51"/>
      <c r="AL59" s="51"/>
      <c r="AM59" s="51"/>
      <c r="AN59" s="51"/>
      <c r="AO59" s="51"/>
      <c r="AP59" s="51"/>
      <c r="AQ59" s="51"/>
      <c r="AR59" s="51">
        <v>1.0</v>
      </c>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v>1.0</v>
      </c>
      <c r="BZ59" s="51"/>
    </row>
    <row r="60" ht="12.75" customHeight="1">
      <c r="A60" s="46" t="s">
        <v>116</v>
      </c>
      <c r="B60" s="68" t="str">
        <f>HYPERLINK("https://drive.google.com/open?id=1-Vad87wDwpbuylTwzpdOzAM_HZXSa8T7","DeLucia2008")</f>
        <v>DeLucia2008</v>
      </c>
      <c r="C60" s="63" t="s">
        <v>413</v>
      </c>
      <c r="D60" s="63" t="s">
        <v>414</v>
      </c>
      <c r="E60" s="49">
        <v>2008.0</v>
      </c>
      <c r="F60" s="50"/>
      <c r="G60" s="50"/>
      <c r="H60" s="50">
        <v>1.0</v>
      </c>
      <c r="I60" s="50"/>
      <c r="J60" s="50"/>
      <c r="K60" s="50"/>
      <c r="L60" s="50"/>
      <c r="M60" s="50"/>
      <c r="N60" s="50"/>
      <c r="O60" s="50"/>
      <c r="P60" s="50"/>
      <c r="Q60" s="50"/>
      <c r="R60" s="50"/>
      <c r="S60" s="50"/>
      <c r="T60" s="50"/>
      <c r="U60" s="50"/>
      <c r="V60" s="51" t="s">
        <v>92</v>
      </c>
      <c r="W60" s="51" t="s">
        <v>415</v>
      </c>
      <c r="X60" s="51" t="s">
        <v>416</v>
      </c>
      <c r="Y60" s="51" t="s">
        <v>417</v>
      </c>
      <c r="Z60" s="51" t="s">
        <v>122</v>
      </c>
      <c r="AA60" s="50">
        <v>1.0</v>
      </c>
      <c r="AB60" s="50"/>
      <c r="AC60" s="50"/>
      <c r="AD60" s="50">
        <v>1.0</v>
      </c>
      <c r="AE60" s="50"/>
      <c r="AF60" s="50"/>
      <c r="AG60" s="50"/>
      <c r="AH60" s="51" t="s">
        <v>418</v>
      </c>
      <c r="AI60" s="51">
        <v>1.0</v>
      </c>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2">
        <v>1.0</v>
      </c>
      <c r="BK60" s="51"/>
      <c r="BL60" s="51"/>
      <c r="BM60" s="51"/>
      <c r="BN60" s="51"/>
      <c r="BO60" s="51"/>
      <c r="BP60" s="51"/>
      <c r="BQ60" s="51"/>
      <c r="BR60" s="51"/>
      <c r="BS60" s="51"/>
      <c r="BT60" s="51"/>
      <c r="BU60" s="51"/>
      <c r="BV60" s="51"/>
      <c r="BW60" s="51">
        <v>1.0</v>
      </c>
      <c r="BX60" s="51"/>
      <c r="BY60" s="51"/>
      <c r="BZ60" s="51"/>
    </row>
    <row r="61" ht="12.75" customHeight="1">
      <c r="A61" s="46" t="s">
        <v>88</v>
      </c>
      <c r="B61" s="47" t="str">
        <f t="shared" ref="B61:B62" si="1">HYPERLINK("https://drive.google.com/open?id=0B00cIHsghs6UamxiYTNDOGh4Mms","Dey2015")</f>
        <v>Dey2015</v>
      </c>
      <c r="C61" s="48" t="s">
        <v>419</v>
      </c>
      <c r="D61" s="65" t="s">
        <v>420</v>
      </c>
      <c r="E61" s="49">
        <v>2015.0</v>
      </c>
      <c r="F61" s="61">
        <v>1.0</v>
      </c>
      <c r="G61" s="50">
        <v>1.0</v>
      </c>
      <c r="H61" s="50"/>
      <c r="I61" s="50"/>
      <c r="J61" s="50"/>
      <c r="K61" s="50"/>
      <c r="L61" s="50"/>
      <c r="M61" s="50"/>
      <c r="N61" s="50"/>
      <c r="O61" s="50"/>
      <c r="P61" s="50"/>
      <c r="Q61" s="50"/>
      <c r="R61" s="50"/>
      <c r="S61" s="50"/>
      <c r="T61" s="50"/>
      <c r="U61" s="50"/>
      <c r="V61" s="51" t="s">
        <v>421</v>
      </c>
      <c r="W61" s="51" t="s">
        <v>422</v>
      </c>
      <c r="X61" s="51" t="s">
        <v>92</v>
      </c>
      <c r="Y61" s="51" t="s">
        <v>92</v>
      </c>
      <c r="Z61" s="51" t="s">
        <v>254</v>
      </c>
      <c r="AA61" s="50"/>
      <c r="AB61" s="50"/>
      <c r="AC61" s="50">
        <v>1.0</v>
      </c>
      <c r="AD61" s="50"/>
      <c r="AE61" s="50"/>
      <c r="AF61" s="50"/>
      <c r="AG61" s="50"/>
      <c r="AH61" s="51" t="s">
        <v>423</v>
      </c>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row>
    <row r="62" ht="12.75" customHeight="1">
      <c r="A62" s="46" t="s">
        <v>108</v>
      </c>
      <c r="B62" s="56" t="str">
        <f t="shared" si="1"/>
        <v>Dey2015</v>
      </c>
      <c r="C62" s="55" t="s">
        <v>419</v>
      </c>
      <c r="D62" s="55" t="s">
        <v>420</v>
      </c>
      <c r="E62" s="49">
        <v>2015.0</v>
      </c>
      <c r="F62" s="50"/>
      <c r="G62" s="50">
        <v>1.0</v>
      </c>
      <c r="H62" s="50">
        <v>1.0</v>
      </c>
      <c r="I62" s="50"/>
      <c r="J62" s="50"/>
      <c r="K62" s="50"/>
      <c r="L62" s="50"/>
      <c r="M62" s="50"/>
      <c r="N62" s="50"/>
      <c r="O62" s="50"/>
      <c r="P62" s="50"/>
      <c r="Q62" s="50"/>
      <c r="R62" s="50"/>
      <c r="S62" s="50"/>
      <c r="T62" s="50"/>
      <c r="U62" s="50"/>
      <c r="V62" s="48" t="s">
        <v>424</v>
      </c>
      <c r="W62" s="48"/>
      <c r="X62" s="48"/>
      <c r="Y62" s="48"/>
      <c r="Z62" s="48" t="s">
        <v>425</v>
      </c>
      <c r="AA62" s="50">
        <v>1.0</v>
      </c>
      <c r="AB62" s="50"/>
      <c r="AC62" s="50">
        <v>1.0</v>
      </c>
      <c r="AD62" s="50"/>
      <c r="AE62" s="50"/>
      <c r="AF62" s="50"/>
      <c r="AG62" s="50"/>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row>
    <row r="63" ht="12.75" customHeight="1">
      <c r="A63" s="46" t="s">
        <v>108</v>
      </c>
      <c r="B63" s="54" t="str">
        <f>HYPERLINK("https://drive.google.com/open?id=0B3oar8-GeP-IYnhOWW9Jb3lTNUE","Dhukaram2016")</f>
        <v>Dhukaram2016</v>
      </c>
      <c r="C63" s="55" t="s">
        <v>426</v>
      </c>
      <c r="D63" s="55" t="s">
        <v>296</v>
      </c>
      <c r="E63" s="49">
        <v>2016.0</v>
      </c>
      <c r="F63" s="61">
        <v>1.0</v>
      </c>
      <c r="G63" s="50">
        <v>1.0</v>
      </c>
      <c r="H63" s="50">
        <v>1.0</v>
      </c>
      <c r="I63" s="50"/>
      <c r="J63" s="50"/>
      <c r="K63" s="50"/>
      <c r="L63" s="50"/>
      <c r="M63" s="50"/>
      <c r="N63" s="50"/>
      <c r="O63" s="50"/>
      <c r="P63" s="50"/>
      <c r="Q63" s="50"/>
      <c r="R63" s="50"/>
      <c r="S63" s="50"/>
      <c r="T63" s="50"/>
      <c r="U63" s="50"/>
      <c r="V63" s="48" t="s">
        <v>427</v>
      </c>
      <c r="W63" s="48"/>
      <c r="X63" s="48" t="s">
        <v>221</v>
      </c>
      <c r="Y63" s="48" t="s">
        <v>92</v>
      </c>
      <c r="Z63" s="48" t="s">
        <v>428</v>
      </c>
      <c r="AA63" s="50">
        <v>1.0</v>
      </c>
      <c r="AB63" s="50"/>
      <c r="AC63" s="50">
        <v>1.0</v>
      </c>
      <c r="AD63" s="50"/>
      <c r="AE63" s="50"/>
      <c r="AF63" s="50"/>
      <c r="AG63" s="50"/>
      <c r="AH63" s="51" t="s">
        <v>429</v>
      </c>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row>
    <row r="64" ht="12.75" customHeight="1">
      <c r="A64" s="46" t="s">
        <v>124</v>
      </c>
      <c r="B64" s="54" t="str">
        <f>HYPERLINK("https://drive.google.com/open?id=0B-nn5iJ29NJacllxeGJNcm9BZE0","Dobesova2013")</f>
        <v>Dobesova2013</v>
      </c>
      <c r="C64" s="55" t="s">
        <v>430</v>
      </c>
      <c r="D64" s="55" t="s">
        <v>431</v>
      </c>
      <c r="E64" s="57">
        <v>2013.0</v>
      </c>
      <c r="F64" s="58"/>
      <c r="G64" s="50"/>
      <c r="H64" s="50"/>
      <c r="I64" s="50"/>
      <c r="J64" s="50"/>
      <c r="K64" s="50"/>
      <c r="L64" s="50"/>
      <c r="M64" s="50"/>
      <c r="N64" s="50"/>
      <c r="O64" s="50"/>
      <c r="P64" s="50"/>
      <c r="Q64" s="50"/>
      <c r="R64" s="50"/>
      <c r="S64" s="50"/>
      <c r="T64" s="50"/>
      <c r="U64" s="50"/>
      <c r="V64" s="48" t="s">
        <v>432</v>
      </c>
      <c r="W64" s="48" t="s">
        <v>433</v>
      </c>
      <c r="X64" s="48"/>
      <c r="Y64" s="48"/>
      <c r="Z64" s="48" t="s">
        <v>434</v>
      </c>
      <c r="AA64" s="50"/>
      <c r="AB64" s="50"/>
      <c r="AC64" s="50">
        <v>1.0</v>
      </c>
      <c r="AD64" s="50"/>
      <c r="AE64" s="50"/>
      <c r="AF64" s="50"/>
      <c r="AG64" s="50">
        <v>1.0</v>
      </c>
      <c r="AH64" s="59"/>
      <c r="AI64" s="52">
        <v>1.0</v>
      </c>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2">
        <v>1.0</v>
      </c>
      <c r="BJ64" s="51"/>
      <c r="BK64" s="51"/>
      <c r="BL64" s="51"/>
      <c r="BM64" s="51"/>
      <c r="BN64" s="51"/>
      <c r="BO64" s="51"/>
      <c r="BP64" s="51"/>
      <c r="BQ64" s="51"/>
      <c r="BR64" s="51"/>
      <c r="BS64" s="51"/>
      <c r="BT64" s="51"/>
      <c r="BU64" s="51"/>
      <c r="BV64" s="51"/>
      <c r="BW64" s="51"/>
      <c r="BX64" s="51"/>
      <c r="BY64" s="51"/>
      <c r="BZ64" s="51"/>
    </row>
    <row r="65" ht="12.75" customHeight="1">
      <c r="A65" s="46" t="s">
        <v>116</v>
      </c>
      <c r="B65" s="56" t="str">
        <f>HYPERLINK("https://drive.google.com/open?id=0B1GMAYMj9v6rUVVFaEFyNk9QaGM","Dunn2005")</f>
        <v>Dunn2005</v>
      </c>
      <c r="C65" s="55" t="s">
        <v>435</v>
      </c>
      <c r="D65" s="55" t="s">
        <v>436</v>
      </c>
      <c r="E65" s="49">
        <v>2005.0</v>
      </c>
      <c r="F65" s="50"/>
      <c r="G65" s="50">
        <v>1.0</v>
      </c>
      <c r="H65" s="50">
        <v>1.0</v>
      </c>
      <c r="I65" s="50"/>
      <c r="J65" s="50"/>
      <c r="K65" s="50"/>
      <c r="L65" s="50"/>
      <c r="M65" s="50"/>
      <c r="N65" s="50"/>
      <c r="O65" s="50">
        <v>1.0</v>
      </c>
      <c r="P65" s="50"/>
      <c r="Q65" s="50"/>
      <c r="R65" s="50"/>
      <c r="S65" s="50"/>
      <c r="T65" s="50"/>
      <c r="U65" s="50"/>
      <c r="V65" s="51"/>
      <c r="W65" s="51" t="s">
        <v>437</v>
      </c>
      <c r="X65" s="51" t="s">
        <v>438</v>
      </c>
      <c r="Y65" s="51" t="s">
        <v>439</v>
      </c>
      <c r="Z65" s="51" t="s">
        <v>122</v>
      </c>
      <c r="AA65" s="50">
        <v>1.0</v>
      </c>
      <c r="AB65" s="50">
        <v>1.0</v>
      </c>
      <c r="AC65" s="50"/>
      <c r="AD65" s="50">
        <v>1.0</v>
      </c>
      <c r="AE65" s="50"/>
      <c r="AF65" s="50"/>
      <c r="AG65" s="50"/>
      <c r="AH65" s="51" t="s">
        <v>440</v>
      </c>
      <c r="AI65" s="51">
        <v>1.0</v>
      </c>
      <c r="AJ65" s="51"/>
      <c r="AK65" s="51"/>
      <c r="AL65" s="51"/>
      <c r="AM65" s="51"/>
      <c r="AN65" s="51"/>
      <c r="AO65" s="51"/>
      <c r="AP65" s="51"/>
      <c r="AQ65" s="51"/>
      <c r="AR65" s="51">
        <v>1.0</v>
      </c>
      <c r="AS65" s="51"/>
      <c r="AT65" s="51"/>
      <c r="AU65" s="51"/>
      <c r="AV65" s="51"/>
      <c r="AW65" s="51"/>
      <c r="AX65" s="51"/>
      <c r="AY65" s="51"/>
      <c r="AZ65" s="51"/>
      <c r="BA65" s="51"/>
      <c r="BB65" s="51"/>
      <c r="BC65" s="51"/>
      <c r="BD65" s="51"/>
      <c r="BE65" s="51"/>
      <c r="BF65" s="51"/>
      <c r="BG65" s="51"/>
      <c r="BH65" s="51">
        <v>1.0</v>
      </c>
      <c r="BI65" s="51"/>
      <c r="BJ65" s="51"/>
      <c r="BK65" s="51"/>
      <c r="BL65" s="51"/>
      <c r="BM65" s="51"/>
      <c r="BN65" s="51"/>
      <c r="BO65" s="51"/>
      <c r="BP65" s="51"/>
      <c r="BQ65" s="51"/>
      <c r="BR65" s="51"/>
      <c r="BS65" s="51"/>
      <c r="BT65" s="51"/>
      <c r="BU65" s="51"/>
      <c r="BV65" s="51"/>
      <c r="BW65" s="51">
        <v>1.0</v>
      </c>
      <c r="BX65" s="51"/>
      <c r="BY65" s="51"/>
      <c r="BZ65" s="51"/>
    </row>
    <row r="66" ht="12.75" customHeight="1">
      <c r="A66" s="46" t="s">
        <v>116</v>
      </c>
      <c r="B66" s="54" t="str">
        <f>HYPERLINK("https://drive.google.com/open?id=0B1GMAYMj9v6rY3U1Z1ZTdjdLaU0","Duseau2012")</f>
        <v>Duseau2012</v>
      </c>
      <c r="C66" s="55" t="s">
        <v>441</v>
      </c>
      <c r="D66" s="55" t="s">
        <v>442</v>
      </c>
      <c r="E66" s="49">
        <v>2012.0</v>
      </c>
      <c r="F66" s="61">
        <v>1.0</v>
      </c>
      <c r="G66" s="50"/>
      <c r="H66" s="50"/>
      <c r="I66" s="50">
        <v>1.0</v>
      </c>
      <c r="J66" s="50"/>
      <c r="K66" s="50">
        <v>1.0</v>
      </c>
      <c r="L66" s="50"/>
      <c r="M66" s="50"/>
      <c r="N66" s="50"/>
      <c r="O66" s="50"/>
      <c r="P66" s="50"/>
      <c r="Q66" s="50"/>
      <c r="R66" s="50"/>
      <c r="S66" s="50"/>
      <c r="T66" s="50"/>
      <c r="U66" s="50"/>
      <c r="V66" s="51"/>
      <c r="W66" s="51" t="s">
        <v>197</v>
      </c>
      <c r="X66" s="51" t="s">
        <v>443</v>
      </c>
      <c r="Y66" s="51" t="s">
        <v>444</v>
      </c>
      <c r="Z66" s="51" t="s">
        <v>445</v>
      </c>
      <c r="AA66" s="50">
        <v>1.0</v>
      </c>
      <c r="AB66" s="50"/>
      <c r="AC66" s="50"/>
      <c r="AD66" s="50">
        <v>1.0</v>
      </c>
      <c r="AE66" s="50"/>
      <c r="AF66" s="50"/>
      <c r="AG66" s="50"/>
      <c r="AH66" s="51" t="s">
        <v>446</v>
      </c>
      <c r="AI66" s="52"/>
      <c r="AJ66" s="51"/>
      <c r="AK66" s="51"/>
      <c r="AL66" s="51"/>
      <c r="AM66" s="51"/>
      <c r="AN66" s="51"/>
      <c r="AO66" s="51"/>
      <c r="AP66" s="51"/>
      <c r="AQ66" s="51"/>
      <c r="AR66" s="52"/>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row>
    <row r="67" ht="12.75" customHeight="1">
      <c r="A67" s="46" t="s">
        <v>116</v>
      </c>
      <c r="B67" s="68" t="str">
        <f>HYPERLINK("https://drive.google.com/open?id=1anJWToRq3TTA_1Kp14KKsA0NeCxW6s3B","Feigenspan2012")</f>
        <v>Feigenspan2012</v>
      </c>
      <c r="C67" s="63" t="s">
        <v>447</v>
      </c>
      <c r="D67" s="63" t="s">
        <v>448</v>
      </c>
      <c r="E67" s="49">
        <v>2012.0</v>
      </c>
      <c r="F67" s="50"/>
      <c r="G67" s="50"/>
      <c r="H67" s="50"/>
      <c r="I67" s="50">
        <v>1.0</v>
      </c>
      <c r="J67" s="50"/>
      <c r="K67" s="50">
        <v>1.0</v>
      </c>
      <c r="L67" s="50"/>
      <c r="M67" s="50"/>
      <c r="N67" s="50"/>
      <c r="O67" s="50"/>
      <c r="P67" s="50"/>
      <c r="Q67" s="50"/>
      <c r="R67" s="50"/>
      <c r="S67" s="50"/>
      <c r="T67" s="50"/>
      <c r="U67" s="50"/>
      <c r="V67" s="51" t="s">
        <v>92</v>
      </c>
      <c r="W67" s="51" t="s">
        <v>449</v>
      </c>
      <c r="X67" s="51" t="s">
        <v>449</v>
      </c>
      <c r="Y67" s="51" t="s">
        <v>450</v>
      </c>
      <c r="Z67" s="51" t="s">
        <v>122</v>
      </c>
      <c r="AA67" s="50">
        <v>1.0</v>
      </c>
      <c r="AB67" s="50"/>
      <c r="AC67" s="50"/>
      <c r="AD67" s="50">
        <v>1.0</v>
      </c>
      <c r="AE67" s="50"/>
      <c r="AF67" s="50"/>
      <c r="AG67" s="50"/>
      <c r="AH67" s="51" t="s">
        <v>451</v>
      </c>
      <c r="AI67" s="51">
        <v>1.0</v>
      </c>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2">
        <v>1.0</v>
      </c>
      <c r="BJ67" s="52">
        <v>1.0</v>
      </c>
      <c r="BK67" s="51"/>
      <c r="BL67" s="51"/>
      <c r="BM67" s="51"/>
      <c r="BN67" s="51"/>
      <c r="BO67" s="51"/>
      <c r="BP67" s="51"/>
      <c r="BQ67" s="51"/>
      <c r="BR67" s="51"/>
      <c r="BS67" s="51"/>
      <c r="BT67" s="51"/>
      <c r="BU67" s="51"/>
      <c r="BV67" s="51"/>
      <c r="BW67" s="51"/>
      <c r="BX67" s="51"/>
      <c r="BY67" s="51">
        <v>1.0</v>
      </c>
      <c r="BZ67" s="51"/>
    </row>
    <row r="68" ht="12.75" customHeight="1">
      <c r="A68" s="46" t="s">
        <v>116</v>
      </c>
      <c r="B68" s="67" t="str">
        <f>HYPERLINK("https://drive.google.com/open?id=1_qv_1iPfnVLKY3SyL2X6jrwnNZE-3Gj_","Figl2012")</f>
        <v>Figl2012</v>
      </c>
      <c r="C68" s="63" t="s">
        <v>452</v>
      </c>
      <c r="D68" s="63" t="s">
        <v>453</v>
      </c>
      <c r="E68" s="49">
        <v>2012.0</v>
      </c>
      <c r="F68" s="50"/>
      <c r="G68" s="50">
        <v>1.0</v>
      </c>
      <c r="H68" s="50">
        <v>1.0</v>
      </c>
      <c r="I68" s="50"/>
      <c r="J68" s="50"/>
      <c r="K68" s="50"/>
      <c r="L68" s="50"/>
      <c r="M68" s="50"/>
      <c r="N68" s="50"/>
      <c r="O68" s="50"/>
      <c r="P68" s="50"/>
      <c r="Q68" s="50"/>
      <c r="R68" s="50"/>
      <c r="S68" s="50"/>
      <c r="T68" s="50"/>
      <c r="U68" s="50"/>
      <c r="V68" s="51" t="s">
        <v>454</v>
      </c>
      <c r="W68" s="51" t="s">
        <v>455</v>
      </c>
      <c r="X68" s="51" t="s">
        <v>456</v>
      </c>
      <c r="Y68" s="51" t="s">
        <v>457</v>
      </c>
      <c r="Z68" s="51" t="s">
        <v>122</v>
      </c>
      <c r="AA68" s="50">
        <v>1.0</v>
      </c>
      <c r="AB68" s="50"/>
      <c r="AC68" s="50"/>
      <c r="AD68" s="50">
        <v>1.0</v>
      </c>
      <c r="AE68" s="50"/>
      <c r="AF68" s="50"/>
      <c r="AG68" s="50"/>
      <c r="AH68" s="51" t="s">
        <v>458</v>
      </c>
      <c r="AI68" s="51">
        <v>1.0</v>
      </c>
      <c r="AJ68" s="51"/>
      <c r="AK68" s="51"/>
      <c r="AL68" s="51"/>
      <c r="AM68" s="51"/>
      <c r="AN68" s="51">
        <v>1.0</v>
      </c>
      <c r="AO68" s="51">
        <v>1.0</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v>1.0</v>
      </c>
      <c r="BX68" s="51"/>
      <c r="BY68" s="51"/>
      <c r="BZ68" s="51"/>
    </row>
    <row r="69" ht="12.75" customHeight="1">
      <c r="A69" s="46" t="s">
        <v>116</v>
      </c>
      <c r="B69" s="68" t="str">
        <f>HYPERLINK("https://drive.google.com/open?id=1l6kx0sfDNdR1ARYSSvsUwRvHP56R6rgN","Fisher2006")</f>
        <v>Fisher2006</v>
      </c>
      <c r="C69" s="63" t="s">
        <v>459</v>
      </c>
      <c r="D69" s="63" t="s">
        <v>460</v>
      </c>
      <c r="E69" s="49">
        <v>2006.0</v>
      </c>
      <c r="F69" s="50"/>
      <c r="G69" s="50"/>
      <c r="H69" s="50"/>
      <c r="I69" s="50">
        <v>1.0</v>
      </c>
      <c r="J69" s="50"/>
      <c r="K69" s="50">
        <v>1.0</v>
      </c>
      <c r="L69" s="50"/>
      <c r="M69" s="50"/>
      <c r="N69" s="50"/>
      <c r="O69" s="50"/>
      <c r="P69" s="50"/>
      <c r="Q69" s="50"/>
      <c r="R69" s="50"/>
      <c r="S69" s="50"/>
      <c r="T69" s="50"/>
      <c r="U69" s="50"/>
      <c r="V69" s="51" t="s">
        <v>461</v>
      </c>
      <c r="W69" s="51" t="s">
        <v>462</v>
      </c>
      <c r="X69" s="51" t="s">
        <v>463</v>
      </c>
      <c r="Y69" s="51" t="s">
        <v>464</v>
      </c>
      <c r="Z69" s="51" t="s">
        <v>122</v>
      </c>
      <c r="AA69" s="50">
        <v>1.0</v>
      </c>
      <c r="AB69" s="50"/>
      <c r="AC69" s="50"/>
      <c r="AD69" s="50">
        <v>1.0</v>
      </c>
      <c r="AE69" s="50"/>
      <c r="AF69" s="50"/>
      <c r="AG69" s="50"/>
      <c r="AH69" s="51" t="s">
        <v>465</v>
      </c>
      <c r="AI69" s="51">
        <v>1.0</v>
      </c>
      <c r="AJ69" s="51"/>
      <c r="AK69" s="51"/>
      <c r="AL69" s="51"/>
      <c r="AM69" s="51"/>
      <c r="AN69" s="51">
        <v>1.0</v>
      </c>
      <c r="AO69" s="51"/>
      <c r="AP69" s="51"/>
      <c r="AQ69" s="51"/>
      <c r="AR69" s="51"/>
      <c r="AS69" s="51"/>
      <c r="AT69" s="51"/>
      <c r="AU69" s="51"/>
      <c r="AV69" s="51"/>
      <c r="AW69" s="51"/>
      <c r="AX69" s="51"/>
      <c r="AY69" s="51"/>
      <c r="AZ69" s="51"/>
      <c r="BA69" s="51"/>
      <c r="BB69" s="51"/>
      <c r="BC69" s="51"/>
      <c r="BD69" s="52">
        <v>1.0</v>
      </c>
      <c r="BE69" s="51"/>
      <c r="BF69" s="51"/>
      <c r="BG69" s="51"/>
      <c r="BH69" s="51"/>
      <c r="BI69" s="51"/>
      <c r="BJ69" s="52">
        <v>1.0</v>
      </c>
      <c r="BK69" s="51"/>
      <c r="BL69" s="52">
        <v>1.0</v>
      </c>
      <c r="BM69" s="51"/>
      <c r="BN69" s="51"/>
      <c r="BO69" s="51"/>
      <c r="BP69" s="51"/>
      <c r="BQ69" s="51"/>
      <c r="BR69" s="51"/>
      <c r="BS69" s="51"/>
      <c r="BT69" s="51"/>
      <c r="BU69" s="51"/>
      <c r="BV69" s="51"/>
      <c r="BW69" s="51">
        <v>1.0</v>
      </c>
      <c r="BX69" s="51"/>
      <c r="BY69" s="51"/>
      <c r="BZ69" s="51"/>
    </row>
    <row r="70" ht="12.75" customHeight="1">
      <c r="A70" s="46" t="s">
        <v>116</v>
      </c>
      <c r="B70" s="68" t="str">
        <f>HYPERLINK("https://drive.google.com/open?id=1KSrFo0m5Vpe8PJP54ZN_t_-bYtjf-iV8","Fletcher1984")</f>
        <v>Fletcher1984</v>
      </c>
      <c r="C70" s="63" t="s">
        <v>466</v>
      </c>
      <c r="D70" s="63" t="s">
        <v>467</v>
      </c>
      <c r="E70" s="49">
        <v>1984.0</v>
      </c>
      <c r="F70" s="50"/>
      <c r="G70" s="50"/>
      <c r="H70" s="50"/>
      <c r="I70" s="50">
        <v>1.0</v>
      </c>
      <c r="J70" s="50"/>
      <c r="K70" s="50"/>
      <c r="L70" s="50"/>
      <c r="M70" s="50"/>
      <c r="N70" s="50"/>
      <c r="O70" s="50"/>
      <c r="P70" s="50"/>
      <c r="Q70" s="50"/>
      <c r="R70" s="50"/>
      <c r="S70" s="50"/>
      <c r="T70" s="50"/>
      <c r="U70" s="50"/>
      <c r="V70" s="51" t="s">
        <v>92</v>
      </c>
      <c r="W70" s="51" t="s">
        <v>468</v>
      </c>
      <c r="X70" s="51" t="s">
        <v>469</v>
      </c>
      <c r="Y70" s="51" t="s">
        <v>470</v>
      </c>
      <c r="Z70" s="51" t="s">
        <v>122</v>
      </c>
      <c r="AA70" s="50">
        <v>1.0</v>
      </c>
      <c r="AB70" s="50"/>
      <c r="AC70" s="50"/>
      <c r="AD70" s="50">
        <v>1.0</v>
      </c>
      <c r="AE70" s="50"/>
      <c r="AF70" s="50"/>
      <c r="AG70" s="50"/>
      <c r="AH70" s="51" t="s">
        <v>471</v>
      </c>
      <c r="AI70" s="51">
        <v>1.0</v>
      </c>
      <c r="AJ70" s="51"/>
      <c r="AK70" s="51"/>
      <c r="AL70" s="51"/>
      <c r="AM70" s="51"/>
      <c r="AN70" s="51"/>
      <c r="AO70" s="51"/>
      <c r="AP70" s="51"/>
      <c r="AQ70" s="51"/>
      <c r="AR70" s="51"/>
      <c r="AS70" s="51"/>
      <c r="AT70" s="51"/>
      <c r="AU70" s="51"/>
      <c r="AV70" s="51"/>
      <c r="AW70" s="51"/>
      <c r="AX70" s="51"/>
      <c r="AY70" s="51"/>
      <c r="AZ70" s="51"/>
      <c r="BA70" s="51"/>
      <c r="BB70" s="51"/>
      <c r="BC70" s="51"/>
      <c r="BD70" s="52">
        <v>1.0</v>
      </c>
      <c r="BE70" s="51"/>
      <c r="BF70" s="51">
        <v>1.0</v>
      </c>
      <c r="BG70" s="51"/>
      <c r="BH70" s="51"/>
      <c r="BI70" s="51"/>
      <c r="BJ70" s="52">
        <v>1.0</v>
      </c>
      <c r="BK70" s="51"/>
      <c r="BL70" s="52">
        <v>1.0</v>
      </c>
      <c r="BM70" s="51"/>
      <c r="BN70" s="51"/>
      <c r="BO70" s="51"/>
      <c r="BP70" s="51"/>
      <c r="BQ70" s="51"/>
      <c r="BR70" s="51"/>
      <c r="BS70" s="51"/>
      <c r="BT70" s="51"/>
      <c r="BU70" s="51"/>
      <c r="BV70" s="51"/>
      <c r="BW70" s="51">
        <v>1.0</v>
      </c>
      <c r="BX70" s="51"/>
      <c r="BY70" s="51"/>
      <c r="BZ70" s="51"/>
    </row>
    <row r="71" ht="12.75" customHeight="1">
      <c r="A71" s="46" t="s">
        <v>116</v>
      </c>
      <c r="B71" s="56" t="str">
        <f>HYPERLINK("https://drive.google.com/open?id=0B1GMAYMj9v6rdm5BYVh1emNhOUE","Fritz2014")</f>
        <v>Fritz2014</v>
      </c>
      <c r="C71" s="55" t="s">
        <v>472</v>
      </c>
      <c r="D71" s="55" t="s">
        <v>196</v>
      </c>
      <c r="E71" s="49">
        <v>2014.0</v>
      </c>
      <c r="F71" s="50"/>
      <c r="G71" s="50"/>
      <c r="H71" s="50"/>
      <c r="I71" s="50">
        <v>1.0</v>
      </c>
      <c r="J71" s="50"/>
      <c r="K71" s="50"/>
      <c r="L71" s="50"/>
      <c r="M71" s="50"/>
      <c r="N71" s="50"/>
      <c r="O71" s="50"/>
      <c r="P71" s="50"/>
      <c r="Q71" s="50"/>
      <c r="R71" s="50"/>
      <c r="S71" s="50"/>
      <c r="T71" s="50"/>
      <c r="U71" s="50"/>
      <c r="V71" s="51" t="s">
        <v>473</v>
      </c>
      <c r="W71" s="51"/>
      <c r="X71" s="55" t="s">
        <v>474</v>
      </c>
      <c r="Y71" s="51" t="s">
        <v>475</v>
      </c>
      <c r="Z71" s="51" t="s">
        <v>122</v>
      </c>
      <c r="AA71" s="50"/>
      <c r="AB71" s="50">
        <v>1.0</v>
      </c>
      <c r="AC71" s="50"/>
      <c r="AD71" s="50">
        <v>1.0</v>
      </c>
      <c r="AE71" s="50"/>
      <c r="AF71" s="50"/>
      <c r="AG71" s="50"/>
      <c r="AH71" s="51" t="s">
        <v>476</v>
      </c>
      <c r="AI71" s="51">
        <v>1.0</v>
      </c>
      <c r="AJ71" s="51">
        <v>1.0</v>
      </c>
      <c r="AK71" s="51"/>
      <c r="AL71" s="51"/>
      <c r="AM71" s="51"/>
      <c r="AN71" s="51"/>
      <c r="AO71" s="51"/>
      <c r="AP71" s="51"/>
      <c r="AQ71" s="51"/>
      <c r="AR71" s="51">
        <v>1.0</v>
      </c>
      <c r="AS71" s="51"/>
      <c r="AT71" s="51"/>
      <c r="AU71" s="51"/>
      <c r="AV71" s="51"/>
      <c r="AW71" s="51"/>
      <c r="AX71" s="51"/>
      <c r="AY71" s="51"/>
      <c r="AZ71" s="51"/>
      <c r="BA71" s="51"/>
      <c r="BB71" s="51">
        <v>1.0</v>
      </c>
      <c r="BC71" s="51"/>
      <c r="BD71" s="51"/>
      <c r="BE71" s="51"/>
      <c r="BF71" s="51"/>
      <c r="BG71" s="51"/>
      <c r="BH71" s="51"/>
      <c r="BI71" s="51"/>
      <c r="BJ71" s="51"/>
      <c r="BK71" s="51"/>
      <c r="BL71" s="51"/>
      <c r="BM71" s="51"/>
      <c r="BN71" s="51"/>
      <c r="BO71" s="51"/>
      <c r="BP71" s="51"/>
      <c r="BQ71" s="51"/>
      <c r="BR71" s="51"/>
      <c r="BS71" s="51"/>
      <c r="BT71" s="51"/>
      <c r="BU71" s="51"/>
      <c r="BV71" s="51"/>
      <c r="BW71" s="51"/>
      <c r="BX71" s="51">
        <v>1.0</v>
      </c>
      <c r="BY71" s="51"/>
      <c r="BZ71" s="51">
        <v>1.0</v>
      </c>
    </row>
    <row r="72" ht="12.75" customHeight="1">
      <c r="A72" s="46" t="s">
        <v>124</v>
      </c>
      <c r="B72" s="68" t="str">
        <f>HYPERLINK("https://drive.google.com/open?id=1cTzhfRYF-_spkdfYbSzBlduyNEcWbnEj","Fritz2014a")</f>
        <v>Fritz2014a</v>
      </c>
      <c r="C72" s="48" t="s">
        <v>477</v>
      </c>
      <c r="D72" s="48" t="s">
        <v>478</v>
      </c>
      <c r="E72" s="49">
        <v>2014.0</v>
      </c>
      <c r="F72" s="50"/>
      <c r="G72" s="50"/>
      <c r="H72" s="50"/>
      <c r="I72" s="50">
        <v>1.0</v>
      </c>
      <c r="J72" s="50"/>
      <c r="K72" s="50">
        <v>1.0</v>
      </c>
      <c r="L72" s="50"/>
      <c r="M72" s="50"/>
      <c r="N72" s="50"/>
      <c r="O72" s="50"/>
      <c r="P72" s="50"/>
      <c r="Q72" s="50"/>
      <c r="R72" s="50"/>
      <c r="S72" s="50"/>
      <c r="T72" s="50"/>
      <c r="U72" s="50"/>
      <c r="V72" s="48"/>
      <c r="W72" s="69" t="s">
        <v>479</v>
      </c>
      <c r="X72" s="48" t="s">
        <v>480</v>
      </c>
      <c r="Y72" s="48"/>
      <c r="Z72" s="48" t="s">
        <v>481</v>
      </c>
      <c r="AA72" s="50">
        <v>1.0</v>
      </c>
      <c r="AB72" s="50"/>
      <c r="AC72" s="50"/>
      <c r="AD72" s="50">
        <v>1.0</v>
      </c>
      <c r="AE72" s="50"/>
      <c r="AF72" s="50"/>
      <c r="AG72" s="50"/>
      <c r="AH72" s="59"/>
      <c r="AI72" s="52">
        <v>1.0</v>
      </c>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2">
        <v>1.0</v>
      </c>
      <c r="BJ72" s="51"/>
      <c r="BK72" s="51"/>
      <c r="BL72" s="51"/>
      <c r="BM72" s="51"/>
      <c r="BN72" s="51"/>
      <c r="BO72" s="51"/>
      <c r="BP72" s="51"/>
      <c r="BQ72" s="51"/>
      <c r="BR72" s="51"/>
      <c r="BS72" s="51"/>
      <c r="BT72" s="51"/>
      <c r="BU72" s="51"/>
      <c r="BV72" s="51"/>
      <c r="BW72" s="51"/>
      <c r="BX72" s="51"/>
      <c r="BY72" s="51"/>
      <c r="BZ72" s="51"/>
    </row>
    <row r="73" ht="12.75" customHeight="1">
      <c r="A73" s="46" t="s">
        <v>108</v>
      </c>
      <c r="B73" s="54" t="str">
        <f>HYPERLINK("https://drive.google.com/open?id=0B3oar8-GeP-IQVZqdHRWYTdKYkE","Furuta1994")</f>
        <v>Furuta1994</v>
      </c>
      <c r="C73" s="55" t="s">
        <v>482</v>
      </c>
      <c r="D73" s="55" t="s">
        <v>483</v>
      </c>
      <c r="E73" s="49">
        <v>1994.0</v>
      </c>
      <c r="F73" s="50"/>
      <c r="G73" s="50"/>
      <c r="H73" s="50">
        <v>1.0</v>
      </c>
      <c r="I73" s="50"/>
      <c r="J73" s="50"/>
      <c r="K73" s="50"/>
      <c r="L73" s="50"/>
      <c r="M73" s="50"/>
      <c r="N73" s="50"/>
      <c r="O73" s="50"/>
      <c r="P73" s="50"/>
      <c r="Q73" s="50"/>
      <c r="R73" s="50"/>
      <c r="S73" s="50"/>
      <c r="T73" s="50"/>
      <c r="U73" s="50"/>
      <c r="V73" s="48" t="s">
        <v>484</v>
      </c>
      <c r="W73" s="48" t="s">
        <v>485</v>
      </c>
      <c r="X73" s="48" t="s">
        <v>486</v>
      </c>
      <c r="Y73" s="48" t="s">
        <v>92</v>
      </c>
      <c r="Z73" s="48" t="s">
        <v>487</v>
      </c>
      <c r="AA73" s="50">
        <v>1.0</v>
      </c>
      <c r="AB73" s="50"/>
      <c r="AC73" s="50">
        <v>1.0</v>
      </c>
      <c r="AD73" s="50"/>
      <c r="AE73" s="50"/>
      <c r="AF73" s="50"/>
      <c r="AG73" s="50"/>
      <c r="AH73" s="51" t="s">
        <v>488</v>
      </c>
      <c r="AI73" s="52">
        <v>1.0</v>
      </c>
      <c r="AJ73" s="51"/>
      <c r="AK73" s="51"/>
      <c r="AL73" s="51"/>
      <c r="AM73" s="51"/>
      <c r="AN73" s="51"/>
      <c r="AO73" s="51"/>
      <c r="AP73" s="51"/>
      <c r="AQ73" s="51"/>
      <c r="AR73" s="51"/>
      <c r="AS73" s="51"/>
      <c r="AT73" s="51"/>
      <c r="AU73" s="51"/>
      <c r="AV73" s="51"/>
      <c r="AW73" s="51"/>
      <c r="AX73" s="51"/>
      <c r="AY73" s="51"/>
      <c r="AZ73" s="51"/>
      <c r="BA73" s="51"/>
      <c r="BB73" s="51"/>
      <c r="BC73" s="51"/>
      <c r="BD73" s="51"/>
      <c r="BE73" s="52">
        <v>1.0</v>
      </c>
      <c r="BF73" s="51"/>
      <c r="BG73" s="51"/>
      <c r="BH73" s="51"/>
      <c r="BI73" s="51"/>
      <c r="BJ73" s="51"/>
      <c r="BK73" s="51"/>
      <c r="BL73" s="51"/>
      <c r="BM73" s="51"/>
      <c r="BN73" s="51"/>
      <c r="BO73" s="51"/>
      <c r="BP73" s="51"/>
      <c r="BQ73" s="51"/>
      <c r="BR73" s="51"/>
      <c r="BS73" s="51"/>
      <c r="BT73" s="51"/>
      <c r="BU73" s="51"/>
      <c r="BV73" s="51"/>
      <c r="BW73" s="51"/>
      <c r="BX73" s="51"/>
      <c r="BY73" s="51"/>
      <c r="BZ73" s="51"/>
    </row>
    <row r="74" ht="12.75" customHeight="1">
      <c r="A74" s="46" t="s">
        <v>88</v>
      </c>
      <c r="B74" s="53" t="str">
        <f t="shared" ref="B74:B75" si="2">HYPERLINK("https://drive.google.com/open?id=0B00cIHsghs6UbHpZbkZ4T2h4cWs","Gauvin2004")</f>
        <v>Gauvin2004</v>
      </c>
      <c r="C74" s="48" t="s">
        <v>489</v>
      </c>
      <c r="D74" s="48" t="s">
        <v>490</v>
      </c>
      <c r="E74" s="49">
        <v>2004.0</v>
      </c>
      <c r="F74" s="50"/>
      <c r="G74" s="50"/>
      <c r="H74" s="50"/>
      <c r="I74" s="50">
        <v>1.0</v>
      </c>
      <c r="J74" s="50"/>
      <c r="K74" s="50"/>
      <c r="L74" s="50"/>
      <c r="M74" s="50"/>
      <c r="N74" s="50"/>
      <c r="O74" s="50"/>
      <c r="P74" s="50"/>
      <c r="Q74" s="50"/>
      <c r="R74" s="50"/>
      <c r="S74" s="50"/>
      <c r="T74" s="50"/>
      <c r="U74" s="50"/>
      <c r="V74" s="51"/>
      <c r="W74" s="51" t="s">
        <v>491</v>
      </c>
      <c r="X74" s="51" t="s">
        <v>84</v>
      </c>
      <c r="Y74" s="51" t="s">
        <v>492</v>
      </c>
      <c r="Z74" s="51" t="s">
        <v>100</v>
      </c>
      <c r="AA74" s="50">
        <v>1.0</v>
      </c>
      <c r="AB74" s="50"/>
      <c r="AC74" s="50">
        <v>1.0</v>
      </c>
      <c r="AD74" s="50">
        <v>1.0</v>
      </c>
      <c r="AE74" s="50"/>
      <c r="AF74" s="50"/>
      <c r="AG74" s="50"/>
      <c r="AH74" s="51" t="s">
        <v>493</v>
      </c>
      <c r="AI74" s="51">
        <v>1.0</v>
      </c>
      <c r="AJ74" s="51">
        <v>1.0</v>
      </c>
      <c r="AK74" s="51"/>
      <c r="AL74" s="51"/>
      <c r="AM74" s="51"/>
      <c r="AN74" s="51">
        <v>1.0</v>
      </c>
      <c r="AO74" s="51"/>
      <c r="AP74" s="51"/>
      <c r="AQ74" s="51"/>
      <c r="AR74" s="51">
        <v>1.0</v>
      </c>
      <c r="AS74" s="51"/>
      <c r="AT74" s="51"/>
      <c r="AU74" s="51"/>
      <c r="AV74" s="51"/>
      <c r="AW74" s="51"/>
      <c r="AX74" s="51"/>
      <c r="AY74" s="51"/>
      <c r="AZ74" s="51"/>
      <c r="BA74" s="51"/>
      <c r="BB74" s="51"/>
      <c r="BC74" s="51"/>
      <c r="BD74" s="51">
        <v>1.0</v>
      </c>
      <c r="BE74" s="51"/>
      <c r="BF74" s="51"/>
      <c r="BG74" s="51"/>
      <c r="BH74" s="51"/>
      <c r="BI74" s="51"/>
      <c r="BJ74" s="51"/>
      <c r="BK74" s="51"/>
      <c r="BL74" s="51"/>
      <c r="BM74" s="51"/>
      <c r="BN74" s="51"/>
      <c r="BO74" s="51"/>
      <c r="BP74" s="51"/>
      <c r="BQ74" s="51"/>
      <c r="BR74" s="51"/>
      <c r="BS74" s="51"/>
      <c r="BT74" s="51">
        <v>1.0</v>
      </c>
      <c r="BU74" s="51"/>
      <c r="BV74" s="51"/>
      <c r="BW74" s="51">
        <v>1.0</v>
      </c>
      <c r="BX74" s="51"/>
      <c r="BY74" s="51"/>
      <c r="BZ74" s="51"/>
    </row>
    <row r="75" ht="12.75" customHeight="1">
      <c r="A75" s="46" t="s">
        <v>108</v>
      </c>
      <c r="B75" s="53" t="str">
        <f t="shared" si="2"/>
        <v>Gauvin2004</v>
      </c>
      <c r="C75" s="48" t="s">
        <v>489</v>
      </c>
      <c r="D75" s="48" t="s">
        <v>490</v>
      </c>
      <c r="E75" s="49">
        <v>2004.0</v>
      </c>
      <c r="F75" s="50"/>
      <c r="G75" s="50"/>
      <c r="H75" s="60"/>
      <c r="I75" s="50">
        <v>1.0</v>
      </c>
      <c r="J75" s="50"/>
      <c r="K75" s="50"/>
      <c r="L75" s="50"/>
      <c r="M75" s="50"/>
      <c r="N75" s="50"/>
      <c r="O75" s="50"/>
      <c r="P75" s="50"/>
      <c r="Q75" s="50"/>
      <c r="R75" s="50"/>
      <c r="S75" s="50"/>
      <c r="T75" s="50"/>
      <c r="U75" s="50"/>
      <c r="V75" s="48" t="s">
        <v>353</v>
      </c>
      <c r="W75" s="48"/>
      <c r="X75" s="48" t="s">
        <v>494</v>
      </c>
      <c r="Y75" s="48" t="s">
        <v>495</v>
      </c>
      <c r="Z75" s="48" t="s">
        <v>496</v>
      </c>
      <c r="AA75" s="50">
        <v>1.0</v>
      </c>
      <c r="AB75" s="50"/>
      <c r="AC75" s="50"/>
      <c r="AD75" s="50">
        <v>1.0</v>
      </c>
      <c r="AE75" s="50"/>
      <c r="AF75" s="50"/>
      <c r="AG75" s="50"/>
      <c r="AH75" s="51" t="s">
        <v>497</v>
      </c>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row>
    <row r="76" ht="12.75" customHeight="1">
      <c r="A76" s="46" t="s">
        <v>124</v>
      </c>
      <c r="B76" s="67" t="str">
        <f>HYPERLINK("https://drive.google.com/open?id=1Zw5V-4TpVSJtiIvX95lp_SXJPEX6Hsmo","Gilmore1988")</f>
        <v>Gilmore1988</v>
      </c>
      <c r="C76" s="48" t="s">
        <v>498</v>
      </c>
      <c r="D76" s="48" t="s">
        <v>499</v>
      </c>
      <c r="E76" s="49">
        <v>1988.0</v>
      </c>
      <c r="F76" s="50"/>
      <c r="G76" s="50"/>
      <c r="H76" s="50"/>
      <c r="I76" s="50">
        <v>1.0</v>
      </c>
      <c r="J76" s="50"/>
      <c r="K76" s="50"/>
      <c r="L76" s="50"/>
      <c r="M76" s="50"/>
      <c r="N76" s="50"/>
      <c r="O76" s="50"/>
      <c r="P76" s="50"/>
      <c r="Q76" s="50"/>
      <c r="R76" s="50"/>
      <c r="S76" s="50"/>
      <c r="T76" s="50"/>
      <c r="U76" s="50"/>
      <c r="V76" s="48"/>
      <c r="W76" s="48"/>
      <c r="X76" s="48" t="s">
        <v>500</v>
      </c>
      <c r="Y76" s="48"/>
      <c r="Z76" s="48" t="s">
        <v>501</v>
      </c>
      <c r="AA76" s="50">
        <v>1.0</v>
      </c>
      <c r="AB76" s="50"/>
      <c r="AC76" s="50"/>
      <c r="AD76" s="50">
        <v>1.0</v>
      </c>
      <c r="AE76" s="50"/>
      <c r="AF76" s="50"/>
      <c r="AG76" s="50"/>
      <c r="AH76" s="59"/>
      <c r="AI76" s="51">
        <v>1.0</v>
      </c>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v>1.0</v>
      </c>
      <c r="BJ76" s="51"/>
      <c r="BK76" s="51"/>
      <c r="BL76" s="51"/>
      <c r="BM76" s="51"/>
      <c r="BN76" s="51"/>
      <c r="BO76" s="51"/>
      <c r="BP76" s="51"/>
      <c r="BQ76" s="51"/>
      <c r="BR76" s="51"/>
      <c r="BS76" s="51"/>
      <c r="BT76" s="51"/>
      <c r="BU76" s="51"/>
      <c r="BV76" s="51"/>
      <c r="BW76" s="51">
        <v>1.0</v>
      </c>
      <c r="BX76" s="51"/>
      <c r="BY76" s="51"/>
      <c r="BZ76" s="51"/>
    </row>
    <row r="77" ht="12.75" customHeight="1">
      <c r="A77" s="46" t="s">
        <v>124</v>
      </c>
      <c r="B77" s="73" t="str">
        <f>HYPERLINK("https://drive.google.com/open?id=0B-nn5iJ29NJad2lZOEFpNDNqVjA","Gordon1979")</f>
        <v>Gordon1979</v>
      </c>
      <c r="C77" s="55" t="s">
        <v>502</v>
      </c>
      <c r="D77" s="55" t="s">
        <v>503</v>
      </c>
      <c r="E77" s="57">
        <v>1979.0</v>
      </c>
      <c r="F77" s="70">
        <v>1.0</v>
      </c>
      <c r="G77" s="50"/>
      <c r="H77" s="50"/>
      <c r="I77" s="50">
        <v>1.0</v>
      </c>
      <c r="J77" s="50"/>
      <c r="K77" s="50"/>
      <c r="L77" s="50"/>
      <c r="M77" s="50"/>
      <c r="N77" s="50"/>
      <c r="O77" s="50"/>
      <c r="P77" s="50"/>
      <c r="Q77" s="50"/>
      <c r="R77" s="50"/>
      <c r="S77" s="50"/>
      <c r="T77" s="50"/>
      <c r="U77" s="50"/>
      <c r="V77" s="48"/>
      <c r="W77" s="60"/>
      <c r="X77" s="48" t="s">
        <v>504</v>
      </c>
      <c r="Y77" s="48" t="s">
        <v>505</v>
      </c>
      <c r="Z77" s="48" t="s">
        <v>506</v>
      </c>
      <c r="AA77" s="50"/>
      <c r="AB77" s="50"/>
      <c r="AC77" s="50"/>
      <c r="AD77" s="50">
        <v>1.0</v>
      </c>
      <c r="AE77" s="50"/>
      <c r="AF77" s="50"/>
      <c r="AG77" s="50"/>
      <c r="AH77" s="59"/>
      <c r="AI77" s="51"/>
      <c r="AJ77" s="51"/>
      <c r="AK77" s="51"/>
      <c r="AL77" s="51"/>
      <c r="AM77" s="51"/>
      <c r="AN77" s="51"/>
      <c r="AO77" s="51"/>
      <c r="AP77" s="51"/>
      <c r="AQ77" s="51"/>
      <c r="AR77" s="51">
        <v>1.0</v>
      </c>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row>
    <row r="78" ht="12.75" customHeight="1">
      <c r="A78" s="46" t="s">
        <v>88</v>
      </c>
      <c r="B78" s="53" t="str">
        <f>HYPERLINK("https://drive.google.com/open?id=1t2ZXUzLenlHEbPMr1-Pgq6GQznjZI8BV","Green1977")</f>
        <v>Green1977</v>
      </c>
      <c r="C78" s="48" t="s">
        <v>507</v>
      </c>
      <c r="D78" s="65" t="s">
        <v>508</v>
      </c>
      <c r="E78" s="49">
        <v>1977.0</v>
      </c>
      <c r="F78" s="50"/>
      <c r="G78" s="50"/>
      <c r="H78" s="50"/>
      <c r="I78" s="50">
        <v>1.0</v>
      </c>
      <c r="J78" s="50"/>
      <c r="K78" s="50"/>
      <c r="L78" s="50"/>
      <c r="M78" s="50"/>
      <c r="N78" s="50"/>
      <c r="O78" s="50"/>
      <c r="P78" s="50"/>
      <c r="Q78" s="50"/>
      <c r="R78" s="50"/>
      <c r="S78" s="50"/>
      <c r="T78" s="50"/>
      <c r="U78" s="50"/>
      <c r="V78" s="51"/>
      <c r="W78" s="51" t="s">
        <v>509</v>
      </c>
      <c r="X78" s="51" t="s">
        <v>510</v>
      </c>
      <c r="Y78" s="51" t="s">
        <v>511</v>
      </c>
      <c r="Z78" s="51" t="s">
        <v>512</v>
      </c>
      <c r="AA78" s="50">
        <v>1.0</v>
      </c>
      <c r="AB78" s="50"/>
      <c r="AC78" s="50"/>
      <c r="AD78" s="50">
        <v>1.0</v>
      </c>
      <c r="AE78" s="50"/>
      <c r="AF78" s="50"/>
      <c r="AG78" s="50"/>
      <c r="AH78" s="51"/>
      <c r="AI78" s="51">
        <v>1.0</v>
      </c>
      <c r="AJ78" s="51"/>
      <c r="AK78" s="51"/>
      <c r="AL78" s="51"/>
      <c r="AM78" s="51"/>
      <c r="AN78" s="51"/>
      <c r="AO78" s="51"/>
      <c r="AP78" s="51"/>
      <c r="AQ78" s="51"/>
      <c r="AR78" s="51"/>
      <c r="AS78" s="51"/>
      <c r="AT78" s="51"/>
      <c r="AU78" s="51"/>
      <c r="AV78" s="51"/>
      <c r="AW78" s="51"/>
      <c r="AX78" s="51"/>
      <c r="AY78" s="51"/>
      <c r="AZ78" s="51"/>
      <c r="BA78" s="51"/>
      <c r="BB78" s="51"/>
      <c r="BC78" s="51"/>
      <c r="BD78" s="51"/>
      <c r="BE78" s="51">
        <v>1.0</v>
      </c>
      <c r="BF78" s="51"/>
      <c r="BG78" s="51"/>
      <c r="BH78" s="51"/>
      <c r="BI78" s="51"/>
      <c r="BJ78" s="51"/>
      <c r="BK78" s="51"/>
      <c r="BL78" s="51"/>
      <c r="BM78" s="51"/>
      <c r="BN78" s="51"/>
      <c r="BO78" s="51"/>
      <c r="BP78" s="51"/>
      <c r="BQ78" s="51"/>
      <c r="BR78" s="51"/>
      <c r="BS78" s="51"/>
      <c r="BT78" s="51"/>
      <c r="BU78" s="51"/>
      <c r="BV78" s="51"/>
      <c r="BW78" s="51">
        <v>1.0</v>
      </c>
      <c r="BX78" s="51"/>
      <c r="BY78" s="51"/>
      <c r="BZ78" s="51"/>
    </row>
    <row r="79" ht="12.75" customHeight="1">
      <c r="A79" s="46" t="s">
        <v>88</v>
      </c>
      <c r="B79" s="73" t="str">
        <f>HYPERLINK("https://drive.google.com/open?id=1YFEC5svmA2WagQC8KMg8b4zk373YRXy2","Green1989")</f>
        <v>Green1989</v>
      </c>
      <c r="C79" s="48" t="s">
        <v>513</v>
      </c>
      <c r="D79" s="48" t="s">
        <v>514</v>
      </c>
      <c r="E79" s="49">
        <v>1989.0</v>
      </c>
      <c r="F79" s="50"/>
      <c r="G79" s="50"/>
      <c r="H79" s="50">
        <v>1.0</v>
      </c>
      <c r="I79" s="50">
        <v>1.0</v>
      </c>
      <c r="J79" s="50"/>
      <c r="K79" s="50"/>
      <c r="L79" s="50"/>
      <c r="M79" s="50"/>
      <c r="N79" s="50"/>
      <c r="O79" s="50"/>
      <c r="P79" s="50"/>
      <c r="Q79" s="50"/>
      <c r="R79" s="50"/>
      <c r="S79" s="50"/>
      <c r="T79" s="50"/>
      <c r="U79" s="50"/>
      <c r="V79" s="51" t="s">
        <v>515</v>
      </c>
      <c r="W79" s="52" t="s">
        <v>516</v>
      </c>
      <c r="X79" s="51" t="s">
        <v>92</v>
      </c>
      <c r="Y79" s="51" t="s">
        <v>92</v>
      </c>
      <c r="Z79" s="51" t="s">
        <v>100</v>
      </c>
      <c r="AA79" s="50"/>
      <c r="AB79" s="50"/>
      <c r="AC79" s="50"/>
      <c r="AD79" s="50"/>
      <c r="AE79" s="50"/>
      <c r="AF79" s="50">
        <v>1.0</v>
      </c>
      <c r="AG79" s="50"/>
      <c r="AH79" s="51" t="s">
        <v>517</v>
      </c>
      <c r="AI79" s="52">
        <v>1.0</v>
      </c>
      <c r="AJ79" s="51"/>
      <c r="AK79" s="51"/>
      <c r="AL79" s="51"/>
      <c r="AM79" s="51"/>
      <c r="AN79" s="51"/>
      <c r="AO79" s="52">
        <v>1.0</v>
      </c>
      <c r="AP79" s="51"/>
      <c r="AQ79" s="51"/>
      <c r="AR79" s="52">
        <v>1.0</v>
      </c>
      <c r="AS79" s="51"/>
      <c r="AT79" s="51"/>
      <c r="AU79" s="51"/>
      <c r="AV79" s="51"/>
      <c r="AW79" s="51"/>
      <c r="AX79" s="51"/>
      <c r="AY79" s="51"/>
      <c r="AZ79" s="51"/>
      <c r="BA79" s="51"/>
      <c r="BB79" s="51"/>
      <c r="BC79" s="51"/>
      <c r="BD79" s="52">
        <v>1.0</v>
      </c>
      <c r="BE79" s="51"/>
      <c r="BF79" s="52">
        <v>1.0</v>
      </c>
      <c r="BG79" s="51"/>
      <c r="BH79" s="51"/>
      <c r="BI79" s="51"/>
      <c r="BJ79" s="51"/>
      <c r="BK79" s="51"/>
      <c r="BL79" s="51"/>
      <c r="BM79" s="51"/>
      <c r="BN79" s="51"/>
      <c r="BO79" s="51"/>
      <c r="BP79" s="51"/>
      <c r="BQ79" s="51"/>
      <c r="BR79" s="51"/>
      <c r="BS79" s="51"/>
      <c r="BT79" s="51"/>
      <c r="BU79" s="51"/>
      <c r="BV79" s="51"/>
      <c r="BW79" s="51"/>
      <c r="BX79" s="51"/>
      <c r="BY79" s="51"/>
      <c r="BZ79" s="51"/>
    </row>
    <row r="80" ht="12.75" customHeight="1">
      <c r="A80" s="46" t="s">
        <v>88</v>
      </c>
      <c r="B80" s="47" t="str">
        <f>HYPERLINK("https://drive.google.com/open?id=1Pj5h9w1ttgOC4YH9r-_9wl_YXThPB9Ae","Green1996")</f>
        <v>Green1996</v>
      </c>
      <c r="C80" s="48" t="s">
        <v>518</v>
      </c>
      <c r="D80" s="48" t="s">
        <v>519</v>
      </c>
      <c r="E80" s="49">
        <v>1996.0</v>
      </c>
      <c r="F80" s="50"/>
      <c r="G80" s="50"/>
      <c r="H80" s="50">
        <v>1.0</v>
      </c>
      <c r="I80" s="50">
        <v>1.0</v>
      </c>
      <c r="J80" s="50"/>
      <c r="K80" s="50"/>
      <c r="L80" s="50"/>
      <c r="M80" s="50"/>
      <c r="N80" s="50"/>
      <c r="O80" s="50"/>
      <c r="P80" s="50"/>
      <c r="Q80" s="50"/>
      <c r="R80" s="50"/>
      <c r="S80" s="50"/>
      <c r="T80" s="50"/>
      <c r="U80" s="50"/>
      <c r="V80" s="51" t="s">
        <v>520</v>
      </c>
      <c r="W80" s="51" t="s">
        <v>521</v>
      </c>
      <c r="X80" s="51" t="s">
        <v>92</v>
      </c>
      <c r="Y80" s="51" t="s">
        <v>92</v>
      </c>
      <c r="Z80" s="51" t="s">
        <v>100</v>
      </c>
      <c r="AA80" s="50"/>
      <c r="AB80" s="50"/>
      <c r="AC80" s="50"/>
      <c r="AD80" s="50"/>
      <c r="AE80" s="50"/>
      <c r="AF80" s="50">
        <v>1.0</v>
      </c>
      <c r="AG80" s="50"/>
      <c r="AH80" s="51" t="s">
        <v>522</v>
      </c>
      <c r="AI80" s="52">
        <v>1.0</v>
      </c>
      <c r="AJ80" s="51"/>
      <c r="AK80" s="51"/>
      <c r="AL80" s="51"/>
      <c r="AM80" s="51"/>
      <c r="AN80" s="51"/>
      <c r="AO80" s="51">
        <v>1.0</v>
      </c>
      <c r="AP80" s="51"/>
      <c r="AQ80" s="51"/>
      <c r="AR80" s="52">
        <v>1.0</v>
      </c>
      <c r="AS80" s="51"/>
      <c r="AT80" s="51"/>
      <c r="AU80" s="51"/>
      <c r="AV80" s="51"/>
      <c r="AW80" s="51"/>
      <c r="AX80" s="51"/>
      <c r="AY80" s="51"/>
      <c r="AZ80" s="51"/>
      <c r="BA80" s="51"/>
      <c r="BB80" s="51"/>
      <c r="BC80" s="51"/>
      <c r="BD80" s="52">
        <v>1.0</v>
      </c>
      <c r="BE80" s="52">
        <v>1.0</v>
      </c>
      <c r="BF80" s="51"/>
      <c r="BG80" s="51"/>
      <c r="BH80" s="51"/>
      <c r="BI80" s="51"/>
      <c r="BJ80" s="51"/>
      <c r="BK80" s="51"/>
      <c r="BL80" s="51"/>
      <c r="BM80" s="51"/>
      <c r="BN80" s="51"/>
      <c r="BO80" s="51"/>
      <c r="BP80" s="51"/>
      <c r="BQ80" s="51"/>
      <c r="BR80" s="51"/>
      <c r="BS80" s="51"/>
      <c r="BT80" s="51"/>
      <c r="BU80" s="51"/>
      <c r="BV80" s="51"/>
      <c r="BW80" s="51"/>
      <c r="BX80" s="51"/>
      <c r="BY80" s="51"/>
      <c r="BZ80" s="51"/>
    </row>
    <row r="81" ht="12.75" customHeight="1">
      <c r="A81" s="46" t="s">
        <v>88</v>
      </c>
      <c r="B81" s="47" t="str">
        <f>HYPERLINK("https://drive.google.com/open?id=1GL1XACBDv6Wp645XQjOnaZurCfKSTCJn","Gruhn2006")</f>
        <v>Gruhn2006</v>
      </c>
      <c r="C81" s="48" t="s">
        <v>523</v>
      </c>
      <c r="D81" s="48" t="s">
        <v>524</v>
      </c>
      <c r="E81" s="49">
        <v>2006.0</v>
      </c>
      <c r="F81" s="50"/>
      <c r="G81" s="50">
        <v>1.0</v>
      </c>
      <c r="H81" s="50"/>
      <c r="I81" s="50"/>
      <c r="J81" s="50"/>
      <c r="K81" s="50"/>
      <c r="L81" s="50"/>
      <c r="M81" s="50"/>
      <c r="N81" s="50"/>
      <c r="O81" s="50"/>
      <c r="P81" s="50"/>
      <c r="Q81" s="50"/>
      <c r="R81" s="50"/>
      <c r="S81" s="50"/>
      <c r="T81" s="50"/>
      <c r="U81" s="50"/>
      <c r="V81" s="51"/>
      <c r="W81" s="52" t="s">
        <v>525</v>
      </c>
      <c r="X81" s="52" t="s">
        <v>526</v>
      </c>
      <c r="Y81" s="51" t="s">
        <v>92</v>
      </c>
      <c r="Z81" s="51" t="s">
        <v>100</v>
      </c>
      <c r="AA81" s="50"/>
      <c r="AB81" s="50"/>
      <c r="AC81" s="50">
        <v>1.0</v>
      </c>
      <c r="AD81" s="50"/>
      <c r="AE81" s="50"/>
      <c r="AF81" s="50"/>
      <c r="AG81" s="50"/>
      <c r="AH81" s="51" t="s">
        <v>527</v>
      </c>
      <c r="AI81" s="52">
        <v>1.0</v>
      </c>
      <c r="AJ81" s="51"/>
      <c r="AK81" s="51"/>
      <c r="AL81" s="51"/>
      <c r="AM81" s="51"/>
      <c r="AN81" s="51"/>
      <c r="AO81" s="51"/>
      <c r="AP81" s="51"/>
      <c r="AQ81" s="51"/>
      <c r="AR81" s="52">
        <v>1.0</v>
      </c>
      <c r="AS81" s="51"/>
      <c r="AT81" s="51"/>
      <c r="AU81" s="51"/>
      <c r="AV81" s="51"/>
      <c r="AW81" s="51"/>
      <c r="AX81" s="51"/>
      <c r="AY81" s="51"/>
      <c r="AZ81" s="51"/>
      <c r="BA81" s="51"/>
      <c r="BB81" s="51"/>
      <c r="BC81" s="51"/>
      <c r="BD81" s="51"/>
      <c r="BE81" s="51"/>
      <c r="BF81" s="52">
        <v>1.0</v>
      </c>
      <c r="BG81" s="52">
        <v>1.0</v>
      </c>
      <c r="BH81" s="51"/>
      <c r="BI81" s="51"/>
      <c r="BJ81" s="52">
        <v>1.0</v>
      </c>
      <c r="BK81" s="52">
        <v>1.0</v>
      </c>
      <c r="BL81" s="52">
        <v>1.0</v>
      </c>
      <c r="BM81" s="51"/>
      <c r="BN81" s="51"/>
      <c r="BO81" s="51"/>
      <c r="BP81" s="51"/>
      <c r="BQ81" s="51"/>
      <c r="BR81" s="51"/>
      <c r="BS81" s="51"/>
      <c r="BT81" s="52"/>
      <c r="BU81" s="51"/>
      <c r="BV81" s="51"/>
      <c r="BW81" s="51"/>
      <c r="BX81" s="51"/>
      <c r="BY81" s="51"/>
      <c r="BZ81" s="51"/>
    </row>
    <row r="82" ht="12.75" customHeight="1">
      <c r="A82" s="46" t="s">
        <v>116</v>
      </c>
      <c r="B82" s="54" t="str">
        <f>HYPERLINK("https://drive.google.com/open?id=0B1GMAYMj9v6rX3pLSm9qRU9zd2M","Gruhn2007")</f>
        <v>Gruhn2007</v>
      </c>
      <c r="C82" s="55" t="s">
        <v>528</v>
      </c>
      <c r="D82" s="55" t="s">
        <v>529</v>
      </c>
      <c r="E82" s="49">
        <v>2007.0</v>
      </c>
      <c r="F82" s="50"/>
      <c r="G82" s="50"/>
      <c r="H82" s="50"/>
      <c r="I82" s="50"/>
      <c r="J82" s="50"/>
      <c r="K82" s="50"/>
      <c r="L82" s="50"/>
      <c r="M82" s="50"/>
      <c r="N82" s="50">
        <v>1.0</v>
      </c>
      <c r="O82" s="50"/>
      <c r="P82" s="50"/>
      <c r="Q82" s="50"/>
      <c r="R82" s="50"/>
      <c r="S82" s="50"/>
      <c r="T82" s="50"/>
      <c r="U82" s="50"/>
      <c r="V82" s="51"/>
      <c r="W82" s="52" t="s">
        <v>525</v>
      </c>
      <c r="X82" s="52" t="s">
        <v>526</v>
      </c>
      <c r="Y82" s="51" t="s">
        <v>92</v>
      </c>
      <c r="Z82" s="51" t="s">
        <v>100</v>
      </c>
      <c r="AA82" s="50"/>
      <c r="AB82" s="50"/>
      <c r="AC82" s="50">
        <v>1.0</v>
      </c>
      <c r="AD82" s="50"/>
      <c r="AE82" s="50"/>
      <c r="AF82" s="50"/>
      <c r="AG82" s="50"/>
      <c r="AH82" s="51" t="s">
        <v>530</v>
      </c>
      <c r="AI82" s="51">
        <v>1.0</v>
      </c>
      <c r="AJ82" s="51"/>
      <c r="AK82" s="51"/>
      <c r="AL82" s="51"/>
      <c r="AM82" s="51"/>
      <c r="AN82" s="51"/>
      <c r="AO82" s="51"/>
      <c r="AP82" s="51"/>
      <c r="AQ82" s="51"/>
      <c r="AR82" s="52">
        <v>1.0</v>
      </c>
      <c r="AS82" s="51"/>
      <c r="AT82" s="51"/>
      <c r="AU82" s="51"/>
      <c r="AV82" s="51"/>
      <c r="AW82" s="51"/>
      <c r="AX82" s="51"/>
      <c r="AY82" s="51"/>
      <c r="AZ82" s="51"/>
      <c r="BA82" s="51"/>
      <c r="BB82" s="51"/>
      <c r="BC82" s="51"/>
      <c r="BD82" s="51"/>
      <c r="BE82" s="51"/>
      <c r="BF82" s="52">
        <v>1.0</v>
      </c>
      <c r="BG82" s="52">
        <v>1.0</v>
      </c>
      <c r="BH82" s="51"/>
      <c r="BI82" s="51"/>
      <c r="BJ82" s="52">
        <v>1.0</v>
      </c>
      <c r="BK82" s="52">
        <v>1.0</v>
      </c>
      <c r="BL82" s="52">
        <v>1.0</v>
      </c>
      <c r="BM82" s="51"/>
      <c r="BN82" s="51"/>
      <c r="BO82" s="51"/>
      <c r="BP82" s="51"/>
      <c r="BQ82" s="51"/>
      <c r="BR82" s="51"/>
      <c r="BS82" s="51"/>
      <c r="BT82" s="52"/>
      <c r="BU82" s="51"/>
      <c r="BV82" s="51"/>
      <c r="BW82" s="51"/>
      <c r="BX82" s="51"/>
      <c r="BY82" s="51"/>
      <c r="BZ82" s="51"/>
    </row>
    <row r="83" ht="12.75" customHeight="1">
      <c r="A83" s="46" t="s">
        <v>172</v>
      </c>
      <c r="B83" s="56" t="str">
        <f>HYPERLINK("https://drive.google.com/open?id=1XhePEcoTdktQOS-EKHF9Q7AqIkQ3KzM4","Guindon1986")</f>
        <v>Guindon1986</v>
      </c>
      <c r="C83" s="63" t="s">
        <v>531</v>
      </c>
      <c r="D83" s="63" t="s">
        <v>532</v>
      </c>
      <c r="E83" s="55">
        <v>1986.0</v>
      </c>
      <c r="F83" s="55"/>
      <c r="G83" s="55"/>
      <c r="H83" s="55">
        <v>1.0</v>
      </c>
      <c r="I83" s="55"/>
      <c r="J83" s="55"/>
      <c r="K83" s="55"/>
      <c r="L83" s="55"/>
      <c r="M83" s="55"/>
      <c r="N83" s="55"/>
      <c r="O83" s="55"/>
      <c r="P83" s="55"/>
      <c r="Q83" s="55"/>
      <c r="R83" s="55"/>
      <c r="S83" s="55"/>
      <c r="T83" s="55"/>
      <c r="U83" s="55"/>
      <c r="V83" s="55"/>
      <c r="W83" s="55" t="s">
        <v>533</v>
      </c>
      <c r="X83" s="55"/>
      <c r="Y83" s="55" t="s">
        <v>534</v>
      </c>
      <c r="Z83" s="55" t="s">
        <v>535</v>
      </c>
      <c r="AA83" s="55"/>
      <c r="AB83" s="55"/>
      <c r="AC83" s="55"/>
      <c r="AD83" s="55">
        <v>1.0</v>
      </c>
      <c r="AE83" s="55"/>
      <c r="AF83" s="55"/>
      <c r="AG83" s="55"/>
      <c r="AH83" s="48" t="s">
        <v>536</v>
      </c>
      <c r="AI83" s="51">
        <v>1.0</v>
      </c>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v>1.0</v>
      </c>
      <c r="BJ83" s="51"/>
      <c r="BK83" s="51"/>
      <c r="BL83" s="51"/>
      <c r="BM83" s="51"/>
      <c r="BN83" s="51"/>
      <c r="BO83" s="51"/>
      <c r="BP83" s="51"/>
      <c r="BQ83" s="51"/>
      <c r="BR83" s="51"/>
      <c r="BS83" s="51"/>
      <c r="BT83" s="51">
        <v>1.0</v>
      </c>
      <c r="BU83" s="51"/>
      <c r="BV83" s="51"/>
      <c r="BW83" s="51"/>
      <c r="BX83" s="51"/>
      <c r="BY83" s="51"/>
      <c r="BZ83" s="51"/>
    </row>
    <row r="84" ht="12.75" customHeight="1">
      <c r="A84" s="46" t="s">
        <v>108</v>
      </c>
      <c r="B84" s="54" t="str">
        <f>HYPERLINK("https://drive.google.com/open?id=0B3oar8-GeP-IdTN1bmNaY2ZXTkE","Hadar2013")</f>
        <v>Hadar2013</v>
      </c>
      <c r="C84" s="55" t="s">
        <v>537</v>
      </c>
      <c r="D84" s="55" t="s">
        <v>538</v>
      </c>
      <c r="E84" s="49">
        <v>2013.0</v>
      </c>
      <c r="F84" s="50"/>
      <c r="G84" s="50"/>
      <c r="H84" s="50">
        <v>1.0</v>
      </c>
      <c r="I84" s="50"/>
      <c r="J84" s="50"/>
      <c r="K84" s="50"/>
      <c r="L84" s="50"/>
      <c r="M84" s="50"/>
      <c r="N84" s="50"/>
      <c r="O84" s="50"/>
      <c r="P84" s="50"/>
      <c r="Q84" s="50"/>
      <c r="R84" s="50"/>
      <c r="S84" s="50"/>
      <c r="T84" s="50"/>
      <c r="U84" s="50"/>
      <c r="V84" s="69" t="s">
        <v>539</v>
      </c>
      <c r="W84" s="48" t="s">
        <v>540</v>
      </c>
      <c r="X84" s="48" t="s">
        <v>189</v>
      </c>
      <c r="Y84" s="69" t="s">
        <v>541</v>
      </c>
      <c r="Z84" s="48" t="s">
        <v>542</v>
      </c>
      <c r="AA84" s="50"/>
      <c r="AB84" s="50">
        <v>1.0</v>
      </c>
      <c r="AC84" s="50"/>
      <c r="AD84" s="50">
        <v>1.0</v>
      </c>
      <c r="AE84" s="50"/>
      <c r="AF84" s="50"/>
      <c r="AG84" s="50"/>
      <c r="AH84" s="51"/>
      <c r="AI84" s="51">
        <v>1.0</v>
      </c>
      <c r="AJ84" s="51"/>
      <c r="AK84" s="51"/>
      <c r="AL84" s="51"/>
      <c r="AM84" s="51"/>
      <c r="AN84" s="51"/>
      <c r="AO84" s="51"/>
      <c r="AP84" s="51"/>
      <c r="AQ84" s="51"/>
      <c r="AR84" s="51"/>
      <c r="AS84" s="51"/>
      <c r="AT84" s="51"/>
      <c r="AU84" s="51"/>
      <c r="AV84" s="51"/>
      <c r="AW84" s="51"/>
      <c r="AX84" s="51"/>
      <c r="AY84" s="51"/>
      <c r="AZ84" s="51"/>
      <c r="BA84" s="51"/>
      <c r="BB84" s="51"/>
      <c r="BC84" s="51"/>
      <c r="BD84" s="51"/>
      <c r="BE84" s="52">
        <v>1.0</v>
      </c>
      <c r="BF84" s="51"/>
      <c r="BG84" s="51"/>
      <c r="BH84" s="51"/>
      <c r="BI84" s="51"/>
      <c r="BJ84" s="51"/>
      <c r="BK84" s="51"/>
      <c r="BL84" s="51"/>
      <c r="BM84" s="51"/>
      <c r="BN84" s="51"/>
      <c r="BO84" s="51"/>
      <c r="BP84" s="51"/>
      <c r="BQ84" s="51"/>
      <c r="BR84" s="51"/>
      <c r="BS84" s="52">
        <v>1.0</v>
      </c>
      <c r="BT84" s="52">
        <v>1.0</v>
      </c>
      <c r="BU84" s="52"/>
      <c r="BV84" s="51"/>
      <c r="BW84" s="51"/>
      <c r="BX84" s="51"/>
      <c r="BY84" s="51"/>
      <c r="BZ84" s="51"/>
    </row>
    <row r="85" ht="12.75" customHeight="1">
      <c r="A85" s="46" t="s">
        <v>172</v>
      </c>
      <c r="B85" s="67" t="str">
        <f>HYPERLINK("https://drive.google.com/open?id=17WyDMcyD-X-XbfHH6x7Lg2YNgZ1IOuNx","Hahn1999")</f>
        <v>Hahn1999</v>
      </c>
      <c r="C85" s="63" t="s">
        <v>543</v>
      </c>
      <c r="D85" s="55" t="s">
        <v>544</v>
      </c>
      <c r="E85" s="74">
        <v>1999.0</v>
      </c>
      <c r="F85" s="55"/>
      <c r="G85" s="55"/>
      <c r="H85" s="55">
        <v>1.0</v>
      </c>
      <c r="I85" s="55"/>
      <c r="J85" s="55"/>
      <c r="K85" s="55"/>
      <c r="L85" s="55"/>
      <c r="M85" s="55"/>
      <c r="N85" s="55"/>
      <c r="O85" s="55"/>
      <c r="P85" s="55"/>
      <c r="Q85" s="55"/>
      <c r="R85" s="55"/>
      <c r="S85" s="55"/>
      <c r="T85" s="55"/>
      <c r="U85" s="55"/>
      <c r="V85" s="55" t="s">
        <v>545</v>
      </c>
      <c r="W85" s="55" t="s">
        <v>546</v>
      </c>
      <c r="X85" s="55" t="s">
        <v>547</v>
      </c>
      <c r="Y85" s="55" t="s">
        <v>548</v>
      </c>
      <c r="Z85" s="55" t="s">
        <v>100</v>
      </c>
      <c r="AA85" s="55">
        <v>1.0</v>
      </c>
      <c r="AB85" s="55"/>
      <c r="AC85" s="55">
        <v>1.0</v>
      </c>
      <c r="AD85" s="55">
        <v>1.0</v>
      </c>
      <c r="AE85" s="55"/>
      <c r="AF85" s="55"/>
      <c r="AG85" s="55"/>
      <c r="AH85" s="48" t="s">
        <v>549</v>
      </c>
      <c r="AI85" s="51">
        <v>1.0</v>
      </c>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v>1.0</v>
      </c>
      <c r="BJ85" s="51"/>
      <c r="BK85" s="51"/>
      <c r="BL85" s="51"/>
      <c r="BM85" s="51"/>
      <c r="BN85" s="51"/>
      <c r="BO85" s="51"/>
      <c r="BP85" s="51"/>
      <c r="BQ85" s="51"/>
      <c r="BR85" s="51"/>
      <c r="BS85" s="51"/>
      <c r="BT85" s="51"/>
      <c r="BU85" s="51"/>
      <c r="BV85" s="51"/>
      <c r="BW85" s="51">
        <v>1.0</v>
      </c>
      <c r="BX85" s="51"/>
      <c r="BY85" s="51"/>
      <c r="BZ85" s="51"/>
    </row>
    <row r="86" ht="12.75" customHeight="1">
      <c r="A86" s="46" t="s">
        <v>172</v>
      </c>
      <c r="B86" s="68" t="str">
        <f>HYPERLINK("https://drive.google.com/open?id=1nvYFpYsWyzDg4wyic2k_LXl6V8iUx36L","Hansen2012a")</f>
        <v>Hansen2012a</v>
      </c>
      <c r="C86" s="63" t="s">
        <v>550</v>
      </c>
      <c r="D86" s="63" t="s">
        <v>551</v>
      </c>
      <c r="E86" s="55">
        <v>2012.0</v>
      </c>
      <c r="F86" s="55"/>
      <c r="G86" s="55">
        <v>1.0</v>
      </c>
      <c r="H86" s="55"/>
      <c r="I86" s="55"/>
      <c r="J86" s="55"/>
      <c r="K86" s="55"/>
      <c r="L86" s="55"/>
      <c r="M86" s="55"/>
      <c r="N86" s="55"/>
      <c r="O86" s="55"/>
      <c r="P86" s="55"/>
      <c r="Q86" s="55"/>
      <c r="R86" s="55"/>
      <c r="S86" s="55"/>
      <c r="T86" s="55"/>
      <c r="U86" s="55"/>
      <c r="V86" s="55" t="s">
        <v>552</v>
      </c>
      <c r="W86" s="55"/>
      <c r="X86" s="55"/>
      <c r="Y86" s="55"/>
      <c r="Z86" s="55" t="s">
        <v>100</v>
      </c>
      <c r="AA86" s="60"/>
      <c r="AB86" s="55">
        <v>1.0</v>
      </c>
      <c r="AC86" s="55"/>
      <c r="AD86" s="55">
        <v>1.0</v>
      </c>
      <c r="AE86" s="55"/>
      <c r="AF86" s="55"/>
      <c r="AG86" s="55"/>
      <c r="AH86" s="48" t="s">
        <v>553</v>
      </c>
      <c r="AI86" s="52">
        <v>1.0</v>
      </c>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2">
        <v>1.0</v>
      </c>
      <c r="BP86" s="51"/>
      <c r="BQ86" s="51"/>
      <c r="BR86" s="51"/>
      <c r="BS86" s="51"/>
      <c r="BT86" s="51"/>
      <c r="BU86" s="51"/>
      <c r="BV86" s="51"/>
      <c r="BW86" s="51"/>
      <c r="BX86" s="51"/>
      <c r="BY86" s="51"/>
      <c r="BZ86" s="51"/>
    </row>
    <row r="87" ht="12.75" customHeight="1">
      <c r="A87" s="46" t="s">
        <v>172</v>
      </c>
      <c r="B87" s="68" t="str">
        <f>HYPERLINK("https://drive.google.com/open?id=1Ni6BexeXJyhJK7nU8e7SpC64IosRFVx4","Hansen2012b")</f>
        <v>Hansen2012b</v>
      </c>
      <c r="C87" s="63" t="s">
        <v>554</v>
      </c>
      <c r="D87" s="63" t="s">
        <v>555</v>
      </c>
      <c r="E87" s="55">
        <v>2012.0</v>
      </c>
      <c r="F87" s="55"/>
      <c r="G87" s="55"/>
      <c r="H87" s="55">
        <v>1.0</v>
      </c>
      <c r="I87" s="55"/>
      <c r="J87" s="55"/>
      <c r="K87" s="55"/>
      <c r="L87" s="55"/>
      <c r="M87" s="55"/>
      <c r="N87" s="55"/>
      <c r="O87" s="55"/>
      <c r="P87" s="55"/>
      <c r="Q87" s="55"/>
      <c r="R87" s="55"/>
      <c r="S87" s="55"/>
      <c r="T87" s="55"/>
      <c r="U87" s="55"/>
      <c r="V87" s="55" t="s">
        <v>556</v>
      </c>
      <c r="W87" s="55" t="s">
        <v>557</v>
      </c>
      <c r="X87" s="55" t="s">
        <v>525</v>
      </c>
      <c r="Y87" s="55"/>
      <c r="Z87" s="55" t="s">
        <v>100</v>
      </c>
      <c r="AA87" s="55">
        <v>1.0</v>
      </c>
      <c r="AB87" s="55"/>
      <c r="AC87" s="55">
        <v>1.0</v>
      </c>
      <c r="AD87" s="55"/>
      <c r="AE87" s="55"/>
      <c r="AF87" s="55"/>
      <c r="AG87" s="55"/>
      <c r="AH87" s="48" t="s">
        <v>558</v>
      </c>
      <c r="AI87" s="51">
        <v>1.0</v>
      </c>
      <c r="AJ87" s="51"/>
      <c r="AK87" s="51"/>
      <c r="AL87" s="51"/>
      <c r="AM87" s="51"/>
      <c r="AN87" s="51"/>
      <c r="AO87" s="51"/>
      <c r="AP87" s="51"/>
      <c r="AQ87" s="51"/>
      <c r="AR87" s="51"/>
      <c r="AS87" s="52">
        <v>1.0</v>
      </c>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row>
    <row r="88" ht="12.75" customHeight="1">
      <c r="A88" s="46" t="s">
        <v>116</v>
      </c>
      <c r="B88" s="68" t="str">
        <f>HYPERLINK("https://drive.google.com/open?id=1qmphNBUezbS0H2hNHbvruAFo7F0HuqEr","Hatton1998")</f>
        <v>Hatton1998</v>
      </c>
      <c r="C88" s="63" t="s">
        <v>559</v>
      </c>
      <c r="D88" s="63" t="s">
        <v>560</v>
      </c>
      <c r="E88" s="49">
        <v>1998.0</v>
      </c>
      <c r="F88" s="50"/>
      <c r="G88" s="50"/>
      <c r="H88" s="50"/>
      <c r="I88" s="50">
        <v>1.0</v>
      </c>
      <c r="J88" s="50">
        <v>1.0</v>
      </c>
      <c r="K88" s="50">
        <v>1.0</v>
      </c>
      <c r="L88" s="50"/>
      <c r="M88" s="50"/>
      <c r="N88" s="50"/>
      <c r="O88" s="50"/>
      <c r="P88" s="50"/>
      <c r="Q88" s="50"/>
      <c r="R88" s="50"/>
      <c r="S88" s="50"/>
      <c r="T88" s="50"/>
      <c r="U88" s="50"/>
      <c r="V88" s="51"/>
      <c r="W88" s="51" t="s">
        <v>561</v>
      </c>
      <c r="X88" s="51" t="s">
        <v>562</v>
      </c>
      <c r="Y88" s="51" t="s">
        <v>563</v>
      </c>
      <c r="Z88" s="51" t="s">
        <v>564</v>
      </c>
      <c r="AA88" s="50"/>
      <c r="AB88" s="50"/>
      <c r="AC88" s="50"/>
      <c r="AD88" s="50">
        <v>1.0</v>
      </c>
      <c r="AE88" s="50"/>
      <c r="AF88" s="50">
        <v>1.0</v>
      </c>
      <c r="AG88" s="50"/>
      <c r="AH88" s="51" t="s">
        <v>565</v>
      </c>
      <c r="AI88" s="51">
        <v>1.0</v>
      </c>
      <c r="AJ88" s="51"/>
      <c r="AK88" s="51"/>
      <c r="AL88" s="51"/>
      <c r="AM88" s="51"/>
      <c r="AN88" s="51"/>
      <c r="AO88" s="51"/>
      <c r="AP88" s="51">
        <v>1.0</v>
      </c>
      <c r="AQ88" s="51">
        <v>1.0</v>
      </c>
      <c r="AR88" s="51">
        <v>1.0</v>
      </c>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row>
    <row r="89" ht="12.75" customHeight="1">
      <c r="A89" s="46" t="s">
        <v>108</v>
      </c>
      <c r="B89" s="47" t="str">
        <f>HYPERLINK("https://drive.google.com/open?id=0B3oar8-GeP-INWs5WFFsU2hxLWc","Heliades2000")</f>
        <v>Heliades2000</v>
      </c>
      <c r="C89" s="48" t="s">
        <v>566</v>
      </c>
      <c r="D89" s="51" t="s">
        <v>567</v>
      </c>
      <c r="E89" s="50">
        <v>2000.0</v>
      </c>
      <c r="F89" s="60"/>
      <c r="G89" s="50"/>
      <c r="H89" s="50">
        <v>1.0</v>
      </c>
      <c r="I89" s="50"/>
      <c r="J89" s="50"/>
      <c r="K89" s="50"/>
      <c r="L89" s="50"/>
      <c r="M89" s="50"/>
      <c r="N89" s="50"/>
      <c r="O89" s="50"/>
      <c r="P89" s="50"/>
      <c r="Q89" s="50"/>
      <c r="R89" s="50"/>
      <c r="S89" s="50"/>
      <c r="T89" s="50"/>
      <c r="U89" s="50"/>
      <c r="V89" s="48"/>
      <c r="W89" s="48" t="s">
        <v>568</v>
      </c>
      <c r="X89" s="48" t="s">
        <v>92</v>
      </c>
      <c r="Y89" s="48" t="s">
        <v>569</v>
      </c>
      <c r="Z89" s="48" t="s">
        <v>570</v>
      </c>
      <c r="AA89" s="50">
        <v>1.0</v>
      </c>
      <c r="AB89" s="50"/>
      <c r="AC89" s="50"/>
      <c r="AD89" s="50">
        <v>1.0</v>
      </c>
      <c r="AE89" s="50"/>
      <c r="AF89" s="50"/>
      <c r="AG89" s="50"/>
      <c r="AH89" s="51"/>
      <c r="AI89" s="52">
        <v>1.0</v>
      </c>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2">
        <v>1.0</v>
      </c>
      <c r="BJ89" s="51"/>
      <c r="BK89" s="51"/>
      <c r="BL89" s="51"/>
      <c r="BM89" s="51"/>
      <c r="BN89" s="51"/>
      <c r="BO89" s="51"/>
      <c r="BP89" s="51"/>
      <c r="BQ89" s="51"/>
      <c r="BR89" s="51"/>
      <c r="BS89" s="51"/>
      <c r="BT89" s="51"/>
      <c r="BU89" s="51"/>
      <c r="BV89" s="51"/>
      <c r="BW89" s="52">
        <v>1.0</v>
      </c>
      <c r="BX89" s="51"/>
      <c r="BY89" s="51"/>
      <c r="BZ89" s="51"/>
    </row>
    <row r="90" ht="12.75" customHeight="1">
      <c r="A90" s="46" t="s">
        <v>116</v>
      </c>
      <c r="B90" s="68" t="str">
        <f>HYPERLINK("https://drive.google.com/open?id=1aMTy6YdJb8Z3UPHtqSOXEDqOypjGVmQQ","Hendrix2002")</f>
        <v>Hendrix2002</v>
      </c>
      <c r="C90" s="63" t="s">
        <v>571</v>
      </c>
      <c r="D90" s="63" t="s">
        <v>503</v>
      </c>
      <c r="E90" s="49">
        <v>2002.0</v>
      </c>
      <c r="F90" s="50"/>
      <c r="G90" s="50"/>
      <c r="H90" s="50"/>
      <c r="I90" s="50">
        <v>1.0</v>
      </c>
      <c r="J90" s="50"/>
      <c r="K90" s="50">
        <v>1.0</v>
      </c>
      <c r="L90" s="50"/>
      <c r="M90" s="50"/>
      <c r="N90" s="50"/>
      <c r="O90" s="50"/>
      <c r="P90" s="50"/>
      <c r="Q90" s="50"/>
      <c r="R90" s="50"/>
      <c r="S90" s="50"/>
      <c r="T90" s="50"/>
      <c r="U90" s="50"/>
      <c r="V90" s="51"/>
      <c r="W90" s="51" t="s">
        <v>239</v>
      </c>
      <c r="X90" s="51" t="s">
        <v>239</v>
      </c>
      <c r="Y90" s="51" t="s">
        <v>572</v>
      </c>
      <c r="Z90" s="51" t="s">
        <v>122</v>
      </c>
      <c r="AA90" s="50">
        <v>1.0</v>
      </c>
      <c r="AB90" s="50"/>
      <c r="AC90" s="50"/>
      <c r="AD90" s="50">
        <v>1.0</v>
      </c>
      <c r="AE90" s="50"/>
      <c r="AF90" s="50"/>
      <c r="AG90" s="50"/>
      <c r="AH90" s="51" t="s">
        <v>573</v>
      </c>
      <c r="AI90" s="52">
        <v>1.0</v>
      </c>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2">
        <v>1.0</v>
      </c>
      <c r="BK90" s="51"/>
      <c r="BL90" s="52">
        <v>1.0</v>
      </c>
      <c r="BM90" s="51"/>
      <c r="BN90" s="51"/>
      <c r="BO90" s="51"/>
      <c r="BP90" s="51"/>
      <c r="BQ90" s="51"/>
      <c r="BR90" s="51"/>
      <c r="BS90" s="51"/>
      <c r="BT90" s="51"/>
      <c r="BU90" s="51"/>
      <c r="BV90" s="51"/>
      <c r="BW90" s="52">
        <v>1.0</v>
      </c>
      <c r="BX90" s="51"/>
      <c r="BY90" s="51"/>
      <c r="BZ90" s="51"/>
    </row>
    <row r="91" ht="12.75" customHeight="1">
      <c r="A91" s="46" t="s">
        <v>88</v>
      </c>
      <c r="B91" s="47" t="str">
        <f>HYPERLINK("https://drive.google.com/open?id=0B00cIHsghs6UQ1hwWlRublR6MTg","Hofman2010")</f>
        <v>Hofman2010</v>
      </c>
      <c r="C91" s="48" t="s">
        <v>574</v>
      </c>
      <c r="D91" s="48" t="s">
        <v>575</v>
      </c>
      <c r="E91" s="49">
        <v>2010.0</v>
      </c>
      <c r="F91" s="50"/>
      <c r="G91" s="50"/>
      <c r="H91" s="50"/>
      <c r="I91" s="50"/>
      <c r="J91" s="50"/>
      <c r="K91" s="50"/>
      <c r="L91" s="50"/>
      <c r="M91" s="50"/>
      <c r="N91" s="50"/>
      <c r="O91" s="50"/>
      <c r="P91" s="50">
        <v>1.0</v>
      </c>
      <c r="Q91" s="50"/>
      <c r="R91" s="50"/>
      <c r="S91" s="50"/>
      <c r="T91" s="50"/>
      <c r="U91" s="50"/>
      <c r="V91" s="51" t="s">
        <v>576</v>
      </c>
      <c r="W91" s="51" t="s">
        <v>577</v>
      </c>
      <c r="X91" s="51" t="s">
        <v>92</v>
      </c>
      <c r="Y91" s="51" t="s">
        <v>92</v>
      </c>
      <c r="Z91" s="51" t="s">
        <v>578</v>
      </c>
      <c r="AA91" s="50">
        <v>1.0</v>
      </c>
      <c r="AB91" s="50"/>
      <c r="AC91" s="50"/>
      <c r="AD91" s="50"/>
      <c r="AE91" s="50"/>
      <c r="AF91" s="50"/>
      <c r="AG91" s="50"/>
      <c r="AH91" s="51" t="s">
        <v>579</v>
      </c>
      <c r="AI91" s="52">
        <v>1.0</v>
      </c>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2">
        <v>1.0</v>
      </c>
      <c r="BJ91" s="51"/>
      <c r="BK91" s="51"/>
      <c r="BL91" s="51"/>
      <c r="BM91" s="51"/>
      <c r="BN91" s="51"/>
      <c r="BO91" s="51"/>
      <c r="BP91" s="51"/>
      <c r="BQ91" s="51"/>
      <c r="BR91" s="51"/>
      <c r="BS91" s="51"/>
      <c r="BT91" s="51"/>
      <c r="BU91" s="51"/>
      <c r="BV91" s="51"/>
      <c r="BW91" s="51"/>
      <c r="BX91" s="51"/>
      <c r="BY91" s="52">
        <v>1.0</v>
      </c>
      <c r="BZ91" s="51"/>
    </row>
    <row r="92" ht="12.75" customHeight="1">
      <c r="A92" s="46" t="s">
        <v>124</v>
      </c>
      <c r="B92" s="56" t="str">
        <f>HYPERLINK("https://drive.google.com/open?id=0B00cIHsghs6USGI2S0FZQXluQnc","Hofman2011")</f>
        <v>Hofman2011</v>
      </c>
      <c r="C92" s="55" t="s">
        <v>580</v>
      </c>
      <c r="D92" s="55" t="s">
        <v>581</v>
      </c>
      <c r="E92" s="49">
        <v>2011.0</v>
      </c>
      <c r="F92" s="50"/>
      <c r="G92" s="50"/>
      <c r="H92" s="50"/>
      <c r="I92" s="50"/>
      <c r="J92" s="50"/>
      <c r="K92" s="50"/>
      <c r="L92" s="50"/>
      <c r="M92" s="50"/>
      <c r="N92" s="50"/>
      <c r="O92" s="50"/>
      <c r="P92" s="50">
        <v>1.0</v>
      </c>
      <c r="Q92" s="50"/>
      <c r="R92" s="50"/>
      <c r="S92" s="50"/>
      <c r="T92" s="50"/>
      <c r="U92" s="50"/>
      <c r="V92" s="48" t="s">
        <v>582</v>
      </c>
      <c r="W92" s="48" t="s">
        <v>583</v>
      </c>
      <c r="X92" s="48" t="s">
        <v>584</v>
      </c>
      <c r="Y92" s="48" t="s">
        <v>585</v>
      </c>
      <c r="Z92" s="48" t="s">
        <v>586</v>
      </c>
      <c r="AA92" s="50"/>
      <c r="AB92" s="50">
        <v>1.0</v>
      </c>
      <c r="AC92" s="50"/>
      <c r="AD92" s="50">
        <v>1.0</v>
      </c>
      <c r="AE92" s="50"/>
      <c r="AF92" s="50"/>
      <c r="AG92" s="50"/>
      <c r="AH92" s="59"/>
      <c r="AI92" s="51">
        <v>1.0</v>
      </c>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v>1.0</v>
      </c>
      <c r="BJ92" s="51"/>
      <c r="BK92" s="51"/>
      <c r="BL92" s="51"/>
      <c r="BM92" s="51"/>
      <c r="BN92" s="51"/>
      <c r="BO92" s="51"/>
      <c r="BP92" s="51"/>
      <c r="BQ92" s="51"/>
      <c r="BR92" s="51"/>
      <c r="BS92" s="51"/>
      <c r="BT92" s="51"/>
      <c r="BU92" s="51"/>
      <c r="BV92" s="51"/>
      <c r="BW92" s="51"/>
      <c r="BX92" s="51"/>
      <c r="BY92" s="51">
        <v>1.0</v>
      </c>
      <c r="BZ92" s="51"/>
    </row>
    <row r="93" ht="12.75" customHeight="1">
      <c r="A93" s="46" t="s">
        <v>124</v>
      </c>
      <c r="B93" s="54" t="str">
        <f>HYPERLINK("https://drive.google.com/open?id=0B-nn5iJ29NJaTEhsUWFZZ19QbW8","Hyysalo2013")</f>
        <v>Hyysalo2013</v>
      </c>
      <c r="C93" s="55" t="s">
        <v>587</v>
      </c>
      <c r="D93" s="55" t="s">
        <v>588</v>
      </c>
      <c r="E93" s="57">
        <v>2013.0</v>
      </c>
      <c r="F93" s="58"/>
      <c r="G93" s="50"/>
      <c r="H93" s="50"/>
      <c r="I93" s="50"/>
      <c r="J93" s="50"/>
      <c r="K93" s="50"/>
      <c r="L93" s="50"/>
      <c r="M93" s="50"/>
      <c r="N93" s="50">
        <v>1.0</v>
      </c>
      <c r="O93" s="50"/>
      <c r="P93" s="50"/>
      <c r="Q93" s="50"/>
      <c r="R93" s="50"/>
      <c r="S93" s="50"/>
      <c r="T93" s="50"/>
      <c r="U93" s="50"/>
      <c r="V93" s="48"/>
      <c r="W93" s="48" t="s">
        <v>589</v>
      </c>
      <c r="X93" s="48" t="s">
        <v>590</v>
      </c>
      <c r="Y93" s="48" t="s">
        <v>591</v>
      </c>
      <c r="Z93" s="48" t="s">
        <v>592</v>
      </c>
      <c r="AA93" s="50"/>
      <c r="AB93" s="50">
        <v>1.0</v>
      </c>
      <c r="AC93" s="50"/>
      <c r="AD93" s="50">
        <v>1.0</v>
      </c>
      <c r="AE93" s="50"/>
      <c r="AF93" s="50"/>
      <c r="AG93" s="50"/>
      <c r="AH93" s="59"/>
      <c r="AI93" s="52">
        <v>1.0</v>
      </c>
      <c r="AJ93" s="52">
        <v>1.0</v>
      </c>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row>
    <row r="94" ht="12.75" customHeight="1">
      <c r="A94" s="46" t="s">
        <v>124</v>
      </c>
      <c r="B94" s="54" t="str">
        <f>HYPERLINK("https://drive.google.com/open?id=0B-nn5iJ29NJabVVaOU4tcTJrclk","Iio1997")</f>
        <v>Iio1997</v>
      </c>
      <c r="C94" s="55" t="s">
        <v>593</v>
      </c>
      <c r="D94" s="55" t="s">
        <v>594</v>
      </c>
      <c r="E94" s="57">
        <v>1997.0</v>
      </c>
      <c r="F94" s="58"/>
      <c r="G94" s="50"/>
      <c r="H94" s="50"/>
      <c r="I94" s="50"/>
      <c r="J94" s="50"/>
      <c r="K94" s="50">
        <v>1.0</v>
      </c>
      <c r="L94" s="50"/>
      <c r="M94" s="50"/>
      <c r="N94" s="50"/>
      <c r="O94" s="50"/>
      <c r="P94" s="50"/>
      <c r="Q94" s="50"/>
      <c r="R94" s="50"/>
      <c r="S94" s="50"/>
      <c r="T94" s="50"/>
      <c r="U94" s="50"/>
      <c r="V94" s="48"/>
      <c r="W94" s="48" t="s">
        <v>595</v>
      </c>
      <c r="X94" s="48" t="s">
        <v>596</v>
      </c>
      <c r="Y94" s="48" t="s">
        <v>597</v>
      </c>
      <c r="Z94" s="48" t="s">
        <v>598</v>
      </c>
      <c r="AA94" s="50"/>
      <c r="AB94" s="50">
        <v>1.0</v>
      </c>
      <c r="AC94" s="50"/>
      <c r="AD94" s="50">
        <v>1.0</v>
      </c>
      <c r="AE94" s="50"/>
      <c r="AF94" s="50"/>
      <c r="AG94" s="50"/>
      <c r="AH94" s="59"/>
      <c r="AI94" s="51">
        <v>1.0</v>
      </c>
      <c r="AJ94" s="51"/>
      <c r="AK94" s="51"/>
      <c r="AL94" s="51"/>
      <c r="AM94" s="51"/>
      <c r="AN94" s="51"/>
      <c r="AO94" s="51"/>
      <c r="AP94" s="51"/>
      <c r="AQ94" s="51"/>
      <c r="AR94" s="51"/>
      <c r="AS94" s="51"/>
      <c r="AT94" s="51"/>
      <c r="AU94" s="51"/>
      <c r="AV94" s="51"/>
      <c r="AW94" s="51"/>
      <c r="AX94" s="51"/>
      <c r="AY94" s="51"/>
      <c r="AZ94" s="51"/>
      <c r="BA94" s="51"/>
      <c r="BB94" s="51"/>
      <c r="BC94" s="51"/>
      <c r="BD94" s="51"/>
      <c r="BE94" s="52">
        <v>1.0</v>
      </c>
      <c r="BF94" s="51"/>
      <c r="BG94" s="51"/>
      <c r="BH94" s="51"/>
      <c r="BI94" s="52">
        <v>1.0</v>
      </c>
      <c r="BJ94" s="51"/>
      <c r="BK94" s="51"/>
      <c r="BL94" s="51"/>
      <c r="BM94" s="51"/>
      <c r="BN94" s="51"/>
      <c r="BO94" s="51"/>
      <c r="BP94" s="51"/>
      <c r="BQ94" s="51"/>
      <c r="BR94" s="51"/>
      <c r="BS94" s="51"/>
      <c r="BT94" s="51"/>
      <c r="BU94" s="51"/>
      <c r="BV94" s="51"/>
      <c r="BW94" s="51">
        <v>1.0</v>
      </c>
      <c r="BX94" s="51"/>
      <c r="BY94" s="51"/>
      <c r="BZ94" s="51"/>
    </row>
    <row r="95" ht="12.75" customHeight="1">
      <c r="A95" s="46" t="s">
        <v>116</v>
      </c>
      <c r="B95" s="67" t="str">
        <f>HYPERLINK("https://drive.google.com/open?id=1wWq3iCrJ0LkhHt8fAHt4C8uN_NzLpg8V","Jeffries1981")</f>
        <v>Jeffries1981</v>
      </c>
      <c r="C95" s="63" t="s">
        <v>599</v>
      </c>
      <c r="D95" s="63" t="s">
        <v>600</v>
      </c>
      <c r="E95" s="49">
        <v>1981.0</v>
      </c>
      <c r="F95" s="50"/>
      <c r="G95" s="50"/>
      <c r="H95" s="50">
        <v>1.0</v>
      </c>
      <c r="I95" s="50">
        <v>1.0</v>
      </c>
      <c r="J95" s="50"/>
      <c r="K95" s="50"/>
      <c r="L95" s="50"/>
      <c r="M95" s="50"/>
      <c r="N95" s="50"/>
      <c r="O95" s="50"/>
      <c r="P95" s="50"/>
      <c r="Q95" s="50"/>
      <c r="R95" s="50"/>
      <c r="S95" s="50"/>
      <c r="T95" s="50"/>
      <c r="U95" s="50"/>
      <c r="V95" s="51"/>
      <c r="W95" s="51" t="s">
        <v>601</v>
      </c>
      <c r="X95" s="51" t="s">
        <v>602</v>
      </c>
      <c r="Y95" s="51" t="s">
        <v>603</v>
      </c>
      <c r="Z95" s="51" t="s">
        <v>564</v>
      </c>
      <c r="AA95" s="50">
        <v>1.0</v>
      </c>
      <c r="AB95" s="50">
        <v>1.0</v>
      </c>
      <c r="AC95" s="50"/>
      <c r="AD95" s="50">
        <v>1.0</v>
      </c>
      <c r="AE95" s="50"/>
      <c r="AF95" s="50">
        <v>1.0</v>
      </c>
      <c r="AG95" s="50"/>
      <c r="AH95" s="51" t="s">
        <v>604</v>
      </c>
      <c r="AI95" s="51">
        <v>1.0</v>
      </c>
      <c r="AJ95" s="51"/>
      <c r="AK95" s="51"/>
      <c r="AL95" s="51"/>
      <c r="AM95" s="51"/>
      <c r="AN95" s="51">
        <v>1.0</v>
      </c>
      <c r="AO95" s="51"/>
      <c r="AP95" s="51"/>
      <c r="AQ95" s="51"/>
      <c r="AR95" s="51"/>
      <c r="AS95" s="51"/>
      <c r="AT95" s="51"/>
      <c r="AU95" s="51"/>
      <c r="AV95" s="51"/>
      <c r="AW95" s="51"/>
      <c r="AX95" s="51"/>
      <c r="AY95" s="51"/>
      <c r="AZ95" s="51"/>
      <c r="BA95" s="51"/>
      <c r="BB95" s="51"/>
      <c r="BC95" s="51"/>
      <c r="BD95" s="51"/>
      <c r="BE95" s="51">
        <v>1.0</v>
      </c>
      <c r="BF95" s="51"/>
      <c r="BG95" s="51"/>
      <c r="BH95" s="51"/>
      <c r="BI95" s="51">
        <v>1.0</v>
      </c>
      <c r="BJ95" s="51"/>
      <c r="BK95" s="51"/>
      <c r="BL95" s="51"/>
      <c r="BM95" s="51"/>
      <c r="BN95" s="51"/>
      <c r="BO95" s="51"/>
      <c r="BP95" s="51"/>
      <c r="BQ95" s="51"/>
      <c r="BR95" s="51"/>
      <c r="BS95" s="51"/>
      <c r="BT95" s="51">
        <v>1.0</v>
      </c>
      <c r="BU95" s="51"/>
      <c r="BV95" s="51"/>
      <c r="BW95" s="51"/>
      <c r="BX95" s="51"/>
      <c r="BY95" s="51"/>
      <c r="BZ95" s="51"/>
    </row>
    <row r="96" ht="12.75" customHeight="1">
      <c r="A96" s="46" t="s">
        <v>116</v>
      </c>
      <c r="B96" s="68" t="str">
        <f>HYPERLINK("https://drive.google.com/open?id=17VHhhFhlgMIu7V6nuMEZfC4eMdnglotf","Jorgensen2009")</f>
        <v>Jorgensen2009</v>
      </c>
      <c r="C96" s="63" t="s">
        <v>605</v>
      </c>
      <c r="D96" s="63" t="s">
        <v>606</v>
      </c>
      <c r="E96" s="49">
        <v>2009.0</v>
      </c>
      <c r="F96" s="50"/>
      <c r="G96" s="50"/>
      <c r="H96" s="50"/>
      <c r="I96" s="50"/>
      <c r="J96" s="50"/>
      <c r="K96" s="50"/>
      <c r="L96" s="50"/>
      <c r="M96" s="50">
        <v>1.0</v>
      </c>
      <c r="N96" s="50"/>
      <c r="O96" s="50"/>
      <c r="P96" s="50"/>
      <c r="Q96" s="50"/>
      <c r="R96" s="50"/>
      <c r="S96" s="50"/>
      <c r="T96" s="50"/>
      <c r="U96" s="50"/>
      <c r="V96" s="51" t="s">
        <v>607</v>
      </c>
      <c r="W96" s="51" t="s">
        <v>608</v>
      </c>
      <c r="X96" s="51" t="s">
        <v>609</v>
      </c>
      <c r="Y96" s="51" t="s">
        <v>610</v>
      </c>
      <c r="Z96" s="51" t="s">
        <v>122</v>
      </c>
      <c r="AA96" s="50"/>
      <c r="AB96" s="50">
        <v>1.0</v>
      </c>
      <c r="AC96" s="50"/>
      <c r="AD96" s="50">
        <v>1.0</v>
      </c>
      <c r="AE96" s="50"/>
      <c r="AF96" s="50"/>
      <c r="AG96" s="50"/>
      <c r="AH96" s="51" t="s">
        <v>611</v>
      </c>
      <c r="AI96" s="51">
        <v>1.0</v>
      </c>
      <c r="AJ96" s="51"/>
      <c r="AK96" s="51"/>
      <c r="AL96" s="51"/>
      <c r="AM96" s="51"/>
      <c r="AN96" s="51"/>
      <c r="AO96" s="51"/>
      <c r="AP96" s="51"/>
      <c r="AQ96" s="51"/>
      <c r="AR96" s="51"/>
      <c r="AS96" s="51"/>
      <c r="AT96" s="51"/>
      <c r="AU96" s="51"/>
      <c r="AV96" s="51"/>
      <c r="AW96" s="51"/>
      <c r="AX96" s="51"/>
      <c r="AY96" s="51"/>
      <c r="AZ96" s="51"/>
      <c r="BA96" s="51"/>
      <c r="BB96" s="51"/>
      <c r="BC96" s="51"/>
      <c r="BD96" s="51"/>
      <c r="BE96" s="51"/>
      <c r="BF96" s="52">
        <v>1.0</v>
      </c>
      <c r="BG96" s="52">
        <v>1.0</v>
      </c>
      <c r="BH96" s="52">
        <v>1.0</v>
      </c>
      <c r="BI96" s="51"/>
      <c r="BJ96" s="51"/>
      <c r="BK96" s="51"/>
      <c r="BL96" s="51"/>
      <c r="BM96" s="51"/>
      <c r="BN96" s="51"/>
      <c r="BO96" s="51"/>
      <c r="BP96" s="51"/>
      <c r="BQ96" s="51"/>
      <c r="BR96" s="51"/>
      <c r="BS96" s="51"/>
      <c r="BT96" s="51"/>
      <c r="BU96" s="51"/>
      <c r="BV96" s="51"/>
      <c r="BW96" s="51">
        <v>1.0</v>
      </c>
      <c r="BX96" s="51"/>
      <c r="BY96" s="51"/>
      <c r="BZ96" s="51"/>
    </row>
    <row r="97" ht="12.75" customHeight="1">
      <c r="A97" s="46" t="s">
        <v>88</v>
      </c>
      <c r="B97" s="47" t="str">
        <f>HYPERLINK("https://drive.google.com/open?id=0B00cIHsghs6UTjBseVl1MVZyTGs","Kamthan2006")</f>
        <v>Kamthan2006</v>
      </c>
      <c r="C97" s="48" t="s">
        <v>612</v>
      </c>
      <c r="D97" s="48" t="s">
        <v>613</v>
      </c>
      <c r="E97" s="49">
        <v>2006.0</v>
      </c>
      <c r="F97" s="50"/>
      <c r="G97" s="50">
        <v>1.0</v>
      </c>
      <c r="H97" s="50"/>
      <c r="I97" s="50"/>
      <c r="J97" s="50"/>
      <c r="K97" s="50"/>
      <c r="L97" s="50"/>
      <c r="M97" s="50"/>
      <c r="N97" s="50"/>
      <c r="O97" s="50"/>
      <c r="P97" s="50"/>
      <c r="Q97" s="50"/>
      <c r="R97" s="50"/>
      <c r="S97" s="50"/>
      <c r="T97" s="50"/>
      <c r="U97" s="50"/>
      <c r="V97" s="51"/>
      <c r="W97" s="51" t="s">
        <v>614</v>
      </c>
      <c r="X97" s="51" t="s">
        <v>92</v>
      </c>
      <c r="Y97" s="51" t="s">
        <v>92</v>
      </c>
      <c r="Z97" s="51" t="s">
        <v>137</v>
      </c>
      <c r="AA97" s="50"/>
      <c r="AB97" s="50"/>
      <c r="AC97" s="50"/>
      <c r="AD97" s="50"/>
      <c r="AE97" s="50"/>
      <c r="AF97" s="50">
        <v>1.0</v>
      </c>
      <c r="AG97" s="50"/>
      <c r="AH97" s="51" t="s">
        <v>615</v>
      </c>
      <c r="AI97" s="52">
        <v>1.0</v>
      </c>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2">
        <v>1.0</v>
      </c>
      <c r="BK97" s="52">
        <v>1.0</v>
      </c>
      <c r="BL97" s="51"/>
      <c r="BM97" s="51"/>
      <c r="BN97" s="51"/>
      <c r="BO97" s="51"/>
      <c r="BP97" s="51"/>
      <c r="BQ97" s="51"/>
      <c r="BR97" s="51"/>
      <c r="BS97" s="51"/>
      <c r="BT97" s="51"/>
      <c r="BU97" s="51"/>
      <c r="BV97" s="51"/>
      <c r="BW97" s="51"/>
      <c r="BX97" s="51"/>
      <c r="BY97" s="51"/>
      <c r="BZ97" s="51"/>
    </row>
    <row r="98" ht="12.75" customHeight="1">
      <c r="A98" s="46" t="s">
        <v>124</v>
      </c>
      <c r="B98" s="56" t="str">
        <f>HYPERLINK("https://drive.google.com/open?id=0B-nn5iJ29NJaQ3VsQmVhSkF2QTA","Kant1984")</f>
        <v>Kant1984</v>
      </c>
      <c r="C98" s="55" t="s">
        <v>616</v>
      </c>
      <c r="D98" s="55" t="s">
        <v>617</v>
      </c>
      <c r="E98" s="57">
        <v>1984.0</v>
      </c>
      <c r="F98" s="75"/>
      <c r="G98" s="50"/>
      <c r="H98" s="50"/>
      <c r="I98" s="50">
        <v>1.0</v>
      </c>
      <c r="J98" s="50"/>
      <c r="K98" s="50"/>
      <c r="L98" s="50"/>
      <c r="M98" s="50"/>
      <c r="N98" s="50"/>
      <c r="O98" s="50"/>
      <c r="P98" s="50"/>
      <c r="Q98" s="50"/>
      <c r="R98" s="50"/>
      <c r="S98" s="50"/>
      <c r="T98" s="50"/>
      <c r="U98" s="50"/>
      <c r="V98" s="48" t="s">
        <v>618</v>
      </c>
      <c r="W98" s="48" t="s">
        <v>619</v>
      </c>
      <c r="X98" s="48"/>
      <c r="Y98" s="48"/>
      <c r="Z98" s="48" t="s">
        <v>620</v>
      </c>
      <c r="AA98" s="50">
        <v>1.0</v>
      </c>
      <c r="AB98" s="50"/>
      <c r="AC98" s="50"/>
      <c r="AD98" s="50">
        <v>1.0</v>
      </c>
      <c r="AE98" s="50"/>
      <c r="AF98" s="50"/>
      <c r="AG98" s="50"/>
      <c r="AH98" s="59"/>
      <c r="AI98" s="51">
        <v>1.0</v>
      </c>
      <c r="AJ98" s="51"/>
      <c r="AK98" s="51"/>
      <c r="AL98" s="51"/>
      <c r="AM98" s="51"/>
      <c r="AN98" s="51"/>
      <c r="AO98" s="51"/>
      <c r="AP98" s="51"/>
      <c r="AQ98" s="51"/>
      <c r="AR98" s="51"/>
      <c r="AS98" s="51"/>
      <c r="AT98" s="51"/>
      <c r="AU98" s="51"/>
      <c r="AV98" s="51"/>
      <c r="AW98" s="51"/>
      <c r="AX98" s="51"/>
      <c r="AY98" s="51"/>
      <c r="AZ98" s="51"/>
      <c r="BA98" s="51"/>
      <c r="BB98" s="51"/>
      <c r="BC98" s="51"/>
      <c r="BD98" s="51"/>
      <c r="BE98" s="51">
        <v>1.0</v>
      </c>
      <c r="BF98" s="51"/>
      <c r="BG98" s="51"/>
      <c r="BH98" s="51"/>
      <c r="BI98" s="51"/>
      <c r="BJ98" s="51"/>
      <c r="BK98" s="51"/>
      <c r="BL98" s="51"/>
      <c r="BM98" s="51"/>
      <c r="BN98" s="51"/>
      <c r="BO98" s="51"/>
      <c r="BP98" s="51"/>
      <c r="BQ98" s="51"/>
      <c r="BR98" s="51"/>
      <c r="BS98" s="51"/>
      <c r="BT98" s="51"/>
      <c r="BU98" s="51"/>
      <c r="BV98" s="51"/>
      <c r="BW98" s="51"/>
      <c r="BX98" s="51"/>
      <c r="BY98" s="51"/>
      <c r="BZ98" s="51"/>
    </row>
    <row r="99" ht="12.75" customHeight="1">
      <c r="A99" s="46" t="s">
        <v>116</v>
      </c>
      <c r="B99" s="67" t="str">
        <f>HYPERLINK("https://drive.google.com/open?id=1Rzj_aX-HHsg2AmZpG7UVrlHHedFLDjXN","Khatri2006")</f>
        <v>Khatri2006</v>
      </c>
      <c r="C99" s="63" t="s">
        <v>621</v>
      </c>
      <c r="D99" s="63" t="s">
        <v>622</v>
      </c>
      <c r="E99" s="49">
        <v>2006.0</v>
      </c>
      <c r="F99" s="50"/>
      <c r="G99" s="50">
        <v>1.0</v>
      </c>
      <c r="H99" s="50"/>
      <c r="I99" s="50"/>
      <c r="J99" s="50"/>
      <c r="K99" s="50"/>
      <c r="L99" s="50"/>
      <c r="M99" s="50"/>
      <c r="N99" s="50"/>
      <c r="O99" s="50"/>
      <c r="P99" s="50"/>
      <c r="Q99" s="50"/>
      <c r="R99" s="50"/>
      <c r="S99" s="50"/>
      <c r="T99" s="50"/>
      <c r="U99" s="50"/>
      <c r="V99" s="51" t="s">
        <v>623</v>
      </c>
      <c r="W99" s="51" t="s">
        <v>624</v>
      </c>
      <c r="X99" s="51" t="s">
        <v>625</v>
      </c>
      <c r="Y99" s="51" t="s">
        <v>626</v>
      </c>
      <c r="Z99" s="51" t="s">
        <v>122</v>
      </c>
      <c r="AA99" s="50">
        <v>1.0</v>
      </c>
      <c r="AB99" s="50"/>
      <c r="AC99" s="50"/>
      <c r="AD99" s="50">
        <v>1.0</v>
      </c>
      <c r="AE99" s="50"/>
      <c r="AF99" s="50"/>
      <c r="AG99" s="50"/>
      <c r="AH99" s="51" t="s">
        <v>627</v>
      </c>
      <c r="AI99" s="51">
        <v>1.0</v>
      </c>
      <c r="AJ99" s="51"/>
      <c r="AK99" s="51"/>
      <c r="AL99" s="51"/>
      <c r="AM99" s="51"/>
      <c r="AN99" s="51"/>
      <c r="AO99" s="51"/>
      <c r="AP99" s="51"/>
      <c r="AQ99" s="51"/>
      <c r="AR99" s="51"/>
      <c r="AS99" s="51"/>
      <c r="AT99" s="51"/>
      <c r="AU99" s="51"/>
      <c r="AV99" s="51"/>
      <c r="AW99" s="51"/>
      <c r="AX99" s="51"/>
      <c r="AY99" s="51"/>
      <c r="AZ99" s="51"/>
      <c r="BA99" s="51"/>
      <c r="BB99" s="51"/>
      <c r="BC99" s="51"/>
      <c r="BD99" s="51"/>
      <c r="BE99" s="51">
        <v>1.0</v>
      </c>
      <c r="BF99" s="51"/>
      <c r="BG99" s="51"/>
      <c r="BH99" s="51"/>
      <c r="BI99" s="51">
        <v>1.0</v>
      </c>
      <c r="BJ99" s="51"/>
      <c r="BK99" s="51"/>
      <c r="BL99" s="51"/>
      <c r="BM99" s="51"/>
      <c r="BN99" s="51"/>
      <c r="BO99" s="51"/>
      <c r="BP99" s="51"/>
      <c r="BQ99" s="51"/>
      <c r="BR99" s="51"/>
      <c r="BS99" s="51"/>
      <c r="BT99" s="51"/>
      <c r="BU99" s="51"/>
      <c r="BV99" s="51"/>
      <c r="BW99" s="51">
        <v>1.0</v>
      </c>
      <c r="BX99" s="51"/>
      <c r="BY99" s="51">
        <v>1.0</v>
      </c>
      <c r="BZ99" s="51"/>
    </row>
    <row r="100" ht="12.75" customHeight="1">
      <c r="A100" s="46" t="s">
        <v>116</v>
      </c>
      <c r="B100" s="56" t="str">
        <f>HYPERLINK("https://drive.google.com/open?id=0B1GMAYMj9v6rRTlRblZFRjA1SGs","Kirs2001")</f>
        <v>Kirs2001</v>
      </c>
      <c r="C100" s="55" t="s">
        <v>628</v>
      </c>
      <c r="D100" s="48" t="s">
        <v>629</v>
      </c>
      <c r="E100" s="49">
        <v>2001.0</v>
      </c>
      <c r="F100" s="50"/>
      <c r="G100" s="50"/>
      <c r="H100" s="50">
        <v>1.0</v>
      </c>
      <c r="I100" s="50"/>
      <c r="J100" s="50"/>
      <c r="K100" s="50"/>
      <c r="L100" s="50"/>
      <c r="M100" s="50"/>
      <c r="N100" s="50"/>
      <c r="O100" s="50"/>
      <c r="P100" s="50"/>
      <c r="Q100" s="50"/>
      <c r="R100" s="50"/>
      <c r="S100" s="50"/>
      <c r="T100" s="50"/>
      <c r="U100" s="50"/>
      <c r="V100" s="51"/>
      <c r="W100" s="51" t="s">
        <v>70</v>
      </c>
      <c r="X100" s="51"/>
      <c r="Y100" s="51"/>
      <c r="Z100" s="51" t="s">
        <v>630</v>
      </c>
      <c r="AA100" s="50"/>
      <c r="AB100" s="50">
        <v>1.0</v>
      </c>
      <c r="AC100" s="50"/>
      <c r="AD100" s="50"/>
      <c r="AE100" s="50"/>
      <c r="AF100" s="50">
        <v>1.0</v>
      </c>
      <c r="AG100" s="50"/>
      <c r="AH100" s="51" t="s">
        <v>631</v>
      </c>
      <c r="AI100" s="51">
        <v>1.0</v>
      </c>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v>1.0</v>
      </c>
      <c r="BI100" s="51"/>
      <c r="BJ100" s="51"/>
      <c r="BK100" s="51"/>
      <c r="BL100" s="51"/>
      <c r="BM100" s="51"/>
      <c r="BN100" s="51"/>
      <c r="BO100" s="51"/>
      <c r="BP100" s="51"/>
      <c r="BQ100" s="51"/>
      <c r="BR100" s="51"/>
      <c r="BS100" s="51"/>
      <c r="BT100" s="51"/>
      <c r="BU100" s="51"/>
      <c r="BV100" s="51"/>
      <c r="BW100" s="51"/>
      <c r="BX100" s="51"/>
      <c r="BY100" s="51"/>
      <c r="BZ100" s="51"/>
    </row>
    <row r="101" ht="12.75" customHeight="1">
      <c r="A101" s="46" t="s">
        <v>88</v>
      </c>
      <c r="B101" s="53" t="str">
        <f t="shared" ref="B101:B102" si="3">HYPERLINK("https://drive.google.com/open?id=0B00cIHsghs6UT1VJTWwwSTZlcjQ","Kjærgaard2007")</f>
        <v>Kjærgaard2007</v>
      </c>
      <c r="C101" s="48" t="s">
        <v>632</v>
      </c>
      <c r="D101" s="48" t="s">
        <v>633</v>
      </c>
      <c r="E101" s="49">
        <v>2007.0</v>
      </c>
      <c r="F101" s="50"/>
      <c r="G101" s="50"/>
      <c r="H101" s="50"/>
      <c r="I101" s="50"/>
      <c r="J101" s="50"/>
      <c r="K101" s="50"/>
      <c r="L101" s="50"/>
      <c r="M101" s="50">
        <v>1.0</v>
      </c>
      <c r="N101" s="50"/>
      <c r="O101" s="50"/>
      <c r="P101" s="50"/>
      <c r="Q101" s="50"/>
      <c r="R101" s="50"/>
      <c r="S101" s="50"/>
      <c r="T101" s="50"/>
      <c r="U101" s="50"/>
      <c r="V101" s="51"/>
      <c r="W101" s="51" t="s">
        <v>634</v>
      </c>
      <c r="X101" s="51" t="s">
        <v>92</v>
      </c>
      <c r="Y101" s="51" t="s">
        <v>92</v>
      </c>
      <c r="Z101" s="51" t="s">
        <v>635</v>
      </c>
      <c r="AA101" s="50"/>
      <c r="AB101" s="50">
        <v>1.0</v>
      </c>
      <c r="AC101" s="50"/>
      <c r="AD101" s="50">
        <v>1.0</v>
      </c>
      <c r="AE101" s="50"/>
      <c r="AF101" s="50"/>
      <c r="AG101" s="50"/>
      <c r="AH101" s="51" t="s">
        <v>636</v>
      </c>
      <c r="AI101" s="51">
        <v>1.0</v>
      </c>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v>1.0</v>
      </c>
      <c r="BJ101" s="51"/>
      <c r="BK101" s="51"/>
      <c r="BL101" s="51"/>
      <c r="BM101" s="51"/>
      <c r="BN101" s="51"/>
      <c r="BO101" s="51"/>
      <c r="BP101" s="51"/>
      <c r="BQ101" s="51"/>
      <c r="BR101" s="51"/>
      <c r="BS101" s="51"/>
      <c r="BT101" s="51"/>
      <c r="BU101" s="51"/>
      <c r="BV101" s="51"/>
      <c r="BW101" s="51"/>
      <c r="BX101" s="51"/>
      <c r="BY101" s="51"/>
      <c r="BZ101" s="51"/>
    </row>
    <row r="102" ht="12.75" customHeight="1">
      <c r="A102" s="46" t="s">
        <v>108</v>
      </c>
      <c r="B102" s="53" t="str">
        <f t="shared" si="3"/>
        <v>Kjærgaard2007</v>
      </c>
      <c r="C102" s="48" t="s">
        <v>632</v>
      </c>
      <c r="D102" s="48" t="s">
        <v>633</v>
      </c>
      <c r="E102" s="49">
        <v>2007.0</v>
      </c>
      <c r="F102" s="76"/>
      <c r="G102" s="50"/>
      <c r="H102" s="50"/>
      <c r="I102" s="50"/>
      <c r="J102" s="50"/>
      <c r="K102" s="50"/>
      <c r="L102" s="50"/>
      <c r="M102" s="50">
        <v>1.0</v>
      </c>
      <c r="N102" s="50"/>
      <c r="O102" s="50"/>
      <c r="P102" s="50"/>
      <c r="Q102" s="50"/>
      <c r="R102" s="50"/>
      <c r="S102" s="50"/>
      <c r="T102" s="50"/>
      <c r="U102" s="50"/>
      <c r="V102" s="48"/>
      <c r="W102" s="48" t="s">
        <v>637</v>
      </c>
      <c r="X102" s="77" t="s">
        <v>92</v>
      </c>
      <c r="Y102" s="48" t="s">
        <v>638</v>
      </c>
      <c r="Z102" s="48" t="s">
        <v>639</v>
      </c>
      <c r="AA102" s="50"/>
      <c r="AB102" s="50">
        <v>1.0</v>
      </c>
      <c r="AC102" s="50"/>
      <c r="AD102" s="50">
        <v>1.0</v>
      </c>
      <c r="AE102" s="50"/>
      <c r="AF102" s="50"/>
      <c r="AG102" s="50"/>
      <c r="AH102" s="51" t="s">
        <v>640</v>
      </c>
      <c r="AI102" s="52">
        <v>1.0</v>
      </c>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2">
        <v>1.0</v>
      </c>
      <c r="BJ102" s="51"/>
      <c r="BK102" s="51"/>
      <c r="BL102" s="51"/>
      <c r="BM102" s="51"/>
      <c r="BN102" s="51"/>
      <c r="BO102" s="51"/>
      <c r="BP102" s="51"/>
      <c r="BQ102" s="51"/>
      <c r="BR102" s="51"/>
      <c r="BS102" s="51"/>
      <c r="BT102" s="51"/>
      <c r="BU102" s="51"/>
      <c r="BV102" s="51"/>
      <c r="BW102" s="51"/>
      <c r="BX102" s="51"/>
      <c r="BY102" s="51"/>
      <c r="BZ102" s="51"/>
    </row>
    <row r="103" ht="12.75" customHeight="1">
      <c r="A103" s="46" t="s">
        <v>124</v>
      </c>
      <c r="B103" s="68" t="str">
        <f>HYPERLINK("https://drive.google.com/open?id=1zrvNwRqw6fRON6DnkgXZnIbZ2STsq37x","Klemola2000")</f>
        <v>Klemola2000</v>
      </c>
      <c r="C103" s="48" t="s">
        <v>641</v>
      </c>
      <c r="D103" s="48" t="s">
        <v>642</v>
      </c>
      <c r="E103" s="49">
        <v>2000.0</v>
      </c>
      <c r="F103" s="50"/>
      <c r="G103" s="50"/>
      <c r="H103" s="50">
        <v>1.0</v>
      </c>
      <c r="I103" s="50"/>
      <c r="J103" s="50"/>
      <c r="K103" s="50"/>
      <c r="L103" s="50"/>
      <c r="M103" s="50"/>
      <c r="N103" s="50"/>
      <c r="O103" s="50"/>
      <c r="P103" s="50">
        <v>1.0</v>
      </c>
      <c r="Q103" s="50"/>
      <c r="R103" s="50"/>
      <c r="S103" s="50"/>
      <c r="T103" s="50"/>
      <c r="U103" s="50"/>
      <c r="V103" s="48"/>
      <c r="W103" s="48" t="s">
        <v>643</v>
      </c>
      <c r="X103" s="48" t="s">
        <v>644</v>
      </c>
      <c r="Y103" s="48" t="s">
        <v>645</v>
      </c>
      <c r="Z103" s="48" t="s">
        <v>646</v>
      </c>
      <c r="AA103" s="50"/>
      <c r="AB103" s="50"/>
      <c r="AC103" s="50"/>
      <c r="AD103" s="50"/>
      <c r="AE103" s="50"/>
      <c r="AF103" s="50">
        <v>1.0</v>
      </c>
      <c r="AG103" s="50"/>
      <c r="AH103" s="59"/>
      <c r="AI103" s="51">
        <v>1.0</v>
      </c>
      <c r="AJ103" s="51"/>
      <c r="AK103" s="51"/>
      <c r="AL103" s="51"/>
      <c r="AM103" s="51"/>
      <c r="AN103" s="51"/>
      <c r="AO103" s="51"/>
      <c r="AP103" s="51">
        <v>1.0</v>
      </c>
      <c r="AQ103" s="51">
        <v>1.0</v>
      </c>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row>
    <row r="104" ht="12.75" customHeight="1">
      <c r="A104" s="46" t="s">
        <v>88</v>
      </c>
      <c r="B104" s="53" t="str">
        <f>HYPERLINK("https://drive.google.com/open?id=0B00cIHsghs6UOWE2cmpsUzhVc2c","Klemola2002")</f>
        <v>Klemola2002</v>
      </c>
      <c r="C104" s="48" t="s">
        <v>647</v>
      </c>
      <c r="D104" s="48" t="s">
        <v>648</v>
      </c>
      <c r="E104" s="49">
        <v>2002.0</v>
      </c>
      <c r="F104" s="50"/>
      <c r="G104" s="50">
        <v>1.0</v>
      </c>
      <c r="H104" s="50">
        <v>1.0</v>
      </c>
      <c r="I104" s="50">
        <v>1.0</v>
      </c>
      <c r="J104" s="50">
        <v>1.0</v>
      </c>
      <c r="K104" s="50">
        <v>1.0</v>
      </c>
      <c r="L104" s="50"/>
      <c r="M104" s="50"/>
      <c r="N104" s="50"/>
      <c r="O104" s="50"/>
      <c r="P104" s="50"/>
      <c r="Q104" s="50"/>
      <c r="R104" s="50"/>
      <c r="S104" s="50"/>
      <c r="T104" s="50"/>
      <c r="U104" s="50"/>
      <c r="V104" s="51" t="s">
        <v>649</v>
      </c>
      <c r="W104" s="51" t="s">
        <v>650</v>
      </c>
      <c r="X104" s="51" t="s">
        <v>651</v>
      </c>
      <c r="Y104" s="51" t="s">
        <v>92</v>
      </c>
      <c r="Z104" s="51" t="s">
        <v>137</v>
      </c>
      <c r="AA104" s="50"/>
      <c r="AB104" s="50"/>
      <c r="AC104" s="50"/>
      <c r="AD104" s="50"/>
      <c r="AE104" s="50"/>
      <c r="AF104" s="50">
        <v>1.0</v>
      </c>
      <c r="AG104" s="50"/>
      <c r="AH104" s="51" t="s">
        <v>652</v>
      </c>
      <c r="AI104" s="51">
        <v>1.0</v>
      </c>
      <c r="AJ104" s="51"/>
      <c r="AK104" s="51"/>
      <c r="AL104" s="51"/>
      <c r="AM104" s="51"/>
      <c r="AN104" s="51"/>
      <c r="AO104" s="51"/>
      <c r="AP104" s="51">
        <v>1.0</v>
      </c>
      <c r="AQ104" s="51">
        <v>1.0</v>
      </c>
      <c r="AR104" s="51"/>
      <c r="AS104" s="51"/>
      <c r="AT104" s="51"/>
      <c r="AU104" s="51"/>
      <c r="AV104" s="51"/>
      <c r="AW104" s="51"/>
      <c r="AX104" s="51"/>
      <c r="AY104" s="51"/>
      <c r="AZ104" s="51"/>
      <c r="BA104" s="51"/>
      <c r="BB104" s="51"/>
      <c r="BC104" s="51"/>
      <c r="BD104" s="51"/>
      <c r="BE104" s="51"/>
      <c r="BF104" s="51"/>
      <c r="BG104" s="51"/>
      <c r="BH104" s="51"/>
      <c r="BI104" s="51">
        <v>1.0</v>
      </c>
      <c r="BJ104" s="51"/>
      <c r="BK104" s="51"/>
      <c r="BL104" s="51"/>
      <c r="BM104" s="51"/>
      <c r="BN104" s="51"/>
      <c r="BO104" s="51"/>
      <c r="BP104" s="51"/>
      <c r="BQ104" s="51"/>
      <c r="BR104" s="51"/>
      <c r="BS104" s="51"/>
      <c r="BT104" s="51"/>
      <c r="BU104" s="51"/>
      <c r="BV104" s="51"/>
      <c r="BW104" s="51"/>
      <c r="BX104" s="51"/>
      <c r="BY104" s="51"/>
      <c r="BZ104" s="51"/>
    </row>
    <row r="105" ht="12.75" customHeight="1">
      <c r="A105" s="46" t="s">
        <v>124</v>
      </c>
      <c r="B105" s="68" t="str">
        <f>HYPERLINK("https://drive.google.com/open?id=1-T2dKg65bEJaJ51wdz_JGyzrWPUEXwom","Koenemann1991")</f>
        <v>Koenemann1991</v>
      </c>
      <c r="C105" s="48" t="s">
        <v>653</v>
      </c>
      <c r="D105" s="48" t="s">
        <v>654</v>
      </c>
      <c r="E105" s="49">
        <v>1991.0</v>
      </c>
      <c r="F105" s="50"/>
      <c r="G105" s="50"/>
      <c r="H105" s="50"/>
      <c r="I105" s="50">
        <v>1.0</v>
      </c>
      <c r="J105" s="50"/>
      <c r="K105" s="50">
        <v>1.0</v>
      </c>
      <c r="L105" s="50"/>
      <c r="M105" s="50"/>
      <c r="N105" s="50"/>
      <c r="O105" s="50"/>
      <c r="P105" s="50"/>
      <c r="Q105" s="50"/>
      <c r="R105" s="50"/>
      <c r="S105" s="50"/>
      <c r="T105" s="50"/>
      <c r="U105" s="50"/>
      <c r="V105" s="48"/>
      <c r="W105" s="48" t="s">
        <v>239</v>
      </c>
      <c r="X105" s="48" t="s">
        <v>655</v>
      </c>
      <c r="Y105" s="48" t="s">
        <v>656</v>
      </c>
      <c r="Z105" s="48" t="s">
        <v>657</v>
      </c>
      <c r="AA105" s="50"/>
      <c r="AB105" s="50"/>
      <c r="AC105" s="50"/>
      <c r="AD105" s="50">
        <v>1.0</v>
      </c>
      <c r="AE105" s="50"/>
      <c r="AF105" s="50"/>
      <c r="AG105" s="50"/>
      <c r="AH105" s="59"/>
      <c r="AI105" s="51">
        <v>1.0</v>
      </c>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2">
        <v>1.0</v>
      </c>
      <c r="BF105" s="51"/>
      <c r="BG105" s="51"/>
      <c r="BH105" s="51"/>
      <c r="BI105" s="52">
        <v>1.0</v>
      </c>
      <c r="BJ105" s="51"/>
      <c r="BK105" s="51"/>
      <c r="BL105" s="51"/>
      <c r="BM105" s="51"/>
      <c r="BN105" s="51"/>
      <c r="BO105" s="51"/>
      <c r="BP105" s="51"/>
      <c r="BQ105" s="51"/>
      <c r="BR105" s="51"/>
      <c r="BS105" s="51"/>
      <c r="BT105" s="51"/>
      <c r="BU105" s="51"/>
      <c r="BV105" s="51"/>
      <c r="BW105" s="51">
        <v>1.0</v>
      </c>
      <c r="BX105" s="51"/>
      <c r="BY105" s="51"/>
      <c r="BZ105" s="51"/>
    </row>
    <row r="106" ht="12.75" customHeight="1">
      <c r="A106" s="46" t="s">
        <v>108</v>
      </c>
      <c r="B106" s="56" t="str">
        <f>HYPERLINK("https://boris.unibe.ch/39356/1/KrancherDibbernICIS2012.pdf","Krancher2012")</f>
        <v>Krancher2012</v>
      </c>
      <c r="C106" s="55" t="s">
        <v>658</v>
      </c>
      <c r="D106" s="55" t="s">
        <v>296</v>
      </c>
      <c r="E106" s="49">
        <v>2012.0</v>
      </c>
      <c r="F106" s="50"/>
      <c r="G106" s="50"/>
      <c r="H106" s="50"/>
      <c r="I106" s="50"/>
      <c r="J106" s="50"/>
      <c r="K106" s="50">
        <v>1.0</v>
      </c>
      <c r="L106" s="50"/>
      <c r="M106" s="50"/>
      <c r="N106" s="50"/>
      <c r="O106" s="50"/>
      <c r="P106" s="50"/>
      <c r="Q106" s="50"/>
      <c r="R106" s="50"/>
      <c r="S106" s="50"/>
      <c r="T106" s="50"/>
      <c r="U106" s="50"/>
      <c r="V106" s="48" t="s">
        <v>353</v>
      </c>
      <c r="W106" s="74" t="s">
        <v>9</v>
      </c>
      <c r="X106" s="48" t="s">
        <v>221</v>
      </c>
      <c r="Y106" s="48" t="s">
        <v>659</v>
      </c>
      <c r="Z106" s="48" t="s">
        <v>542</v>
      </c>
      <c r="AA106" s="50"/>
      <c r="AB106" s="50">
        <v>1.0</v>
      </c>
      <c r="AC106" s="50"/>
      <c r="AD106" s="50">
        <v>1.0</v>
      </c>
      <c r="AE106" s="50"/>
      <c r="AF106" s="50"/>
      <c r="AG106" s="50"/>
      <c r="AH106" s="51"/>
      <c r="AI106" s="51">
        <v>1.0</v>
      </c>
      <c r="AJ106" s="51"/>
      <c r="AK106" s="51"/>
      <c r="AL106" s="51"/>
      <c r="AM106" s="51"/>
      <c r="AN106" s="51"/>
      <c r="AO106" s="51"/>
      <c r="AP106" s="51"/>
      <c r="AQ106" s="51"/>
      <c r="AR106" s="51">
        <v>1.0</v>
      </c>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row>
    <row r="107" ht="12.75" customHeight="1">
      <c r="A107" s="46" t="s">
        <v>124</v>
      </c>
      <c r="B107" s="56" t="str">
        <f>HYPERLINK("https://drive.google.com/open?id=0B-nn5iJ29NJaQlI1Y2dKTTNOMUE","Krancher2012a")</f>
        <v>Krancher2012a</v>
      </c>
      <c r="C107" s="55" t="s">
        <v>660</v>
      </c>
      <c r="D107" s="55" t="s">
        <v>661</v>
      </c>
      <c r="E107" s="57">
        <v>2012.0</v>
      </c>
      <c r="F107" s="58"/>
      <c r="G107" s="50"/>
      <c r="H107" s="50"/>
      <c r="I107" s="50"/>
      <c r="J107" s="50"/>
      <c r="K107" s="50">
        <v>1.0</v>
      </c>
      <c r="L107" s="50"/>
      <c r="M107" s="50">
        <v>1.0</v>
      </c>
      <c r="N107" s="50"/>
      <c r="O107" s="50"/>
      <c r="P107" s="50"/>
      <c r="Q107" s="50"/>
      <c r="R107" s="50"/>
      <c r="S107" s="50"/>
      <c r="T107" s="50"/>
      <c r="U107" s="50"/>
      <c r="V107" s="48" t="s">
        <v>353</v>
      </c>
      <c r="W107" s="48" t="s">
        <v>662</v>
      </c>
      <c r="X107" s="48"/>
      <c r="Y107" s="48"/>
      <c r="Z107" s="48" t="s">
        <v>663</v>
      </c>
      <c r="AA107" s="50"/>
      <c r="AB107" s="50"/>
      <c r="AC107" s="50"/>
      <c r="AD107" s="50"/>
      <c r="AE107" s="50"/>
      <c r="AF107" s="50">
        <v>1.0</v>
      </c>
      <c r="AG107" s="50">
        <v>1.0</v>
      </c>
      <c r="AH107" s="59"/>
      <c r="AI107" s="51">
        <v>1.0</v>
      </c>
      <c r="AJ107" s="51"/>
      <c r="AK107" s="51"/>
      <c r="AL107" s="51"/>
      <c r="AM107" s="51"/>
      <c r="AN107" s="51"/>
      <c r="AO107" s="51"/>
      <c r="AP107" s="51"/>
      <c r="AQ107" s="51"/>
      <c r="AR107" s="51">
        <v>1.0</v>
      </c>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row>
    <row r="108" ht="12.75" customHeight="1">
      <c r="A108" s="46" t="s">
        <v>124</v>
      </c>
      <c r="B108" s="68" t="str">
        <f>HYPERLINK("https://drive.google.com/open?id=1lMA-zjB4F9V0kvpzCnlFOUv4KwTzGjHJ","Krovi1998")</f>
        <v>Krovi1998</v>
      </c>
      <c r="C108" s="48" t="s">
        <v>664</v>
      </c>
      <c r="D108" s="48" t="s">
        <v>211</v>
      </c>
      <c r="E108" s="49">
        <v>1998.0</v>
      </c>
      <c r="F108" s="50"/>
      <c r="G108" s="50">
        <v>1.0</v>
      </c>
      <c r="H108" s="50">
        <v>1.0</v>
      </c>
      <c r="I108" s="50"/>
      <c r="J108" s="50"/>
      <c r="K108" s="50"/>
      <c r="L108" s="50"/>
      <c r="M108" s="50"/>
      <c r="N108" s="50"/>
      <c r="O108" s="50"/>
      <c r="P108" s="50"/>
      <c r="Q108" s="50">
        <v>1.0</v>
      </c>
      <c r="R108" s="50"/>
      <c r="S108" s="50"/>
      <c r="T108" s="50"/>
      <c r="U108" s="50"/>
      <c r="V108" s="48"/>
      <c r="W108" s="69" t="s">
        <v>665</v>
      </c>
      <c r="X108" s="48" t="s">
        <v>666</v>
      </c>
      <c r="Y108" s="48"/>
      <c r="Z108" s="48" t="s">
        <v>667</v>
      </c>
      <c r="AA108" s="50">
        <v>1.0</v>
      </c>
      <c r="AB108" s="50"/>
      <c r="AC108" s="50"/>
      <c r="AD108" s="50">
        <v>1.0</v>
      </c>
      <c r="AE108" s="50"/>
      <c r="AF108" s="50"/>
      <c r="AG108" s="50"/>
      <c r="AH108" s="59"/>
      <c r="AI108" s="52">
        <v>1.0</v>
      </c>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2">
        <v>1.0</v>
      </c>
      <c r="BJ108" s="51"/>
      <c r="BK108" s="52">
        <v>1.0</v>
      </c>
      <c r="BL108" s="51"/>
      <c r="BM108" s="51"/>
      <c r="BN108" s="51"/>
      <c r="BO108" s="51"/>
      <c r="BP108" s="51"/>
      <c r="BQ108" s="51"/>
      <c r="BR108" s="51"/>
      <c r="BS108" s="51"/>
      <c r="BT108" s="51"/>
      <c r="BU108" s="51"/>
      <c r="BV108" s="51"/>
      <c r="BW108" s="51">
        <v>1.0</v>
      </c>
      <c r="BX108" s="51"/>
      <c r="BY108" s="51"/>
      <c r="BZ108" s="51"/>
    </row>
    <row r="109" ht="12.75" customHeight="1">
      <c r="A109" s="46" t="s">
        <v>124</v>
      </c>
      <c r="B109" s="56" t="str">
        <f>HYPERLINK("https://drive.google.com/open?id=0B-nn5iJ29NJaejlIeGFIMG9VSXc","Kudo2003")</f>
        <v>Kudo2003</v>
      </c>
      <c r="C109" s="55" t="s">
        <v>668</v>
      </c>
      <c r="D109" s="55" t="s">
        <v>669</v>
      </c>
      <c r="E109" s="57">
        <v>2003.0</v>
      </c>
      <c r="F109" s="58"/>
      <c r="G109" s="50"/>
      <c r="H109" s="50"/>
      <c r="I109" s="50"/>
      <c r="J109" s="50"/>
      <c r="K109" s="50"/>
      <c r="L109" s="50"/>
      <c r="M109" s="50"/>
      <c r="N109" s="50">
        <v>1.0</v>
      </c>
      <c r="O109" s="50"/>
      <c r="P109" s="50"/>
      <c r="Q109" s="50"/>
      <c r="R109" s="50"/>
      <c r="S109" s="50"/>
      <c r="T109" s="50"/>
      <c r="U109" s="50"/>
      <c r="V109" s="48"/>
      <c r="W109" s="48" t="s">
        <v>670</v>
      </c>
      <c r="X109" s="48" t="s">
        <v>671</v>
      </c>
      <c r="Y109" s="48" t="s">
        <v>672</v>
      </c>
      <c r="Z109" s="48" t="s">
        <v>673</v>
      </c>
      <c r="AA109" s="50"/>
      <c r="AB109" s="50">
        <v>1.0</v>
      </c>
      <c r="AC109" s="50"/>
      <c r="AD109" s="50">
        <v>1.0</v>
      </c>
      <c r="AE109" s="50"/>
      <c r="AF109" s="50"/>
      <c r="AG109" s="50"/>
      <c r="AH109" s="59"/>
      <c r="AI109" s="51">
        <v>1.0</v>
      </c>
      <c r="AJ109" s="51"/>
      <c r="AK109" s="51"/>
      <c r="AL109" s="51"/>
      <c r="AM109" s="51"/>
      <c r="AN109" s="51"/>
      <c r="AO109" s="51"/>
      <c r="AP109" s="51"/>
      <c r="AQ109" s="51"/>
      <c r="AR109" s="51">
        <v>1.0</v>
      </c>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v>1.0</v>
      </c>
      <c r="BX109" s="51"/>
      <c r="BY109" s="51"/>
      <c r="BZ109" s="51"/>
    </row>
    <row r="110" ht="12.75" customHeight="1">
      <c r="A110" s="46" t="s">
        <v>116</v>
      </c>
      <c r="B110" s="54" t="str">
        <f>HYPERLINK("https://drive.google.com/open?id=0B1GMAYMj9v6rbm95cHhBZ1lCTk0","Leite2015")</f>
        <v>Leite2015</v>
      </c>
      <c r="C110" s="55" t="s">
        <v>674</v>
      </c>
      <c r="D110" s="55" t="s">
        <v>675</v>
      </c>
      <c r="E110" s="49">
        <v>2015.0</v>
      </c>
      <c r="F110" s="50"/>
      <c r="G110" s="50"/>
      <c r="H110" s="50"/>
      <c r="I110" s="50">
        <v>1.0</v>
      </c>
      <c r="J110" s="50"/>
      <c r="K110" s="50">
        <v>1.0</v>
      </c>
      <c r="L110" s="50">
        <v>1.0</v>
      </c>
      <c r="M110" s="50"/>
      <c r="N110" s="50">
        <v>1.0</v>
      </c>
      <c r="O110" s="50"/>
      <c r="P110" s="50"/>
      <c r="Q110" s="50"/>
      <c r="R110" s="50"/>
      <c r="S110" s="50"/>
      <c r="T110" s="50"/>
      <c r="U110" s="50"/>
      <c r="V110" s="51"/>
      <c r="W110" s="51" t="s">
        <v>676</v>
      </c>
      <c r="X110" s="51" t="s">
        <v>677</v>
      </c>
      <c r="Y110" s="51" t="s">
        <v>678</v>
      </c>
      <c r="Z110" s="51" t="s">
        <v>679</v>
      </c>
      <c r="AA110" s="50"/>
      <c r="AB110" s="50">
        <v>1.0</v>
      </c>
      <c r="AC110" s="50"/>
      <c r="AD110" s="50">
        <v>1.0</v>
      </c>
      <c r="AE110" s="50"/>
      <c r="AF110" s="50"/>
      <c r="AG110" s="50"/>
      <c r="AH110" s="51" t="s">
        <v>680</v>
      </c>
      <c r="AI110" s="51">
        <v>1.0</v>
      </c>
      <c r="AJ110" s="52">
        <v>1.0</v>
      </c>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v>1.0</v>
      </c>
      <c r="BZ110" s="51"/>
    </row>
    <row r="111" ht="12.75" customHeight="1">
      <c r="A111" s="46" t="s">
        <v>88</v>
      </c>
      <c r="B111" s="53" t="str">
        <f>HYPERLINK("https://drive.google.com/open?id=1b1-uaru5XKH4OO_-qBLoHDbF8brZUp94","Letovsky1987")</f>
        <v>Letovsky1987</v>
      </c>
      <c r="C111" s="48" t="s">
        <v>681</v>
      </c>
      <c r="D111" s="48" t="s">
        <v>682</v>
      </c>
      <c r="E111" s="49">
        <v>1987.0</v>
      </c>
      <c r="F111" s="50"/>
      <c r="G111" s="50"/>
      <c r="H111" s="50"/>
      <c r="I111" s="50">
        <v>1.0</v>
      </c>
      <c r="J111" s="50"/>
      <c r="K111" s="50">
        <v>1.0</v>
      </c>
      <c r="L111" s="50"/>
      <c r="M111" s="50"/>
      <c r="N111" s="50"/>
      <c r="O111" s="50"/>
      <c r="P111" s="50"/>
      <c r="Q111" s="50"/>
      <c r="R111" s="50"/>
      <c r="S111" s="50"/>
      <c r="T111" s="50"/>
      <c r="U111" s="50"/>
      <c r="V111" s="51"/>
      <c r="W111" s="51" t="s">
        <v>683</v>
      </c>
      <c r="X111" s="51" t="s">
        <v>684</v>
      </c>
      <c r="Y111" s="51" t="s">
        <v>685</v>
      </c>
      <c r="Z111" s="51" t="s">
        <v>100</v>
      </c>
      <c r="AA111" s="50"/>
      <c r="AB111" s="50">
        <v>1.0</v>
      </c>
      <c r="AC111" s="50"/>
      <c r="AD111" s="50">
        <v>1.0</v>
      </c>
      <c r="AE111" s="50"/>
      <c r="AF111" s="50"/>
      <c r="AG111" s="50"/>
      <c r="AH111" s="51" t="s">
        <v>686</v>
      </c>
      <c r="AI111" s="51">
        <v>1.0</v>
      </c>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v>1.0</v>
      </c>
      <c r="BF111" s="51"/>
      <c r="BG111" s="51"/>
      <c r="BH111" s="51"/>
      <c r="BI111" s="51"/>
      <c r="BJ111" s="51"/>
      <c r="BK111" s="51"/>
      <c r="BL111" s="51"/>
      <c r="BM111" s="51"/>
      <c r="BN111" s="51"/>
      <c r="BO111" s="51"/>
      <c r="BP111" s="51"/>
      <c r="BQ111" s="51"/>
      <c r="BR111" s="51"/>
      <c r="BS111" s="51"/>
      <c r="BT111" s="51">
        <v>1.0</v>
      </c>
      <c r="BU111" s="51"/>
      <c r="BV111" s="51"/>
      <c r="BW111" s="51"/>
      <c r="BX111" s="51"/>
      <c r="BY111" s="51"/>
      <c r="BZ111" s="51"/>
    </row>
    <row r="112" ht="12.75" customHeight="1">
      <c r="A112" s="46" t="s">
        <v>116</v>
      </c>
      <c r="B112" s="56" t="str">
        <f>HYPERLINK("https://drive.google.com/open?id=0B1GMAYMj9v6rUTB5eU43TDVMVGc","Leveson1998")</f>
        <v>Leveson1998</v>
      </c>
      <c r="C112" s="55" t="s">
        <v>687</v>
      </c>
      <c r="D112" s="55" t="s">
        <v>688</v>
      </c>
      <c r="E112" s="49">
        <v>1998.0</v>
      </c>
      <c r="F112" s="50"/>
      <c r="G112" s="50">
        <v>1.0</v>
      </c>
      <c r="H112" s="50">
        <v>1.0</v>
      </c>
      <c r="I112" s="50">
        <v>1.0</v>
      </c>
      <c r="J112" s="50"/>
      <c r="K112" s="50"/>
      <c r="L112" s="50"/>
      <c r="M112" s="50"/>
      <c r="N112" s="50"/>
      <c r="O112" s="50">
        <v>1.0</v>
      </c>
      <c r="P112" s="50"/>
      <c r="Q112" s="50">
        <v>1.0</v>
      </c>
      <c r="R112" s="50"/>
      <c r="S112" s="50"/>
      <c r="T112" s="50"/>
      <c r="U112" s="50"/>
      <c r="V112" s="51"/>
      <c r="W112" s="51" t="s">
        <v>689</v>
      </c>
      <c r="X112" s="51"/>
      <c r="Y112" s="51"/>
      <c r="Z112" s="51" t="s">
        <v>690</v>
      </c>
      <c r="AA112" s="50"/>
      <c r="AB112" s="50"/>
      <c r="AC112" s="50"/>
      <c r="AD112" s="50"/>
      <c r="AE112" s="50"/>
      <c r="AF112" s="50">
        <v>1.0</v>
      </c>
      <c r="AG112" s="50"/>
      <c r="AH112" s="51" t="s">
        <v>691</v>
      </c>
      <c r="AI112" s="51">
        <v>1.0</v>
      </c>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v>1.0</v>
      </c>
      <c r="BF112" s="51"/>
      <c r="BG112" s="51"/>
      <c r="BH112" s="51"/>
      <c r="BI112" s="51"/>
      <c r="BJ112" s="51"/>
      <c r="BK112" s="51"/>
      <c r="BL112" s="51"/>
      <c r="BM112" s="51"/>
      <c r="BN112" s="51"/>
      <c r="BO112" s="51"/>
      <c r="BP112" s="51"/>
      <c r="BQ112" s="51"/>
      <c r="BR112" s="51"/>
      <c r="BS112" s="51"/>
      <c r="BT112" s="51"/>
      <c r="BU112" s="51"/>
      <c r="BV112" s="51"/>
      <c r="BW112" s="51"/>
      <c r="BX112" s="51"/>
      <c r="BY112" s="51"/>
      <c r="BZ112" s="51"/>
    </row>
    <row r="113" ht="12.75" customHeight="1">
      <c r="A113" s="46" t="s">
        <v>108</v>
      </c>
      <c r="B113" s="54" t="str">
        <f>HYPERLINK("https://drive.google.com/open?id=0B1GMAYMj9v6rUTB5eU43TDVMVGc","Leveson2000")</f>
        <v>Leveson2000</v>
      </c>
      <c r="C113" s="55" t="s">
        <v>687</v>
      </c>
      <c r="D113" s="55" t="s">
        <v>503</v>
      </c>
      <c r="E113" s="49">
        <v>2000.0</v>
      </c>
      <c r="F113" s="50"/>
      <c r="G113" s="50">
        <v>1.0</v>
      </c>
      <c r="H113" s="50">
        <v>1.0</v>
      </c>
      <c r="I113" s="50"/>
      <c r="J113" s="50"/>
      <c r="K113" s="50"/>
      <c r="L113" s="50"/>
      <c r="M113" s="50"/>
      <c r="N113" s="50"/>
      <c r="O113" s="50"/>
      <c r="P113" s="50"/>
      <c r="Q113" s="50"/>
      <c r="R113" s="50"/>
      <c r="S113" s="50"/>
      <c r="T113" s="50"/>
      <c r="U113" s="50"/>
      <c r="V113" s="48" t="s">
        <v>484</v>
      </c>
      <c r="W113" s="48" t="s">
        <v>692</v>
      </c>
      <c r="X113" s="48" t="s">
        <v>693</v>
      </c>
      <c r="Y113" s="48" t="s">
        <v>92</v>
      </c>
      <c r="Z113" s="48" t="s">
        <v>694</v>
      </c>
      <c r="AA113" s="50"/>
      <c r="AB113" s="50">
        <v>1.0</v>
      </c>
      <c r="AC113" s="50">
        <v>1.0</v>
      </c>
      <c r="AD113" s="50"/>
      <c r="AE113" s="50"/>
      <c r="AF113" s="50"/>
      <c r="AG113" s="50"/>
      <c r="AH113" s="51" t="s">
        <v>695</v>
      </c>
      <c r="AI113" s="51">
        <v>1.0</v>
      </c>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2">
        <v>1.0</v>
      </c>
      <c r="BF113" s="51"/>
      <c r="BG113" s="51"/>
      <c r="BH113" s="51"/>
      <c r="BI113" s="51"/>
      <c r="BJ113" s="51"/>
      <c r="BK113" s="51"/>
      <c r="BL113" s="51"/>
      <c r="BM113" s="51"/>
      <c r="BN113" s="51"/>
      <c r="BO113" s="51"/>
      <c r="BP113" s="51"/>
      <c r="BQ113" s="51"/>
      <c r="BR113" s="51"/>
      <c r="BS113" s="51"/>
      <c r="BT113" s="51"/>
      <c r="BU113" s="51"/>
      <c r="BV113" s="51"/>
      <c r="BW113" s="51"/>
      <c r="BX113" s="51"/>
      <c r="BY113" s="51"/>
      <c r="BZ113" s="51"/>
    </row>
    <row r="114" ht="12.75" customHeight="1">
      <c r="A114" s="46" t="s">
        <v>116</v>
      </c>
      <c r="B114" s="53" t="str">
        <f>HYPERLINK("https://drive.google.com/open?id=0B1GMAYMj9v6rMXR6dVNGYW9QTVk","Ley2008")</f>
        <v>Ley2008</v>
      </c>
      <c r="C114" s="48" t="s">
        <v>696</v>
      </c>
      <c r="D114" s="48" t="s">
        <v>697</v>
      </c>
      <c r="E114" s="49">
        <v>2008.0</v>
      </c>
      <c r="F114" s="50"/>
      <c r="G114" s="50">
        <v>1.0</v>
      </c>
      <c r="H114" s="50"/>
      <c r="I114" s="50"/>
      <c r="J114" s="50"/>
      <c r="K114" s="50"/>
      <c r="L114" s="50"/>
      <c r="M114" s="50"/>
      <c r="N114" s="50"/>
      <c r="O114" s="50"/>
      <c r="P114" s="50"/>
      <c r="Q114" s="50"/>
      <c r="R114" s="50"/>
      <c r="S114" s="50"/>
      <c r="T114" s="50"/>
      <c r="U114" s="50"/>
      <c r="V114" s="51" t="s">
        <v>698</v>
      </c>
      <c r="W114" s="51" t="s">
        <v>699</v>
      </c>
      <c r="X114" s="51" t="s">
        <v>700</v>
      </c>
      <c r="Y114" s="51" t="s">
        <v>701</v>
      </c>
      <c r="Z114" s="51" t="s">
        <v>702</v>
      </c>
      <c r="AA114" s="50"/>
      <c r="AB114" s="50"/>
      <c r="AC114" s="50">
        <v>1.0</v>
      </c>
      <c r="AD114" s="50"/>
      <c r="AE114" s="50"/>
      <c r="AF114" s="50"/>
      <c r="AG114" s="50"/>
      <c r="AH114" s="51" t="s">
        <v>703</v>
      </c>
      <c r="AI114" s="51">
        <v>1.0</v>
      </c>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v>1.0</v>
      </c>
      <c r="BJ114" s="51"/>
      <c r="BK114" s="51"/>
      <c r="BL114" s="51"/>
      <c r="BM114" s="51"/>
      <c r="BN114" s="51"/>
      <c r="BO114" s="51"/>
      <c r="BP114" s="51"/>
      <c r="BQ114" s="51"/>
      <c r="BR114" s="51"/>
      <c r="BS114" s="51">
        <v>1.0</v>
      </c>
      <c r="BT114" s="51"/>
      <c r="BU114" s="51"/>
      <c r="BV114" s="51"/>
      <c r="BW114" s="51"/>
      <c r="BX114" s="51"/>
      <c r="BY114" s="51"/>
      <c r="BZ114" s="51"/>
    </row>
    <row r="115" ht="12.75" customHeight="1">
      <c r="A115" s="46" t="s">
        <v>88</v>
      </c>
      <c r="B115" s="53" t="str">
        <f>HYPERLINK("https://drive.google.com/open?id=1OpaLcsssrao69tyI9meh8jEUc6owWPX0","Lloyd1999")</f>
        <v>Lloyd1999</v>
      </c>
      <c r="C115" s="48" t="s">
        <v>704</v>
      </c>
      <c r="D115" s="48" t="s">
        <v>211</v>
      </c>
      <c r="E115" s="49">
        <v>1999.0</v>
      </c>
      <c r="F115" s="50"/>
      <c r="G115" s="50"/>
      <c r="H115" s="50">
        <v>1.0</v>
      </c>
      <c r="I115" s="50"/>
      <c r="J115" s="50"/>
      <c r="K115" s="50"/>
      <c r="L115" s="50"/>
      <c r="M115" s="50"/>
      <c r="N115" s="50"/>
      <c r="O115" s="50"/>
      <c r="P115" s="50"/>
      <c r="Q115" s="50"/>
      <c r="R115" s="50"/>
      <c r="S115" s="50"/>
      <c r="T115" s="50"/>
      <c r="U115" s="50"/>
      <c r="V115" s="51" t="s">
        <v>705</v>
      </c>
      <c r="W115" s="51" t="s">
        <v>706</v>
      </c>
      <c r="X115" s="51" t="s">
        <v>707</v>
      </c>
      <c r="Y115" s="51" t="s">
        <v>336</v>
      </c>
      <c r="Z115" s="51" t="s">
        <v>100</v>
      </c>
      <c r="AA115" s="50">
        <v>1.0</v>
      </c>
      <c r="AB115" s="50"/>
      <c r="AC115" s="50"/>
      <c r="AD115" s="50">
        <v>1.0</v>
      </c>
      <c r="AE115" s="50"/>
      <c r="AF115" s="50"/>
      <c r="AG115" s="50"/>
      <c r="AH115" s="51" t="s">
        <v>708</v>
      </c>
      <c r="AI115" s="51">
        <v>1.0</v>
      </c>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v>1.0</v>
      </c>
      <c r="BF115" s="51"/>
      <c r="BG115" s="51"/>
      <c r="BH115" s="51"/>
      <c r="BI115" s="51"/>
      <c r="BJ115" s="51"/>
      <c r="BK115" s="51"/>
      <c r="BL115" s="51"/>
      <c r="BM115" s="51"/>
      <c r="BN115" s="51"/>
      <c r="BO115" s="51"/>
      <c r="BP115" s="51"/>
      <c r="BQ115" s="51"/>
      <c r="BR115" s="51"/>
      <c r="BS115" s="51"/>
      <c r="BT115" s="51"/>
      <c r="BU115" s="51"/>
      <c r="BV115" s="51"/>
      <c r="BW115" s="51"/>
      <c r="BX115" s="51"/>
      <c r="BY115" s="51">
        <v>1.0</v>
      </c>
      <c r="BZ115" s="51"/>
    </row>
    <row r="116" ht="12.75" customHeight="1">
      <c r="A116" s="46" t="s">
        <v>172</v>
      </c>
      <c r="B116" s="67" t="str">
        <f>HYPERLINK("https://drive.google.com/open?id=1wnybH-nhZRcI_fhtD5Xhg0zw6Ggq82ut","Love1977")</f>
        <v>Love1977</v>
      </c>
      <c r="C116" s="63" t="s">
        <v>709</v>
      </c>
      <c r="D116" s="63" t="s">
        <v>710</v>
      </c>
      <c r="E116" s="55">
        <v>1977.0</v>
      </c>
      <c r="F116" s="55"/>
      <c r="G116" s="55"/>
      <c r="H116" s="55"/>
      <c r="I116" s="55"/>
      <c r="J116" s="55"/>
      <c r="K116" s="55">
        <v>1.0</v>
      </c>
      <c r="L116" s="55"/>
      <c r="M116" s="55"/>
      <c r="N116" s="55"/>
      <c r="O116" s="55"/>
      <c r="P116" s="55"/>
      <c r="Q116" s="55"/>
      <c r="R116" s="55"/>
      <c r="S116" s="55"/>
      <c r="T116" s="55"/>
      <c r="U116" s="55"/>
      <c r="V116" s="55"/>
      <c r="W116" s="55" t="s">
        <v>711</v>
      </c>
      <c r="X116" s="55" t="s">
        <v>712</v>
      </c>
      <c r="Y116" s="55" t="s">
        <v>713</v>
      </c>
      <c r="Z116" s="55" t="s">
        <v>100</v>
      </c>
      <c r="AA116" s="55">
        <v>1.0</v>
      </c>
      <c r="AB116" s="55"/>
      <c r="AC116" s="55"/>
      <c r="AD116" s="55">
        <v>1.0</v>
      </c>
      <c r="AE116" s="55"/>
      <c r="AF116" s="55"/>
      <c r="AG116" s="55"/>
      <c r="AH116" s="48" t="s">
        <v>714</v>
      </c>
      <c r="AI116" s="51">
        <v>1.0</v>
      </c>
      <c r="AJ116" s="51"/>
      <c r="AK116" s="51"/>
      <c r="AL116" s="51"/>
      <c r="AM116" s="51"/>
      <c r="AN116" s="51">
        <v>1.0</v>
      </c>
      <c r="AO116" s="51"/>
      <c r="AP116" s="51"/>
      <c r="AQ116" s="51"/>
      <c r="AR116" s="51"/>
      <c r="AS116" s="51"/>
      <c r="AT116" s="51"/>
      <c r="AU116" s="51"/>
      <c r="AV116" s="51"/>
      <c r="AW116" s="51"/>
      <c r="AX116" s="51"/>
      <c r="AY116" s="51"/>
      <c r="AZ116" s="51"/>
      <c r="BA116" s="51"/>
      <c r="BB116" s="51"/>
      <c r="BC116" s="51"/>
      <c r="BD116" s="51"/>
      <c r="BE116" s="51"/>
      <c r="BF116" s="51"/>
      <c r="BG116" s="51"/>
      <c r="BH116" s="51"/>
      <c r="BI116" s="51">
        <v>1.0</v>
      </c>
      <c r="BJ116" s="51"/>
      <c r="BK116" s="51"/>
      <c r="BL116" s="51"/>
      <c r="BM116" s="51"/>
      <c r="BN116" s="51"/>
      <c r="BO116" s="51"/>
      <c r="BP116" s="51"/>
      <c r="BQ116" s="51"/>
      <c r="BR116" s="51"/>
      <c r="BS116" s="51"/>
      <c r="BT116" s="51"/>
      <c r="BU116" s="51"/>
      <c r="BV116" s="51"/>
      <c r="BW116" s="51">
        <v>1.0</v>
      </c>
      <c r="BX116" s="51"/>
      <c r="BY116" s="51"/>
      <c r="BZ116" s="51"/>
    </row>
    <row r="117" ht="12.75" customHeight="1">
      <c r="A117" s="46" t="s">
        <v>172</v>
      </c>
      <c r="B117" s="67" t="str">
        <f>HYPERLINK("https://drive.google.com/open?id=1HqVyD5-5zkSEXYFgRz5OWioz8Pr87qJW","Maier2014")</f>
        <v>Maier2014</v>
      </c>
      <c r="C117" s="63" t="s">
        <v>715</v>
      </c>
      <c r="D117" s="63" t="s">
        <v>716</v>
      </c>
      <c r="E117" s="55">
        <v>2014.0</v>
      </c>
      <c r="F117" s="55"/>
      <c r="G117" s="55">
        <v>1.0</v>
      </c>
      <c r="H117" s="55">
        <v>1.0</v>
      </c>
      <c r="I117" s="55"/>
      <c r="J117" s="55"/>
      <c r="K117" s="55">
        <v>1.0</v>
      </c>
      <c r="L117" s="55"/>
      <c r="M117" s="55"/>
      <c r="N117" s="55"/>
      <c r="O117" s="55"/>
      <c r="P117" s="55"/>
      <c r="Q117" s="55"/>
      <c r="R117" s="55"/>
      <c r="S117" s="55"/>
      <c r="T117" s="55"/>
      <c r="U117" s="55"/>
      <c r="V117" s="55"/>
      <c r="W117" s="55" t="s">
        <v>717</v>
      </c>
      <c r="X117" s="55" t="s">
        <v>718</v>
      </c>
      <c r="Y117" s="55" t="s">
        <v>719</v>
      </c>
      <c r="Z117" s="55" t="s">
        <v>100</v>
      </c>
      <c r="AA117" s="55">
        <v>1.0</v>
      </c>
      <c r="AB117" s="55"/>
      <c r="AC117" s="55"/>
      <c r="AD117" s="55">
        <v>1.0</v>
      </c>
      <c r="AE117" s="55"/>
      <c r="AF117" s="55"/>
      <c r="AG117" s="55"/>
      <c r="AH117" s="48" t="s">
        <v>720</v>
      </c>
      <c r="AI117" s="51">
        <v>1.0</v>
      </c>
      <c r="AJ117" s="51"/>
      <c r="AK117" s="51"/>
      <c r="AL117" s="51"/>
      <c r="AM117" s="51"/>
      <c r="AN117" s="51"/>
      <c r="AO117" s="51"/>
      <c r="AP117" s="51"/>
      <c r="AQ117" s="51"/>
      <c r="AR117" s="51">
        <v>1.0</v>
      </c>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v>1.0</v>
      </c>
    </row>
    <row r="118" ht="12.75" customHeight="1">
      <c r="A118" s="46" t="s">
        <v>108</v>
      </c>
      <c r="B118" s="78" t="str">
        <f>HYPERLINK("https://drive.google.com/open?id=0B-nn5iJ29NJaRUVlVjdSdDB6LVk","Mair2011")</f>
        <v>Mair2011</v>
      </c>
      <c r="C118" s="48" t="s">
        <v>721</v>
      </c>
      <c r="D118" s="48" t="s">
        <v>196</v>
      </c>
      <c r="E118" s="49">
        <v>2011.0</v>
      </c>
      <c r="F118" s="76"/>
      <c r="G118" s="50"/>
      <c r="H118" s="50"/>
      <c r="I118" s="50"/>
      <c r="J118" s="50"/>
      <c r="K118" s="50"/>
      <c r="L118" s="50"/>
      <c r="M118" s="50">
        <v>1.0</v>
      </c>
      <c r="N118" s="50"/>
      <c r="O118" s="50"/>
      <c r="P118" s="50"/>
      <c r="Q118" s="50"/>
      <c r="R118" s="50">
        <v>1.0</v>
      </c>
      <c r="S118" s="50"/>
      <c r="T118" s="50"/>
      <c r="U118" s="50"/>
      <c r="V118" s="48"/>
      <c r="W118" s="48" t="s">
        <v>722</v>
      </c>
      <c r="X118" s="48"/>
      <c r="Y118" s="48" t="s">
        <v>723</v>
      </c>
      <c r="Z118" s="48" t="s">
        <v>724</v>
      </c>
      <c r="AA118" s="50">
        <v>1.0</v>
      </c>
      <c r="AB118" s="50"/>
      <c r="AC118" s="50"/>
      <c r="AD118" s="50"/>
      <c r="AE118" s="50"/>
      <c r="AF118" s="50"/>
      <c r="AG118" s="50">
        <v>1.0</v>
      </c>
      <c r="AH118" s="51" t="s">
        <v>725</v>
      </c>
      <c r="AI118" s="52">
        <v>1.0</v>
      </c>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2">
        <v>1.0</v>
      </c>
      <c r="BI118" s="52">
        <v>1.0</v>
      </c>
      <c r="BJ118" s="51"/>
      <c r="BK118" s="51"/>
      <c r="BL118" s="51"/>
      <c r="BM118" s="51"/>
      <c r="BN118" s="51"/>
      <c r="BO118" s="51"/>
      <c r="BP118" s="51"/>
      <c r="BQ118" s="51"/>
      <c r="BR118" s="51"/>
      <c r="BS118" s="51"/>
      <c r="BT118" s="51"/>
      <c r="BU118" s="51"/>
      <c r="BV118" s="51"/>
      <c r="BW118" s="51"/>
      <c r="BX118" s="51"/>
      <c r="BY118" s="51"/>
      <c r="BZ118" s="51"/>
    </row>
    <row r="119" ht="12.75" customHeight="1">
      <c r="A119" s="46" t="s">
        <v>172</v>
      </c>
      <c r="B119" s="68" t="str">
        <f>HYPERLINK("https://drive.google.com/open?id=1FrWZcpMcD9HhHZUuGY5JfjAYJIFnczOF","Malhotra1980")</f>
        <v>Malhotra1980</v>
      </c>
      <c r="C119" s="63" t="s">
        <v>726</v>
      </c>
      <c r="D119" s="63" t="s">
        <v>727</v>
      </c>
      <c r="E119" s="55">
        <v>1980.0</v>
      </c>
      <c r="F119" s="55"/>
      <c r="G119" s="55">
        <v>1.0</v>
      </c>
      <c r="H119" s="55">
        <v>1.0</v>
      </c>
      <c r="I119" s="55"/>
      <c r="J119" s="55"/>
      <c r="K119" s="55"/>
      <c r="L119" s="55"/>
      <c r="M119" s="55"/>
      <c r="N119" s="55"/>
      <c r="O119" s="55"/>
      <c r="P119" s="55"/>
      <c r="Q119" s="55"/>
      <c r="R119" s="55"/>
      <c r="S119" s="55"/>
      <c r="T119" s="55"/>
      <c r="U119" s="55"/>
      <c r="V119" s="55"/>
      <c r="W119" s="55" t="s">
        <v>728</v>
      </c>
      <c r="X119" s="55" t="s">
        <v>729</v>
      </c>
      <c r="Y119" s="55" t="s">
        <v>730</v>
      </c>
      <c r="Z119" s="55" t="s">
        <v>100</v>
      </c>
      <c r="AA119" s="55">
        <v>1.0</v>
      </c>
      <c r="AB119" s="55">
        <v>1.0</v>
      </c>
      <c r="AC119" s="55"/>
      <c r="AD119" s="55">
        <v>1.0</v>
      </c>
      <c r="AE119" s="55"/>
      <c r="AF119" s="55"/>
      <c r="AG119" s="55"/>
      <c r="AH119" s="48" t="s">
        <v>731</v>
      </c>
      <c r="AI119" s="52">
        <v>1.0</v>
      </c>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2">
        <v>1.0</v>
      </c>
      <c r="BF119" s="52">
        <v>1.0</v>
      </c>
      <c r="BG119" s="52">
        <v>1.0</v>
      </c>
      <c r="BH119" s="51"/>
      <c r="BI119" s="52">
        <v>1.0</v>
      </c>
      <c r="BJ119" s="51"/>
      <c r="BK119" s="51"/>
      <c r="BL119" s="51"/>
      <c r="BM119" s="51"/>
      <c r="BN119" s="51"/>
      <c r="BO119" s="51"/>
      <c r="BP119" s="51"/>
      <c r="BQ119" s="52">
        <v>1.0</v>
      </c>
      <c r="BR119" s="51"/>
      <c r="BS119" s="51"/>
      <c r="BT119" s="51"/>
      <c r="BU119" s="52">
        <v>1.0</v>
      </c>
      <c r="BV119" s="52">
        <v>1.0</v>
      </c>
      <c r="BW119" s="52">
        <v>1.0</v>
      </c>
      <c r="BX119" s="51"/>
      <c r="BY119" s="52">
        <v>1.0</v>
      </c>
      <c r="BZ119" s="51"/>
    </row>
    <row r="120" ht="12.75" customHeight="1">
      <c r="A120" s="46" t="s">
        <v>172</v>
      </c>
      <c r="B120" s="67" t="str">
        <f>HYPERLINK("https://drive.google.com/open?id=1PiNjew3gWjNn6w4-XfXkAHMjdkppzWpX","McKeithen1981")</f>
        <v>McKeithen1981</v>
      </c>
      <c r="C120" s="63" t="s">
        <v>732</v>
      </c>
      <c r="D120" s="63" t="s">
        <v>733</v>
      </c>
      <c r="E120" s="55">
        <v>1981.0</v>
      </c>
      <c r="F120" s="55"/>
      <c r="G120" s="55"/>
      <c r="H120" s="55"/>
      <c r="I120" s="55"/>
      <c r="J120" s="55"/>
      <c r="K120" s="55">
        <v>1.0</v>
      </c>
      <c r="L120" s="55"/>
      <c r="M120" s="55"/>
      <c r="N120" s="55"/>
      <c r="O120" s="55"/>
      <c r="P120" s="55"/>
      <c r="Q120" s="55"/>
      <c r="R120" s="55"/>
      <c r="S120" s="55"/>
      <c r="T120" s="55"/>
      <c r="U120" s="55"/>
      <c r="V120" s="55"/>
      <c r="W120" s="55" t="s">
        <v>734</v>
      </c>
      <c r="X120" s="55" t="s">
        <v>735</v>
      </c>
      <c r="Y120" s="55" t="s">
        <v>736</v>
      </c>
      <c r="Z120" s="55" t="s">
        <v>100</v>
      </c>
      <c r="AA120" s="55">
        <v>1.0</v>
      </c>
      <c r="AB120" s="55"/>
      <c r="AC120" s="55"/>
      <c r="AD120" s="55">
        <v>1.0</v>
      </c>
      <c r="AE120" s="55"/>
      <c r="AF120" s="55"/>
      <c r="AG120" s="55"/>
      <c r="AH120" s="48" t="s">
        <v>737</v>
      </c>
      <c r="AI120" s="51">
        <v>1.0</v>
      </c>
      <c r="AJ120" s="51"/>
      <c r="AK120" s="51"/>
      <c r="AL120" s="51"/>
      <c r="AM120" s="51"/>
      <c r="AN120" s="51">
        <v>1.0</v>
      </c>
      <c r="AO120" s="51"/>
      <c r="AP120" s="51"/>
      <c r="AQ120" s="51"/>
      <c r="AR120" s="51"/>
      <c r="AS120" s="51"/>
      <c r="AT120" s="51"/>
      <c r="AU120" s="51"/>
      <c r="AV120" s="51"/>
      <c r="AW120" s="51"/>
      <c r="AX120" s="51"/>
      <c r="AY120" s="51"/>
      <c r="AZ120" s="51"/>
      <c r="BA120" s="51"/>
      <c r="BB120" s="51"/>
      <c r="BC120" s="51"/>
      <c r="BD120" s="51"/>
      <c r="BE120" s="51"/>
      <c r="BF120" s="51"/>
      <c r="BG120" s="51"/>
      <c r="BH120" s="51"/>
      <c r="BI120" s="51">
        <v>1.0</v>
      </c>
      <c r="BJ120" s="51"/>
      <c r="BK120" s="51"/>
      <c r="BL120" s="51"/>
      <c r="BM120" s="51"/>
      <c r="BN120" s="51"/>
      <c r="BO120" s="51"/>
      <c r="BP120" s="51"/>
      <c r="BQ120" s="51"/>
      <c r="BR120" s="51"/>
      <c r="BS120" s="51"/>
      <c r="BT120" s="51"/>
      <c r="BU120" s="51"/>
      <c r="BV120" s="51"/>
      <c r="BW120" s="51">
        <v>1.0</v>
      </c>
      <c r="BX120" s="51"/>
      <c r="BY120" s="51"/>
      <c r="BZ120" s="51"/>
    </row>
    <row r="121" ht="12.75" customHeight="1">
      <c r="A121" s="46" t="s">
        <v>116</v>
      </c>
      <c r="B121" s="68" t="str">
        <f>HYPERLINK("https://drive.google.com/open?id=11Z3p7gDkJUxlh0gZAbm-__jK7uBIbgsq","Miller2004")</f>
        <v>Miller2004</v>
      </c>
      <c r="C121" s="63" t="s">
        <v>738</v>
      </c>
      <c r="D121" s="63" t="s">
        <v>503</v>
      </c>
      <c r="E121" s="49">
        <v>2004.0</v>
      </c>
      <c r="F121" s="50"/>
      <c r="G121" s="50"/>
      <c r="H121" s="50"/>
      <c r="I121" s="50"/>
      <c r="J121" s="50"/>
      <c r="K121" s="50"/>
      <c r="L121" s="50"/>
      <c r="M121" s="50"/>
      <c r="N121" s="50"/>
      <c r="O121" s="50"/>
      <c r="P121" s="50">
        <v>1.0</v>
      </c>
      <c r="Q121" s="50"/>
      <c r="R121" s="50"/>
      <c r="S121" s="50"/>
      <c r="T121" s="50"/>
      <c r="U121" s="50"/>
      <c r="V121" s="51"/>
      <c r="W121" s="51" t="s">
        <v>739</v>
      </c>
      <c r="X121" s="51" t="s">
        <v>740</v>
      </c>
      <c r="Y121" s="51" t="s">
        <v>741</v>
      </c>
      <c r="Z121" s="51" t="s">
        <v>122</v>
      </c>
      <c r="AA121" s="50"/>
      <c r="AB121" s="50">
        <v>1.0</v>
      </c>
      <c r="AC121" s="50"/>
      <c r="AD121" s="50">
        <v>1.0</v>
      </c>
      <c r="AE121" s="50"/>
      <c r="AF121" s="50"/>
      <c r="AG121" s="50"/>
      <c r="AH121" s="51" t="s">
        <v>742</v>
      </c>
      <c r="AI121" s="51">
        <v>1.0</v>
      </c>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2">
        <v>1.0</v>
      </c>
      <c r="BJ121" s="51"/>
      <c r="BK121" s="52">
        <v>1.0</v>
      </c>
      <c r="BL121" s="51"/>
      <c r="BM121" s="51"/>
      <c r="BN121" s="51"/>
      <c r="BO121" s="51"/>
      <c r="BP121" s="51"/>
      <c r="BQ121" s="51"/>
      <c r="BR121" s="51"/>
      <c r="BS121" s="51"/>
      <c r="BT121" s="51"/>
      <c r="BU121" s="51"/>
      <c r="BV121" s="51"/>
      <c r="BW121" s="52">
        <v>1.0</v>
      </c>
      <c r="BX121" s="51"/>
      <c r="BY121" s="52">
        <v>1.0</v>
      </c>
      <c r="BZ121" s="51"/>
    </row>
    <row r="122" ht="12.75" customHeight="1">
      <c r="A122" s="46" t="s">
        <v>88</v>
      </c>
      <c r="B122" s="47" t="str">
        <f>HYPERLINK("https://drive.google.com/open?id=0B00cIHsghs6URHMwUUhRekhaOE0","Moe2008")</f>
        <v>Moe2008</v>
      </c>
      <c r="C122" s="65" t="s">
        <v>743</v>
      </c>
      <c r="D122" s="48" t="s">
        <v>744</v>
      </c>
      <c r="E122" s="49">
        <v>2008.0</v>
      </c>
      <c r="F122" s="72"/>
      <c r="G122" s="50"/>
      <c r="H122" s="50"/>
      <c r="I122" s="50"/>
      <c r="J122" s="50"/>
      <c r="K122" s="50"/>
      <c r="L122" s="50"/>
      <c r="M122" s="50"/>
      <c r="N122" s="50">
        <v>1.0</v>
      </c>
      <c r="O122" s="50"/>
      <c r="P122" s="50"/>
      <c r="Q122" s="50"/>
      <c r="R122" s="50">
        <v>1.0</v>
      </c>
      <c r="S122" s="50"/>
      <c r="T122" s="50"/>
      <c r="U122" s="50"/>
      <c r="V122" s="51"/>
      <c r="W122" s="51" t="s">
        <v>745</v>
      </c>
      <c r="X122" s="51" t="s">
        <v>746</v>
      </c>
      <c r="Y122" s="51" t="s">
        <v>747</v>
      </c>
      <c r="Z122" s="51" t="s">
        <v>137</v>
      </c>
      <c r="AA122" s="50"/>
      <c r="AB122" s="50">
        <v>1.0</v>
      </c>
      <c r="AC122" s="50"/>
      <c r="AD122" s="50">
        <v>1.0</v>
      </c>
      <c r="AE122" s="50"/>
      <c r="AF122" s="50"/>
      <c r="AG122" s="50" t="s">
        <v>748</v>
      </c>
      <c r="AH122" s="51" t="s">
        <v>749</v>
      </c>
      <c r="AI122" s="52">
        <v>1.0</v>
      </c>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2">
        <v>1.0</v>
      </c>
      <c r="BP122" s="51"/>
      <c r="BQ122" s="51"/>
      <c r="BR122" s="51"/>
      <c r="BS122" s="51"/>
      <c r="BT122" s="51"/>
      <c r="BU122" s="51"/>
      <c r="BV122" s="51"/>
      <c r="BW122" s="51"/>
      <c r="BX122" s="51"/>
      <c r="BY122" s="51"/>
      <c r="BZ122" s="51"/>
    </row>
    <row r="123" ht="12.75" customHeight="1">
      <c r="A123" s="46" t="s">
        <v>116</v>
      </c>
      <c r="B123" s="56" t="str">
        <f>HYPERLINK("https://drive.google.com/open?id=0B1GMAYMj9v6rQ2FRY0REYVFHQ1E","Mohan2008")</f>
        <v>Mohan2008</v>
      </c>
      <c r="C123" s="55" t="s">
        <v>750</v>
      </c>
      <c r="D123" s="55" t="s">
        <v>751</v>
      </c>
      <c r="E123" s="49">
        <v>2008.0</v>
      </c>
      <c r="F123" s="50"/>
      <c r="G123" s="50">
        <v>1.0</v>
      </c>
      <c r="H123" s="50">
        <v>1.0</v>
      </c>
      <c r="I123" s="50"/>
      <c r="J123" s="50"/>
      <c r="K123" s="50"/>
      <c r="L123" s="50"/>
      <c r="M123" s="50"/>
      <c r="N123" s="50"/>
      <c r="O123" s="50"/>
      <c r="P123" s="50"/>
      <c r="Q123" s="50">
        <v>1.0</v>
      </c>
      <c r="R123" s="50"/>
      <c r="S123" s="50"/>
      <c r="T123" s="50"/>
      <c r="U123" s="50"/>
      <c r="V123" s="51" t="s">
        <v>70</v>
      </c>
      <c r="W123" s="51" t="s">
        <v>752</v>
      </c>
      <c r="X123" s="51" t="s">
        <v>753</v>
      </c>
      <c r="Y123" s="51" t="s">
        <v>754</v>
      </c>
      <c r="Z123" s="51" t="s">
        <v>122</v>
      </c>
      <c r="AA123" s="50"/>
      <c r="AB123" s="50">
        <v>1.0</v>
      </c>
      <c r="AC123" s="50"/>
      <c r="AD123" s="50">
        <v>1.0</v>
      </c>
      <c r="AE123" s="50"/>
      <c r="AF123" s="50"/>
      <c r="AG123" s="50"/>
      <c r="AH123" s="51" t="s">
        <v>755</v>
      </c>
      <c r="AI123" s="51">
        <v>1.0</v>
      </c>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v>1.0</v>
      </c>
      <c r="BI123" s="51"/>
      <c r="BJ123" s="51"/>
      <c r="BK123" s="51"/>
      <c r="BL123" s="51"/>
      <c r="BM123" s="51"/>
      <c r="BN123" s="51"/>
      <c r="BO123" s="51"/>
      <c r="BP123" s="51"/>
      <c r="BQ123" s="51"/>
      <c r="BR123" s="51"/>
      <c r="BS123" s="51"/>
      <c r="BT123" s="51">
        <v>1.0</v>
      </c>
      <c r="BU123" s="51"/>
      <c r="BV123" s="51"/>
      <c r="BW123" s="51"/>
      <c r="BX123" s="51"/>
      <c r="BY123" s="51"/>
      <c r="BZ123" s="51"/>
    </row>
    <row r="124" ht="12.75" customHeight="1">
      <c r="A124" s="46" t="s">
        <v>88</v>
      </c>
      <c r="B124" s="79" t="str">
        <f>HYPERLINK("https://drive.google.com/open?id=0B00cIHsghs6UTnNuWGNVSE92ZlU","Mohani2014")</f>
        <v>Mohani2014</v>
      </c>
      <c r="C124" s="80" t="s">
        <v>756</v>
      </c>
      <c r="D124" s="80" t="s">
        <v>757</v>
      </c>
      <c r="E124" s="49">
        <v>2014.0</v>
      </c>
      <c r="F124" s="50"/>
      <c r="G124" s="50">
        <v>1.0</v>
      </c>
      <c r="H124" s="50">
        <v>1.0</v>
      </c>
      <c r="I124" s="50"/>
      <c r="J124" s="50"/>
      <c r="K124" s="50"/>
      <c r="L124" s="50"/>
      <c r="M124" s="50"/>
      <c r="N124" s="50"/>
      <c r="O124" s="50"/>
      <c r="P124" s="50"/>
      <c r="Q124" s="50"/>
      <c r="R124" s="50"/>
      <c r="S124" s="50"/>
      <c r="T124" s="50"/>
      <c r="U124" s="50"/>
      <c r="V124" s="51" t="s">
        <v>758</v>
      </c>
      <c r="W124" s="51" t="s">
        <v>359</v>
      </c>
      <c r="X124" s="51" t="s">
        <v>759</v>
      </c>
      <c r="Y124" s="51" t="s">
        <v>760</v>
      </c>
      <c r="Z124" s="51" t="s">
        <v>761</v>
      </c>
      <c r="AA124" s="50">
        <v>1.0</v>
      </c>
      <c r="AB124" s="50"/>
      <c r="AC124" s="50"/>
      <c r="AD124" s="50">
        <v>1.0</v>
      </c>
      <c r="AE124" s="50"/>
      <c r="AF124" s="50"/>
      <c r="AG124" s="50"/>
      <c r="AH124" s="51" t="s">
        <v>762</v>
      </c>
      <c r="AI124" s="51">
        <v>1.0</v>
      </c>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v>1.0</v>
      </c>
      <c r="BI124" s="51"/>
      <c r="BJ124" s="51"/>
      <c r="BK124" s="51"/>
      <c r="BL124" s="51"/>
      <c r="BM124" s="51"/>
      <c r="BN124" s="51"/>
      <c r="BO124" s="51"/>
      <c r="BP124" s="51"/>
      <c r="BQ124" s="51"/>
      <c r="BR124" s="51"/>
      <c r="BS124" s="51"/>
      <c r="BT124" s="51"/>
      <c r="BU124" s="51"/>
      <c r="BV124" s="51"/>
      <c r="BW124" s="51"/>
      <c r="BX124" s="51"/>
      <c r="BY124" s="51">
        <v>1.0</v>
      </c>
      <c r="BZ124" s="51"/>
    </row>
    <row r="125" ht="12.75" customHeight="1">
      <c r="A125" s="46" t="s">
        <v>116</v>
      </c>
      <c r="B125" s="67" t="str">
        <f>HYPERLINK("https://drive.google.com/open?id=1stBKykgzbLlGMSlBRLOsYZ1Abc7JLvwD","Moody2006")</f>
        <v>Moody2006</v>
      </c>
      <c r="C125" s="63" t="s">
        <v>763</v>
      </c>
      <c r="D125" s="63" t="s">
        <v>764</v>
      </c>
      <c r="E125" s="49">
        <v>2006.0</v>
      </c>
      <c r="F125" s="50"/>
      <c r="G125" s="50">
        <v>1.0</v>
      </c>
      <c r="H125" s="50">
        <v>1.0</v>
      </c>
      <c r="I125" s="50"/>
      <c r="J125" s="50"/>
      <c r="K125" s="50"/>
      <c r="L125" s="50"/>
      <c r="M125" s="50"/>
      <c r="N125" s="50"/>
      <c r="O125" s="50"/>
      <c r="P125" s="50"/>
      <c r="Q125" s="50"/>
      <c r="R125" s="50"/>
      <c r="S125" s="50"/>
      <c r="T125" s="50"/>
      <c r="U125" s="50"/>
      <c r="V125" s="51"/>
      <c r="W125" s="51" t="s">
        <v>765</v>
      </c>
      <c r="X125" s="51" t="s">
        <v>92</v>
      </c>
      <c r="Y125" s="51" t="s">
        <v>92</v>
      </c>
      <c r="Z125" s="51" t="s">
        <v>564</v>
      </c>
      <c r="AA125" s="50"/>
      <c r="AB125" s="50"/>
      <c r="AC125" s="50"/>
      <c r="AD125" s="50"/>
      <c r="AE125" s="50"/>
      <c r="AF125" s="50">
        <v>1.0</v>
      </c>
      <c r="AG125" s="50"/>
      <c r="AH125" s="51" t="s">
        <v>766</v>
      </c>
      <c r="AI125" s="51">
        <v>1.0</v>
      </c>
      <c r="AJ125" s="51"/>
      <c r="AK125" s="51"/>
      <c r="AL125" s="51"/>
      <c r="AM125" s="51"/>
      <c r="AN125" s="51"/>
      <c r="AO125" s="51">
        <v>1.0</v>
      </c>
      <c r="AP125" s="51"/>
      <c r="AQ125" s="51">
        <v>1.0</v>
      </c>
      <c r="AR125" s="51"/>
      <c r="AS125" s="51"/>
      <c r="AT125" s="51"/>
      <c r="AU125" s="51"/>
      <c r="AV125" s="51"/>
      <c r="AW125" s="51"/>
      <c r="AX125" s="51"/>
      <c r="AY125" s="51"/>
      <c r="AZ125" s="51"/>
      <c r="BA125" s="51"/>
      <c r="BB125" s="51"/>
      <c r="BC125" s="51"/>
      <c r="BD125" s="51">
        <v>1.0</v>
      </c>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row>
    <row r="126" ht="12.75" customHeight="1">
      <c r="A126" s="46" t="s">
        <v>116</v>
      </c>
      <c r="B126" s="68" t="str">
        <f>HYPERLINK("https://drive.google.com/open?id=1uhJ5HcG4Z1JqJUUA1mHRDHhoU2yGJUyq","Moody2008")</f>
        <v>Moody2008</v>
      </c>
      <c r="C126" s="63" t="s">
        <v>767</v>
      </c>
      <c r="D126" s="63" t="s">
        <v>768</v>
      </c>
      <c r="E126" s="49">
        <v>2008.0</v>
      </c>
      <c r="F126" s="50"/>
      <c r="G126" s="50"/>
      <c r="H126" s="50">
        <v>1.0</v>
      </c>
      <c r="I126" s="50"/>
      <c r="J126" s="50"/>
      <c r="K126" s="50"/>
      <c r="L126" s="50"/>
      <c r="M126" s="50"/>
      <c r="N126" s="50"/>
      <c r="O126" s="50"/>
      <c r="P126" s="50"/>
      <c r="Q126" s="50"/>
      <c r="R126" s="50"/>
      <c r="S126" s="50"/>
      <c r="T126" s="50"/>
      <c r="U126" s="50"/>
      <c r="V126" s="51"/>
      <c r="W126" s="51" t="s">
        <v>769</v>
      </c>
      <c r="X126" s="51" t="s">
        <v>770</v>
      </c>
      <c r="Y126" s="51" t="s">
        <v>771</v>
      </c>
      <c r="Z126" s="51" t="s">
        <v>122</v>
      </c>
      <c r="AA126" s="50"/>
      <c r="AB126" s="50"/>
      <c r="AC126" s="50"/>
      <c r="AD126" s="50"/>
      <c r="AE126" s="50"/>
      <c r="AF126" s="50">
        <v>1.0</v>
      </c>
      <c r="AG126" s="50"/>
      <c r="AH126" s="51" t="s">
        <v>772</v>
      </c>
      <c r="AI126" s="51">
        <v>1.0</v>
      </c>
      <c r="AJ126" s="51"/>
      <c r="AK126" s="51"/>
      <c r="AL126" s="51"/>
      <c r="AM126" s="51"/>
      <c r="AN126" s="51"/>
      <c r="AO126" s="51"/>
      <c r="AP126" s="51"/>
      <c r="AQ126" s="51"/>
      <c r="AR126" s="52">
        <v>1.0</v>
      </c>
      <c r="AS126" s="51"/>
      <c r="AT126" s="51"/>
      <c r="AU126" s="51"/>
      <c r="AV126" s="51"/>
      <c r="AW126" s="51"/>
      <c r="AX126" s="51"/>
      <c r="AY126" s="51"/>
      <c r="AZ126" s="51"/>
      <c r="BA126" s="51"/>
      <c r="BB126" s="51"/>
      <c r="BC126" s="51"/>
      <c r="BD126" s="52">
        <v>1.0</v>
      </c>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row>
    <row r="127" ht="12.75" customHeight="1">
      <c r="A127" s="46" t="s">
        <v>116</v>
      </c>
      <c r="B127" s="68" t="str">
        <f>HYPERLINK("https://drive.google.com/open?id=1IXVz3XvH97spVMg3e7LtUiM5dq11nlG4","Moody2009")</f>
        <v>Moody2009</v>
      </c>
      <c r="C127" s="63" t="s">
        <v>773</v>
      </c>
      <c r="D127" s="63" t="s">
        <v>503</v>
      </c>
      <c r="E127" s="49">
        <v>2009.0</v>
      </c>
      <c r="F127" s="50"/>
      <c r="G127" s="50"/>
      <c r="H127" s="50">
        <v>1.0</v>
      </c>
      <c r="I127" s="50"/>
      <c r="J127" s="50"/>
      <c r="K127" s="50"/>
      <c r="L127" s="50"/>
      <c r="M127" s="50"/>
      <c r="N127" s="50"/>
      <c r="O127" s="50"/>
      <c r="P127" s="50"/>
      <c r="Q127" s="50"/>
      <c r="R127" s="50"/>
      <c r="S127" s="50"/>
      <c r="T127" s="50"/>
      <c r="U127" s="50"/>
      <c r="V127" s="51"/>
      <c r="W127" s="51" t="s">
        <v>774</v>
      </c>
      <c r="X127" s="51" t="s">
        <v>774</v>
      </c>
      <c r="Y127" s="51" t="s">
        <v>92</v>
      </c>
      <c r="Z127" s="51" t="s">
        <v>122</v>
      </c>
      <c r="AA127" s="50"/>
      <c r="AB127" s="50"/>
      <c r="AC127" s="50">
        <v>1.0</v>
      </c>
      <c r="AD127" s="50"/>
      <c r="AE127" s="50"/>
      <c r="AF127" s="50"/>
      <c r="AG127" s="50"/>
      <c r="AH127" s="51" t="s">
        <v>775</v>
      </c>
      <c r="AI127" s="51">
        <v>1.0</v>
      </c>
      <c r="AJ127" s="51"/>
      <c r="AK127" s="51"/>
      <c r="AL127" s="51"/>
      <c r="AM127" s="51"/>
      <c r="AN127" s="51"/>
      <c r="AO127" s="51"/>
      <c r="AP127" s="51"/>
      <c r="AQ127" s="51"/>
      <c r="AR127" s="52">
        <v>1.0</v>
      </c>
      <c r="AS127" s="51"/>
      <c r="AT127" s="51"/>
      <c r="AU127" s="51"/>
      <c r="AV127" s="51"/>
      <c r="AW127" s="51"/>
      <c r="AX127" s="51"/>
      <c r="AY127" s="51"/>
      <c r="AZ127" s="51"/>
      <c r="BA127" s="51"/>
      <c r="BB127" s="51"/>
      <c r="BC127" s="51"/>
      <c r="BD127" s="52">
        <v>1.0</v>
      </c>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row>
    <row r="128" ht="12.75" customHeight="1">
      <c r="A128" s="46" t="s">
        <v>116</v>
      </c>
      <c r="B128" s="54" t="str">
        <f>HYPERLINK("https://drive.google.com/open?id=0B1GMAYMj9v6rdkVkcVg0SktoeWs","Moody2010")</f>
        <v>Moody2010</v>
      </c>
      <c r="C128" s="55" t="s">
        <v>776</v>
      </c>
      <c r="D128" s="55" t="s">
        <v>777</v>
      </c>
      <c r="E128" s="49">
        <v>2010.0</v>
      </c>
      <c r="F128" s="50"/>
      <c r="G128" s="50">
        <v>1.0</v>
      </c>
      <c r="H128" s="50"/>
      <c r="I128" s="50"/>
      <c r="J128" s="50"/>
      <c r="K128" s="50"/>
      <c r="L128" s="50"/>
      <c r="M128" s="50"/>
      <c r="N128" s="50"/>
      <c r="O128" s="50"/>
      <c r="P128" s="50"/>
      <c r="Q128" s="50"/>
      <c r="R128" s="50"/>
      <c r="S128" s="50"/>
      <c r="T128" s="50"/>
      <c r="U128" s="50"/>
      <c r="V128" s="51" t="s">
        <v>778</v>
      </c>
      <c r="W128" s="51" t="s">
        <v>774</v>
      </c>
      <c r="X128" s="51" t="s">
        <v>779</v>
      </c>
      <c r="Y128" s="51" t="s">
        <v>780</v>
      </c>
      <c r="Z128" s="51" t="s">
        <v>122</v>
      </c>
      <c r="AA128" s="50"/>
      <c r="AB128" s="50"/>
      <c r="AC128" s="50"/>
      <c r="AD128" s="50">
        <v>1.0</v>
      </c>
      <c r="AE128" s="50"/>
      <c r="AF128" s="50"/>
      <c r="AG128" s="50"/>
      <c r="AH128" s="51" t="s">
        <v>781</v>
      </c>
      <c r="AI128" s="51">
        <v>1.0</v>
      </c>
      <c r="AJ128" s="51"/>
      <c r="AK128" s="51"/>
      <c r="AL128" s="51"/>
      <c r="AM128" s="51"/>
      <c r="AN128" s="51"/>
      <c r="AO128" s="51"/>
      <c r="AP128" s="51"/>
      <c r="AQ128" s="51"/>
      <c r="AR128" s="52">
        <v>1.0</v>
      </c>
      <c r="AS128" s="51"/>
      <c r="AT128" s="51"/>
      <c r="AU128" s="51"/>
      <c r="AV128" s="51"/>
      <c r="AW128" s="51"/>
      <c r="AX128" s="51"/>
      <c r="AY128" s="51"/>
      <c r="AZ128" s="51"/>
      <c r="BA128" s="51"/>
      <c r="BB128" s="51"/>
      <c r="BC128" s="51"/>
      <c r="BD128" s="52">
        <v>1.0</v>
      </c>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row>
    <row r="129" ht="12.75" customHeight="1">
      <c r="A129" s="46" t="s">
        <v>108</v>
      </c>
      <c r="B129" s="56" t="str">
        <f>HYPERLINK("https://www.researchgate.net/profile/Senthilrajan_Moorthy/publication/224261850_Program_Comprehension_and_Implications_of_Human_Navigational_Approaches/links/542d96010cf29bbc126d4aa2.pdf","Moorthy2011")</f>
        <v>Moorthy2011</v>
      </c>
      <c r="C129" s="55" t="s">
        <v>782</v>
      </c>
      <c r="D129" s="55" t="s">
        <v>783</v>
      </c>
      <c r="E129" s="55">
        <v>2011.0</v>
      </c>
      <c r="F129" s="50"/>
      <c r="G129" s="50"/>
      <c r="H129" s="50"/>
      <c r="I129" s="50">
        <v>1.0</v>
      </c>
      <c r="J129" s="50"/>
      <c r="K129" s="50"/>
      <c r="L129" s="50"/>
      <c r="M129" s="50"/>
      <c r="N129" s="50"/>
      <c r="O129" s="50"/>
      <c r="P129" s="50"/>
      <c r="Q129" s="50"/>
      <c r="R129" s="50"/>
      <c r="S129" s="50"/>
      <c r="T129" s="50"/>
      <c r="U129" s="50"/>
      <c r="V129" s="48" t="s">
        <v>784</v>
      </c>
      <c r="W129" s="74" t="s">
        <v>785</v>
      </c>
      <c r="X129" s="81" t="s">
        <v>786</v>
      </c>
      <c r="Y129" s="48" t="s">
        <v>787</v>
      </c>
      <c r="Z129" s="48" t="s">
        <v>307</v>
      </c>
      <c r="AA129" s="50">
        <v>1.0</v>
      </c>
      <c r="AB129" s="50"/>
      <c r="AC129" s="50"/>
      <c r="AD129" s="50">
        <v>1.0</v>
      </c>
      <c r="AE129" s="50"/>
      <c r="AF129" s="50"/>
      <c r="AG129" s="50"/>
      <c r="AH129" s="51" t="s">
        <v>788</v>
      </c>
      <c r="AI129" s="51">
        <v>1.0</v>
      </c>
      <c r="AJ129" s="51"/>
      <c r="AK129" s="51"/>
      <c r="AL129" s="51"/>
      <c r="AM129" s="51"/>
      <c r="AN129" s="51">
        <v>1.0</v>
      </c>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v>1.0</v>
      </c>
      <c r="BZ129" s="51"/>
    </row>
    <row r="130" ht="12.75" customHeight="1">
      <c r="A130" s="46" t="s">
        <v>88</v>
      </c>
      <c r="B130" s="47" t="str">
        <f>HYPERLINK("https://drive.google.com/open?id=0B00cIHsghs6UYVVPRThpQk5GSjQ","Morris2015")</f>
        <v>Morris2015</v>
      </c>
      <c r="C130" s="48" t="s">
        <v>789</v>
      </c>
      <c r="D130" s="48" t="s">
        <v>790</v>
      </c>
      <c r="E130" s="49">
        <v>2015.0</v>
      </c>
      <c r="F130" s="50"/>
      <c r="G130" s="50"/>
      <c r="H130" s="50"/>
      <c r="I130" s="50"/>
      <c r="J130" s="50"/>
      <c r="K130" s="50"/>
      <c r="L130" s="50"/>
      <c r="M130" s="50">
        <v>1.0</v>
      </c>
      <c r="N130" s="50"/>
      <c r="O130" s="50"/>
      <c r="P130" s="50"/>
      <c r="Q130" s="50">
        <v>1.0</v>
      </c>
      <c r="R130" s="50"/>
      <c r="S130" s="50"/>
      <c r="T130" s="50"/>
      <c r="U130" s="50"/>
      <c r="V130" s="51"/>
      <c r="W130" s="51" t="s">
        <v>791</v>
      </c>
      <c r="X130" s="51" t="s">
        <v>792</v>
      </c>
      <c r="Y130" s="52" t="s">
        <v>793</v>
      </c>
      <c r="Z130" s="51" t="s">
        <v>100</v>
      </c>
      <c r="AA130" s="50"/>
      <c r="AB130" s="50">
        <v>1.0</v>
      </c>
      <c r="AC130" s="50"/>
      <c r="AD130" s="50">
        <v>1.0</v>
      </c>
      <c r="AE130" s="50"/>
      <c r="AF130" s="50"/>
      <c r="AG130" s="50"/>
      <c r="AH130" s="51" t="s">
        <v>794</v>
      </c>
      <c r="AI130" s="51">
        <v>1.0</v>
      </c>
      <c r="AJ130" s="52">
        <v>1.0</v>
      </c>
      <c r="AK130" s="52">
        <v>1.0</v>
      </c>
      <c r="AL130" s="52">
        <v>1.0</v>
      </c>
      <c r="AM130" s="52">
        <v>1.0</v>
      </c>
      <c r="AN130" s="51"/>
      <c r="AO130" s="51"/>
      <c r="AP130" s="51"/>
      <c r="AQ130" s="51"/>
      <c r="AR130" s="51"/>
      <c r="AS130" s="51"/>
      <c r="AT130" s="51"/>
      <c r="AU130" s="52">
        <v>1.0</v>
      </c>
      <c r="AV130" s="51"/>
      <c r="AW130" s="51"/>
      <c r="AX130" s="51"/>
      <c r="AY130" s="51"/>
      <c r="AZ130" s="51"/>
      <c r="BA130" s="51"/>
      <c r="BB130" s="51"/>
      <c r="BC130" s="51"/>
      <c r="BD130" s="51"/>
      <c r="BE130" s="51"/>
      <c r="BF130" s="51"/>
      <c r="BG130" s="51"/>
      <c r="BH130" s="51"/>
      <c r="BI130" s="51"/>
      <c r="BJ130" s="51"/>
      <c r="BK130" s="51"/>
      <c r="BL130" s="51"/>
      <c r="BM130" s="51"/>
      <c r="BN130" s="51"/>
      <c r="BO130" s="52">
        <v>1.0</v>
      </c>
      <c r="BP130" s="51"/>
      <c r="BQ130" s="51"/>
      <c r="BR130" s="51"/>
      <c r="BS130" s="52">
        <v>1.0</v>
      </c>
      <c r="BT130" s="51"/>
      <c r="BU130" s="51"/>
      <c r="BV130" s="51"/>
      <c r="BW130" s="51"/>
      <c r="BX130" s="51"/>
      <c r="BY130" s="52">
        <v>1.0</v>
      </c>
      <c r="BZ130" s="51"/>
    </row>
    <row r="131" ht="12.75" customHeight="1">
      <c r="A131" s="46" t="s">
        <v>108</v>
      </c>
      <c r="B131" s="56" t="str">
        <f>HYPERLINK("https://drive.google.com/open?id=0B3oar8-GeP-IQ1JMc0pkN29KR2c","Murphy2010")</f>
        <v>Murphy2010</v>
      </c>
      <c r="C131" s="55" t="s">
        <v>795</v>
      </c>
      <c r="D131" s="55" t="s">
        <v>796</v>
      </c>
      <c r="E131" s="49">
        <v>2010.0</v>
      </c>
      <c r="F131" s="50"/>
      <c r="G131" s="50"/>
      <c r="H131" s="50">
        <v>1.0</v>
      </c>
      <c r="I131" s="50">
        <v>1.0</v>
      </c>
      <c r="J131" s="50"/>
      <c r="K131" s="50"/>
      <c r="L131" s="50"/>
      <c r="M131" s="50"/>
      <c r="N131" s="50">
        <v>1.0</v>
      </c>
      <c r="O131" s="50"/>
      <c r="P131" s="50"/>
      <c r="Q131" s="50"/>
      <c r="R131" s="50"/>
      <c r="S131" s="50"/>
      <c r="T131" s="50"/>
      <c r="U131" s="50"/>
      <c r="V131" s="48"/>
      <c r="W131" s="48" t="s">
        <v>797</v>
      </c>
      <c r="X131" s="48"/>
      <c r="Y131" s="48"/>
      <c r="Z131" s="48" t="s">
        <v>798</v>
      </c>
      <c r="AA131" s="50">
        <v>1.0</v>
      </c>
      <c r="AB131" s="50"/>
      <c r="AC131" s="50"/>
      <c r="AD131" s="50"/>
      <c r="AE131" s="50"/>
      <c r="AF131" s="50"/>
      <c r="AG131" s="50">
        <v>1.0</v>
      </c>
      <c r="AH131" s="51" t="s">
        <v>799</v>
      </c>
      <c r="AI131" s="51">
        <v>1.0</v>
      </c>
      <c r="AJ131" s="51"/>
      <c r="AK131" s="51"/>
      <c r="AL131" s="51"/>
      <c r="AM131" s="51"/>
      <c r="AN131" s="51"/>
      <c r="AO131" s="51"/>
      <c r="AP131" s="51"/>
      <c r="AQ131" s="51"/>
      <c r="AR131" s="51">
        <v>1.0</v>
      </c>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row>
    <row r="132" ht="12.75" customHeight="1">
      <c r="A132" s="46" t="s">
        <v>88</v>
      </c>
      <c r="B132" s="53" t="str">
        <f>HYPERLINK("https://drive.google.com/open?id=0B00cIHsghs6USUNMRXIwMWdLaHc","Mustafa2010")</f>
        <v>Mustafa2010</v>
      </c>
      <c r="C132" s="48" t="s">
        <v>800</v>
      </c>
      <c r="D132" s="48" t="s">
        <v>801</v>
      </c>
      <c r="E132" s="49">
        <v>2010.0</v>
      </c>
      <c r="F132" s="50"/>
      <c r="G132" s="50">
        <v>1.0</v>
      </c>
      <c r="H132" s="50"/>
      <c r="I132" s="50"/>
      <c r="J132" s="50"/>
      <c r="K132" s="50"/>
      <c r="L132" s="50"/>
      <c r="M132" s="50"/>
      <c r="N132" s="50"/>
      <c r="O132" s="50"/>
      <c r="P132" s="50"/>
      <c r="Q132" s="50"/>
      <c r="R132" s="50"/>
      <c r="S132" s="50"/>
      <c r="T132" s="50"/>
      <c r="U132" s="50"/>
      <c r="V132" s="51" t="s">
        <v>802</v>
      </c>
      <c r="W132" s="51" t="s">
        <v>803</v>
      </c>
      <c r="X132" s="51" t="s">
        <v>804</v>
      </c>
      <c r="Y132" s="51" t="s">
        <v>805</v>
      </c>
      <c r="Z132" s="51" t="s">
        <v>100</v>
      </c>
      <c r="AA132" s="50">
        <v>1.0</v>
      </c>
      <c r="AB132" s="50"/>
      <c r="AC132" s="50"/>
      <c r="AD132" s="50">
        <v>1.0</v>
      </c>
      <c r="AE132" s="50"/>
      <c r="AF132" s="50"/>
      <c r="AG132" s="50"/>
      <c r="AH132" s="51" t="s">
        <v>806</v>
      </c>
      <c r="AI132" s="51">
        <v>1.0</v>
      </c>
      <c r="AJ132" s="51"/>
      <c r="AK132" s="51"/>
      <c r="AL132" s="51"/>
      <c r="AM132" s="51"/>
      <c r="AN132" s="51"/>
      <c r="AO132" s="51">
        <v>1.0</v>
      </c>
      <c r="AP132" s="51"/>
      <c r="AQ132" s="51"/>
      <c r="AR132" s="51"/>
      <c r="AS132" s="51">
        <v>1.0</v>
      </c>
      <c r="AT132" s="51">
        <v>1.0</v>
      </c>
      <c r="AU132" s="51"/>
      <c r="AV132" s="51"/>
      <c r="AW132" s="51"/>
      <c r="AX132" s="51"/>
      <c r="AY132" s="51"/>
      <c r="AZ132" s="51"/>
      <c r="BA132" s="51"/>
      <c r="BB132" s="51"/>
      <c r="BC132" s="51"/>
      <c r="BD132" s="51"/>
      <c r="BE132" s="51"/>
      <c r="BF132" s="51"/>
      <c r="BG132" s="51"/>
      <c r="BH132" s="51"/>
      <c r="BI132" s="51">
        <v>1.0</v>
      </c>
      <c r="BJ132" s="51"/>
      <c r="BK132" s="51"/>
      <c r="BL132" s="51"/>
      <c r="BM132" s="51"/>
      <c r="BN132" s="51"/>
      <c r="BO132" s="51"/>
      <c r="BP132" s="51"/>
      <c r="BQ132" s="51"/>
      <c r="BR132" s="51"/>
      <c r="BS132" s="51"/>
      <c r="BT132" s="51"/>
      <c r="BU132" s="51"/>
      <c r="BV132" s="51"/>
      <c r="BW132" s="51">
        <v>1.0</v>
      </c>
      <c r="BX132" s="51"/>
      <c r="BY132" s="51"/>
      <c r="BZ132" s="51"/>
    </row>
    <row r="133" ht="12.75" customHeight="1">
      <c r="A133" s="46" t="s">
        <v>116</v>
      </c>
      <c r="B133" s="54" t="str">
        <f>HYPERLINK("https://drive.google.com/open?id=0B1GMAYMj9v6rNkJYWGVjeGZ1TnM","Nelson2008")</f>
        <v>Nelson2008</v>
      </c>
      <c r="C133" s="55" t="s">
        <v>807</v>
      </c>
      <c r="D133" s="55" t="s">
        <v>321</v>
      </c>
      <c r="E133" s="49">
        <v>2008.0</v>
      </c>
      <c r="F133" s="50"/>
      <c r="G133" s="50"/>
      <c r="H133" s="50"/>
      <c r="I133" s="50">
        <v>1.0</v>
      </c>
      <c r="J133" s="50"/>
      <c r="K133" s="50"/>
      <c r="L133" s="50"/>
      <c r="M133" s="50"/>
      <c r="N133" s="50"/>
      <c r="O133" s="50"/>
      <c r="P133" s="50"/>
      <c r="Q133" s="50">
        <v>1.0</v>
      </c>
      <c r="R133" s="50"/>
      <c r="S133" s="50"/>
      <c r="T133" s="50"/>
      <c r="U133" s="50"/>
      <c r="V133" s="51" t="s">
        <v>808</v>
      </c>
      <c r="W133" s="51"/>
      <c r="X133" s="51" t="s">
        <v>809</v>
      </c>
      <c r="Y133" s="51" t="s">
        <v>810</v>
      </c>
      <c r="Z133" s="51" t="s">
        <v>811</v>
      </c>
      <c r="AA133" s="50"/>
      <c r="AB133" s="50">
        <v>1.0</v>
      </c>
      <c r="AC133" s="50"/>
      <c r="AD133" s="50">
        <v>1.0</v>
      </c>
      <c r="AE133" s="50"/>
      <c r="AF133" s="50"/>
      <c r="AG133" s="50"/>
      <c r="AH133" s="51" t="s">
        <v>812</v>
      </c>
      <c r="AI133" s="51">
        <v>1.0</v>
      </c>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2">
        <v>1.0</v>
      </c>
      <c r="BJ133" s="51"/>
      <c r="BK133" s="51"/>
      <c r="BL133" s="52">
        <v>1.0</v>
      </c>
      <c r="BM133" s="51"/>
      <c r="BN133" s="51"/>
      <c r="BO133" s="51"/>
      <c r="BP133" s="51"/>
      <c r="BQ133" s="51"/>
      <c r="BR133" s="51"/>
      <c r="BS133" s="51"/>
      <c r="BT133" s="51"/>
      <c r="BU133" s="51"/>
      <c r="BV133" s="51"/>
      <c r="BW133" s="51"/>
      <c r="BX133" s="51"/>
      <c r="BY133" s="51">
        <v>1.0</v>
      </c>
      <c r="BZ133" s="51"/>
    </row>
    <row r="134" ht="12.75" customHeight="1">
      <c r="A134" s="46" t="s">
        <v>108</v>
      </c>
      <c r="B134" s="56" t="str">
        <f>HYPERLINK("http://www.daniela.ece.ufl.edu/Research_files/acsac14.pdf","Oliveira2014")</f>
        <v>Oliveira2014</v>
      </c>
      <c r="C134" s="55" t="s">
        <v>813</v>
      </c>
      <c r="D134" s="55" t="s">
        <v>278</v>
      </c>
      <c r="E134" s="49">
        <v>2014.0</v>
      </c>
      <c r="F134" s="50"/>
      <c r="G134" s="50"/>
      <c r="H134" s="50">
        <v>1.0</v>
      </c>
      <c r="I134" s="50">
        <v>1.0</v>
      </c>
      <c r="J134" s="50"/>
      <c r="K134" s="50"/>
      <c r="L134" s="50"/>
      <c r="M134" s="50"/>
      <c r="N134" s="50"/>
      <c r="O134" s="50"/>
      <c r="P134" s="50"/>
      <c r="Q134" s="50"/>
      <c r="R134" s="50"/>
      <c r="S134" s="50"/>
      <c r="T134" s="50"/>
      <c r="U134" s="50"/>
      <c r="V134" s="48" t="s">
        <v>814</v>
      </c>
      <c r="W134" s="74" t="s">
        <v>815</v>
      </c>
      <c r="X134" s="48" t="s">
        <v>221</v>
      </c>
      <c r="Y134" s="48" t="s">
        <v>816</v>
      </c>
      <c r="Z134" s="48"/>
      <c r="AA134" s="50">
        <v>1.0</v>
      </c>
      <c r="AB134" s="50">
        <v>1.0</v>
      </c>
      <c r="AC134" s="50"/>
      <c r="AD134" s="50">
        <v>1.0</v>
      </c>
      <c r="AE134" s="50"/>
      <c r="AF134" s="50"/>
      <c r="AG134" s="50"/>
      <c r="AH134" s="51" t="s">
        <v>817</v>
      </c>
      <c r="AI134" s="51">
        <v>1.0</v>
      </c>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v>1.0</v>
      </c>
      <c r="BH134" s="51"/>
      <c r="BI134" s="51"/>
      <c r="BJ134" s="51"/>
      <c r="BK134" s="51"/>
      <c r="BL134" s="51"/>
      <c r="BM134" s="51"/>
      <c r="BN134" s="51"/>
      <c r="BO134" s="51"/>
      <c r="BP134" s="51"/>
      <c r="BQ134" s="51"/>
      <c r="BR134" s="51"/>
      <c r="BS134" s="51">
        <v>1.0</v>
      </c>
      <c r="BT134" s="51"/>
      <c r="BU134" s="51"/>
      <c r="BV134" s="51"/>
      <c r="BW134" s="51"/>
      <c r="BX134" s="51"/>
      <c r="BY134" s="51"/>
      <c r="BZ134" s="51"/>
    </row>
    <row r="135" ht="12.75" customHeight="1">
      <c r="A135" s="46" t="s">
        <v>124</v>
      </c>
      <c r="B135" s="68" t="str">
        <f>HYPERLINK("https://drive.google.com/open?id=1kBDjIrzMdowIpZ06SFOC0yiXXUKwL1wy","Parnin2011")</f>
        <v>Parnin2011</v>
      </c>
      <c r="C135" s="48" t="s">
        <v>818</v>
      </c>
      <c r="D135" s="48" t="s">
        <v>819</v>
      </c>
      <c r="E135" s="49">
        <v>2011.0</v>
      </c>
      <c r="F135" s="50"/>
      <c r="G135" s="50"/>
      <c r="H135" s="50"/>
      <c r="I135" s="50">
        <v>1.0</v>
      </c>
      <c r="J135" s="50"/>
      <c r="K135" s="50"/>
      <c r="L135" s="50"/>
      <c r="M135" s="50"/>
      <c r="N135" s="50"/>
      <c r="O135" s="50"/>
      <c r="P135" s="50"/>
      <c r="Q135" s="50"/>
      <c r="R135" s="50"/>
      <c r="S135" s="50"/>
      <c r="T135" s="50"/>
      <c r="U135" s="50"/>
      <c r="V135" s="48"/>
      <c r="W135" s="48" t="s">
        <v>820</v>
      </c>
      <c r="X135" s="48" t="s">
        <v>821</v>
      </c>
      <c r="Y135" s="48" t="s">
        <v>822</v>
      </c>
      <c r="Z135" s="48" t="s">
        <v>823</v>
      </c>
      <c r="AA135" s="50"/>
      <c r="AB135" s="50"/>
      <c r="AC135" s="50">
        <v>1.0</v>
      </c>
      <c r="AD135" s="50"/>
      <c r="AE135" s="50"/>
      <c r="AF135" s="50"/>
      <c r="AG135" s="50"/>
      <c r="AH135" s="59"/>
      <c r="AI135" s="51">
        <v>1.0</v>
      </c>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2">
        <v>1.0</v>
      </c>
      <c r="BF135" s="51"/>
      <c r="BG135" s="51"/>
      <c r="BH135" s="51"/>
      <c r="BI135" s="52">
        <v>1.0</v>
      </c>
      <c r="BJ135" s="51"/>
      <c r="BK135" s="51"/>
      <c r="BL135" s="51"/>
      <c r="BM135" s="51"/>
      <c r="BN135" s="51"/>
      <c r="BO135" s="51"/>
      <c r="BP135" s="51"/>
      <c r="BQ135" s="51"/>
      <c r="BR135" s="51"/>
      <c r="BS135" s="51"/>
      <c r="BT135" s="51"/>
      <c r="BU135" s="51"/>
      <c r="BV135" s="51"/>
      <c r="BW135" s="51"/>
      <c r="BX135" s="51">
        <v>1.0</v>
      </c>
      <c r="BY135" s="51"/>
      <c r="BZ135" s="51"/>
    </row>
    <row r="136" ht="12.75" customHeight="1">
      <c r="A136" s="46" t="s">
        <v>124</v>
      </c>
      <c r="B136" s="67" t="str">
        <f>HYPERLINK("https://drive.google.com/open?id=19ek5m2izjsmBT3dJ6RcXtPcUxd9VYEx8","Parnin2012")</f>
        <v>Parnin2012</v>
      </c>
      <c r="C136" s="48" t="s">
        <v>824</v>
      </c>
      <c r="D136" s="48" t="s">
        <v>819</v>
      </c>
      <c r="E136" s="49">
        <v>2012.0</v>
      </c>
      <c r="F136" s="50"/>
      <c r="G136" s="50"/>
      <c r="H136" s="50"/>
      <c r="I136" s="50">
        <v>1.0</v>
      </c>
      <c r="J136" s="50"/>
      <c r="K136" s="50"/>
      <c r="L136" s="50"/>
      <c r="M136" s="50"/>
      <c r="N136" s="50"/>
      <c r="O136" s="50"/>
      <c r="P136" s="50"/>
      <c r="Q136" s="50"/>
      <c r="R136" s="50"/>
      <c r="S136" s="50"/>
      <c r="T136" s="50"/>
      <c r="U136" s="50"/>
      <c r="V136" s="48" t="s">
        <v>825</v>
      </c>
      <c r="W136" s="48" t="s">
        <v>826</v>
      </c>
      <c r="X136" s="48"/>
      <c r="Y136" s="48"/>
      <c r="Z136" s="48" t="s">
        <v>827</v>
      </c>
      <c r="AA136" s="50"/>
      <c r="AB136" s="50"/>
      <c r="AC136" s="50">
        <v>1.0</v>
      </c>
      <c r="AD136" s="50"/>
      <c r="AE136" s="50"/>
      <c r="AF136" s="50"/>
      <c r="AG136" s="50"/>
      <c r="AH136" s="59"/>
      <c r="AI136" s="51">
        <v>1.0</v>
      </c>
      <c r="AJ136" s="51"/>
      <c r="AK136" s="51"/>
      <c r="AL136" s="51"/>
      <c r="AM136" s="51"/>
      <c r="AN136" s="51">
        <v>1.0</v>
      </c>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row>
    <row r="137" ht="12.75" customHeight="1">
      <c r="A137" s="46" t="s">
        <v>124</v>
      </c>
      <c r="B137" s="68" t="str">
        <f>HYPERLINK("https://drive.google.com/open?id=1Rb-D34Yj2spHsoKkO0qsS3UEQdlDN96q","Parsons2004")</f>
        <v>Parsons2004</v>
      </c>
      <c r="C137" s="48" t="s">
        <v>828</v>
      </c>
      <c r="D137" s="48" t="s">
        <v>829</v>
      </c>
      <c r="E137" s="49">
        <v>2004.0</v>
      </c>
      <c r="F137" s="50"/>
      <c r="G137" s="50"/>
      <c r="H137" s="50">
        <v>1.0</v>
      </c>
      <c r="I137" s="50">
        <v>1.0</v>
      </c>
      <c r="J137" s="50"/>
      <c r="K137" s="50"/>
      <c r="L137" s="50"/>
      <c r="M137" s="50"/>
      <c r="N137" s="50"/>
      <c r="O137" s="50"/>
      <c r="P137" s="50"/>
      <c r="Q137" s="50"/>
      <c r="R137" s="50"/>
      <c r="S137" s="50"/>
      <c r="T137" s="50"/>
      <c r="U137" s="50"/>
      <c r="V137" s="48"/>
      <c r="W137" s="48" t="s">
        <v>830</v>
      </c>
      <c r="X137" s="48" t="s">
        <v>831</v>
      </c>
      <c r="Y137" s="69" t="s">
        <v>832</v>
      </c>
      <c r="Z137" s="48" t="s">
        <v>833</v>
      </c>
      <c r="AA137" s="50"/>
      <c r="AB137" s="50"/>
      <c r="AC137" s="50"/>
      <c r="AD137" s="50">
        <v>1.0</v>
      </c>
      <c r="AE137" s="50"/>
      <c r="AF137" s="50"/>
      <c r="AG137" s="50"/>
      <c r="AH137" s="59"/>
      <c r="AI137" s="51">
        <v>1.0</v>
      </c>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2">
        <v>1.0</v>
      </c>
      <c r="BX137" s="51"/>
      <c r="BY137" s="51"/>
      <c r="BZ137" s="51"/>
    </row>
    <row r="138" ht="12.75" customHeight="1">
      <c r="A138" s="46" t="s">
        <v>116</v>
      </c>
      <c r="B138" s="56" t="str">
        <f>HYPERLINK("https://drive.google.com/open?id=0B1GMAYMj9v6reUtQU0ZFWDNOMUk","Parviainen2014")</f>
        <v>Parviainen2014</v>
      </c>
      <c r="C138" s="55" t="s">
        <v>834</v>
      </c>
      <c r="D138" s="55" t="s">
        <v>835</v>
      </c>
      <c r="E138" s="49">
        <v>2014.0</v>
      </c>
      <c r="F138" s="50"/>
      <c r="G138" s="50"/>
      <c r="H138" s="50"/>
      <c r="I138" s="50"/>
      <c r="J138" s="50"/>
      <c r="K138" s="50"/>
      <c r="L138" s="50"/>
      <c r="M138" s="50"/>
      <c r="N138" s="50"/>
      <c r="O138" s="50"/>
      <c r="P138" s="50"/>
      <c r="Q138" s="50">
        <v>1.0</v>
      </c>
      <c r="R138" s="50">
        <v>1.0</v>
      </c>
      <c r="S138" s="50"/>
      <c r="T138" s="50"/>
      <c r="U138" s="50"/>
      <c r="V138" s="51" t="s">
        <v>836</v>
      </c>
      <c r="W138" s="51" t="s">
        <v>71</v>
      </c>
      <c r="X138" s="51" t="s">
        <v>837</v>
      </c>
      <c r="Y138" s="51" t="s">
        <v>838</v>
      </c>
      <c r="Z138" s="51" t="s">
        <v>122</v>
      </c>
      <c r="AA138" s="50"/>
      <c r="AB138" s="50">
        <v>1.0</v>
      </c>
      <c r="AC138" s="50"/>
      <c r="AD138" s="50">
        <v>1.0</v>
      </c>
      <c r="AE138" s="50"/>
      <c r="AF138" s="50"/>
      <c r="AG138" s="50"/>
      <c r="AH138" s="51" t="s">
        <v>839</v>
      </c>
      <c r="AI138" s="51">
        <v>1.0</v>
      </c>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v>1.0</v>
      </c>
      <c r="BJ138" s="51"/>
      <c r="BK138" s="51"/>
      <c r="BL138" s="51"/>
      <c r="BM138" s="51"/>
      <c r="BN138" s="51"/>
      <c r="BO138" s="51"/>
      <c r="BP138" s="51"/>
      <c r="BQ138" s="51"/>
      <c r="BR138" s="51"/>
      <c r="BS138" s="51">
        <v>1.0</v>
      </c>
      <c r="BT138" s="51"/>
      <c r="BU138" s="51"/>
      <c r="BV138" s="51"/>
      <c r="BW138" s="51"/>
      <c r="BX138" s="51"/>
      <c r="BY138" s="51"/>
      <c r="BZ138" s="51"/>
    </row>
    <row r="139" ht="12.75" customHeight="1">
      <c r="A139" s="46" t="s">
        <v>88</v>
      </c>
      <c r="B139" s="53" t="str">
        <f>HYPERLINK("https://drive.google.com/open?id=0B00cIHsghs6UaXhwRXYzemh3SEk","Peng2011")</f>
        <v>Peng2011</v>
      </c>
      <c r="C139" s="55" t="s">
        <v>840</v>
      </c>
      <c r="D139" s="55" t="s">
        <v>841</v>
      </c>
      <c r="E139" s="49">
        <v>2011.0</v>
      </c>
      <c r="F139" s="72"/>
      <c r="G139" s="50"/>
      <c r="H139" s="50">
        <v>1.0</v>
      </c>
      <c r="I139" s="50">
        <v>1.0</v>
      </c>
      <c r="J139" s="50"/>
      <c r="K139" s="50"/>
      <c r="L139" s="50"/>
      <c r="M139" s="50">
        <v>1.0</v>
      </c>
      <c r="N139" s="50"/>
      <c r="O139" s="50"/>
      <c r="P139" s="50"/>
      <c r="Q139" s="50"/>
      <c r="R139" s="50"/>
      <c r="S139" s="50"/>
      <c r="T139" s="50"/>
      <c r="U139" s="50"/>
      <c r="V139" s="51"/>
      <c r="W139" s="51" t="s">
        <v>842</v>
      </c>
      <c r="X139" s="51" t="s">
        <v>842</v>
      </c>
      <c r="Y139" s="51" t="s">
        <v>843</v>
      </c>
      <c r="Z139" s="51" t="s">
        <v>844</v>
      </c>
      <c r="AA139" s="50"/>
      <c r="AB139" s="50"/>
      <c r="AC139" s="50"/>
      <c r="AD139" s="50">
        <v>1.0</v>
      </c>
      <c r="AE139" s="50"/>
      <c r="AF139" s="50"/>
      <c r="AG139" s="50"/>
      <c r="AH139" s="51" t="s">
        <v>845</v>
      </c>
      <c r="AI139" s="51">
        <v>1.0</v>
      </c>
      <c r="AJ139" s="51"/>
      <c r="AK139" s="51"/>
      <c r="AL139" s="51"/>
      <c r="AM139" s="51"/>
      <c r="AN139" s="51"/>
      <c r="AO139" s="51"/>
      <c r="AP139" s="51"/>
      <c r="AQ139" s="51"/>
      <c r="AR139" s="51">
        <v>1.0</v>
      </c>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v>1.0</v>
      </c>
      <c r="BW139" s="51"/>
      <c r="BX139" s="51"/>
      <c r="BY139" s="51"/>
      <c r="BZ139" s="51"/>
    </row>
    <row r="140" ht="12.75" customHeight="1">
      <c r="A140" s="46" t="s">
        <v>124</v>
      </c>
      <c r="B140" s="68" t="str">
        <f>HYPERLINK("https://drive.google.com/open?id=1TIoKe6tCHz-e-Sw0Rr0kK_5E5wk4i8cn","Pennington1987a")</f>
        <v>Pennington1987a</v>
      </c>
      <c r="C140" s="48" t="s">
        <v>846</v>
      </c>
      <c r="D140" s="48" t="s">
        <v>733</v>
      </c>
      <c r="E140" s="49">
        <v>1987.0</v>
      </c>
      <c r="F140" s="50"/>
      <c r="G140" s="50"/>
      <c r="H140" s="50"/>
      <c r="I140" s="50">
        <v>1.0</v>
      </c>
      <c r="J140" s="50"/>
      <c r="K140" s="50"/>
      <c r="L140" s="50"/>
      <c r="M140" s="50"/>
      <c r="N140" s="50"/>
      <c r="O140" s="50"/>
      <c r="P140" s="50"/>
      <c r="Q140" s="50"/>
      <c r="R140" s="50"/>
      <c r="S140" s="50"/>
      <c r="T140" s="50"/>
      <c r="U140" s="50"/>
      <c r="V140" s="48"/>
      <c r="W140" s="48" t="s">
        <v>847</v>
      </c>
      <c r="X140" s="48" t="s">
        <v>848</v>
      </c>
      <c r="Y140" s="69" t="s">
        <v>849</v>
      </c>
      <c r="Z140" s="48" t="s">
        <v>850</v>
      </c>
      <c r="AA140" s="50"/>
      <c r="AB140" s="50"/>
      <c r="AC140" s="50"/>
      <c r="AD140" s="50">
        <v>1.0</v>
      </c>
      <c r="AE140" s="50"/>
      <c r="AF140" s="50"/>
      <c r="AG140" s="50"/>
      <c r="AH140" s="59"/>
      <c r="AI140" s="51">
        <v>1.0</v>
      </c>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v>1.0</v>
      </c>
      <c r="BJ140" s="51"/>
      <c r="BK140" s="51"/>
      <c r="BL140" s="51"/>
      <c r="BM140" s="51"/>
      <c r="BN140" s="51"/>
      <c r="BO140" s="51"/>
      <c r="BP140" s="51"/>
      <c r="BQ140" s="51"/>
      <c r="BR140" s="51"/>
      <c r="BS140" s="51"/>
      <c r="BT140" s="51"/>
      <c r="BU140" s="51"/>
      <c r="BV140" s="51"/>
      <c r="BW140" s="52">
        <v>1.0</v>
      </c>
      <c r="BX140" s="51"/>
      <c r="BY140" s="51"/>
      <c r="BZ140" s="51"/>
    </row>
    <row r="141" ht="12.75" customHeight="1">
      <c r="A141" s="46" t="s">
        <v>88</v>
      </c>
      <c r="B141" s="53" t="str">
        <f>HYPERLINK("https://drive.google.com/open?id=1ozJJ0g5boxpDjw1Z_n2fESt5PP_mPeYg","Pennington1995")</f>
        <v>Pennington1995</v>
      </c>
      <c r="C141" s="48" t="s">
        <v>851</v>
      </c>
      <c r="D141" s="65" t="s">
        <v>852</v>
      </c>
      <c r="E141" s="49">
        <v>1995.0</v>
      </c>
      <c r="F141" s="50"/>
      <c r="G141" s="50"/>
      <c r="H141" s="50">
        <v>1.0</v>
      </c>
      <c r="I141" s="50"/>
      <c r="J141" s="50"/>
      <c r="K141" s="50"/>
      <c r="L141" s="50"/>
      <c r="M141" s="50"/>
      <c r="N141" s="50"/>
      <c r="O141" s="50"/>
      <c r="P141" s="50"/>
      <c r="Q141" s="50"/>
      <c r="R141" s="50"/>
      <c r="S141" s="50"/>
      <c r="T141" s="50"/>
      <c r="U141" s="50"/>
      <c r="V141" s="51"/>
      <c r="W141" s="51" t="s">
        <v>853</v>
      </c>
      <c r="X141" s="51" t="s">
        <v>854</v>
      </c>
      <c r="Y141" s="51" t="s">
        <v>685</v>
      </c>
      <c r="Z141" s="51" t="s">
        <v>100</v>
      </c>
      <c r="AA141" s="50"/>
      <c r="AB141" s="50">
        <v>1.0</v>
      </c>
      <c r="AC141" s="50"/>
      <c r="AD141" s="50">
        <v>1.0</v>
      </c>
      <c r="AE141" s="50"/>
      <c r="AF141" s="50"/>
      <c r="AG141" s="50"/>
      <c r="AH141" s="51" t="s">
        <v>855</v>
      </c>
      <c r="AI141" s="51">
        <v>1.0</v>
      </c>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v>1.0</v>
      </c>
      <c r="BF141" s="51"/>
      <c r="BG141" s="51"/>
      <c r="BH141" s="51"/>
      <c r="BI141" s="51"/>
      <c r="BJ141" s="51"/>
      <c r="BK141" s="51"/>
      <c r="BL141" s="51"/>
      <c r="BM141" s="51"/>
      <c r="BN141" s="51"/>
      <c r="BO141" s="51"/>
      <c r="BP141" s="51"/>
      <c r="BQ141" s="51"/>
      <c r="BR141" s="51"/>
      <c r="BS141" s="51"/>
      <c r="BT141" s="51">
        <v>1.0</v>
      </c>
      <c r="BU141" s="51"/>
      <c r="BV141" s="51"/>
      <c r="BW141" s="51"/>
      <c r="BX141" s="51"/>
      <c r="BY141" s="51"/>
      <c r="BZ141" s="51"/>
    </row>
    <row r="142" ht="12.75" customHeight="1">
      <c r="A142" s="46" t="s">
        <v>88</v>
      </c>
      <c r="B142" s="53" t="str">
        <f>HYPERLINK("https://drive.google.com/open?id=1PyEN2zttEGQNpQm8RU1gjLrqYxO2nPg6","Petre1997")</f>
        <v>Petre1997</v>
      </c>
      <c r="C142" s="48" t="s">
        <v>856</v>
      </c>
      <c r="D142" s="48" t="s">
        <v>857</v>
      </c>
      <c r="E142" s="49">
        <v>1997.0</v>
      </c>
      <c r="F142" s="50"/>
      <c r="G142" s="50"/>
      <c r="H142" s="50"/>
      <c r="I142" s="50">
        <v>1.0</v>
      </c>
      <c r="J142" s="50"/>
      <c r="K142" s="50"/>
      <c r="L142" s="50"/>
      <c r="M142" s="50"/>
      <c r="N142" s="50"/>
      <c r="O142" s="50"/>
      <c r="P142" s="50"/>
      <c r="Q142" s="50"/>
      <c r="R142" s="50"/>
      <c r="S142" s="50"/>
      <c r="T142" s="50"/>
      <c r="U142" s="50"/>
      <c r="V142" s="51"/>
      <c r="W142" s="51" t="s">
        <v>858</v>
      </c>
      <c r="X142" s="51" t="s">
        <v>92</v>
      </c>
      <c r="Y142" s="51" t="s">
        <v>685</v>
      </c>
      <c r="Z142" s="51" t="s">
        <v>100</v>
      </c>
      <c r="AA142" s="50">
        <v>1.0</v>
      </c>
      <c r="AB142" s="50">
        <v>1.0</v>
      </c>
      <c r="AC142" s="50"/>
      <c r="AD142" s="50">
        <v>1.0</v>
      </c>
      <c r="AE142" s="50"/>
      <c r="AF142" s="50"/>
      <c r="AG142" s="50"/>
      <c r="AH142" s="51" t="s">
        <v>859</v>
      </c>
      <c r="AI142" s="51">
        <v>1.0</v>
      </c>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v>1.0</v>
      </c>
      <c r="BF142" s="51"/>
      <c r="BG142" s="51"/>
      <c r="BH142" s="51"/>
      <c r="BI142" s="51"/>
      <c r="BJ142" s="51"/>
      <c r="BK142" s="51"/>
      <c r="BL142" s="51"/>
      <c r="BM142" s="51"/>
      <c r="BN142" s="51"/>
      <c r="BO142" s="51"/>
      <c r="BP142" s="51"/>
      <c r="BQ142" s="51"/>
      <c r="BR142" s="51"/>
      <c r="BS142" s="51"/>
      <c r="BT142" s="51">
        <v>1.0</v>
      </c>
      <c r="BU142" s="51"/>
      <c r="BV142" s="51"/>
      <c r="BW142" s="51"/>
      <c r="BX142" s="51"/>
      <c r="BY142" s="51"/>
      <c r="BZ142" s="51"/>
    </row>
    <row r="143" ht="12.75" customHeight="1">
      <c r="A143" s="46" t="s">
        <v>88</v>
      </c>
      <c r="B143" s="53" t="str">
        <f>HYPERLINK("https://drive.google.com/open?id=1l88QivinnO-3t5cvuZv1_CWM7Fx7jYAu","Petre1999")</f>
        <v>Petre1999</v>
      </c>
      <c r="C143" s="48" t="s">
        <v>860</v>
      </c>
      <c r="D143" s="48" t="s">
        <v>861</v>
      </c>
      <c r="E143" s="49">
        <v>1999.0</v>
      </c>
      <c r="F143" s="50"/>
      <c r="G143" s="50"/>
      <c r="H143" s="50"/>
      <c r="I143" s="50">
        <v>1.0</v>
      </c>
      <c r="J143" s="50"/>
      <c r="K143" s="50"/>
      <c r="L143" s="50"/>
      <c r="M143" s="50"/>
      <c r="N143" s="50"/>
      <c r="O143" s="50"/>
      <c r="P143" s="50"/>
      <c r="Q143" s="50"/>
      <c r="R143" s="50"/>
      <c r="S143" s="50"/>
      <c r="T143" s="50"/>
      <c r="U143" s="50"/>
      <c r="V143" s="51"/>
      <c r="W143" s="51" t="s">
        <v>858</v>
      </c>
      <c r="X143" s="51" t="s">
        <v>92</v>
      </c>
      <c r="Y143" s="51" t="s">
        <v>862</v>
      </c>
      <c r="Z143" s="51" t="s">
        <v>100</v>
      </c>
      <c r="AA143" s="50">
        <v>1.0</v>
      </c>
      <c r="AB143" s="50">
        <v>1.0</v>
      </c>
      <c r="AC143" s="50"/>
      <c r="AD143" s="50">
        <v>1.0</v>
      </c>
      <c r="AE143" s="50"/>
      <c r="AF143" s="50"/>
      <c r="AG143" s="50"/>
      <c r="AH143" s="51" t="s">
        <v>863</v>
      </c>
      <c r="AI143" s="51">
        <v>1.0</v>
      </c>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v>1.0</v>
      </c>
      <c r="BF143" s="51"/>
      <c r="BG143" s="51"/>
      <c r="BH143" s="51"/>
      <c r="BI143" s="51"/>
      <c r="BJ143" s="51"/>
      <c r="BK143" s="51"/>
      <c r="BL143" s="51"/>
      <c r="BM143" s="51"/>
      <c r="BN143" s="51"/>
      <c r="BO143" s="51"/>
      <c r="BP143" s="51"/>
      <c r="BQ143" s="51"/>
      <c r="BR143" s="51"/>
      <c r="BS143" s="51"/>
      <c r="BT143" s="51">
        <v>1.0</v>
      </c>
      <c r="BU143" s="51"/>
      <c r="BV143" s="51"/>
      <c r="BW143" s="51"/>
      <c r="BX143" s="51"/>
      <c r="BY143" s="51"/>
      <c r="BZ143" s="51"/>
    </row>
    <row r="144" ht="12.75" customHeight="1">
      <c r="A144" s="46" t="s">
        <v>116</v>
      </c>
      <c r="B144" s="54" t="str">
        <f>HYPERLINK("https://drive.google.com/open?id=0B1GMAYMj9v6rdTZxdU9CSElObzA","Piri2012")</f>
        <v>Piri2012</v>
      </c>
      <c r="C144" s="55" t="s">
        <v>864</v>
      </c>
      <c r="D144" s="55" t="s">
        <v>865</v>
      </c>
      <c r="E144" s="49">
        <v>2012.0</v>
      </c>
      <c r="F144" s="50"/>
      <c r="G144" s="50"/>
      <c r="H144" s="50"/>
      <c r="I144" s="50"/>
      <c r="J144" s="50"/>
      <c r="K144" s="50"/>
      <c r="L144" s="50"/>
      <c r="M144" s="50">
        <v>1.0</v>
      </c>
      <c r="N144" s="50"/>
      <c r="O144" s="50"/>
      <c r="P144" s="50"/>
      <c r="Q144" s="50">
        <v>1.0</v>
      </c>
      <c r="R144" s="50">
        <v>1.0</v>
      </c>
      <c r="S144" s="50"/>
      <c r="T144" s="50"/>
      <c r="U144" s="50"/>
      <c r="V144" s="60"/>
      <c r="W144" s="51" t="s">
        <v>745</v>
      </c>
      <c r="X144" s="51" t="s">
        <v>563</v>
      </c>
      <c r="Y144" s="51" t="s">
        <v>121</v>
      </c>
      <c r="Z144" s="51" t="s">
        <v>866</v>
      </c>
      <c r="AA144" s="50"/>
      <c r="AB144" s="50">
        <v>1.0</v>
      </c>
      <c r="AC144" s="50"/>
      <c r="AD144" s="50">
        <v>1.0</v>
      </c>
      <c r="AE144" s="50"/>
      <c r="AF144" s="50"/>
      <c r="AG144" s="50"/>
      <c r="AH144" s="51" t="s">
        <v>867</v>
      </c>
      <c r="AI144" s="51">
        <v>1.0</v>
      </c>
      <c r="AJ144" s="51"/>
      <c r="AK144" s="51"/>
      <c r="AL144" s="51"/>
      <c r="AM144" s="51"/>
      <c r="AN144" s="51"/>
      <c r="AO144" s="51"/>
      <c r="AP144" s="51"/>
      <c r="AQ144" s="51"/>
      <c r="AR144" s="51"/>
      <c r="AS144" s="51"/>
      <c r="AT144" s="51"/>
      <c r="AU144" s="51"/>
      <c r="AV144" s="51"/>
      <c r="AW144" s="51"/>
      <c r="AX144" s="51"/>
      <c r="AY144" s="51"/>
      <c r="AZ144" s="51"/>
      <c r="BA144" s="51"/>
      <c r="BB144" s="51"/>
      <c r="BC144" s="52">
        <v>1.0</v>
      </c>
      <c r="BD144" s="51"/>
      <c r="BE144" s="51"/>
      <c r="BF144" s="51"/>
      <c r="BG144" s="51"/>
      <c r="BH144" s="51"/>
      <c r="BI144" s="51"/>
      <c r="BJ144" s="51"/>
      <c r="BK144" s="51"/>
      <c r="BL144" s="51"/>
      <c r="BM144" s="52">
        <v>1.0</v>
      </c>
      <c r="BN144" s="51"/>
      <c r="BO144" s="51"/>
      <c r="BP144" s="51"/>
      <c r="BQ144" s="51"/>
      <c r="BR144" s="51"/>
      <c r="BS144" s="51">
        <v>1.0</v>
      </c>
      <c r="BT144" s="51"/>
      <c r="BU144" s="51"/>
      <c r="BV144" s="51"/>
      <c r="BW144" s="51"/>
      <c r="BX144" s="51"/>
      <c r="BY144" s="51"/>
      <c r="BZ144" s="51"/>
    </row>
    <row r="145" ht="12.75" customHeight="1">
      <c r="A145" s="46" t="s">
        <v>124</v>
      </c>
      <c r="B145" s="56" t="str">
        <f>HYPERLINK("https://drive.google.com/open?id=0B00cIHsghs6UbXdvMmsxY0RMY0E","Potts1999")</f>
        <v>Potts1999</v>
      </c>
      <c r="C145" s="55" t="s">
        <v>868</v>
      </c>
      <c r="D145" s="55" t="s">
        <v>688</v>
      </c>
      <c r="E145" s="57">
        <v>1999.0</v>
      </c>
      <c r="F145" s="58"/>
      <c r="G145" s="50">
        <v>1.0</v>
      </c>
      <c r="H145" s="50"/>
      <c r="I145" s="50"/>
      <c r="J145" s="50"/>
      <c r="K145" s="50"/>
      <c r="L145" s="50"/>
      <c r="M145" s="50"/>
      <c r="N145" s="50"/>
      <c r="O145" s="50"/>
      <c r="P145" s="50"/>
      <c r="Q145" s="50"/>
      <c r="R145" s="50"/>
      <c r="S145" s="50"/>
      <c r="T145" s="50"/>
      <c r="U145" s="50"/>
      <c r="V145" s="48" t="s">
        <v>869</v>
      </c>
      <c r="W145" s="48"/>
      <c r="X145" s="48"/>
      <c r="Y145" s="48"/>
      <c r="Z145" s="48" t="s">
        <v>870</v>
      </c>
      <c r="AA145" s="50"/>
      <c r="AB145" s="50"/>
      <c r="AC145" s="50">
        <v>1.0</v>
      </c>
      <c r="AD145" s="50"/>
      <c r="AE145" s="50"/>
      <c r="AF145" s="50"/>
      <c r="AG145" s="50"/>
      <c r="AH145" s="59"/>
      <c r="AI145" s="51">
        <v>1.0</v>
      </c>
      <c r="AJ145" s="51"/>
      <c r="AK145" s="51"/>
      <c r="AL145" s="51"/>
      <c r="AM145" s="51"/>
      <c r="AN145" s="51">
        <v>1.0</v>
      </c>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row>
    <row r="146" ht="12.75" customHeight="1">
      <c r="A146" s="46" t="s">
        <v>116</v>
      </c>
      <c r="B146" s="56" t="str">
        <f>HYPERLINK("https://drive.google.com/open?id=0B1GMAYMj9v6rSTY1YWRkVjBlOVE","Ralph2011")</f>
        <v>Ralph2011</v>
      </c>
      <c r="C146" s="55" t="s">
        <v>871</v>
      </c>
      <c r="D146" s="55" t="s">
        <v>661</v>
      </c>
      <c r="E146" s="49">
        <v>2011.0</v>
      </c>
      <c r="F146" s="50"/>
      <c r="G146" s="50">
        <v>1.0</v>
      </c>
      <c r="H146" s="50">
        <v>1.0</v>
      </c>
      <c r="I146" s="50"/>
      <c r="J146" s="50"/>
      <c r="K146" s="50"/>
      <c r="L146" s="50"/>
      <c r="M146" s="50">
        <v>1.0</v>
      </c>
      <c r="N146" s="50">
        <v>1.0</v>
      </c>
      <c r="O146" s="50"/>
      <c r="P146" s="50"/>
      <c r="Q146" s="50">
        <v>1.0</v>
      </c>
      <c r="R146" s="50"/>
      <c r="S146" s="50"/>
      <c r="T146" s="50"/>
      <c r="U146" s="50"/>
      <c r="V146" s="51" t="s">
        <v>70</v>
      </c>
      <c r="W146" s="51" t="s">
        <v>872</v>
      </c>
      <c r="X146" s="51"/>
      <c r="Y146" s="51"/>
      <c r="Z146" s="51" t="s">
        <v>122</v>
      </c>
      <c r="AA146" s="50"/>
      <c r="AB146" s="50"/>
      <c r="AC146" s="50"/>
      <c r="AD146" s="50"/>
      <c r="AE146" s="50"/>
      <c r="AF146" s="50">
        <v>1.0</v>
      </c>
      <c r="AG146" s="50"/>
      <c r="AH146" s="51" t="s">
        <v>873</v>
      </c>
      <c r="AI146" s="51">
        <v>1.0</v>
      </c>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v>1.0</v>
      </c>
      <c r="BI146" s="51"/>
      <c r="BJ146" s="51"/>
      <c r="BK146" s="51"/>
      <c r="BL146" s="51"/>
      <c r="BM146" s="51"/>
      <c r="BN146" s="51"/>
      <c r="BO146" s="51"/>
      <c r="BP146" s="51"/>
      <c r="BQ146" s="51"/>
      <c r="BR146" s="51"/>
      <c r="BS146" s="51"/>
      <c r="BT146" s="51"/>
      <c r="BU146" s="51"/>
      <c r="BV146" s="51"/>
      <c r="BW146" s="51"/>
      <c r="BX146" s="51"/>
      <c r="BY146" s="51"/>
      <c r="BZ146" s="51"/>
    </row>
    <row r="147" ht="12.75" customHeight="1">
      <c r="A147" s="46" t="s">
        <v>116</v>
      </c>
      <c r="B147" s="54" t="str">
        <f>HYPERLINK("https://drive.google.com/open?id=0B1GMAYMj9v6rOTZBRmRkcUt5LWM","Ralph2016")</f>
        <v>Ralph2016</v>
      </c>
      <c r="C147" s="55" t="s">
        <v>874</v>
      </c>
      <c r="D147" s="55" t="s">
        <v>278</v>
      </c>
      <c r="E147" s="49">
        <v>2016.0</v>
      </c>
      <c r="F147" s="50"/>
      <c r="G147" s="50">
        <v>1.0</v>
      </c>
      <c r="H147" s="50">
        <v>1.0</v>
      </c>
      <c r="I147" s="50"/>
      <c r="J147" s="50"/>
      <c r="K147" s="50"/>
      <c r="L147" s="50"/>
      <c r="M147" s="50">
        <v>1.0</v>
      </c>
      <c r="N147" s="50"/>
      <c r="O147" s="50"/>
      <c r="P147" s="50"/>
      <c r="Q147" s="50">
        <v>1.0</v>
      </c>
      <c r="R147" s="50"/>
      <c r="S147" s="50"/>
      <c r="T147" s="50"/>
      <c r="U147" s="50">
        <v>1.0</v>
      </c>
      <c r="V147" s="51" t="s">
        <v>875</v>
      </c>
      <c r="W147" s="51" t="s">
        <v>876</v>
      </c>
      <c r="X147" s="51" t="s">
        <v>877</v>
      </c>
      <c r="Y147" s="51" t="s">
        <v>878</v>
      </c>
      <c r="Z147" s="51" t="s">
        <v>879</v>
      </c>
      <c r="AA147" s="50"/>
      <c r="AB147" s="50">
        <v>1.0</v>
      </c>
      <c r="AC147" s="50"/>
      <c r="AD147" s="50">
        <v>1.0</v>
      </c>
      <c r="AE147" s="50"/>
      <c r="AF147" s="50"/>
      <c r="AG147" s="50"/>
      <c r="AH147" s="51" t="s">
        <v>880</v>
      </c>
      <c r="AI147" s="51">
        <v>1.0</v>
      </c>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2">
        <v>1.0</v>
      </c>
      <c r="BH147" s="51">
        <v>1.0</v>
      </c>
      <c r="BI147" s="51"/>
      <c r="BJ147" s="51"/>
      <c r="BK147" s="51"/>
      <c r="BL147" s="51"/>
      <c r="BM147" s="51"/>
      <c r="BN147" s="51"/>
      <c r="BO147" s="51"/>
      <c r="BP147" s="51"/>
      <c r="BQ147" s="51"/>
      <c r="BR147" s="51">
        <v>1.0</v>
      </c>
      <c r="BS147" s="51"/>
      <c r="BT147" s="51"/>
      <c r="BU147" s="51"/>
      <c r="BV147" s="51"/>
      <c r="BW147" s="51"/>
      <c r="BX147" s="51"/>
      <c r="BY147" s="51"/>
      <c r="BZ147" s="51"/>
    </row>
    <row r="148" ht="12.75" customHeight="1">
      <c r="A148" s="46" t="s">
        <v>116</v>
      </c>
      <c r="B148" s="56" t="str">
        <f>HYPERLINK("https://drive.google.com/open?id=0B1GMAYMj9v6rWEhaTFdjaXFrajA","Read2011")</f>
        <v>Read2011</v>
      </c>
      <c r="C148" s="55" t="s">
        <v>881</v>
      </c>
      <c r="D148" s="55" t="s">
        <v>252</v>
      </c>
      <c r="E148" s="49">
        <v>2011.0</v>
      </c>
      <c r="F148" s="50"/>
      <c r="G148" s="50">
        <v>1.0</v>
      </c>
      <c r="H148" s="50"/>
      <c r="I148" s="50"/>
      <c r="J148" s="50"/>
      <c r="K148" s="50"/>
      <c r="L148" s="50"/>
      <c r="M148" s="50">
        <v>1.0</v>
      </c>
      <c r="N148" s="50">
        <v>1.0</v>
      </c>
      <c r="O148" s="50"/>
      <c r="P148" s="50"/>
      <c r="Q148" s="50">
        <v>1.0</v>
      </c>
      <c r="R148" s="50"/>
      <c r="S148" s="50"/>
      <c r="T148" s="50"/>
      <c r="U148" s="50"/>
      <c r="V148" s="51" t="s">
        <v>882</v>
      </c>
      <c r="W148" s="51"/>
      <c r="X148" s="51" t="s">
        <v>883</v>
      </c>
      <c r="Y148" s="51" t="s">
        <v>884</v>
      </c>
      <c r="Z148" s="51" t="s">
        <v>885</v>
      </c>
      <c r="AA148" s="50"/>
      <c r="AB148" s="50">
        <v>1.0</v>
      </c>
      <c r="AC148" s="50"/>
      <c r="AD148" s="50">
        <v>1.0</v>
      </c>
      <c r="AE148" s="50"/>
      <c r="AF148" s="50"/>
      <c r="AG148" s="50"/>
      <c r="AH148" s="51" t="s">
        <v>886</v>
      </c>
      <c r="AI148" s="51">
        <v>1.0</v>
      </c>
      <c r="AJ148" s="51"/>
      <c r="AK148" s="51"/>
      <c r="AL148" s="51"/>
      <c r="AM148" s="51"/>
      <c r="AN148" s="51"/>
      <c r="AO148" s="51"/>
      <c r="AP148" s="51"/>
      <c r="AQ148" s="51"/>
      <c r="AR148" s="51">
        <v>1.0</v>
      </c>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v>1.0</v>
      </c>
      <c r="BT148" s="51"/>
      <c r="BU148" s="51"/>
      <c r="BV148" s="51"/>
      <c r="BW148" s="51"/>
      <c r="BX148" s="51"/>
      <c r="BY148" s="51"/>
      <c r="BZ148" s="51"/>
    </row>
    <row r="149" ht="12.75" customHeight="1">
      <c r="A149" s="46" t="s">
        <v>172</v>
      </c>
      <c r="B149" s="68" t="str">
        <f>HYPERLINK("https://drive.google.com/open?id=1J0G-4q-o4jLVgqWldTs3OBrQh6Mtzzs1","Ricca2010")</f>
        <v>Ricca2010</v>
      </c>
      <c r="C149" s="63" t="s">
        <v>887</v>
      </c>
      <c r="D149" s="55" t="s">
        <v>829</v>
      </c>
      <c r="E149" s="55">
        <v>2010.0</v>
      </c>
      <c r="F149" s="55"/>
      <c r="G149" s="55"/>
      <c r="H149" s="55"/>
      <c r="I149" s="55"/>
      <c r="J149" s="55"/>
      <c r="K149" s="55">
        <v>1.0</v>
      </c>
      <c r="L149" s="55"/>
      <c r="M149" s="55"/>
      <c r="N149" s="55"/>
      <c r="O149" s="55"/>
      <c r="P149" s="55"/>
      <c r="Q149" s="55"/>
      <c r="R149" s="55"/>
      <c r="S149" s="55"/>
      <c r="T149" s="55"/>
      <c r="U149" s="55"/>
      <c r="V149" s="55"/>
      <c r="W149" s="55" t="s">
        <v>370</v>
      </c>
      <c r="X149" s="55" t="s">
        <v>888</v>
      </c>
      <c r="Y149" s="55" t="s">
        <v>889</v>
      </c>
      <c r="Z149" s="55" t="s">
        <v>100</v>
      </c>
      <c r="AA149" s="55">
        <v>1.0</v>
      </c>
      <c r="AB149" s="55"/>
      <c r="AC149" s="55"/>
      <c r="AD149" s="55">
        <v>1.0</v>
      </c>
      <c r="AE149" s="55"/>
      <c r="AF149" s="55"/>
      <c r="AG149" s="55"/>
      <c r="AH149" s="48" t="s">
        <v>890</v>
      </c>
      <c r="AI149" s="51">
        <v>1.0</v>
      </c>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2">
        <v>1.0</v>
      </c>
      <c r="BJ149" s="51"/>
      <c r="BK149" s="51"/>
      <c r="BL149" s="51"/>
      <c r="BM149" s="51"/>
      <c r="BN149" s="51"/>
      <c r="BO149" s="51"/>
      <c r="BP149" s="51"/>
      <c r="BQ149" s="51"/>
      <c r="BR149" s="51"/>
      <c r="BS149" s="51"/>
      <c r="BT149" s="51"/>
      <c r="BU149" s="51"/>
      <c r="BV149" s="51"/>
      <c r="BW149" s="51">
        <v>1.0</v>
      </c>
      <c r="BX149" s="51"/>
      <c r="BY149" s="51"/>
      <c r="BZ149" s="51"/>
    </row>
    <row r="150" ht="12.75" customHeight="1">
      <c r="A150" s="46" t="s">
        <v>172</v>
      </c>
      <c r="B150" s="67" t="str">
        <f>HYPERLINK("https://drive.google.com/open?id=1Irk-Nr-xegGvbWycBecHkcychEbefqZm","Robillard1999")</f>
        <v>Robillard1999</v>
      </c>
      <c r="C150" s="63" t="s">
        <v>891</v>
      </c>
      <c r="D150" s="55" t="s">
        <v>381</v>
      </c>
      <c r="E150" s="55">
        <v>1999.0</v>
      </c>
      <c r="F150" s="55"/>
      <c r="G150" s="55"/>
      <c r="H150" s="55"/>
      <c r="I150" s="55">
        <v>1.0</v>
      </c>
      <c r="J150" s="55"/>
      <c r="K150" s="55"/>
      <c r="L150" s="55"/>
      <c r="M150" s="55"/>
      <c r="N150" s="55"/>
      <c r="O150" s="55"/>
      <c r="P150" s="55"/>
      <c r="Q150" s="55"/>
      <c r="R150" s="55"/>
      <c r="S150" s="55"/>
      <c r="T150" s="55"/>
      <c r="U150" s="55"/>
      <c r="V150" s="55"/>
      <c r="W150" s="55" t="s">
        <v>892</v>
      </c>
      <c r="X150" s="60"/>
      <c r="Y150" s="55"/>
      <c r="Z150" s="55" t="s">
        <v>100</v>
      </c>
      <c r="AA150" s="55">
        <v>1.0</v>
      </c>
      <c r="AB150" s="55"/>
      <c r="AC150" s="55"/>
      <c r="AD150" s="55"/>
      <c r="AE150" s="55"/>
      <c r="AF150" s="55">
        <v>1.0</v>
      </c>
      <c r="AG150" s="55"/>
      <c r="AH150" s="48" t="s">
        <v>893</v>
      </c>
      <c r="AI150" s="51">
        <v>1.0</v>
      </c>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v>1.0</v>
      </c>
      <c r="BJ150" s="51"/>
      <c r="BK150" s="51"/>
      <c r="BL150" s="51"/>
      <c r="BM150" s="51"/>
      <c r="BN150" s="51"/>
      <c r="BO150" s="51"/>
      <c r="BP150" s="51"/>
      <c r="BQ150" s="51"/>
      <c r="BR150" s="51"/>
      <c r="BS150" s="51"/>
      <c r="BT150" s="51"/>
      <c r="BU150" s="51"/>
      <c r="BV150" s="51"/>
      <c r="BW150" s="51"/>
      <c r="BX150" s="51"/>
      <c r="BY150" s="51"/>
      <c r="BZ150" s="51"/>
    </row>
    <row r="151" ht="12.75" customHeight="1">
      <c r="A151" s="46" t="s">
        <v>172</v>
      </c>
      <c r="B151" s="68" t="str">
        <f>HYPERLINK("https://drive.google.com/open?id=1U_wWs3hw59Qsy0U9jbcv3Y3dudy1Zy0h","Robillard2004")</f>
        <v>Robillard2004</v>
      </c>
      <c r="C151" s="63" t="s">
        <v>894</v>
      </c>
      <c r="D151" s="55" t="s">
        <v>895</v>
      </c>
      <c r="E151" s="55">
        <v>2004.0</v>
      </c>
      <c r="F151" s="55"/>
      <c r="G151" s="55"/>
      <c r="H151" s="55"/>
      <c r="I151" s="55"/>
      <c r="J151" s="55"/>
      <c r="K151" s="55">
        <v>1.0</v>
      </c>
      <c r="L151" s="55"/>
      <c r="M151" s="55"/>
      <c r="N151" s="55"/>
      <c r="O151" s="55"/>
      <c r="P151" s="55"/>
      <c r="Q151" s="55"/>
      <c r="R151" s="55"/>
      <c r="S151" s="55"/>
      <c r="T151" s="55"/>
      <c r="U151" s="55"/>
      <c r="V151" s="55"/>
      <c r="W151" s="55" t="s">
        <v>896</v>
      </c>
      <c r="X151" s="55" t="s">
        <v>897</v>
      </c>
      <c r="Y151" s="55" t="s">
        <v>898</v>
      </c>
      <c r="Z151" s="55" t="s">
        <v>100</v>
      </c>
      <c r="AA151" s="55"/>
      <c r="AB151" s="55"/>
      <c r="AC151" s="55"/>
      <c r="AD151" s="55">
        <v>1.0</v>
      </c>
      <c r="AE151" s="55"/>
      <c r="AF151" s="55"/>
      <c r="AG151" s="55"/>
      <c r="AH151" s="48" t="s">
        <v>899</v>
      </c>
      <c r="AI151" s="51">
        <v>1.0</v>
      </c>
      <c r="AJ151" s="51">
        <v>1.0</v>
      </c>
      <c r="AK151" s="51"/>
      <c r="AL151" s="51"/>
      <c r="AM151" s="51"/>
      <c r="AN151" s="51"/>
      <c r="AO151" s="51"/>
      <c r="AP151" s="51"/>
      <c r="AQ151" s="51"/>
      <c r="AR151" s="51"/>
      <c r="AS151" s="51"/>
      <c r="AT151" s="51"/>
      <c r="AU151" s="51"/>
      <c r="AV151" s="51"/>
      <c r="AW151" s="51"/>
      <c r="AX151" s="51"/>
      <c r="AY151" s="51"/>
      <c r="AZ151" s="51"/>
      <c r="BA151" s="51"/>
      <c r="BB151" s="51"/>
      <c r="BC151" s="51"/>
      <c r="BD151" s="51"/>
      <c r="BE151" s="52"/>
      <c r="BF151" s="51"/>
      <c r="BG151" s="51"/>
      <c r="BH151" s="51"/>
      <c r="BI151" s="51"/>
      <c r="BJ151" s="51"/>
      <c r="BK151" s="51"/>
      <c r="BL151" s="52">
        <v>1.0</v>
      </c>
      <c r="BM151" s="51"/>
      <c r="BN151" s="51"/>
      <c r="BO151" s="51"/>
      <c r="BP151" s="51"/>
      <c r="BQ151" s="51"/>
      <c r="BR151" s="51"/>
      <c r="BS151" s="51"/>
      <c r="BT151" s="51"/>
      <c r="BU151" s="51"/>
      <c r="BV151" s="51"/>
      <c r="BW151" s="51"/>
      <c r="BX151" s="51"/>
      <c r="BY151" s="51"/>
      <c r="BZ151" s="51"/>
    </row>
    <row r="152" ht="12.75" customHeight="1">
      <c r="A152" s="46" t="s">
        <v>172</v>
      </c>
      <c r="B152" s="67" t="str">
        <f>HYPERLINK("https://drive.google.com/open?id=1ysEOW9hHePjvp6Pn144PgBmSdeT3hZBf","Rosson1990")</f>
        <v>Rosson1990</v>
      </c>
      <c r="C152" s="63" t="s">
        <v>900</v>
      </c>
      <c r="D152" s="55" t="s">
        <v>852</v>
      </c>
      <c r="E152" s="55">
        <v>1990.0</v>
      </c>
      <c r="F152" s="55"/>
      <c r="G152" s="55"/>
      <c r="H152" s="55">
        <v>1.0</v>
      </c>
      <c r="I152" s="55"/>
      <c r="J152" s="55"/>
      <c r="K152" s="55"/>
      <c r="L152" s="55"/>
      <c r="M152" s="55"/>
      <c r="N152" s="55"/>
      <c r="O152" s="55"/>
      <c r="P152" s="55"/>
      <c r="Q152" s="55"/>
      <c r="R152" s="55"/>
      <c r="S152" s="55"/>
      <c r="T152" s="55"/>
      <c r="U152" s="55"/>
      <c r="V152" s="55"/>
      <c r="W152" s="55" t="s">
        <v>901</v>
      </c>
      <c r="X152" s="55"/>
      <c r="Y152" s="55"/>
      <c r="Z152" s="55" t="s">
        <v>100</v>
      </c>
      <c r="AA152" s="55"/>
      <c r="AB152" s="55"/>
      <c r="AC152" s="55"/>
      <c r="AD152" s="55"/>
      <c r="AE152" s="55"/>
      <c r="AF152" s="55">
        <v>1.0</v>
      </c>
      <c r="AG152" s="55"/>
      <c r="AH152" s="48" t="s">
        <v>902</v>
      </c>
      <c r="AI152" s="51">
        <v>1.0</v>
      </c>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v>1.0</v>
      </c>
      <c r="BF152" s="51"/>
      <c r="BG152" s="51"/>
      <c r="BH152" s="51"/>
      <c r="BI152" s="51"/>
      <c r="BJ152" s="51"/>
      <c r="BK152" s="51"/>
      <c r="BL152" s="51"/>
      <c r="BM152" s="51"/>
      <c r="BN152" s="51"/>
      <c r="BO152" s="51"/>
      <c r="BP152" s="51"/>
      <c r="BQ152" s="51"/>
      <c r="BR152" s="51"/>
      <c r="BS152" s="51"/>
      <c r="BT152" s="51"/>
      <c r="BU152" s="51"/>
      <c r="BV152" s="51"/>
      <c r="BW152" s="51"/>
      <c r="BX152" s="51"/>
      <c r="BY152" s="51"/>
      <c r="BZ152" s="51"/>
    </row>
    <row r="153" ht="12.75" customHeight="1">
      <c r="A153" s="46" t="s">
        <v>116</v>
      </c>
      <c r="B153" s="68" t="str">
        <f>HYPERLINK("https://drive.google.com/open?id=1yVyN4VblbfQzXhFRaSYno1I20E7Yq2Zr","Shaffer2015")</f>
        <v>Shaffer2015</v>
      </c>
      <c r="C153" s="63" t="s">
        <v>903</v>
      </c>
      <c r="D153" s="63" t="s">
        <v>904</v>
      </c>
      <c r="E153" s="49">
        <v>2015.0</v>
      </c>
      <c r="F153" s="50"/>
      <c r="G153" s="50"/>
      <c r="H153" s="50"/>
      <c r="I153" s="50">
        <v>1.0</v>
      </c>
      <c r="J153" s="50"/>
      <c r="K153" s="50">
        <v>1.0</v>
      </c>
      <c r="L153" s="50"/>
      <c r="M153" s="50"/>
      <c r="N153" s="50"/>
      <c r="O153" s="50"/>
      <c r="P153" s="50"/>
      <c r="Q153" s="50"/>
      <c r="R153" s="50"/>
      <c r="S153" s="50"/>
      <c r="T153" s="50"/>
      <c r="U153" s="50"/>
      <c r="V153" s="51"/>
      <c r="W153" s="51" t="s">
        <v>905</v>
      </c>
      <c r="X153" s="51" t="s">
        <v>906</v>
      </c>
      <c r="Y153" s="51"/>
      <c r="Z153" s="51" t="s">
        <v>122</v>
      </c>
      <c r="AA153" s="50"/>
      <c r="AB153" s="50"/>
      <c r="AC153" s="50">
        <v>1.0</v>
      </c>
      <c r="AD153" s="50"/>
      <c r="AE153" s="50"/>
      <c r="AF153" s="50"/>
      <c r="AG153" s="50"/>
      <c r="AH153" s="51" t="s">
        <v>907</v>
      </c>
      <c r="AI153" s="51">
        <v>1.0</v>
      </c>
      <c r="AJ153" s="51"/>
      <c r="AK153" s="51"/>
      <c r="AL153" s="51"/>
      <c r="AM153" s="51"/>
      <c r="AN153" s="51"/>
      <c r="AO153" s="51"/>
      <c r="AP153" s="51"/>
      <c r="AQ153" s="51"/>
      <c r="AR153" s="51"/>
      <c r="AS153" s="51"/>
      <c r="AT153" s="51"/>
      <c r="AU153" s="51"/>
      <c r="AV153" s="51"/>
      <c r="AW153" s="51"/>
      <c r="AX153" s="51"/>
      <c r="AY153" s="51"/>
      <c r="AZ153" s="51"/>
      <c r="BA153" s="51"/>
      <c r="BB153" s="51"/>
      <c r="BC153" s="51"/>
      <c r="BD153" s="52">
        <v>1.0</v>
      </c>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2">
        <v>1.0</v>
      </c>
    </row>
    <row r="154" ht="12.75" customHeight="1">
      <c r="A154" s="46" t="s">
        <v>88</v>
      </c>
      <c r="B154" s="53" t="str">
        <f>HYPERLINK("https://drive.google.com/open?id=0B-nn5iJ29NJaTWtVZGpyd0d4eDA","Shaft2006")</f>
        <v>Shaft2006</v>
      </c>
      <c r="C154" s="48" t="s">
        <v>908</v>
      </c>
      <c r="D154" s="48" t="s">
        <v>909</v>
      </c>
      <c r="E154" s="49">
        <v>2006.0</v>
      </c>
      <c r="F154" s="50"/>
      <c r="G154" s="50"/>
      <c r="H154" s="50"/>
      <c r="I154" s="50"/>
      <c r="J154" s="50"/>
      <c r="K154" s="50">
        <v>1.0</v>
      </c>
      <c r="L154" s="50"/>
      <c r="M154" s="50"/>
      <c r="N154" s="50"/>
      <c r="O154" s="50"/>
      <c r="P154" s="50"/>
      <c r="Q154" s="50"/>
      <c r="R154" s="50"/>
      <c r="S154" s="50"/>
      <c r="T154" s="50"/>
      <c r="U154" s="50"/>
      <c r="V154" s="51" t="s">
        <v>910</v>
      </c>
      <c r="W154" s="51" t="s">
        <v>911</v>
      </c>
      <c r="X154" s="51" t="s">
        <v>912</v>
      </c>
      <c r="Y154" s="51" t="s">
        <v>913</v>
      </c>
      <c r="Z154" s="51" t="s">
        <v>914</v>
      </c>
      <c r="AA154" s="50"/>
      <c r="AB154" s="50">
        <v>1.0</v>
      </c>
      <c r="AC154" s="50"/>
      <c r="AD154" s="50">
        <v>1.0</v>
      </c>
      <c r="AE154" s="50"/>
      <c r="AF154" s="50"/>
      <c r="AG154" s="50"/>
      <c r="AH154" s="51" t="s">
        <v>915</v>
      </c>
      <c r="AI154" s="51">
        <v>1.0</v>
      </c>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v>1.0</v>
      </c>
      <c r="BF154" s="51"/>
      <c r="BG154" s="51"/>
      <c r="BH154" s="51"/>
      <c r="BI154" s="51"/>
      <c r="BJ154" s="51"/>
      <c r="BK154" s="51"/>
      <c r="BL154" s="51"/>
      <c r="BM154" s="51"/>
      <c r="BN154" s="51"/>
      <c r="BO154" s="51"/>
      <c r="BP154" s="51"/>
      <c r="BQ154" s="51"/>
      <c r="BR154" s="51"/>
      <c r="BS154" s="51"/>
      <c r="BT154" s="51"/>
      <c r="BU154" s="51"/>
      <c r="BV154" s="51"/>
      <c r="BW154" s="51">
        <v>1.0</v>
      </c>
      <c r="BX154" s="51"/>
      <c r="BY154" s="51">
        <v>1.0</v>
      </c>
      <c r="BZ154" s="51"/>
    </row>
    <row r="155" ht="12.75" customHeight="1">
      <c r="A155" s="46" t="s">
        <v>116</v>
      </c>
      <c r="B155" s="68" t="str">
        <f>HYPERLINK("https://drive.google.com/open?id=1QWfHsa38Rz0Hq7wi2vtW3FggtVMBA2-V","Shao2003")</f>
        <v>Shao2003</v>
      </c>
      <c r="C155" s="63" t="s">
        <v>916</v>
      </c>
      <c r="D155" s="63" t="s">
        <v>917</v>
      </c>
      <c r="E155" s="49">
        <v>2003.0</v>
      </c>
      <c r="F155" s="50"/>
      <c r="G155" s="50"/>
      <c r="H155" s="50"/>
      <c r="I155" s="50">
        <v>1.0</v>
      </c>
      <c r="J155" s="50"/>
      <c r="K155" s="50">
        <v>1.0</v>
      </c>
      <c r="L155" s="50"/>
      <c r="M155" s="50"/>
      <c r="N155" s="50"/>
      <c r="O155" s="50"/>
      <c r="P155" s="50"/>
      <c r="Q155" s="50"/>
      <c r="R155" s="50"/>
      <c r="S155" s="50"/>
      <c r="T155" s="50"/>
      <c r="U155" s="50"/>
      <c r="V155" s="51" t="s">
        <v>918</v>
      </c>
      <c r="W155" s="51" t="s">
        <v>919</v>
      </c>
      <c r="X155" s="51" t="s">
        <v>920</v>
      </c>
      <c r="Y155" s="51" t="s">
        <v>921</v>
      </c>
      <c r="Z155" s="51" t="s">
        <v>122</v>
      </c>
      <c r="AA155" s="50"/>
      <c r="AB155" s="50"/>
      <c r="AC155" s="50"/>
      <c r="AD155" s="50">
        <v>1.0</v>
      </c>
      <c r="AE155" s="50"/>
      <c r="AF155" s="50"/>
      <c r="AG155" s="50"/>
      <c r="AH155" s="51" t="s">
        <v>922</v>
      </c>
      <c r="AI155" s="51">
        <v>1.0</v>
      </c>
      <c r="AJ155" s="51"/>
      <c r="AK155" s="51"/>
      <c r="AL155" s="51"/>
      <c r="AM155" s="51"/>
      <c r="AN155" s="51"/>
      <c r="AO155" s="51"/>
      <c r="AP155" s="51"/>
      <c r="AQ155" s="51"/>
      <c r="AR155" s="52">
        <v>1.0</v>
      </c>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row>
    <row r="156" ht="12.75" customHeight="1">
      <c r="A156" s="46" t="s">
        <v>124</v>
      </c>
      <c r="B156" s="68" t="str">
        <f>HYPERLINK("https://drive.google.com/open?id=1DIrQztc2iyOXdYbkTtjFYTLktt49lseS","Sharafi2013")</f>
        <v>Sharafi2013</v>
      </c>
      <c r="C156" s="48" t="s">
        <v>923</v>
      </c>
      <c r="D156" s="48" t="s">
        <v>819</v>
      </c>
      <c r="E156" s="49">
        <v>2013.0</v>
      </c>
      <c r="F156" s="50"/>
      <c r="G156" s="50">
        <v>1.0</v>
      </c>
      <c r="H156" s="50"/>
      <c r="I156" s="50"/>
      <c r="J156" s="50"/>
      <c r="K156" s="50"/>
      <c r="L156" s="50"/>
      <c r="M156" s="50"/>
      <c r="N156" s="50"/>
      <c r="O156" s="50"/>
      <c r="P156" s="50"/>
      <c r="Q156" s="50"/>
      <c r="R156" s="50"/>
      <c r="S156" s="50"/>
      <c r="T156" s="50"/>
      <c r="U156" s="50"/>
      <c r="V156" s="48"/>
      <c r="W156" s="48" t="s">
        <v>924</v>
      </c>
      <c r="X156" s="48" t="s">
        <v>925</v>
      </c>
      <c r="Y156" s="48" t="s">
        <v>906</v>
      </c>
      <c r="Z156" s="48" t="s">
        <v>926</v>
      </c>
      <c r="AA156" s="50">
        <v>1.0</v>
      </c>
      <c r="AB156" s="50"/>
      <c r="AC156" s="50"/>
      <c r="AD156" s="50">
        <v>1.0</v>
      </c>
      <c r="AE156" s="50"/>
      <c r="AF156" s="50"/>
      <c r="AG156" s="50"/>
      <c r="AH156" s="59"/>
      <c r="AI156" s="51">
        <v>1.0</v>
      </c>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2">
        <v>1.0</v>
      </c>
      <c r="BF156" s="51"/>
      <c r="BG156" s="51"/>
      <c r="BH156" s="51"/>
      <c r="BI156" s="52">
        <v>1.0</v>
      </c>
      <c r="BJ156" s="51"/>
      <c r="BK156" s="51"/>
      <c r="BL156" s="51"/>
      <c r="BM156" s="51"/>
      <c r="BN156" s="51"/>
      <c r="BO156" s="51"/>
      <c r="BP156" s="51"/>
      <c r="BQ156" s="51"/>
      <c r="BR156" s="51"/>
      <c r="BS156" s="51"/>
      <c r="BT156" s="51"/>
      <c r="BU156" s="51"/>
      <c r="BV156" s="51"/>
      <c r="BW156" s="51"/>
      <c r="BX156" s="51"/>
      <c r="BY156" s="51"/>
      <c r="BZ156" s="51">
        <v>1.0</v>
      </c>
    </row>
    <row r="157" ht="12.75" customHeight="1">
      <c r="A157" s="46" t="s">
        <v>124</v>
      </c>
      <c r="B157" s="68" t="str">
        <f>HYPERLINK("https://drive.google.com/open?id=1nBuZnHYAILgH2wb_2DvfsmbG_1xh8meU","Sharif2009a")</f>
        <v>Sharif2009a</v>
      </c>
      <c r="C157" s="48" t="s">
        <v>927</v>
      </c>
      <c r="D157" s="48" t="s">
        <v>819</v>
      </c>
      <c r="E157" s="49">
        <v>2009.0</v>
      </c>
      <c r="F157" s="50"/>
      <c r="G157" s="50"/>
      <c r="H157" s="50">
        <v>1.0</v>
      </c>
      <c r="I157" s="50"/>
      <c r="J157" s="50"/>
      <c r="K157" s="50"/>
      <c r="L157" s="50"/>
      <c r="M157" s="50"/>
      <c r="N157" s="50"/>
      <c r="O157" s="50">
        <v>1.0</v>
      </c>
      <c r="P157" s="50"/>
      <c r="Q157" s="50"/>
      <c r="R157" s="50"/>
      <c r="S157" s="50"/>
      <c r="T157" s="50"/>
      <c r="U157" s="50"/>
      <c r="V157" s="48"/>
      <c r="W157" s="48" t="s">
        <v>928</v>
      </c>
      <c r="X157" s="48" t="s">
        <v>929</v>
      </c>
      <c r="Y157" s="48" t="s">
        <v>930</v>
      </c>
      <c r="Z157" s="48" t="s">
        <v>931</v>
      </c>
      <c r="AA157" s="50">
        <v>1.0</v>
      </c>
      <c r="AB157" s="50"/>
      <c r="AC157" s="50"/>
      <c r="AD157" s="50">
        <v>1.0</v>
      </c>
      <c r="AE157" s="50"/>
      <c r="AF157" s="50"/>
      <c r="AG157" s="50"/>
      <c r="AH157" s="59"/>
      <c r="AI157" s="51">
        <v>1.0</v>
      </c>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2">
        <v>1.0</v>
      </c>
      <c r="BF157" s="51"/>
      <c r="BG157" s="51"/>
      <c r="BH157" s="51"/>
      <c r="BI157" s="52">
        <v>1.0</v>
      </c>
      <c r="BJ157" s="51"/>
      <c r="BK157" s="51"/>
      <c r="BL157" s="51"/>
      <c r="BM157" s="51"/>
      <c r="BN157" s="51"/>
      <c r="BO157" s="51"/>
      <c r="BP157" s="51"/>
      <c r="BQ157" s="51"/>
      <c r="BR157" s="51"/>
      <c r="BS157" s="51"/>
      <c r="BT157" s="51"/>
      <c r="BU157" s="51"/>
      <c r="BV157" s="51"/>
      <c r="BW157" s="51">
        <v>1.0</v>
      </c>
      <c r="BX157" s="51"/>
      <c r="BY157" s="51">
        <v>1.0</v>
      </c>
      <c r="BZ157" s="51"/>
    </row>
    <row r="158" ht="12.75" customHeight="1">
      <c r="A158" s="46" t="s">
        <v>124</v>
      </c>
      <c r="B158" s="68" t="str">
        <f>HYPERLINK("https://drive.google.com/open?id=1Akgz5tXhaeoAkZIgnFCinjHoP1_DmziM","Sharif2009b")</f>
        <v>Sharif2009b</v>
      </c>
      <c r="C158" s="48" t="s">
        <v>932</v>
      </c>
      <c r="D158" s="48" t="s">
        <v>933</v>
      </c>
      <c r="E158" s="49">
        <v>2009.0</v>
      </c>
      <c r="F158" s="50"/>
      <c r="G158" s="50"/>
      <c r="H158" s="50">
        <v>1.0</v>
      </c>
      <c r="I158" s="50"/>
      <c r="J158" s="50"/>
      <c r="K158" s="50"/>
      <c r="L158" s="50"/>
      <c r="M158" s="50"/>
      <c r="N158" s="50"/>
      <c r="O158" s="50">
        <v>1.0</v>
      </c>
      <c r="P158" s="50"/>
      <c r="Q158" s="50"/>
      <c r="R158" s="50"/>
      <c r="S158" s="50"/>
      <c r="T158" s="50"/>
      <c r="U158" s="50"/>
      <c r="V158" s="48"/>
      <c r="W158" s="48" t="s">
        <v>934</v>
      </c>
      <c r="X158" s="48" t="s">
        <v>935</v>
      </c>
      <c r="Y158" s="48"/>
      <c r="Z158" s="48" t="s">
        <v>936</v>
      </c>
      <c r="AA158" s="50">
        <v>1.0</v>
      </c>
      <c r="AB158" s="50"/>
      <c r="AC158" s="50"/>
      <c r="AD158" s="50">
        <v>1.0</v>
      </c>
      <c r="AE158" s="50"/>
      <c r="AF158" s="50"/>
      <c r="AG158" s="50"/>
      <c r="AH158" s="59"/>
      <c r="AI158" s="51">
        <v>1.0</v>
      </c>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2">
        <v>1.0</v>
      </c>
      <c r="BF158" s="51"/>
      <c r="BG158" s="51"/>
      <c r="BH158" s="51"/>
      <c r="BI158" s="52">
        <v>1.0</v>
      </c>
      <c r="BJ158" s="51"/>
      <c r="BK158" s="51"/>
      <c r="BL158" s="51"/>
      <c r="BM158" s="51"/>
      <c r="BN158" s="51"/>
      <c r="BO158" s="51"/>
      <c r="BP158" s="51"/>
      <c r="BQ158" s="51"/>
      <c r="BR158" s="51"/>
      <c r="BS158" s="51"/>
      <c r="BT158" s="51"/>
      <c r="BU158" s="51"/>
      <c r="BV158" s="51"/>
      <c r="BW158" s="51"/>
      <c r="BX158" s="51"/>
      <c r="BY158" s="51"/>
      <c r="BZ158" s="51"/>
    </row>
    <row r="159" ht="12.75" customHeight="1">
      <c r="A159" s="46" t="s">
        <v>124</v>
      </c>
      <c r="B159" s="67" t="str">
        <f>HYPERLINK("https://drive.google.com/open?id=1Bldk_ahFE2e5ysjUuMhXScrawqCwEnuj","Sharif2010a")</f>
        <v>Sharif2010a</v>
      </c>
      <c r="C159" s="55" t="s">
        <v>937</v>
      </c>
      <c r="D159" s="48" t="s">
        <v>442</v>
      </c>
      <c r="E159" s="49">
        <v>2010.0</v>
      </c>
      <c r="F159" s="50"/>
      <c r="G159" s="50"/>
      <c r="H159" s="50">
        <v>1.0</v>
      </c>
      <c r="I159" s="50"/>
      <c r="J159" s="50"/>
      <c r="K159" s="50"/>
      <c r="L159" s="50"/>
      <c r="M159" s="50"/>
      <c r="N159" s="50"/>
      <c r="O159" s="50"/>
      <c r="P159" s="50"/>
      <c r="Q159" s="50"/>
      <c r="R159" s="50"/>
      <c r="S159" s="50"/>
      <c r="T159" s="50"/>
      <c r="U159" s="50"/>
      <c r="V159" s="48"/>
      <c r="W159" s="48" t="s">
        <v>197</v>
      </c>
      <c r="X159" s="48" t="s">
        <v>938</v>
      </c>
      <c r="Y159" s="48" t="s">
        <v>906</v>
      </c>
      <c r="Z159" s="48" t="s">
        <v>939</v>
      </c>
      <c r="AA159" s="50">
        <v>1.0</v>
      </c>
      <c r="AB159" s="50"/>
      <c r="AC159" s="50"/>
      <c r="AD159" s="50">
        <v>1.0</v>
      </c>
      <c r="AE159" s="50"/>
      <c r="AF159" s="50"/>
      <c r="AG159" s="50"/>
      <c r="AH159" s="59"/>
      <c r="AI159" s="51">
        <v>1.0</v>
      </c>
      <c r="AJ159" s="51"/>
      <c r="AK159" s="51"/>
      <c r="AL159" s="51"/>
      <c r="AM159" s="51"/>
      <c r="AN159" s="51"/>
      <c r="AO159" s="51"/>
      <c r="AP159" s="51"/>
      <c r="AQ159" s="51"/>
      <c r="AR159" s="51">
        <v>1.0</v>
      </c>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c r="BO159" s="51"/>
      <c r="BP159" s="51"/>
      <c r="BQ159" s="51"/>
      <c r="BR159" s="51"/>
      <c r="BS159" s="51"/>
      <c r="BT159" s="51"/>
      <c r="BU159" s="51"/>
      <c r="BV159" s="51"/>
      <c r="BW159" s="51"/>
      <c r="BX159" s="51">
        <v>1.0</v>
      </c>
      <c r="BY159" s="51"/>
      <c r="BZ159" s="51"/>
    </row>
    <row r="160" ht="12.75" customHeight="1">
      <c r="A160" s="46" t="s">
        <v>124</v>
      </c>
      <c r="B160" s="68" t="str">
        <f>HYPERLINK("https://drive.google.com/open?id=14xNvnYgrUjeB0bh4M3ixKkxRB6A1lAii","Sharif2010b")</f>
        <v>Sharif2010b</v>
      </c>
      <c r="C160" s="48" t="s">
        <v>940</v>
      </c>
      <c r="D160" s="48" t="s">
        <v>819</v>
      </c>
      <c r="E160" s="49">
        <v>2010.0</v>
      </c>
      <c r="F160" s="50"/>
      <c r="G160" s="50"/>
      <c r="H160" s="50"/>
      <c r="I160" s="50">
        <v>1.0</v>
      </c>
      <c r="J160" s="50"/>
      <c r="K160" s="50"/>
      <c r="L160" s="50"/>
      <c r="M160" s="50"/>
      <c r="N160" s="50"/>
      <c r="O160" s="50"/>
      <c r="P160" s="50"/>
      <c r="Q160" s="50"/>
      <c r="R160" s="50"/>
      <c r="S160" s="50"/>
      <c r="T160" s="50"/>
      <c r="U160" s="50"/>
      <c r="V160" s="48"/>
      <c r="W160" s="48" t="s">
        <v>941</v>
      </c>
      <c r="X160" s="48" t="s">
        <v>942</v>
      </c>
      <c r="Y160" s="48" t="s">
        <v>906</v>
      </c>
      <c r="Z160" s="48" t="s">
        <v>943</v>
      </c>
      <c r="AA160" s="50">
        <v>1.0</v>
      </c>
      <c r="AB160" s="50"/>
      <c r="AC160" s="50"/>
      <c r="AD160" s="50">
        <v>1.0</v>
      </c>
      <c r="AE160" s="50"/>
      <c r="AF160" s="50"/>
      <c r="AG160" s="50"/>
      <c r="AH160" s="59"/>
      <c r="AI160" s="51">
        <v>1.0</v>
      </c>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2">
        <v>1.0</v>
      </c>
      <c r="BF160" s="51"/>
      <c r="BG160" s="51"/>
      <c r="BH160" s="51"/>
      <c r="BI160" s="52">
        <v>1.0</v>
      </c>
      <c r="BJ160" s="51"/>
      <c r="BK160" s="51"/>
      <c r="BL160" s="51"/>
      <c r="BM160" s="51"/>
      <c r="BN160" s="51"/>
      <c r="BO160" s="51"/>
      <c r="BP160" s="51"/>
      <c r="BQ160" s="51"/>
      <c r="BR160" s="51"/>
      <c r="BS160" s="51"/>
      <c r="BT160" s="51"/>
      <c r="BU160" s="51"/>
      <c r="BV160" s="51"/>
      <c r="BW160" s="51"/>
      <c r="BX160" s="51">
        <v>1.0</v>
      </c>
      <c r="BY160" s="51"/>
      <c r="BZ160" s="51"/>
    </row>
    <row r="161" ht="12.75" customHeight="1">
      <c r="A161" s="46" t="s">
        <v>124</v>
      </c>
      <c r="B161" s="79" t="str">
        <f>HYPERLINK("https://drive.google.com/open?id=0B-nn5iJ29NJabUROLUNvbE5BMUk","Sharif2016")</f>
        <v>Sharif2016</v>
      </c>
      <c r="C161" s="80" t="s">
        <v>944</v>
      </c>
      <c r="D161" s="80" t="s">
        <v>945</v>
      </c>
      <c r="E161" s="49">
        <v>2016.0</v>
      </c>
      <c r="F161" s="50"/>
      <c r="G161" s="50">
        <v>1.0</v>
      </c>
      <c r="H161" s="50"/>
      <c r="I161" s="50">
        <v>1.0</v>
      </c>
      <c r="J161" s="50"/>
      <c r="K161" s="50">
        <v>1.0</v>
      </c>
      <c r="L161" s="50"/>
      <c r="M161" s="50"/>
      <c r="N161" s="50"/>
      <c r="O161" s="50"/>
      <c r="P161" s="50"/>
      <c r="Q161" s="50"/>
      <c r="R161" s="50"/>
      <c r="S161" s="50"/>
      <c r="T161" s="50"/>
      <c r="U161" s="50"/>
      <c r="V161" s="48"/>
      <c r="W161" s="48" t="s">
        <v>946</v>
      </c>
      <c r="X161" s="48" t="s">
        <v>947</v>
      </c>
      <c r="Y161" s="48" t="s">
        <v>948</v>
      </c>
      <c r="Z161" s="48" t="s">
        <v>949</v>
      </c>
      <c r="AA161" s="50"/>
      <c r="AB161" s="50">
        <v>1.0</v>
      </c>
      <c r="AC161" s="50">
        <v>1.0</v>
      </c>
      <c r="AD161" s="50"/>
      <c r="AE161" s="50"/>
      <c r="AF161" s="50"/>
      <c r="AG161" s="50">
        <v>1.0</v>
      </c>
      <c r="AH161" s="59"/>
      <c r="AI161" s="51">
        <v>1.0</v>
      </c>
      <c r="AJ161" s="51"/>
      <c r="AK161" s="51"/>
      <c r="AL161" s="51"/>
      <c r="AM161" s="51"/>
      <c r="AN161" s="51"/>
      <c r="AO161" s="51"/>
      <c r="AP161" s="51"/>
      <c r="AQ161" s="51"/>
      <c r="AR161" s="51">
        <v>1.0</v>
      </c>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v>1.0</v>
      </c>
    </row>
    <row r="162" ht="12.75" customHeight="1">
      <c r="A162" s="46" t="s">
        <v>88</v>
      </c>
      <c r="B162" s="47" t="str">
        <f>HYPERLINK("https://drive.google.com/open?id=1tgGltRu4TPSGOjLCxP7Z2HXyFZlRjE9t","Sheetz2001")</f>
        <v>Sheetz2001</v>
      </c>
      <c r="C162" s="48" t="s">
        <v>950</v>
      </c>
      <c r="D162" s="48" t="s">
        <v>951</v>
      </c>
      <c r="E162" s="49">
        <v>2001.0</v>
      </c>
      <c r="F162" s="50"/>
      <c r="G162" s="50"/>
      <c r="H162" s="50">
        <v>1.0</v>
      </c>
      <c r="I162" s="50"/>
      <c r="J162" s="50"/>
      <c r="K162" s="50"/>
      <c r="L162" s="50"/>
      <c r="M162" s="50"/>
      <c r="N162" s="50"/>
      <c r="O162" s="50"/>
      <c r="P162" s="50"/>
      <c r="Q162" s="50"/>
      <c r="R162" s="50"/>
      <c r="S162" s="50"/>
      <c r="T162" s="50"/>
      <c r="U162" s="50"/>
      <c r="V162" s="51"/>
      <c r="W162" s="51" t="s">
        <v>952</v>
      </c>
      <c r="X162" s="51" t="s">
        <v>953</v>
      </c>
      <c r="Y162" s="51" t="s">
        <v>954</v>
      </c>
      <c r="Z162" s="51" t="s">
        <v>100</v>
      </c>
      <c r="AA162" s="50">
        <v>1.0</v>
      </c>
      <c r="AB162" s="50"/>
      <c r="AC162" s="50"/>
      <c r="AD162" s="50">
        <v>1.0</v>
      </c>
      <c r="AE162" s="50"/>
      <c r="AF162" s="50"/>
      <c r="AG162" s="50"/>
      <c r="AH162" s="51"/>
      <c r="AI162" s="51">
        <v>1.0</v>
      </c>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v>1.0</v>
      </c>
      <c r="BG162" s="51"/>
      <c r="BH162" s="51"/>
      <c r="BI162" s="52">
        <v>1.0</v>
      </c>
      <c r="BJ162" s="51"/>
      <c r="BK162" s="51"/>
      <c r="BL162" s="52">
        <v>1.0</v>
      </c>
      <c r="BM162" s="51"/>
      <c r="BN162" s="51"/>
      <c r="BO162" s="51"/>
      <c r="BP162" s="51"/>
      <c r="BQ162" s="51"/>
      <c r="BR162" s="51"/>
      <c r="BS162" s="51">
        <v>1.0</v>
      </c>
      <c r="BT162" s="51"/>
      <c r="BU162" s="51"/>
      <c r="BV162" s="51"/>
      <c r="BW162" s="51"/>
      <c r="BX162" s="51"/>
      <c r="BY162" s="51"/>
      <c r="BZ162" s="51"/>
    </row>
    <row r="163" ht="12.75" customHeight="1">
      <c r="A163" s="46" t="s">
        <v>108</v>
      </c>
      <c r="B163" s="82" t="str">
        <f>HYPERLINK("https://drive.google.com/open?id=1C879kkuAmjVC34ynYjQ3dn16vinOliiZ","Shmueli2015")</f>
        <v>Shmueli2015</v>
      </c>
      <c r="C163" s="83" t="s">
        <v>955</v>
      </c>
      <c r="D163" s="83" t="s">
        <v>661</v>
      </c>
      <c r="E163" s="84">
        <v>2015.0</v>
      </c>
      <c r="F163" s="72"/>
      <c r="G163" s="72">
        <v>1.0</v>
      </c>
      <c r="H163" s="72"/>
      <c r="I163" s="72"/>
      <c r="J163" s="72"/>
      <c r="K163" s="72"/>
      <c r="L163" s="72"/>
      <c r="M163" s="72">
        <v>1.0</v>
      </c>
      <c r="N163" s="72"/>
      <c r="O163" s="72"/>
      <c r="P163" s="72"/>
      <c r="Q163" s="72"/>
      <c r="R163" s="72"/>
      <c r="S163" s="72"/>
      <c r="T163" s="72"/>
      <c r="U163" s="72"/>
      <c r="V163" s="85"/>
      <c r="W163" s="48" t="s">
        <v>359</v>
      </c>
      <c r="X163" s="85"/>
      <c r="Y163" s="85"/>
      <c r="Z163" s="85" t="s">
        <v>956</v>
      </c>
      <c r="AA163" s="72"/>
      <c r="AB163" s="72"/>
      <c r="AC163" s="72"/>
      <c r="AD163" s="72"/>
      <c r="AE163" s="72"/>
      <c r="AF163" s="72"/>
      <c r="AG163" s="72"/>
      <c r="AH163" s="86"/>
      <c r="AI163" s="51">
        <v>1.0</v>
      </c>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v>1.0</v>
      </c>
      <c r="BI163" s="51"/>
      <c r="BJ163" s="51"/>
      <c r="BK163" s="51"/>
      <c r="BL163" s="51"/>
      <c r="BM163" s="51"/>
      <c r="BN163" s="51"/>
      <c r="BO163" s="51"/>
      <c r="BP163" s="51"/>
      <c r="BQ163" s="51"/>
      <c r="BR163" s="51"/>
      <c r="BS163" s="51"/>
      <c r="BT163" s="51"/>
      <c r="BU163" s="51"/>
      <c r="BV163" s="51"/>
      <c r="BW163" s="51"/>
      <c r="BX163" s="51"/>
      <c r="BY163" s="51"/>
      <c r="BZ163" s="51"/>
    </row>
    <row r="164" ht="12.75" customHeight="1">
      <c r="A164" s="46" t="s">
        <v>124</v>
      </c>
      <c r="B164" s="56" t="str">
        <f>HYPERLINK("https://drive.google.com/open?id=0B-nn5iJ29NJadmhMQXRBdzEyNWc","Shmueli2016")</f>
        <v>Shmueli2016</v>
      </c>
      <c r="C164" s="55" t="s">
        <v>957</v>
      </c>
      <c r="D164" s="55" t="s">
        <v>181</v>
      </c>
      <c r="E164" s="57">
        <v>2016.0</v>
      </c>
      <c r="F164" s="58"/>
      <c r="G164" s="50"/>
      <c r="H164" s="50"/>
      <c r="I164" s="50"/>
      <c r="J164" s="50"/>
      <c r="K164" s="50"/>
      <c r="L164" s="50"/>
      <c r="M164" s="50">
        <v>1.0</v>
      </c>
      <c r="N164" s="50"/>
      <c r="O164" s="50"/>
      <c r="P164" s="50"/>
      <c r="Q164" s="50"/>
      <c r="R164" s="50"/>
      <c r="S164" s="50"/>
      <c r="T164" s="50"/>
      <c r="U164" s="50"/>
      <c r="V164" s="48" t="s">
        <v>958</v>
      </c>
      <c r="W164" s="48" t="s">
        <v>959</v>
      </c>
      <c r="X164" s="48" t="s">
        <v>960</v>
      </c>
      <c r="Y164" s="48" t="s">
        <v>961</v>
      </c>
      <c r="Z164" s="48" t="s">
        <v>962</v>
      </c>
      <c r="AA164" s="50"/>
      <c r="AB164" s="50">
        <v>1.0</v>
      </c>
      <c r="AC164" s="50"/>
      <c r="AD164" s="50">
        <v>1.0</v>
      </c>
      <c r="AE164" s="50"/>
      <c r="AF164" s="50"/>
      <c r="AG164" s="50"/>
      <c r="AH164" s="59"/>
      <c r="AI164" s="51">
        <v>1.0</v>
      </c>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v>1.0</v>
      </c>
      <c r="BI164" s="51"/>
      <c r="BJ164" s="51"/>
      <c r="BK164" s="51"/>
      <c r="BL164" s="51"/>
      <c r="BM164" s="51"/>
      <c r="BN164" s="51"/>
      <c r="BO164" s="51"/>
      <c r="BP164" s="51"/>
      <c r="BQ164" s="51"/>
      <c r="BR164" s="51"/>
      <c r="BS164" s="51"/>
      <c r="BT164" s="51"/>
      <c r="BU164" s="51"/>
      <c r="BV164" s="51"/>
      <c r="BW164" s="51">
        <v>1.0</v>
      </c>
      <c r="BX164" s="51"/>
      <c r="BY164" s="51"/>
      <c r="BZ164" s="51"/>
    </row>
    <row r="165" ht="12.75" customHeight="1">
      <c r="A165" s="46" t="s">
        <v>116</v>
      </c>
      <c r="B165" s="67" t="str">
        <f>HYPERLINK("https://drive.google.com/open?id=11X0vA1uM-IcNV3FYu-tvy2akLnL4vZsb","Shneiderman1979")</f>
        <v>Shneiderman1979</v>
      </c>
      <c r="C165" s="63" t="s">
        <v>963</v>
      </c>
      <c r="D165" s="63" t="s">
        <v>964</v>
      </c>
      <c r="E165" s="49">
        <v>1979.0</v>
      </c>
      <c r="F165" s="50"/>
      <c r="G165" s="50"/>
      <c r="H165" s="50"/>
      <c r="I165" s="50">
        <v>1.0</v>
      </c>
      <c r="J165" s="50">
        <v>1.0</v>
      </c>
      <c r="K165" s="50">
        <v>1.0</v>
      </c>
      <c r="L165" s="50"/>
      <c r="M165" s="50"/>
      <c r="N165" s="50"/>
      <c r="O165" s="50"/>
      <c r="P165" s="50"/>
      <c r="Q165" s="50"/>
      <c r="R165" s="50"/>
      <c r="S165" s="50"/>
      <c r="T165" s="50"/>
      <c r="U165" s="50"/>
      <c r="V165" s="51"/>
      <c r="W165" s="51" t="s">
        <v>965</v>
      </c>
      <c r="X165" s="51" t="s">
        <v>966</v>
      </c>
      <c r="Y165" s="51" t="s">
        <v>967</v>
      </c>
      <c r="Z165" s="51" t="s">
        <v>122</v>
      </c>
      <c r="AA165" s="50">
        <v>1.0</v>
      </c>
      <c r="AB165" s="50">
        <v>1.0</v>
      </c>
      <c r="AC165" s="50"/>
      <c r="AD165" s="50">
        <v>1.0</v>
      </c>
      <c r="AE165" s="50"/>
      <c r="AF165" s="50"/>
      <c r="AG165" s="50"/>
      <c r="AH165" s="51" t="s">
        <v>968</v>
      </c>
      <c r="AI165" s="51">
        <v>1.0</v>
      </c>
      <c r="AJ165" s="51"/>
      <c r="AK165" s="51"/>
      <c r="AL165" s="51"/>
      <c r="AM165" s="51"/>
      <c r="AN165" s="51"/>
      <c r="AO165" s="51">
        <v>1.0</v>
      </c>
      <c r="AP165" s="51">
        <v>1.0</v>
      </c>
      <c r="AQ165" s="51">
        <v>1.0</v>
      </c>
      <c r="AR165" s="51"/>
      <c r="AS165" s="51"/>
      <c r="AT165" s="51"/>
      <c r="AU165" s="51"/>
      <c r="AV165" s="51"/>
      <c r="AW165" s="51"/>
      <c r="AX165" s="51"/>
      <c r="AY165" s="51"/>
      <c r="AZ165" s="51"/>
      <c r="BA165" s="51"/>
      <c r="BB165" s="51"/>
      <c r="BC165" s="51"/>
      <c r="BD165" s="51"/>
      <c r="BE165" s="51">
        <v>1.0</v>
      </c>
      <c r="BF165" s="51"/>
      <c r="BG165" s="51"/>
      <c r="BH165" s="51"/>
      <c r="BI165" s="51">
        <v>1.0</v>
      </c>
      <c r="BJ165" s="51"/>
      <c r="BK165" s="51"/>
      <c r="BL165" s="51"/>
      <c r="BM165" s="51"/>
      <c r="BN165" s="51"/>
      <c r="BO165" s="51"/>
      <c r="BP165" s="51"/>
      <c r="BQ165" s="51"/>
      <c r="BR165" s="51"/>
      <c r="BS165" s="51"/>
      <c r="BT165" s="51"/>
      <c r="BU165" s="51"/>
      <c r="BV165" s="51"/>
      <c r="BW165" s="51">
        <v>1.0</v>
      </c>
      <c r="BX165" s="51"/>
      <c r="BY165" s="51"/>
      <c r="BZ165" s="51"/>
    </row>
    <row r="166" ht="12.75" customHeight="1">
      <c r="A166" s="46" t="s">
        <v>116</v>
      </c>
      <c r="B166" s="56" t="str">
        <f>HYPERLINK("https://drive.google.com/open?id=0B1GMAYMj9v6rRUFVTUlUbjBpMlU","Shull2013")</f>
        <v>Shull2013</v>
      </c>
      <c r="C166" s="55" t="s">
        <v>969</v>
      </c>
      <c r="D166" s="55" t="s">
        <v>560</v>
      </c>
      <c r="E166" s="57">
        <v>2013.0</v>
      </c>
      <c r="F166" s="50"/>
      <c r="G166" s="50">
        <v>1.0</v>
      </c>
      <c r="H166" s="50">
        <v>1.0</v>
      </c>
      <c r="I166" s="50">
        <v>1.0</v>
      </c>
      <c r="J166" s="50"/>
      <c r="K166" s="50"/>
      <c r="L166" s="50"/>
      <c r="M166" s="50"/>
      <c r="N166" s="50"/>
      <c r="O166" s="50"/>
      <c r="P166" s="50"/>
      <c r="Q166" s="50"/>
      <c r="R166" s="50"/>
      <c r="S166" s="50"/>
      <c r="T166" s="50"/>
      <c r="U166" s="50"/>
      <c r="V166" s="51"/>
      <c r="W166" s="51" t="s">
        <v>70</v>
      </c>
      <c r="X166" s="51"/>
      <c r="Y166" s="51"/>
      <c r="Z166" s="51"/>
      <c r="AA166" s="50"/>
      <c r="AB166" s="50"/>
      <c r="AC166" s="50"/>
      <c r="AD166" s="50"/>
      <c r="AE166" s="50"/>
      <c r="AF166" s="50"/>
      <c r="AG166" s="50">
        <v>1.0</v>
      </c>
      <c r="AH166" s="51" t="s">
        <v>970</v>
      </c>
      <c r="AI166" s="51">
        <v>1.0</v>
      </c>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v>1.0</v>
      </c>
      <c r="BI166" s="51"/>
      <c r="BJ166" s="51"/>
      <c r="BK166" s="51"/>
      <c r="BL166" s="51"/>
      <c r="BM166" s="51"/>
      <c r="BN166" s="51"/>
      <c r="BO166" s="51"/>
      <c r="BP166" s="51"/>
      <c r="BQ166" s="51"/>
      <c r="BR166" s="51"/>
      <c r="BS166" s="51"/>
      <c r="BT166" s="51"/>
      <c r="BU166" s="51"/>
      <c r="BV166" s="51"/>
      <c r="BW166" s="51"/>
      <c r="BX166" s="51"/>
      <c r="BY166" s="51"/>
      <c r="BZ166" s="51"/>
    </row>
    <row r="167" ht="12.75" customHeight="1">
      <c r="A167" s="46" t="s">
        <v>88</v>
      </c>
      <c r="B167" s="53" t="str">
        <f>HYPERLINK("https://drive.google.com/open?id=1rEBXK4H94pv2rySvtXqs5lUXrEnkw0nX","Shum1997")</f>
        <v>Shum1997</v>
      </c>
      <c r="C167" s="48" t="s">
        <v>971</v>
      </c>
      <c r="D167" s="48" t="s">
        <v>852</v>
      </c>
      <c r="E167" s="49">
        <v>1997.0</v>
      </c>
      <c r="F167" s="50"/>
      <c r="G167" s="50"/>
      <c r="H167" s="50">
        <v>1.0</v>
      </c>
      <c r="I167" s="50"/>
      <c r="J167" s="50"/>
      <c r="K167" s="50"/>
      <c r="L167" s="50"/>
      <c r="M167" s="50"/>
      <c r="N167" s="50"/>
      <c r="O167" s="50"/>
      <c r="P167" s="50"/>
      <c r="Q167" s="50"/>
      <c r="R167" s="50"/>
      <c r="S167" s="50"/>
      <c r="T167" s="50"/>
      <c r="U167" s="50"/>
      <c r="V167" s="51"/>
      <c r="W167" s="51" t="s">
        <v>972</v>
      </c>
      <c r="X167" s="51" t="s">
        <v>92</v>
      </c>
      <c r="Y167" s="51" t="s">
        <v>92</v>
      </c>
      <c r="Z167" s="51" t="s">
        <v>973</v>
      </c>
      <c r="AA167" s="50"/>
      <c r="AB167" s="50"/>
      <c r="AC167" s="50"/>
      <c r="AD167" s="50">
        <v>1.0</v>
      </c>
      <c r="AE167" s="50"/>
      <c r="AF167" s="50"/>
      <c r="AG167" s="50"/>
      <c r="AH167" s="51" t="s">
        <v>974</v>
      </c>
      <c r="AI167" s="51">
        <v>1.0</v>
      </c>
      <c r="AJ167" s="51"/>
      <c r="AK167" s="51"/>
      <c r="AL167" s="51"/>
      <c r="AM167" s="51"/>
      <c r="AN167" s="51"/>
      <c r="AO167" s="51"/>
      <c r="AP167" s="51"/>
      <c r="AQ167" s="51"/>
      <c r="AR167" s="51"/>
      <c r="AS167" s="51"/>
      <c r="AT167" s="51">
        <v>1.0</v>
      </c>
      <c r="AU167" s="51"/>
      <c r="AV167" s="51"/>
      <c r="AW167" s="51"/>
      <c r="AX167" s="51"/>
      <c r="AY167" s="51"/>
      <c r="AZ167" s="51"/>
      <c r="BA167" s="51"/>
      <c r="BB167" s="51"/>
      <c r="BC167" s="51"/>
      <c r="BD167" s="51"/>
      <c r="BE167" s="51"/>
      <c r="BF167" s="51"/>
      <c r="BG167" s="51"/>
      <c r="BH167" s="51"/>
      <c r="BI167" s="51"/>
      <c r="BJ167" s="51"/>
      <c r="BK167" s="51"/>
      <c r="BL167" s="51"/>
      <c r="BM167" s="51"/>
      <c r="BN167" s="51"/>
      <c r="BO167" s="51"/>
      <c r="BP167" s="51"/>
      <c r="BQ167" s="51"/>
      <c r="BR167" s="51"/>
      <c r="BS167" s="51"/>
      <c r="BT167" s="51"/>
      <c r="BU167" s="51"/>
      <c r="BV167" s="51"/>
      <c r="BW167" s="51"/>
      <c r="BX167" s="51"/>
      <c r="BY167" s="51"/>
      <c r="BZ167" s="51"/>
    </row>
    <row r="168" ht="12.75" customHeight="1">
      <c r="A168" s="46" t="s">
        <v>116</v>
      </c>
      <c r="B168" s="56" t="str">
        <f>HYPERLINK("https://drive.google.com/open?id=0B1GMAYMj9v6rN1lFRVpJb0tIN00","Shum2006")</f>
        <v>Shum2006</v>
      </c>
      <c r="C168" s="55" t="s">
        <v>975</v>
      </c>
      <c r="D168" s="55" t="s">
        <v>976</v>
      </c>
      <c r="E168" s="49">
        <v>2006.0</v>
      </c>
      <c r="F168" s="50"/>
      <c r="G168" s="50"/>
      <c r="H168" s="50">
        <v>1.0</v>
      </c>
      <c r="I168" s="50"/>
      <c r="J168" s="50"/>
      <c r="K168" s="50"/>
      <c r="L168" s="50"/>
      <c r="M168" s="50"/>
      <c r="N168" s="50"/>
      <c r="O168" s="50"/>
      <c r="P168" s="50"/>
      <c r="Q168" s="50">
        <v>1.0</v>
      </c>
      <c r="R168" s="50"/>
      <c r="S168" s="50"/>
      <c r="T168" s="50"/>
      <c r="U168" s="50"/>
      <c r="V168" s="51" t="s">
        <v>977</v>
      </c>
      <c r="W168" s="51"/>
      <c r="X168" s="51"/>
      <c r="Y168" s="51"/>
      <c r="Z168" s="51" t="s">
        <v>978</v>
      </c>
      <c r="AA168" s="50"/>
      <c r="AB168" s="50"/>
      <c r="AC168" s="50">
        <v>1.0</v>
      </c>
      <c r="AD168" s="50"/>
      <c r="AE168" s="50"/>
      <c r="AF168" s="50"/>
      <c r="AG168" s="50"/>
      <c r="AH168" s="51" t="s">
        <v>979</v>
      </c>
      <c r="AI168" s="51">
        <v>1.0</v>
      </c>
      <c r="AJ168" s="51"/>
      <c r="AK168" s="51"/>
      <c r="AL168" s="51"/>
      <c r="AM168" s="51"/>
      <c r="AN168" s="51"/>
      <c r="AO168" s="51"/>
      <c r="AP168" s="51"/>
      <c r="AQ168" s="51"/>
      <c r="AR168" s="51">
        <v>1.0</v>
      </c>
      <c r="AS168" s="51"/>
      <c r="AT168" s="51"/>
      <c r="AU168" s="51"/>
      <c r="AV168" s="51"/>
      <c r="AW168" s="51"/>
      <c r="AX168" s="51"/>
      <c r="AY168" s="51"/>
      <c r="AZ168" s="51"/>
      <c r="BA168" s="51"/>
      <c r="BB168" s="51"/>
      <c r="BC168" s="51"/>
      <c r="BD168" s="51"/>
      <c r="BE168" s="51"/>
      <c r="BF168" s="51">
        <v>1.0</v>
      </c>
      <c r="BG168" s="51"/>
      <c r="BH168" s="51"/>
      <c r="BI168" s="51"/>
      <c r="BJ168" s="51"/>
      <c r="BK168" s="51"/>
      <c r="BL168" s="51"/>
      <c r="BM168" s="51"/>
      <c r="BN168" s="51"/>
      <c r="BO168" s="51"/>
      <c r="BP168" s="51"/>
      <c r="BQ168" s="51"/>
      <c r="BR168" s="51"/>
      <c r="BS168" s="51"/>
      <c r="BT168" s="51"/>
      <c r="BU168" s="51"/>
      <c r="BV168" s="51"/>
      <c r="BW168" s="51"/>
      <c r="BX168" s="51"/>
      <c r="BY168" s="51"/>
      <c r="BZ168" s="51"/>
    </row>
    <row r="169" ht="12.75" customHeight="1">
      <c r="A169" s="46" t="s">
        <v>172</v>
      </c>
      <c r="B169" s="67" t="str">
        <f>HYPERLINK("https://drive.google.com/open?id=17PWH79etvFNbgkdKlNAMyzoeDa-Tsz0v","Siau1996")</f>
        <v>Siau1996</v>
      </c>
      <c r="C169" s="63" t="s">
        <v>980</v>
      </c>
      <c r="D169" s="55" t="s">
        <v>981</v>
      </c>
      <c r="E169" s="55">
        <v>1996.0</v>
      </c>
      <c r="F169" s="55"/>
      <c r="G169" s="55">
        <v>1.0</v>
      </c>
      <c r="H169" s="55"/>
      <c r="I169" s="55"/>
      <c r="J169" s="55"/>
      <c r="K169" s="55"/>
      <c r="L169" s="55"/>
      <c r="M169" s="55"/>
      <c r="N169" s="55"/>
      <c r="O169" s="55"/>
      <c r="P169" s="55"/>
      <c r="Q169" s="55"/>
      <c r="R169" s="55"/>
      <c r="S169" s="55"/>
      <c r="T169" s="55"/>
      <c r="U169" s="55"/>
      <c r="V169" s="55"/>
      <c r="W169" s="55" t="s">
        <v>982</v>
      </c>
      <c r="X169" s="55" t="s">
        <v>983</v>
      </c>
      <c r="Y169" s="55" t="s">
        <v>984</v>
      </c>
      <c r="Z169" s="55" t="s">
        <v>100</v>
      </c>
      <c r="AA169" s="55">
        <v>1.0</v>
      </c>
      <c r="AB169" s="55"/>
      <c r="AC169" s="55"/>
      <c r="AD169" s="55">
        <v>1.0</v>
      </c>
      <c r="AE169" s="55"/>
      <c r="AF169" s="55"/>
      <c r="AG169" s="55"/>
      <c r="AH169" s="48" t="s">
        <v>985</v>
      </c>
      <c r="AI169" s="51">
        <v>1.0</v>
      </c>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v>1.0</v>
      </c>
      <c r="BI169" s="51"/>
      <c r="BJ169" s="51"/>
      <c r="BK169" s="51"/>
      <c r="BL169" s="51"/>
      <c r="BM169" s="51"/>
      <c r="BN169" s="51"/>
      <c r="BO169" s="51"/>
      <c r="BP169" s="51"/>
      <c r="BQ169" s="51"/>
      <c r="BR169" s="51"/>
      <c r="BS169" s="51"/>
      <c r="BT169" s="51"/>
      <c r="BU169" s="51"/>
      <c r="BV169" s="51"/>
      <c r="BW169" s="51"/>
      <c r="BX169" s="51"/>
      <c r="BY169" s="51">
        <v>1.0</v>
      </c>
      <c r="BZ169" s="51"/>
    </row>
    <row r="170" ht="12.75" customHeight="1">
      <c r="A170" s="46" t="s">
        <v>108</v>
      </c>
      <c r="B170" s="56" t="str">
        <f>HYPERLINK("https://pdfs.semanticscholar.org/b585/4a4953099818013e8ceae9d002e761bd0eb2.pdf","Siau2004")</f>
        <v>Siau2004</v>
      </c>
      <c r="C170" s="55" t="s">
        <v>986</v>
      </c>
      <c r="D170" s="55" t="s">
        <v>987</v>
      </c>
      <c r="E170" s="49">
        <v>2004.0</v>
      </c>
      <c r="F170" s="50"/>
      <c r="G170" s="50"/>
      <c r="H170" s="50">
        <v>1.0</v>
      </c>
      <c r="I170" s="50"/>
      <c r="J170" s="50"/>
      <c r="K170" s="50"/>
      <c r="L170" s="50"/>
      <c r="M170" s="50"/>
      <c r="N170" s="50"/>
      <c r="O170" s="50"/>
      <c r="P170" s="50"/>
      <c r="Q170" s="50"/>
      <c r="R170" s="50"/>
      <c r="S170" s="50"/>
      <c r="T170" s="50"/>
      <c r="U170" s="50"/>
      <c r="V170" s="48" t="s">
        <v>988</v>
      </c>
      <c r="W170" s="48" t="s">
        <v>989</v>
      </c>
      <c r="X170" s="48" t="s">
        <v>221</v>
      </c>
      <c r="Y170" s="48" t="s">
        <v>221</v>
      </c>
      <c r="Z170" s="48" t="s">
        <v>542</v>
      </c>
      <c r="AA170" s="50">
        <v>1.0</v>
      </c>
      <c r="AB170" s="50"/>
      <c r="AC170" s="50">
        <v>1.0</v>
      </c>
      <c r="AD170" s="50"/>
      <c r="AE170" s="50"/>
      <c r="AF170" s="50"/>
      <c r="AG170" s="50"/>
      <c r="AH170" s="51" t="s">
        <v>990</v>
      </c>
      <c r="AI170" s="51">
        <v>1.0</v>
      </c>
      <c r="AJ170" s="51"/>
      <c r="AK170" s="51"/>
      <c r="AL170" s="51"/>
      <c r="AM170" s="51"/>
      <c r="AN170" s="51">
        <v>1.0</v>
      </c>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row>
    <row r="171" ht="12.75" customHeight="1">
      <c r="A171" s="46" t="s">
        <v>172</v>
      </c>
      <c r="B171" s="68" t="str">
        <f>HYPERLINK("https://drive.google.com/open?id=1RPplDpdnmPhn78DHnapSLnM_hg0y1aLs","Siau2005")</f>
        <v>Siau2005</v>
      </c>
      <c r="C171" s="63" t="s">
        <v>991</v>
      </c>
      <c r="D171" s="63" t="s">
        <v>992</v>
      </c>
      <c r="E171" s="55">
        <v>2005.0</v>
      </c>
      <c r="F171" s="71">
        <v>1.0</v>
      </c>
      <c r="G171" s="55">
        <v>1.0</v>
      </c>
      <c r="H171" s="55">
        <v>1.0</v>
      </c>
      <c r="I171" s="55">
        <v>1.0</v>
      </c>
      <c r="J171" s="55"/>
      <c r="K171" s="55"/>
      <c r="L171" s="55"/>
      <c r="M171" s="55"/>
      <c r="N171" s="55"/>
      <c r="O171" s="55"/>
      <c r="P171" s="55"/>
      <c r="Q171" s="55"/>
      <c r="R171" s="55"/>
      <c r="S171" s="55"/>
      <c r="T171" s="55"/>
      <c r="U171" s="55"/>
      <c r="V171" s="55"/>
      <c r="W171" s="55" t="s">
        <v>993</v>
      </c>
      <c r="X171" s="55"/>
      <c r="Y171" s="55"/>
      <c r="Z171" s="55" t="s">
        <v>100</v>
      </c>
      <c r="AA171" s="55">
        <v>1.0</v>
      </c>
      <c r="AB171" s="55"/>
      <c r="AC171" s="55">
        <v>1.0</v>
      </c>
      <c r="AD171" s="55"/>
      <c r="AE171" s="55"/>
      <c r="AF171" s="55"/>
      <c r="AG171" s="55"/>
      <c r="AH171" s="48" t="s">
        <v>994</v>
      </c>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row>
    <row r="172" ht="12.75" customHeight="1">
      <c r="A172" s="46" t="s">
        <v>124</v>
      </c>
      <c r="B172" s="56" t="str">
        <f>HYPERLINK("https://drive.google.com/open?id=0B-nn5iJ29NJaYnVLNkkxVjlXMnc","Siau2010")</f>
        <v>Siau2010</v>
      </c>
      <c r="C172" s="55" t="s">
        <v>995</v>
      </c>
      <c r="D172" s="55" t="s">
        <v>181</v>
      </c>
      <c r="E172" s="57">
        <v>2010.0</v>
      </c>
      <c r="F172" s="58"/>
      <c r="G172" s="50"/>
      <c r="H172" s="50"/>
      <c r="I172" s="50"/>
      <c r="J172" s="50"/>
      <c r="K172" s="50"/>
      <c r="L172" s="50"/>
      <c r="M172" s="50">
        <v>1.0</v>
      </c>
      <c r="N172" s="50"/>
      <c r="O172" s="50"/>
      <c r="P172" s="50"/>
      <c r="Q172" s="50"/>
      <c r="R172" s="50"/>
      <c r="S172" s="50"/>
      <c r="T172" s="50"/>
      <c r="U172" s="50"/>
      <c r="V172" s="48"/>
      <c r="W172" s="48" t="s">
        <v>996</v>
      </c>
      <c r="X172" s="48" t="s">
        <v>997</v>
      </c>
      <c r="Y172" s="48"/>
      <c r="Z172" s="48"/>
      <c r="AA172" s="50"/>
      <c r="AB172" s="50">
        <v>1.0</v>
      </c>
      <c r="AC172" s="50"/>
      <c r="AD172" s="50">
        <v>1.0</v>
      </c>
      <c r="AE172" s="50"/>
      <c r="AF172" s="50"/>
      <c r="AG172" s="50"/>
      <c r="AH172" s="59"/>
      <c r="AI172" s="51">
        <v>1.0</v>
      </c>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v>1.0</v>
      </c>
      <c r="BH172" s="51"/>
      <c r="BI172" s="51"/>
      <c r="BJ172" s="51"/>
      <c r="BK172" s="51"/>
      <c r="BL172" s="51"/>
      <c r="BM172" s="51"/>
      <c r="BN172" s="51"/>
      <c r="BO172" s="51"/>
      <c r="BP172" s="51"/>
      <c r="BQ172" s="51"/>
      <c r="BR172" s="51"/>
      <c r="BS172" s="51"/>
      <c r="BT172" s="51"/>
      <c r="BU172" s="51"/>
      <c r="BV172" s="51"/>
      <c r="BW172" s="51"/>
      <c r="BX172" s="51"/>
      <c r="BY172" s="51"/>
      <c r="BZ172" s="51"/>
    </row>
    <row r="173" ht="12.75" customHeight="1">
      <c r="A173" s="46" t="s">
        <v>88</v>
      </c>
      <c r="B173" s="53" t="str">
        <f>HYPERLINK("https://drive.google.com/open?id=0B00cIHsghs6UX1J0NVBWZnNDY28","Siddiqi1988")</f>
        <v>Siddiqi1988</v>
      </c>
      <c r="C173" s="48" t="s">
        <v>998</v>
      </c>
      <c r="D173" s="48" t="s">
        <v>999</v>
      </c>
      <c r="E173" s="49">
        <v>1988.0</v>
      </c>
      <c r="F173" s="50"/>
      <c r="G173" s="50"/>
      <c r="H173" s="50"/>
      <c r="I173" s="50">
        <v>1.0</v>
      </c>
      <c r="J173" s="50"/>
      <c r="K173" s="50"/>
      <c r="L173" s="50"/>
      <c r="M173" s="50"/>
      <c r="N173" s="50"/>
      <c r="O173" s="50"/>
      <c r="P173" s="50"/>
      <c r="Q173" s="50"/>
      <c r="R173" s="50"/>
      <c r="S173" s="50"/>
      <c r="T173" s="50"/>
      <c r="U173" s="50"/>
      <c r="V173" s="51" t="s">
        <v>1000</v>
      </c>
      <c r="W173" s="51" t="s">
        <v>1001</v>
      </c>
      <c r="X173" s="51" t="s">
        <v>1002</v>
      </c>
      <c r="Y173" s="51" t="s">
        <v>92</v>
      </c>
      <c r="Z173" s="51" t="s">
        <v>137</v>
      </c>
      <c r="AA173" s="50">
        <v>1.0</v>
      </c>
      <c r="AB173" s="50"/>
      <c r="AC173" s="50"/>
      <c r="AD173" s="50">
        <v>1.0</v>
      </c>
      <c r="AE173" s="50"/>
      <c r="AF173" s="50"/>
      <c r="AG173" s="50"/>
      <c r="AH173" s="51"/>
      <c r="AI173" s="51">
        <v>1.0</v>
      </c>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v>1.0</v>
      </c>
      <c r="BF173" s="51"/>
      <c r="BG173" s="51"/>
      <c r="BH173" s="51"/>
      <c r="BI173" s="51"/>
      <c r="BJ173" s="51"/>
      <c r="BK173" s="51"/>
      <c r="BL173" s="51"/>
      <c r="BM173" s="51"/>
      <c r="BN173" s="51"/>
      <c r="BO173" s="51"/>
      <c r="BP173" s="51"/>
      <c r="BQ173" s="51"/>
      <c r="BR173" s="51"/>
      <c r="BS173" s="51"/>
      <c r="BT173" s="51">
        <v>1.0</v>
      </c>
      <c r="BU173" s="51"/>
      <c r="BV173" s="51"/>
      <c r="BW173" s="51"/>
      <c r="BX173" s="51"/>
      <c r="BY173" s="51"/>
      <c r="BZ173" s="51"/>
    </row>
    <row r="174" ht="12.75" customHeight="1">
      <c r="A174" s="46" t="s">
        <v>172</v>
      </c>
      <c r="B174" s="68" t="str">
        <f>HYPERLINK("https://drive.google.com/open?id=1WPx7gz8zAyR8LuCdxS7mURW9NjFjR7mb","Siegmund2012")</f>
        <v>Siegmund2012</v>
      </c>
      <c r="C174" s="63" t="s">
        <v>1003</v>
      </c>
      <c r="D174" s="63" t="s">
        <v>1004</v>
      </c>
      <c r="E174" s="55">
        <v>2012.0</v>
      </c>
      <c r="F174" s="55"/>
      <c r="G174" s="55"/>
      <c r="H174" s="55"/>
      <c r="I174" s="55"/>
      <c r="J174" s="55"/>
      <c r="K174" s="55">
        <v>1.0</v>
      </c>
      <c r="L174" s="55"/>
      <c r="M174" s="55"/>
      <c r="N174" s="55"/>
      <c r="O174" s="55"/>
      <c r="P174" s="55"/>
      <c r="Q174" s="55"/>
      <c r="R174" s="55"/>
      <c r="S174" s="55"/>
      <c r="T174" s="55"/>
      <c r="U174" s="55"/>
      <c r="V174" s="55"/>
      <c r="W174" s="55" t="s">
        <v>1005</v>
      </c>
      <c r="X174" s="55" t="s">
        <v>1006</v>
      </c>
      <c r="Y174" s="55" t="s">
        <v>1007</v>
      </c>
      <c r="Z174" s="55" t="s">
        <v>100</v>
      </c>
      <c r="AA174" s="55"/>
      <c r="AB174" s="55"/>
      <c r="AC174" s="55"/>
      <c r="AD174" s="55">
        <v>1.0</v>
      </c>
      <c r="AE174" s="55"/>
      <c r="AF174" s="55"/>
      <c r="AG174" s="55"/>
      <c r="AH174" s="48" t="s">
        <v>1008</v>
      </c>
      <c r="AI174" s="51">
        <v>1.0</v>
      </c>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2">
        <v>1.0</v>
      </c>
      <c r="BJ174" s="51"/>
      <c r="BK174" s="51"/>
      <c r="BL174" s="51"/>
      <c r="BM174" s="51"/>
      <c r="BN174" s="51"/>
      <c r="BO174" s="51"/>
      <c r="BP174" s="51"/>
      <c r="BQ174" s="51"/>
      <c r="BR174" s="51"/>
      <c r="BS174" s="51"/>
      <c r="BT174" s="51"/>
      <c r="BU174" s="51"/>
      <c r="BV174" s="51"/>
      <c r="BW174" s="51"/>
      <c r="BX174" s="51">
        <v>1.0</v>
      </c>
      <c r="BY174" s="51"/>
      <c r="BZ174" s="51"/>
    </row>
    <row r="175" ht="12.75" customHeight="1">
      <c r="A175" s="46" t="s">
        <v>88</v>
      </c>
      <c r="B175" s="53" t="str">
        <f>HYPERLINK("https://drive.google.com/open?id=0B00cIHsghs6UVHljWmNPMkF6WVE","Siegmund2014")</f>
        <v>Siegmund2014</v>
      </c>
      <c r="C175" s="48" t="s">
        <v>1009</v>
      </c>
      <c r="D175" s="48" t="s">
        <v>196</v>
      </c>
      <c r="E175" s="49">
        <v>2014.0</v>
      </c>
      <c r="F175" s="50"/>
      <c r="G175" s="50"/>
      <c r="H175" s="50"/>
      <c r="I175" s="50"/>
      <c r="J175" s="50"/>
      <c r="K175" s="50">
        <v>1.0</v>
      </c>
      <c r="L175" s="50"/>
      <c r="M175" s="50"/>
      <c r="N175" s="50"/>
      <c r="O175" s="50"/>
      <c r="P175" s="50"/>
      <c r="Q175" s="50"/>
      <c r="R175" s="50"/>
      <c r="S175" s="50"/>
      <c r="T175" s="50"/>
      <c r="U175" s="50"/>
      <c r="V175" s="51"/>
      <c r="W175" s="51" t="s">
        <v>1010</v>
      </c>
      <c r="X175" s="51" t="s">
        <v>239</v>
      </c>
      <c r="Y175" s="51" t="s">
        <v>1011</v>
      </c>
      <c r="Z175" s="51" t="s">
        <v>137</v>
      </c>
      <c r="AA175" s="50">
        <v>1.0</v>
      </c>
      <c r="AB175" s="50"/>
      <c r="AC175" s="50"/>
      <c r="AD175" s="50">
        <v>1.0</v>
      </c>
      <c r="AE175" s="50"/>
      <c r="AF175" s="50"/>
      <c r="AG175" s="50"/>
      <c r="AH175" s="51" t="s">
        <v>1012</v>
      </c>
      <c r="AI175" s="51">
        <v>1.0</v>
      </c>
      <c r="AJ175" s="51">
        <v>1.0</v>
      </c>
      <c r="AK175" s="51"/>
      <c r="AL175" s="51"/>
      <c r="AM175" s="51"/>
      <c r="AN175" s="51"/>
      <c r="AO175" s="51">
        <v>1.0</v>
      </c>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v>1.0</v>
      </c>
      <c r="BY175" s="51"/>
      <c r="BZ175" s="51"/>
    </row>
    <row r="176" ht="12.75" customHeight="1">
      <c r="A176" s="46" t="s">
        <v>116</v>
      </c>
      <c r="B176" s="67" t="str">
        <f>HYPERLINK("https://drive.google.com/open?id=1a5fyu6gI5BaVZw8S5nyXzy99-Y9gNm6f","Sime1973")</f>
        <v>Sime1973</v>
      </c>
      <c r="C176" s="63" t="s">
        <v>1013</v>
      </c>
      <c r="D176" s="63" t="s">
        <v>1014</v>
      </c>
      <c r="E176" s="49">
        <v>1973.0</v>
      </c>
      <c r="F176" s="50"/>
      <c r="G176" s="50"/>
      <c r="H176" s="50"/>
      <c r="I176" s="50">
        <v>1.0</v>
      </c>
      <c r="J176" s="50"/>
      <c r="K176" s="50"/>
      <c r="L176" s="50"/>
      <c r="M176" s="50"/>
      <c r="N176" s="50"/>
      <c r="O176" s="50"/>
      <c r="P176" s="50"/>
      <c r="Q176" s="50"/>
      <c r="R176" s="50"/>
      <c r="S176" s="50"/>
      <c r="T176" s="50"/>
      <c r="U176" s="50"/>
      <c r="V176" s="51"/>
      <c r="W176" s="51" t="s">
        <v>1015</v>
      </c>
      <c r="X176" s="51" t="s">
        <v>1016</v>
      </c>
      <c r="Y176" s="51" t="s">
        <v>1017</v>
      </c>
      <c r="Z176" s="51" t="s">
        <v>122</v>
      </c>
      <c r="AA176" s="50">
        <v>1.0</v>
      </c>
      <c r="AB176" s="50"/>
      <c r="AC176" s="50"/>
      <c r="AD176" s="50">
        <v>1.0</v>
      </c>
      <c r="AE176" s="50"/>
      <c r="AF176" s="50"/>
      <c r="AG176" s="50"/>
      <c r="AH176" s="51" t="s">
        <v>1018</v>
      </c>
      <c r="AI176" s="51">
        <v>1.0</v>
      </c>
      <c r="AJ176" s="51"/>
      <c r="AK176" s="51"/>
      <c r="AL176" s="51"/>
      <c r="AM176" s="51"/>
      <c r="AN176" s="51">
        <v>1.0</v>
      </c>
      <c r="AO176" s="51"/>
      <c r="AP176" s="51">
        <v>1.0</v>
      </c>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v>1.0</v>
      </c>
      <c r="BX176" s="51"/>
      <c r="BY176" s="51"/>
      <c r="BZ176" s="51"/>
    </row>
    <row r="177" ht="12.75" customHeight="1">
      <c r="A177" s="46" t="s">
        <v>116</v>
      </c>
      <c r="B177" s="68" t="str">
        <f>HYPERLINK("https://drive.google.com/open?id=1G4SMkm62vmvZlE_IjLUt_ERomg689lZD","Sinha1992")</f>
        <v>Sinha1992</v>
      </c>
      <c r="C177" s="63" t="s">
        <v>1019</v>
      </c>
      <c r="D177" s="63" t="s">
        <v>1020</v>
      </c>
      <c r="E177" s="49">
        <v>1992.0</v>
      </c>
      <c r="F177" s="50"/>
      <c r="G177" s="50"/>
      <c r="H177" s="50"/>
      <c r="I177" s="50">
        <v>1.0</v>
      </c>
      <c r="J177" s="50"/>
      <c r="K177" s="50"/>
      <c r="L177" s="50"/>
      <c r="M177" s="50"/>
      <c r="N177" s="50"/>
      <c r="O177" s="50"/>
      <c r="P177" s="50"/>
      <c r="Q177" s="50"/>
      <c r="R177" s="50"/>
      <c r="S177" s="50"/>
      <c r="T177" s="50"/>
      <c r="U177" s="50"/>
      <c r="V177" s="51" t="s">
        <v>1021</v>
      </c>
      <c r="W177" s="51" t="s">
        <v>1022</v>
      </c>
      <c r="X177" s="51" t="s">
        <v>1023</v>
      </c>
      <c r="Y177" s="51" t="s">
        <v>1024</v>
      </c>
      <c r="Z177" s="51" t="s">
        <v>122</v>
      </c>
      <c r="AA177" s="50">
        <v>1.0</v>
      </c>
      <c r="AB177" s="50"/>
      <c r="AC177" s="50"/>
      <c r="AD177" s="50">
        <v>1.0</v>
      </c>
      <c r="AE177" s="50"/>
      <c r="AF177" s="50"/>
      <c r="AG177" s="50"/>
      <c r="AH177" s="51" t="s">
        <v>1025</v>
      </c>
      <c r="AI177" s="51">
        <v>1.0</v>
      </c>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v>1.0</v>
      </c>
      <c r="BF177" s="51"/>
      <c r="BG177" s="51"/>
      <c r="BH177" s="51"/>
      <c r="BI177" s="51"/>
      <c r="BJ177" s="51"/>
      <c r="BK177" s="51"/>
      <c r="BL177" s="52">
        <v>1.0</v>
      </c>
      <c r="BM177" s="51"/>
      <c r="BN177" s="51"/>
      <c r="BO177" s="51"/>
      <c r="BP177" s="51"/>
      <c r="BQ177" s="51"/>
      <c r="BR177" s="51"/>
      <c r="BS177" s="51"/>
      <c r="BT177" s="51"/>
      <c r="BU177" s="51"/>
      <c r="BV177" s="51"/>
      <c r="BW177" s="51">
        <v>1.0</v>
      </c>
      <c r="BX177" s="51"/>
      <c r="BY177" s="52">
        <v>1.0</v>
      </c>
      <c r="BZ177" s="51"/>
    </row>
    <row r="178" ht="12.75" customHeight="1">
      <c r="A178" s="46" t="s">
        <v>108</v>
      </c>
      <c r="B178" s="54" t="str">
        <f>HYPERLINK("https://drive.google.com/open?id=0B3oar8-GeP-IT0N2dFFNc2lKZ0U","Sinha2015")</f>
        <v>Sinha2015</v>
      </c>
      <c r="C178" s="55" t="s">
        <v>1026</v>
      </c>
      <c r="D178" s="55" t="s">
        <v>211</v>
      </c>
      <c r="E178" s="49">
        <v>2015.0</v>
      </c>
      <c r="F178" s="50"/>
      <c r="G178" s="50"/>
      <c r="H178" s="50">
        <v>1.0</v>
      </c>
      <c r="I178" s="50"/>
      <c r="J178" s="50"/>
      <c r="K178" s="50"/>
      <c r="L178" s="50"/>
      <c r="M178" s="50"/>
      <c r="N178" s="50"/>
      <c r="O178" s="50"/>
      <c r="P178" s="50"/>
      <c r="Q178" s="50"/>
      <c r="R178" s="50"/>
      <c r="S178" s="50"/>
      <c r="T178" s="50"/>
      <c r="U178" s="50"/>
      <c r="V178" s="48" t="s">
        <v>1027</v>
      </c>
      <c r="W178" s="48" t="s">
        <v>1028</v>
      </c>
      <c r="X178" s="48" t="s">
        <v>1029</v>
      </c>
      <c r="Y178" s="48" t="s">
        <v>1030</v>
      </c>
      <c r="Z178" s="48" t="s">
        <v>1031</v>
      </c>
      <c r="AA178" s="50"/>
      <c r="AB178" s="50">
        <v>1.0</v>
      </c>
      <c r="AC178" s="50"/>
      <c r="AD178" s="50">
        <v>1.0</v>
      </c>
      <c r="AE178" s="50"/>
      <c r="AF178" s="50"/>
      <c r="AG178" s="50"/>
      <c r="AH178" s="51" t="s">
        <v>1032</v>
      </c>
      <c r="AI178" s="51">
        <v>1.0</v>
      </c>
      <c r="AJ178" s="51"/>
      <c r="AK178" s="51"/>
      <c r="AL178" s="51"/>
      <c r="AM178" s="51"/>
      <c r="AN178" s="51">
        <v>1.0</v>
      </c>
      <c r="AO178" s="51"/>
      <c r="AP178" s="51"/>
      <c r="AQ178" s="51"/>
      <c r="AR178" s="51"/>
      <c r="AS178" s="51"/>
      <c r="AT178" s="51"/>
      <c r="AU178" s="51"/>
      <c r="AV178" s="51"/>
      <c r="AW178" s="51"/>
      <c r="AX178" s="51"/>
      <c r="AY178" s="51"/>
      <c r="AZ178" s="51"/>
      <c r="BA178" s="51"/>
      <c r="BB178" s="51"/>
      <c r="BC178" s="51"/>
      <c r="BD178" s="51"/>
      <c r="BE178" s="52">
        <v>1.0</v>
      </c>
      <c r="BF178" s="51"/>
      <c r="BG178" s="51"/>
      <c r="BH178" s="51"/>
      <c r="BI178" s="52"/>
      <c r="BJ178" s="51"/>
      <c r="BK178" s="51"/>
      <c r="BL178" s="51"/>
      <c r="BM178" s="51"/>
      <c r="BN178" s="51"/>
      <c r="BO178" s="51"/>
      <c r="BP178" s="51"/>
      <c r="BQ178" s="51"/>
      <c r="BR178" s="51"/>
      <c r="BS178" s="51"/>
      <c r="BT178" s="51"/>
      <c r="BU178" s="51"/>
      <c r="BV178" s="51"/>
      <c r="BW178" s="51">
        <v>1.0</v>
      </c>
      <c r="BX178" s="51"/>
      <c r="BY178" s="51"/>
      <c r="BZ178" s="51"/>
    </row>
    <row r="179" ht="12.75" customHeight="1">
      <c r="A179" s="46" t="s">
        <v>108</v>
      </c>
      <c r="B179" s="56" t="str">
        <f>HYPERLINK("https://drive.google.com/open?id=0B3oar8-GeP-IUUNiU0lndVRoemc","Snodgrass1988")</f>
        <v>Snodgrass1988</v>
      </c>
      <c r="C179" s="55" t="s">
        <v>1033</v>
      </c>
      <c r="D179" s="48"/>
      <c r="E179" s="49">
        <v>1988.0</v>
      </c>
      <c r="F179" s="50"/>
      <c r="G179" s="50">
        <v>1.0</v>
      </c>
      <c r="H179" s="50">
        <v>1.0</v>
      </c>
      <c r="I179" s="50"/>
      <c r="J179" s="50"/>
      <c r="K179" s="50"/>
      <c r="L179" s="50"/>
      <c r="M179" s="50"/>
      <c r="N179" s="50"/>
      <c r="O179" s="50"/>
      <c r="P179" s="50"/>
      <c r="Q179" s="50"/>
      <c r="R179" s="50"/>
      <c r="S179" s="50"/>
      <c r="T179" s="50"/>
      <c r="U179" s="50"/>
      <c r="V179" s="48" t="s">
        <v>1034</v>
      </c>
      <c r="W179" s="48" t="s">
        <v>1035</v>
      </c>
      <c r="X179" s="48" t="s">
        <v>221</v>
      </c>
      <c r="Y179" s="48" t="s">
        <v>1036</v>
      </c>
      <c r="Z179" s="48" t="s">
        <v>542</v>
      </c>
      <c r="AA179" s="50"/>
      <c r="AB179" s="50">
        <v>1.0</v>
      </c>
      <c r="AC179" s="50"/>
      <c r="AD179" s="50">
        <v>1.0</v>
      </c>
      <c r="AE179" s="50"/>
      <c r="AF179" s="50"/>
      <c r="AG179" s="50"/>
      <c r="AH179" s="51" t="s">
        <v>1037</v>
      </c>
      <c r="AI179" s="51">
        <v>1.0</v>
      </c>
      <c r="AJ179" s="51"/>
      <c r="AK179" s="51"/>
      <c r="AL179" s="51"/>
      <c r="AM179" s="51"/>
      <c r="AN179" s="51">
        <v>1.0</v>
      </c>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row>
    <row r="180" ht="12.75" customHeight="1">
      <c r="A180" s="46" t="s">
        <v>116</v>
      </c>
      <c r="B180" s="68" t="str">
        <f>HYPERLINK("https://drive.google.com/open?id=1AIQ_UPI0BDhrlQigcGGESRFSXoOpbBa5","Snow2007")</f>
        <v>Snow2007</v>
      </c>
      <c r="C180" s="63" t="s">
        <v>1038</v>
      </c>
      <c r="D180" s="63" t="s">
        <v>261</v>
      </c>
      <c r="E180" s="49">
        <v>2007.0</v>
      </c>
      <c r="F180" s="61">
        <v>1.0</v>
      </c>
      <c r="G180" s="50"/>
      <c r="H180" s="50"/>
      <c r="I180" s="50"/>
      <c r="J180" s="50"/>
      <c r="K180" s="50"/>
      <c r="L180" s="50"/>
      <c r="M180" s="50">
        <v>1.0</v>
      </c>
      <c r="N180" s="50"/>
      <c r="O180" s="50"/>
      <c r="P180" s="50"/>
      <c r="Q180" s="50"/>
      <c r="R180" s="50"/>
      <c r="S180" s="50"/>
      <c r="T180" s="50"/>
      <c r="U180" s="50"/>
      <c r="V180" s="51"/>
      <c r="W180" s="51" t="s">
        <v>1039</v>
      </c>
      <c r="X180" s="51" t="s">
        <v>1040</v>
      </c>
      <c r="Y180" s="51" t="s">
        <v>1041</v>
      </c>
      <c r="Z180" s="51"/>
      <c r="AA180" s="50"/>
      <c r="AB180" s="50">
        <v>1.0</v>
      </c>
      <c r="AC180" s="50"/>
      <c r="AD180" s="50">
        <v>1.0</v>
      </c>
      <c r="AE180" s="50"/>
      <c r="AF180" s="50"/>
      <c r="AG180" s="50"/>
      <c r="AH180" s="51" t="s">
        <v>1042</v>
      </c>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row>
    <row r="181" ht="12.75" customHeight="1">
      <c r="A181" s="46" t="s">
        <v>116</v>
      </c>
      <c r="B181" s="68" t="str">
        <f>HYPERLINK("https://drive.google.com/open?id=1clK8ZshWd4s51QYTtFGtEJqImlpE4uiz","Soloway1983")</f>
        <v>Soloway1983</v>
      </c>
      <c r="C181" s="63" t="s">
        <v>1043</v>
      </c>
      <c r="D181" s="63" t="s">
        <v>1044</v>
      </c>
      <c r="E181" s="49">
        <v>1983.0</v>
      </c>
      <c r="F181" s="50"/>
      <c r="G181" s="50"/>
      <c r="H181" s="50"/>
      <c r="I181" s="50">
        <v>1.0</v>
      </c>
      <c r="J181" s="50"/>
      <c r="K181" s="50"/>
      <c r="L181" s="50"/>
      <c r="M181" s="50"/>
      <c r="N181" s="50"/>
      <c r="O181" s="50"/>
      <c r="P181" s="50"/>
      <c r="Q181" s="50"/>
      <c r="R181" s="50"/>
      <c r="S181" s="50"/>
      <c r="T181" s="50"/>
      <c r="U181" s="50"/>
      <c r="V181" s="51"/>
      <c r="W181" s="51" t="s">
        <v>1045</v>
      </c>
      <c r="X181" s="51" t="s">
        <v>1046</v>
      </c>
      <c r="Y181" s="51" t="s">
        <v>1047</v>
      </c>
      <c r="Z181" s="51" t="s">
        <v>122</v>
      </c>
      <c r="AA181" s="50">
        <v>1.0</v>
      </c>
      <c r="AB181" s="50"/>
      <c r="AC181" s="50"/>
      <c r="AD181" s="50">
        <v>1.0</v>
      </c>
      <c r="AE181" s="50"/>
      <c r="AF181" s="50"/>
      <c r="AG181" s="50"/>
      <c r="AH181" s="51" t="s">
        <v>1048</v>
      </c>
      <c r="AI181" s="51">
        <v>1.0</v>
      </c>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2">
        <v>1.0</v>
      </c>
      <c r="BK181" s="51"/>
      <c r="BL181" s="52">
        <v>1.0</v>
      </c>
      <c r="BM181" s="51"/>
      <c r="BN181" s="51"/>
      <c r="BO181" s="51"/>
      <c r="BP181" s="51"/>
      <c r="BQ181" s="51"/>
      <c r="BR181" s="51"/>
      <c r="BS181" s="51"/>
      <c r="BT181" s="51"/>
      <c r="BU181" s="51"/>
      <c r="BV181" s="51"/>
      <c r="BW181" s="51">
        <v>1.0</v>
      </c>
      <c r="BX181" s="51"/>
      <c r="BY181" s="51"/>
      <c r="BZ181" s="51"/>
    </row>
    <row r="182" ht="12.75" customHeight="1">
      <c r="A182" s="46" t="s">
        <v>124</v>
      </c>
      <c r="B182" s="67" t="str">
        <f>HYPERLINK("https://drive.google.com/open?id=1yN4ki3bfd77330PH4epO_duZmVENiZc7","Soloway1984a")</f>
        <v>Soloway1984a</v>
      </c>
      <c r="C182" s="48" t="s">
        <v>1049</v>
      </c>
      <c r="D182" s="48" t="s">
        <v>503</v>
      </c>
      <c r="E182" s="49">
        <v>1984.0</v>
      </c>
      <c r="F182" s="50"/>
      <c r="G182" s="50"/>
      <c r="H182" s="50"/>
      <c r="I182" s="50">
        <v>1.0</v>
      </c>
      <c r="J182" s="50"/>
      <c r="K182" s="50"/>
      <c r="L182" s="50"/>
      <c r="M182" s="50"/>
      <c r="N182" s="50"/>
      <c r="O182" s="50"/>
      <c r="P182" s="50"/>
      <c r="Q182" s="50"/>
      <c r="R182" s="50"/>
      <c r="S182" s="50"/>
      <c r="T182" s="50"/>
      <c r="U182" s="50"/>
      <c r="V182" s="48"/>
      <c r="W182" s="48" t="s">
        <v>1050</v>
      </c>
      <c r="X182" s="48" t="s">
        <v>1051</v>
      </c>
      <c r="Y182" s="48" t="s">
        <v>1052</v>
      </c>
      <c r="Z182" s="48" t="s">
        <v>1053</v>
      </c>
      <c r="AA182" s="50"/>
      <c r="AB182" s="50">
        <v>1.0</v>
      </c>
      <c r="AC182" s="50"/>
      <c r="AD182" s="50">
        <v>1.0</v>
      </c>
      <c r="AE182" s="50"/>
      <c r="AF182" s="50"/>
      <c r="AG182" s="50"/>
      <c r="AH182" s="59"/>
      <c r="AI182" s="51">
        <v>1.0</v>
      </c>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v>1.0</v>
      </c>
      <c r="BJ182" s="51"/>
      <c r="BK182" s="51"/>
      <c r="BL182" s="51"/>
      <c r="BM182" s="51"/>
      <c r="BN182" s="51"/>
      <c r="BO182" s="51"/>
      <c r="BP182" s="51"/>
      <c r="BQ182" s="51"/>
      <c r="BR182" s="51"/>
      <c r="BS182" s="51"/>
      <c r="BT182" s="51"/>
      <c r="BU182" s="51"/>
      <c r="BV182" s="51"/>
      <c r="BW182" s="51">
        <v>1.0</v>
      </c>
      <c r="BX182" s="51"/>
      <c r="BY182" s="51"/>
      <c r="BZ182" s="51"/>
    </row>
    <row r="183" ht="12.75" customHeight="1">
      <c r="A183" s="46" t="s">
        <v>124</v>
      </c>
      <c r="B183" s="68" t="str">
        <f>HYPERLINK("https://drive.google.com/open?id=1qWgLTNbcbDrJp-zekxwBBZAD0ntbvZc4","Soloway1984b")</f>
        <v>Soloway1984b</v>
      </c>
      <c r="C183" s="48" t="s">
        <v>1054</v>
      </c>
      <c r="D183" s="48" t="s">
        <v>1055</v>
      </c>
      <c r="E183" s="49">
        <v>1984.0</v>
      </c>
      <c r="F183" s="50"/>
      <c r="G183" s="50"/>
      <c r="H183" s="50"/>
      <c r="I183" s="50">
        <v>1.0</v>
      </c>
      <c r="J183" s="50"/>
      <c r="K183" s="50"/>
      <c r="L183" s="50"/>
      <c r="M183" s="50"/>
      <c r="N183" s="50"/>
      <c r="O183" s="50"/>
      <c r="P183" s="50"/>
      <c r="Q183" s="50"/>
      <c r="R183" s="50"/>
      <c r="S183" s="50"/>
      <c r="T183" s="50"/>
      <c r="U183" s="50"/>
      <c r="V183" s="48"/>
      <c r="W183" s="48" t="s">
        <v>1021</v>
      </c>
      <c r="X183" s="48"/>
      <c r="Y183" s="48"/>
      <c r="Z183" s="48" t="s">
        <v>1056</v>
      </c>
      <c r="AA183" s="50"/>
      <c r="AB183" s="50"/>
      <c r="AC183" s="50">
        <v>1.0</v>
      </c>
      <c r="AD183" s="50"/>
      <c r="AE183" s="50"/>
      <c r="AF183" s="50"/>
      <c r="AG183" s="50"/>
      <c r="AH183" s="59"/>
      <c r="AI183" s="52">
        <v>1.0</v>
      </c>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2">
        <v>1.0</v>
      </c>
      <c r="BJ183" s="51"/>
      <c r="BK183" s="51"/>
      <c r="BL183" s="51"/>
      <c r="BM183" s="51"/>
      <c r="BN183" s="51"/>
      <c r="BO183" s="51"/>
      <c r="BP183" s="51"/>
      <c r="BQ183" s="51"/>
      <c r="BR183" s="51"/>
      <c r="BS183" s="51"/>
      <c r="BT183" s="51"/>
      <c r="BU183" s="51"/>
      <c r="BV183" s="51"/>
      <c r="BW183" s="51"/>
      <c r="BX183" s="51"/>
      <c r="BY183" s="51"/>
      <c r="BZ183" s="51"/>
    </row>
    <row r="184" ht="12.75" customHeight="1">
      <c r="A184" s="46" t="s">
        <v>88</v>
      </c>
      <c r="B184" s="53" t="str">
        <f>HYPERLINK("https://drive.google.com/open?id=0B-nn5iJ29NJaWXpmaTZHbVlUM28","Sonnentag1994")</f>
        <v>Sonnentag1994</v>
      </c>
      <c r="C184" s="48" t="s">
        <v>1057</v>
      </c>
      <c r="D184" s="48" t="s">
        <v>1058</v>
      </c>
      <c r="E184" s="49">
        <v>1994.0</v>
      </c>
      <c r="F184" s="50"/>
      <c r="G184" s="50">
        <v>1.0</v>
      </c>
      <c r="H184" s="50">
        <v>1.0</v>
      </c>
      <c r="I184" s="50">
        <v>1.0</v>
      </c>
      <c r="J184" s="50">
        <v>1.0</v>
      </c>
      <c r="K184" s="50">
        <v>1.0</v>
      </c>
      <c r="L184" s="50"/>
      <c r="M184" s="50">
        <v>1.0</v>
      </c>
      <c r="N184" s="50"/>
      <c r="O184" s="50"/>
      <c r="P184" s="50"/>
      <c r="Q184" s="50"/>
      <c r="R184" s="50"/>
      <c r="S184" s="50"/>
      <c r="T184" s="50"/>
      <c r="U184" s="50"/>
      <c r="V184" s="51"/>
      <c r="W184" s="51" t="s">
        <v>1059</v>
      </c>
      <c r="X184" s="51" t="s">
        <v>1060</v>
      </c>
      <c r="Y184" s="51" t="s">
        <v>372</v>
      </c>
      <c r="Z184" s="51" t="s">
        <v>1061</v>
      </c>
      <c r="AA184" s="50"/>
      <c r="AB184" s="50">
        <v>1.0</v>
      </c>
      <c r="AC184" s="50"/>
      <c r="AD184" s="50">
        <v>1.0</v>
      </c>
      <c r="AE184" s="50"/>
      <c r="AF184" s="50"/>
      <c r="AG184" s="50"/>
      <c r="AH184" s="51" t="s">
        <v>1062</v>
      </c>
      <c r="AI184" s="51">
        <v>1.0</v>
      </c>
      <c r="AJ184" s="51"/>
      <c r="AK184" s="51"/>
      <c r="AL184" s="51"/>
      <c r="AM184" s="51"/>
      <c r="AN184" s="51"/>
      <c r="AO184" s="51"/>
      <c r="AP184" s="51"/>
      <c r="AQ184" s="51"/>
      <c r="AR184" s="51"/>
      <c r="AS184" s="51"/>
      <c r="AT184" s="51"/>
      <c r="AU184" s="51"/>
      <c r="AV184" s="51"/>
      <c r="AW184" s="51"/>
      <c r="AX184" s="51"/>
      <c r="AY184" s="51">
        <v>1.0</v>
      </c>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v>1.0</v>
      </c>
      <c r="BZ184" s="51"/>
    </row>
    <row r="185" ht="12.75" customHeight="1">
      <c r="A185" s="46" t="s">
        <v>108</v>
      </c>
      <c r="B185" s="54" t="str">
        <f>HYPERLINK("https://drive.google.com/open?id=0B3oar8-GeP-IREU3TDZ4aFUyOVU","Stacy1995")</f>
        <v>Stacy1995</v>
      </c>
      <c r="C185" s="55" t="s">
        <v>1063</v>
      </c>
      <c r="D185" s="55" t="s">
        <v>751</v>
      </c>
      <c r="E185" s="49">
        <v>1995.0</v>
      </c>
      <c r="F185" s="61">
        <v>1.0</v>
      </c>
      <c r="G185" s="50"/>
      <c r="H185" s="50">
        <v>1.0</v>
      </c>
      <c r="I185" s="50"/>
      <c r="J185" s="50">
        <v>1.0</v>
      </c>
      <c r="K185" s="50"/>
      <c r="L185" s="50"/>
      <c r="M185" s="50">
        <v>1.0</v>
      </c>
      <c r="N185" s="50">
        <v>1.0</v>
      </c>
      <c r="O185" s="50"/>
      <c r="P185" s="50"/>
      <c r="Q185" s="50"/>
      <c r="R185" s="50"/>
      <c r="S185" s="50"/>
      <c r="T185" s="50"/>
      <c r="U185" s="50"/>
      <c r="V185" s="48"/>
      <c r="W185" s="48" t="s">
        <v>359</v>
      </c>
      <c r="X185" s="48" t="s">
        <v>221</v>
      </c>
      <c r="Y185" s="48" t="s">
        <v>221</v>
      </c>
      <c r="Z185" s="48" t="s">
        <v>1064</v>
      </c>
      <c r="AA185" s="50">
        <v>1.0</v>
      </c>
      <c r="AB185" s="50"/>
      <c r="AC185" s="50"/>
      <c r="AD185" s="50"/>
      <c r="AE185" s="50"/>
      <c r="AF185" s="50"/>
      <c r="AG185" s="50">
        <v>1.0</v>
      </c>
      <c r="AH185" s="51" t="s">
        <v>1065</v>
      </c>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c r="BO185" s="51"/>
      <c r="BP185" s="51"/>
      <c r="BQ185" s="51"/>
      <c r="BR185" s="51"/>
      <c r="BS185" s="51"/>
      <c r="BT185" s="51"/>
      <c r="BU185" s="51"/>
      <c r="BV185" s="51"/>
      <c r="BW185" s="51"/>
      <c r="BX185" s="51"/>
      <c r="BY185" s="51"/>
      <c r="BZ185" s="51"/>
    </row>
    <row r="186" ht="12.75" customHeight="1">
      <c r="A186" s="46" t="s">
        <v>124</v>
      </c>
      <c r="B186" s="68" t="str">
        <f>HYPERLINK("https://drive.google.com/open?id=1lYlzQ_3ly6Cz6Ln8T2uSAtFmZnFrFLOA","Storey1999")</f>
        <v>Storey1999</v>
      </c>
      <c r="C186" s="48" t="s">
        <v>1066</v>
      </c>
      <c r="D186" s="48" t="s">
        <v>211</v>
      </c>
      <c r="E186" s="49">
        <v>1999.0</v>
      </c>
      <c r="F186" s="50"/>
      <c r="G186" s="50"/>
      <c r="H186" s="50">
        <v>1.0</v>
      </c>
      <c r="I186" s="50">
        <v>1.0</v>
      </c>
      <c r="J186" s="50"/>
      <c r="K186" s="50"/>
      <c r="L186" s="50"/>
      <c r="M186" s="50"/>
      <c r="N186" s="50"/>
      <c r="O186" s="50"/>
      <c r="P186" s="50"/>
      <c r="Q186" s="50"/>
      <c r="R186" s="50"/>
      <c r="S186" s="50"/>
      <c r="T186" s="50"/>
      <c r="U186" s="50"/>
      <c r="V186" s="69" t="s">
        <v>1067</v>
      </c>
      <c r="W186" s="48" t="s">
        <v>1068</v>
      </c>
      <c r="X186" s="48"/>
      <c r="Y186" s="48"/>
      <c r="Z186" s="48" t="s">
        <v>1069</v>
      </c>
      <c r="AA186" s="50"/>
      <c r="AB186" s="50"/>
      <c r="AC186" s="50"/>
      <c r="AD186" s="50"/>
      <c r="AE186" s="50"/>
      <c r="AF186" s="50"/>
      <c r="AG186" s="50">
        <v>1.0</v>
      </c>
      <c r="AH186" s="59"/>
      <c r="AI186" s="51">
        <v>1.0</v>
      </c>
      <c r="AJ186" s="51"/>
      <c r="AK186" s="51"/>
      <c r="AL186" s="51"/>
      <c r="AM186" s="51"/>
      <c r="AN186" s="51"/>
      <c r="AO186" s="51"/>
      <c r="AP186" s="51"/>
      <c r="AQ186" s="51"/>
      <c r="AR186" s="51">
        <v>1.0</v>
      </c>
      <c r="AS186" s="51"/>
      <c r="AT186" s="51"/>
      <c r="AU186" s="51"/>
      <c r="AV186" s="51"/>
      <c r="AW186" s="51"/>
      <c r="AX186" s="51"/>
      <c r="AY186" s="51"/>
      <c r="AZ186" s="51"/>
      <c r="BA186" s="51"/>
      <c r="BB186" s="51"/>
      <c r="BC186" s="51"/>
      <c r="BD186" s="51"/>
      <c r="BE186" s="51"/>
      <c r="BF186" s="51"/>
      <c r="BG186" s="51"/>
      <c r="BH186" s="51"/>
      <c r="BI186" s="52">
        <v>1.0</v>
      </c>
      <c r="BJ186" s="51"/>
      <c r="BK186" s="51"/>
      <c r="BL186" s="51"/>
      <c r="BM186" s="51"/>
      <c r="BN186" s="51"/>
      <c r="BO186" s="51"/>
      <c r="BP186" s="51"/>
      <c r="BQ186" s="51"/>
      <c r="BR186" s="51"/>
      <c r="BS186" s="51"/>
      <c r="BT186" s="51"/>
      <c r="BU186" s="51"/>
      <c r="BV186" s="51"/>
      <c r="BW186" s="51"/>
      <c r="BX186" s="51"/>
      <c r="BY186" s="51"/>
      <c r="BZ186" s="51"/>
    </row>
    <row r="187" ht="12.75" customHeight="1">
      <c r="A187" s="46" t="s">
        <v>116</v>
      </c>
      <c r="B187" s="56" t="str">
        <f>HYPERLINK("https://drive.google.com/open?id=0B1GMAYMj9v6rekp2WkxkWjd2bmM","Storrle2011")</f>
        <v>Storrle2011</v>
      </c>
      <c r="C187" s="55" t="s">
        <v>1070</v>
      </c>
      <c r="D187" s="55" t="s">
        <v>1071</v>
      </c>
      <c r="E187" s="49">
        <v>2011.0</v>
      </c>
      <c r="F187" s="50"/>
      <c r="G187" s="50">
        <v>1.0</v>
      </c>
      <c r="H187" s="50"/>
      <c r="I187" s="50"/>
      <c r="J187" s="50"/>
      <c r="K187" s="50"/>
      <c r="L187" s="50"/>
      <c r="M187" s="50"/>
      <c r="N187" s="50"/>
      <c r="O187" s="50">
        <v>1.0</v>
      </c>
      <c r="P187" s="50"/>
      <c r="Q187" s="50"/>
      <c r="R187" s="50"/>
      <c r="S187" s="50"/>
      <c r="T187" s="50"/>
      <c r="U187" s="50"/>
      <c r="V187" s="51" t="s">
        <v>9</v>
      </c>
      <c r="W187" s="51"/>
      <c r="X187" s="51" t="s">
        <v>1072</v>
      </c>
      <c r="Y187" s="51" t="s">
        <v>1073</v>
      </c>
      <c r="Z187" s="51" t="s">
        <v>122</v>
      </c>
      <c r="AA187" s="50">
        <v>1.0</v>
      </c>
      <c r="AB187" s="50"/>
      <c r="AC187" s="50"/>
      <c r="AD187" s="50">
        <v>1.0</v>
      </c>
      <c r="AE187" s="50"/>
      <c r="AF187" s="50"/>
      <c r="AG187" s="50"/>
      <c r="AH187" s="51" t="s">
        <v>1074</v>
      </c>
      <c r="AI187" s="51">
        <v>1.0</v>
      </c>
      <c r="AJ187" s="51"/>
      <c r="AK187" s="51"/>
      <c r="AL187" s="51"/>
      <c r="AM187" s="51"/>
      <c r="AN187" s="51"/>
      <c r="AO187" s="51"/>
      <c r="AP187" s="51"/>
      <c r="AQ187" s="51"/>
      <c r="AR187" s="51">
        <v>1.0</v>
      </c>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c r="BO187" s="51"/>
      <c r="BP187" s="51"/>
      <c r="BQ187" s="51"/>
      <c r="BR187" s="51"/>
      <c r="BS187" s="51"/>
      <c r="BT187" s="51"/>
      <c r="BU187" s="51"/>
      <c r="BV187" s="51"/>
      <c r="BW187" s="51"/>
      <c r="BX187" s="51"/>
      <c r="BY187" s="51">
        <v>1.0</v>
      </c>
      <c r="BZ187" s="51"/>
    </row>
    <row r="188" ht="12.75" customHeight="1">
      <c r="A188" s="46" t="s">
        <v>108</v>
      </c>
      <c r="B188" s="56" t="str">
        <f>HYPERLINK("https://drive.google.com/open?id=0B3oar8-GeP-IYk9CYTBHSDBDT0E","Storrle2013")</f>
        <v>Storrle2013</v>
      </c>
      <c r="C188" s="55" t="s">
        <v>1075</v>
      </c>
      <c r="D188" s="55" t="s">
        <v>588</v>
      </c>
      <c r="E188" s="49">
        <v>2013.0</v>
      </c>
      <c r="F188" s="50"/>
      <c r="G188" s="50"/>
      <c r="H188" s="50">
        <v>1.0</v>
      </c>
      <c r="I188" s="50"/>
      <c r="J188" s="50"/>
      <c r="K188" s="50"/>
      <c r="L188" s="50"/>
      <c r="M188" s="50"/>
      <c r="N188" s="50"/>
      <c r="O188" s="50"/>
      <c r="P188" s="50"/>
      <c r="Q188" s="50"/>
      <c r="R188" s="50"/>
      <c r="S188" s="50"/>
      <c r="T188" s="50"/>
      <c r="U188" s="50"/>
      <c r="V188" s="48"/>
      <c r="W188" s="48" t="s">
        <v>9</v>
      </c>
      <c r="X188" s="74" t="s">
        <v>221</v>
      </c>
      <c r="Y188" s="48" t="s">
        <v>1076</v>
      </c>
      <c r="Z188" s="48" t="s">
        <v>1077</v>
      </c>
      <c r="AA188" s="50">
        <v>1.0</v>
      </c>
      <c r="AB188" s="50">
        <v>1.0</v>
      </c>
      <c r="AC188" s="50"/>
      <c r="AD188" s="50">
        <v>1.0</v>
      </c>
      <c r="AE188" s="50"/>
      <c r="AF188" s="50"/>
      <c r="AG188" s="50"/>
      <c r="AH188" s="51" t="s">
        <v>1078</v>
      </c>
      <c r="AI188" s="51">
        <v>1.0</v>
      </c>
      <c r="AJ188" s="51"/>
      <c r="AK188" s="51"/>
      <c r="AL188" s="51"/>
      <c r="AM188" s="51"/>
      <c r="AN188" s="51"/>
      <c r="AO188" s="51"/>
      <c r="AP188" s="51"/>
      <c r="AQ188" s="51"/>
      <c r="AR188" s="51">
        <v>1.0</v>
      </c>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c r="BO188" s="51"/>
      <c r="BP188" s="51"/>
      <c r="BQ188" s="51"/>
      <c r="BR188" s="51"/>
      <c r="BS188" s="51"/>
      <c r="BT188" s="51"/>
      <c r="BU188" s="51"/>
      <c r="BV188" s="51"/>
      <c r="BW188" s="51"/>
      <c r="BX188" s="51"/>
      <c r="BY188" s="51">
        <v>1.0</v>
      </c>
      <c r="BZ188" s="51"/>
    </row>
    <row r="189" ht="12.75" customHeight="1">
      <c r="A189" s="46" t="s">
        <v>88</v>
      </c>
      <c r="B189" s="53" t="str">
        <f>HYPERLINK("https://drive.google.com/open?id=0B00cIHsghs6UMjhMNklGS1JNREE","Storrle2016")</f>
        <v>Storrle2016</v>
      </c>
      <c r="C189" s="48" t="s">
        <v>1079</v>
      </c>
      <c r="D189" s="48" t="s">
        <v>1080</v>
      </c>
      <c r="E189" s="49">
        <v>2016.0</v>
      </c>
      <c r="F189" s="50"/>
      <c r="G189" s="50">
        <v>1.0</v>
      </c>
      <c r="H189" s="50"/>
      <c r="I189" s="50"/>
      <c r="J189" s="50"/>
      <c r="K189" s="50"/>
      <c r="L189" s="50"/>
      <c r="M189" s="50"/>
      <c r="N189" s="50"/>
      <c r="O189" s="50">
        <v>1.0</v>
      </c>
      <c r="P189" s="50"/>
      <c r="Q189" s="50"/>
      <c r="R189" s="50"/>
      <c r="S189" s="50"/>
      <c r="T189" s="50"/>
      <c r="U189" s="50"/>
      <c r="V189" s="51" t="s">
        <v>1081</v>
      </c>
      <c r="W189" s="51" t="s">
        <v>1082</v>
      </c>
      <c r="X189" s="51" t="s">
        <v>9</v>
      </c>
      <c r="Y189" s="51" t="s">
        <v>1083</v>
      </c>
      <c r="Z189" s="51" t="s">
        <v>1084</v>
      </c>
      <c r="AA189" s="50">
        <v>1.0</v>
      </c>
      <c r="AB189" s="50"/>
      <c r="AC189" s="50"/>
      <c r="AD189" s="50">
        <v>1.0</v>
      </c>
      <c r="AE189" s="50"/>
      <c r="AF189" s="50"/>
      <c r="AG189" s="50"/>
      <c r="AH189" s="51" t="s">
        <v>1085</v>
      </c>
      <c r="AI189" s="51">
        <v>1.0</v>
      </c>
      <c r="AJ189" s="51"/>
      <c r="AK189" s="51"/>
      <c r="AL189" s="51"/>
      <c r="AM189" s="51"/>
      <c r="AN189" s="51"/>
      <c r="AO189" s="51"/>
      <c r="AP189" s="51"/>
      <c r="AQ189" s="51"/>
      <c r="AR189" s="51">
        <v>1.0</v>
      </c>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c r="BO189" s="51"/>
      <c r="BP189" s="51"/>
      <c r="BQ189" s="51"/>
      <c r="BR189" s="51"/>
      <c r="BS189" s="51"/>
      <c r="BT189" s="51"/>
      <c r="BU189" s="51"/>
      <c r="BV189" s="51"/>
      <c r="BW189" s="51"/>
      <c r="BX189" s="51"/>
      <c r="BY189" s="51">
        <v>1.0</v>
      </c>
      <c r="BZ189" s="51"/>
    </row>
    <row r="190" ht="12.75" customHeight="1">
      <c r="A190" s="46" t="s">
        <v>124</v>
      </c>
      <c r="B190" s="54" t="str">
        <f>HYPERLINK("https://drive.google.com/open?id=0B-nn5iJ29NJabndoY1ZFUVpLRW8","Swan2005")</f>
        <v>Swan2005</v>
      </c>
      <c r="C190" s="55" t="s">
        <v>1086</v>
      </c>
      <c r="D190" s="55" t="s">
        <v>1087</v>
      </c>
      <c r="E190" s="57">
        <v>2005.0</v>
      </c>
      <c r="F190" s="58"/>
      <c r="G190" s="50"/>
      <c r="H190" s="50">
        <v>1.0</v>
      </c>
      <c r="I190" s="50"/>
      <c r="J190" s="50"/>
      <c r="K190" s="50"/>
      <c r="L190" s="50"/>
      <c r="M190" s="50"/>
      <c r="N190" s="50"/>
      <c r="O190" s="50"/>
      <c r="P190" s="50"/>
      <c r="Q190" s="50"/>
      <c r="R190" s="50"/>
      <c r="S190" s="50"/>
      <c r="T190" s="50"/>
      <c r="U190" s="50"/>
      <c r="V190" s="48"/>
      <c r="W190" s="48" t="s">
        <v>1088</v>
      </c>
      <c r="X190" s="48"/>
      <c r="Y190" s="48"/>
      <c r="Z190" s="48" t="s">
        <v>1089</v>
      </c>
      <c r="AA190" s="50">
        <v>1.0</v>
      </c>
      <c r="AB190" s="50"/>
      <c r="AC190" s="50"/>
      <c r="AD190" s="50">
        <v>1.0</v>
      </c>
      <c r="AE190" s="50"/>
      <c r="AF190" s="50"/>
      <c r="AG190" s="50"/>
      <c r="AH190" s="59"/>
      <c r="AI190" s="52">
        <v>1.0</v>
      </c>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2">
        <v>1.0</v>
      </c>
      <c r="BJ190" s="51"/>
      <c r="BK190" s="52">
        <v>1.0</v>
      </c>
      <c r="BL190" s="52">
        <v>1.0</v>
      </c>
      <c r="BM190" s="51"/>
      <c r="BN190" s="51"/>
      <c r="BO190" s="51"/>
      <c r="BP190" s="51"/>
      <c r="BQ190" s="51"/>
      <c r="BR190" s="51"/>
      <c r="BS190" s="51"/>
      <c r="BU190" s="52"/>
      <c r="BV190" s="51"/>
      <c r="BW190" s="52">
        <v>1.0</v>
      </c>
      <c r="BX190" s="51"/>
      <c r="BY190" s="51"/>
      <c r="BZ190" s="51"/>
    </row>
    <row r="191" ht="12.75" customHeight="1">
      <c r="A191" s="46" t="s">
        <v>108</v>
      </c>
      <c r="B191" s="55" t="s">
        <v>1090</v>
      </c>
      <c r="C191" s="55" t="s">
        <v>1091</v>
      </c>
      <c r="D191" s="55" t="s">
        <v>987</v>
      </c>
      <c r="E191" s="49">
        <v>2013.0</v>
      </c>
      <c r="F191" s="61">
        <v>1.0</v>
      </c>
      <c r="G191" s="50"/>
      <c r="H191" s="50"/>
      <c r="I191" s="50"/>
      <c r="J191" s="50"/>
      <c r="K191" s="50"/>
      <c r="L191" s="50"/>
      <c r="M191" s="50"/>
      <c r="N191" s="50"/>
      <c r="O191" s="50"/>
      <c r="P191" s="50"/>
      <c r="Q191" s="50"/>
      <c r="R191" s="50"/>
      <c r="S191" s="50"/>
      <c r="T191" s="50"/>
      <c r="U191" s="50"/>
      <c r="V191" s="48"/>
      <c r="W191" s="48"/>
      <c r="X191" s="48"/>
      <c r="Y191" s="48"/>
      <c r="Z191" s="48"/>
      <c r="AA191" s="50"/>
      <c r="AB191" s="50"/>
      <c r="AC191" s="50"/>
      <c r="AD191" s="50"/>
      <c r="AE191" s="50"/>
      <c r="AF191" s="50"/>
      <c r="AG191" s="50"/>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c r="BO191" s="51"/>
      <c r="BP191" s="51"/>
      <c r="BQ191" s="51"/>
      <c r="BR191" s="51"/>
      <c r="BS191" s="51"/>
      <c r="BT191" s="51"/>
      <c r="BU191" s="51"/>
      <c r="BV191" s="51"/>
      <c r="BW191" s="51"/>
      <c r="BX191" s="51"/>
      <c r="BY191" s="51"/>
      <c r="BZ191" s="51"/>
    </row>
    <row r="192" ht="12.75" customHeight="1">
      <c r="A192" s="46" t="s">
        <v>108</v>
      </c>
      <c r="B192" s="56" t="str">
        <f>HYPERLINK("https://drive.google.com/open?id=0B3oar8-GeP-IRXVORktFek45bHM","Tang2011")</f>
        <v>Tang2011</v>
      </c>
      <c r="C192" s="55" t="s">
        <v>1092</v>
      </c>
      <c r="D192" s="55" t="s">
        <v>196</v>
      </c>
      <c r="E192" s="49">
        <v>2011.0</v>
      </c>
      <c r="F192" s="50"/>
      <c r="G192" s="50"/>
      <c r="H192" s="50">
        <v>1.0</v>
      </c>
      <c r="I192" s="50"/>
      <c r="J192" s="50"/>
      <c r="K192" s="50"/>
      <c r="L192" s="50"/>
      <c r="M192" s="50"/>
      <c r="N192" s="50"/>
      <c r="O192" s="50"/>
      <c r="P192" s="50"/>
      <c r="Q192" s="50"/>
      <c r="R192" s="50"/>
      <c r="S192" s="50"/>
      <c r="T192" s="50"/>
      <c r="U192" s="50"/>
      <c r="V192" s="48"/>
      <c r="W192" s="48" t="s">
        <v>359</v>
      </c>
      <c r="X192" s="48" t="s">
        <v>221</v>
      </c>
      <c r="Y192" s="48" t="s">
        <v>221</v>
      </c>
      <c r="Z192" s="48" t="s">
        <v>1093</v>
      </c>
      <c r="AA192" s="50">
        <v>1.0</v>
      </c>
      <c r="AB192" s="50"/>
      <c r="AC192" s="50"/>
      <c r="AD192" s="50"/>
      <c r="AE192" s="50"/>
      <c r="AF192" s="50">
        <v>1.0</v>
      </c>
      <c r="AG192" s="50"/>
      <c r="AH192" s="51" t="s">
        <v>1094</v>
      </c>
      <c r="AI192" s="51">
        <v>1.0</v>
      </c>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v>1.0</v>
      </c>
      <c r="BI192" s="51"/>
      <c r="BJ192" s="51"/>
      <c r="BK192" s="51"/>
      <c r="BL192" s="51"/>
      <c r="BM192" s="51"/>
      <c r="BN192" s="51"/>
      <c r="BO192" s="51"/>
      <c r="BP192" s="51"/>
      <c r="BQ192" s="51"/>
      <c r="BR192" s="51"/>
      <c r="BS192" s="51"/>
      <c r="BT192" s="51"/>
      <c r="BU192" s="51"/>
      <c r="BV192" s="51"/>
      <c r="BW192" s="51"/>
      <c r="BX192" s="51"/>
      <c r="BY192" s="51"/>
      <c r="BZ192" s="51"/>
    </row>
    <row r="193" ht="12.75" customHeight="1">
      <c r="A193" s="46" t="s">
        <v>124</v>
      </c>
      <c r="B193" s="54" t="str">
        <f>HYPERLINK("https://drive.google.com/open?id=0B-nn5iJ29NJaNWZ0YlZkdElhcDA","Teasley1994")</f>
        <v>Teasley1994</v>
      </c>
      <c r="C193" s="55" t="s">
        <v>1095</v>
      </c>
      <c r="D193" s="55" t="s">
        <v>1096</v>
      </c>
      <c r="E193" s="57">
        <v>1994.0</v>
      </c>
      <c r="F193" s="58"/>
      <c r="G193" s="50"/>
      <c r="H193" s="50"/>
      <c r="I193" s="50">
        <v>1.0</v>
      </c>
      <c r="J193" s="50"/>
      <c r="K193" s="50"/>
      <c r="L193" s="50"/>
      <c r="M193" s="50"/>
      <c r="N193" s="50"/>
      <c r="O193" s="50"/>
      <c r="P193" s="50"/>
      <c r="Q193" s="50"/>
      <c r="R193" s="50"/>
      <c r="S193" s="50"/>
      <c r="T193" s="50"/>
      <c r="U193" s="50"/>
      <c r="V193" s="48" t="s">
        <v>1097</v>
      </c>
      <c r="W193" s="48" t="s">
        <v>479</v>
      </c>
      <c r="X193" s="48" t="s">
        <v>1098</v>
      </c>
      <c r="Y193" s="48" t="s">
        <v>1099</v>
      </c>
      <c r="Z193" s="48" t="s">
        <v>1100</v>
      </c>
      <c r="AA193" s="50">
        <v>1.0</v>
      </c>
      <c r="AB193" s="50"/>
      <c r="AC193" s="50"/>
      <c r="AD193" s="50">
        <v>1.0</v>
      </c>
      <c r="AE193" s="50"/>
      <c r="AF193" s="50"/>
      <c r="AG193" s="50"/>
      <c r="AH193" s="59"/>
      <c r="AI193" s="51">
        <v>1.0</v>
      </c>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2">
        <v>1.0</v>
      </c>
      <c r="BF193" s="51"/>
      <c r="BG193" s="51"/>
      <c r="BH193" s="51"/>
      <c r="BI193" s="52">
        <v>1.0</v>
      </c>
      <c r="BJ193" s="51"/>
      <c r="BK193" s="51"/>
      <c r="BL193" s="51"/>
      <c r="BM193" s="51"/>
      <c r="BN193" s="51"/>
      <c r="BO193" s="51"/>
      <c r="BP193" s="51"/>
      <c r="BQ193" s="51"/>
      <c r="BR193" s="51"/>
      <c r="BS193" s="51"/>
      <c r="BT193" s="52"/>
      <c r="BU193" s="51"/>
      <c r="BV193" s="51"/>
      <c r="BW193" s="51">
        <v>1.0</v>
      </c>
      <c r="BX193" s="51"/>
      <c r="BZ193" s="51"/>
    </row>
    <row r="194" ht="12.75" customHeight="1">
      <c r="A194" s="46" t="s">
        <v>88</v>
      </c>
      <c r="B194" s="53" t="str">
        <f>HYPERLINK("https://drive.google.com/open?id=1RegAOKR5Pjgxu9_B8rtL4pZg9P-xIU5z","Teasley1994")</f>
        <v>Teasley1994</v>
      </c>
      <c r="C194" s="48" t="s">
        <v>1101</v>
      </c>
      <c r="D194" s="65" t="s">
        <v>1102</v>
      </c>
      <c r="E194" s="49">
        <v>1994.0</v>
      </c>
      <c r="F194" s="50"/>
      <c r="G194" s="50"/>
      <c r="H194" s="50"/>
      <c r="I194" s="50"/>
      <c r="J194" s="50">
        <v>1.0</v>
      </c>
      <c r="K194" s="50"/>
      <c r="L194" s="50"/>
      <c r="M194" s="50"/>
      <c r="N194" s="50"/>
      <c r="O194" s="50"/>
      <c r="P194" s="50"/>
      <c r="Q194" s="50"/>
      <c r="R194" s="50"/>
      <c r="S194" s="50"/>
      <c r="T194" s="50"/>
      <c r="U194" s="50"/>
      <c r="V194" s="51"/>
      <c r="W194" s="51" t="s">
        <v>304</v>
      </c>
      <c r="X194" s="51" t="s">
        <v>1103</v>
      </c>
      <c r="Y194" s="51" t="s">
        <v>1104</v>
      </c>
      <c r="Z194" s="51" t="s">
        <v>973</v>
      </c>
      <c r="AA194" s="50">
        <v>1.0</v>
      </c>
      <c r="AB194" s="50"/>
      <c r="AC194" s="50"/>
      <c r="AD194" s="50">
        <v>1.0</v>
      </c>
      <c r="AE194" s="50"/>
      <c r="AF194" s="50"/>
      <c r="AG194" s="50"/>
      <c r="AH194" s="51"/>
      <c r="AI194" s="51">
        <v>1.0</v>
      </c>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v>1.0</v>
      </c>
      <c r="BI194" s="51"/>
      <c r="BJ194" s="51"/>
      <c r="BK194" s="51"/>
      <c r="BL194" s="51"/>
      <c r="BM194" s="51"/>
      <c r="BN194" s="51"/>
      <c r="BO194" s="51"/>
      <c r="BP194" s="51"/>
      <c r="BQ194" s="51"/>
      <c r="BR194" s="51"/>
      <c r="BS194" s="51"/>
      <c r="BT194" s="51"/>
      <c r="BU194" s="51"/>
      <c r="BV194" s="51"/>
      <c r="BW194" s="51">
        <v>1.0</v>
      </c>
      <c r="BX194" s="51"/>
      <c r="BY194" s="51"/>
      <c r="BZ194" s="51"/>
    </row>
    <row r="195" ht="12.75" customHeight="1">
      <c r="A195" s="46" t="s">
        <v>88</v>
      </c>
      <c r="B195" s="47" t="str">
        <f>HYPERLINK("https://drive.google.com/open?id=1rQISHos-ScmfiMxgckPhTdc1Taw8sqgq","Tegarden2001")</f>
        <v>Tegarden2001</v>
      </c>
      <c r="C195" s="48" t="s">
        <v>1105</v>
      </c>
      <c r="D195" s="48" t="s">
        <v>861</v>
      </c>
      <c r="E195" s="49">
        <v>2001.0</v>
      </c>
      <c r="F195" s="50"/>
      <c r="G195" s="50"/>
      <c r="H195" s="50">
        <v>1.0</v>
      </c>
      <c r="I195" s="50"/>
      <c r="J195" s="50"/>
      <c r="K195" s="50"/>
      <c r="L195" s="50"/>
      <c r="M195" s="50"/>
      <c r="N195" s="50"/>
      <c r="O195" s="50"/>
      <c r="P195" s="50"/>
      <c r="Q195" s="50"/>
      <c r="R195" s="50"/>
      <c r="S195" s="50"/>
      <c r="T195" s="50"/>
      <c r="U195" s="50"/>
      <c r="V195" s="51"/>
      <c r="W195" s="51" t="s">
        <v>1106</v>
      </c>
      <c r="X195" s="51" t="s">
        <v>1107</v>
      </c>
      <c r="Y195" s="51" t="s">
        <v>1108</v>
      </c>
      <c r="Z195" s="51" t="s">
        <v>100</v>
      </c>
      <c r="AA195" s="50">
        <v>1.0</v>
      </c>
      <c r="AB195" s="50"/>
      <c r="AC195" s="50"/>
      <c r="AD195" s="50">
        <v>1.0</v>
      </c>
      <c r="AE195" s="50"/>
      <c r="AF195" s="50"/>
      <c r="AG195" s="50"/>
      <c r="AH195" s="51" t="s">
        <v>1109</v>
      </c>
      <c r="AI195" s="51">
        <v>1.0</v>
      </c>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v>1.0</v>
      </c>
      <c r="BG195" s="51"/>
      <c r="BH195" s="51"/>
      <c r="BI195" s="52">
        <v>1.0</v>
      </c>
      <c r="BJ195" s="51"/>
      <c r="BK195" s="51"/>
      <c r="BL195" s="52">
        <v>1.0</v>
      </c>
      <c r="BM195" s="51"/>
      <c r="BN195" s="51"/>
      <c r="BO195" s="51"/>
      <c r="BP195" s="51"/>
      <c r="BQ195" s="51"/>
      <c r="BR195" s="51"/>
      <c r="BS195" s="51">
        <v>1.0</v>
      </c>
      <c r="BT195" s="51"/>
      <c r="BU195" s="51"/>
      <c r="BV195" s="51"/>
      <c r="BW195" s="51"/>
      <c r="BX195" s="51"/>
      <c r="BY195" s="51"/>
      <c r="BZ195" s="51"/>
    </row>
    <row r="196" ht="12.75" customHeight="1">
      <c r="A196" s="46" t="s">
        <v>108</v>
      </c>
      <c r="B196" s="55" t="s">
        <v>1110</v>
      </c>
      <c r="C196" s="55" t="s">
        <v>1111</v>
      </c>
      <c r="D196" s="55" t="s">
        <v>1112</v>
      </c>
      <c r="E196" s="49">
        <v>1997.0</v>
      </c>
      <c r="F196" s="61">
        <v>1.0</v>
      </c>
      <c r="G196" s="50"/>
      <c r="H196" s="50">
        <v>1.0</v>
      </c>
      <c r="I196" s="50">
        <v>1.0</v>
      </c>
      <c r="J196" s="50"/>
      <c r="K196" s="50"/>
      <c r="L196" s="50"/>
      <c r="M196" s="50"/>
      <c r="N196" s="50"/>
      <c r="O196" s="50"/>
      <c r="P196" s="50"/>
      <c r="Q196" s="50"/>
      <c r="R196" s="50"/>
      <c r="S196" s="50"/>
      <c r="T196" s="50"/>
      <c r="U196" s="50"/>
      <c r="V196" s="48" t="s">
        <v>1113</v>
      </c>
      <c r="W196" s="48"/>
      <c r="X196" s="48"/>
      <c r="Y196" s="48"/>
      <c r="Z196" s="48" t="s">
        <v>1114</v>
      </c>
      <c r="AA196" s="50">
        <v>1.0</v>
      </c>
      <c r="AB196" s="50"/>
      <c r="AC196" s="50"/>
      <c r="AD196" s="50"/>
      <c r="AE196" s="50"/>
      <c r="AF196" s="50">
        <v>1.0</v>
      </c>
      <c r="AG196" s="50"/>
      <c r="AH196" s="51" t="s">
        <v>1115</v>
      </c>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c r="BO196" s="51"/>
      <c r="BP196" s="51"/>
      <c r="BQ196" s="51"/>
      <c r="BR196" s="51"/>
      <c r="BS196" s="51"/>
      <c r="BT196" s="51"/>
      <c r="BU196" s="51"/>
      <c r="BV196" s="51"/>
      <c r="BW196" s="51"/>
      <c r="BX196" s="51"/>
      <c r="BY196" s="51"/>
      <c r="BZ196" s="51"/>
    </row>
    <row r="197" ht="12.75" customHeight="1">
      <c r="A197" s="46" t="s">
        <v>172</v>
      </c>
      <c r="B197" s="68" t="str">
        <f>HYPERLINK("https://drive.google.com/open?id=1rDKNduLMosW3kAtjRPg3ysBMESXet2O7","Thummadi2011")</f>
        <v>Thummadi2011</v>
      </c>
      <c r="C197" s="63" t="s">
        <v>1116</v>
      </c>
      <c r="D197" s="63" t="s">
        <v>1117</v>
      </c>
      <c r="E197" s="55">
        <v>2011.0</v>
      </c>
      <c r="F197" s="71">
        <v>1.0</v>
      </c>
      <c r="G197" s="55">
        <v>1.0</v>
      </c>
      <c r="H197" s="55"/>
      <c r="I197" s="55"/>
      <c r="J197" s="55"/>
      <c r="K197" s="55"/>
      <c r="L197" s="55"/>
      <c r="M197" s="55"/>
      <c r="N197" s="55"/>
      <c r="O197" s="55"/>
      <c r="P197" s="55"/>
      <c r="Q197" s="55"/>
      <c r="R197" s="55"/>
      <c r="S197" s="55"/>
      <c r="T197" s="55"/>
      <c r="U197" s="55"/>
      <c r="V197" s="55" t="s">
        <v>1118</v>
      </c>
      <c r="W197" s="55" t="s">
        <v>1119</v>
      </c>
      <c r="X197" s="55"/>
      <c r="Y197" s="55"/>
      <c r="Z197" s="55" t="s">
        <v>100</v>
      </c>
      <c r="AA197" s="55"/>
      <c r="AB197" s="55"/>
      <c r="AC197" s="55"/>
      <c r="AD197" s="55"/>
      <c r="AE197" s="55"/>
      <c r="AF197" s="55">
        <v>1.0</v>
      </c>
      <c r="AG197" s="55"/>
      <c r="AH197" s="48" t="s">
        <v>1120</v>
      </c>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row>
    <row r="198" ht="12.75" customHeight="1">
      <c r="A198" s="46" t="s">
        <v>108</v>
      </c>
      <c r="B198" s="56" t="str">
        <f>HYPERLINK("https://drive.google.com/open?id=0B3oar8-GeP-IQ05qUUhRU1dxeXc","Toomim2004")</f>
        <v>Toomim2004</v>
      </c>
      <c r="C198" s="55" t="s">
        <v>1121</v>
      </c>
      <c r="D198" s="55" t="s">
        <v>490</v>
      </c>
      <c r="E198" s="49">
        <v>2004.0</v>
      </c>
      <c r="F198" s="50"/>
      <c r="G198" s="50"/>
      <c r="H198" s="50"/>
      <c r="I198" s="50">
        <v>1.0</v>
      </c>
      <c r="J198" s="50"/>
      <c r="K198" s="50"/>
      <c r="L198" s="50"/>
      <c r="M198" s="50"/>
      <c r="N198" s="50"/>
      <c r="O198" s="50"/>
      <c r="P198" s="50"/>
      <c r="Q198" s="50"/>
      <c r="R198" s="50"/>
      <c r="S198" s="50"/>
      <c r="T198" s="50"/>
      <c r="U198" s="50"/>
      <c r="V198" s="48" t="s">
        <v>1122</v>
      </c>
      <c r="W198" s="48" t="s">
        <v>842</v>
      </c>
      <c r="X198" s="48" t="s">
        <v>1123</v>
      </c>
      <c r="Y198" s="48" t="s">
        <v>1124</v>
      </c>
      <c r="Z198" s="48" t="s">
        <v>1125</v>
      </c>
      <c r="AA198" s="50">
        <v>1.0</v>
      </c>
      <c r="AB198" s="50"/>
      <c r="AC198" s="50"/>
      <c r="AD198" s="50">
        <v>1.0</v>
      </c>
      <c r="AE198" s="50"/>
      <c r="AF198" s="50"/>
      <c r="AG198" s="50"/>
      <c r="AH198" s="51" t="s">
        <v>1126</v>
      </c>
      <c r="AI198" s="51">
        <v>1.0</v>
      </c>
      <c r="AJ198" s="51"/>
      <c r="AK198" s="51"/>
      <c r="AL198" s="51"/>
      <c r="AM198" s="51"/>
      <c r="AN198" s="51"/>
      <c r="AO198" s="51"/>
      <c r="AP198" s="51"/>
      <c r="AQ198" s="51"/>
      <c r="AR198" s="51">
        <v>1.0</v>
      </c>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c r="BO198" s="51"/>
      <c r="BP198" s="51"/>
      <c r="BQ198" s="51"/>
      <c r="BR198" s="51"/>
      <c r="BS198" s="51"/>
      <c r="BT198" s="51"/>
      <c r="BU198" s="51"/>
      <c r="BV198" s="51"/>
      <c r="BW198" s="51">
        <v>1.0</v>
      </c>
      <c r="BX198" s="51"/>
      <c r="BY198" s="51">
        <v>1.0</v>
      </c>
      <c r="BZ198" s="51"/>
    </row>
    <row r="199" ht="12.75" customHeight="1">
      <c r="A199" s="46" t="s">
        <v>172</v>
      </c>
      <c r="B199" s="68" t="str">
        <f>HYPERLINK("https://drive.google.com/open?id=1R24oUzjijPz5IRLu2_4URJOaQwYK9iCT","Tracz1979")</f>
        <v>Tracz1979</v>
      </c>
      <c r="C199" s="63" t="s">
        <v>1127</v>
      </c>
      <c r="D199" s="63" t="s">
        <v>1128</v>
      </c>
      <c r="E199" s="55">
        <v>1979.0</v>
      </c>
      <c r="F199" s="55"/>
      <c r="G199" s="55"/>
      <c r="H199" s="55"/>
      <c r="I199" s="55">
        <v>1.0</v>
      </c>
      <c r="J199" s="55"/>
      <c r="K199" s="55"/>
      <c r="L199" s="55"/>
      <c r="M199" s="55"/>
      <c r="N199" s="55"/>
      <c r="O199" s="55"/>
      <c r="P199" s="55"/>
      <c r="Q199" s="55"/>
      <c r="R199" s="55"/>
      <c r="S199" s="55"/>
      <c r="T199" s="55"/>
      <c r="U199" s="55"/>
      <c r="V199" s="55"/>
      <c r="W199" s="55"/>
      <c r="X199" s="55"/>
      <c r="Y199" s="55"/>
      <c r="Z199" s="55"/>
      <c r="AA199" s="55">
        <v>1.0</v>
      </c>
      <c r="AB199" s="55"/>
      <c r="AC199" s="55"/>
      <c r="AD199" s="55"/>
      <c r="AE199" s="55"/>
      <c r="AF199" s="55">
        <v>1.0</v>
      </c>
      <c r="AG199" s="55"/>
      <c r="AH199" s="48" t="s">
        <v>1129</v>
      </c>
      <c r="AI199" s="52">
        <v>1.0</v>
      </c>
      <c r="AJ199" s="52">
        <v>1.0</v>
      </c>
      <c r="AK199" s="51"/>
      <c r="AL199" s="51"/>
      <c r="AM199" s="51"/>
      <c r="AN199" s="52">
        <v>1.0</v>
      </c>
      <c r="AO199" s="52">
        <v>1.0</v>
      </c>
      <c r="AP199" s="52">
        <v>1.0</v>
      </c>
      <c r="AQ199" s="52">
        <v>1.0</v>
      </c>
      <c r="AR199" s="51"/>
      <c r="AS199" s="51"/>
      <c r="AT199" s="51"/>
      <c r="AU199" s="51"/>
      <c r="AV199" s="51"/>
      <c r="AW199" s="51"/>
      <c r="AX199" s="51"/>
      <c r="AY199" s="51"/>
      <c r="AZ199" s="51"/>
      <c r="BA199" s="51"/>
      <c r="BB199" s="51"/>
      <c r="BC199" s="51"/>
      <c r="BD199" s="52">
        <v>1.0</v>
      </c>
      <c r="BE199" s="52">
        <v>1.0</v>
      </c>
      <c r="BF199" s="52">
        <v>1.0</v>
      </c>
      <c r="BG199" s="52">
        <v>1.0</v>
      </c>
      <c r="BH199" s="52">
        <v>1.0</v>
      </c>
      <c r="BI199" s="51"/>
      <c r="BJ199" s="52">
        <v>1.0</v>
      </c>
      <c r="BK199" s="51"/>
      <c r="BL199" s="52">
        <v>1.0</v>
      </c>
      <c r="BM199" s="51"/>
      <c r="BN199" s="51"/>
      <c r="BO199" s="51"/>
      <c r="BP199" s="51"/>
      <c r="BQ199" s="51"/>
      <c r="BR199" s="51"/>
      <c r="BS199" s="51"/>
      <c r="BT199" s="51"/>
      <c r="BU199" s="51"/>
      <c r="BV199" s="51"/>
      <c r="BW199" s="51"/>
      <c r="BX199" s="51"/>
      <c r="BY199" s="51"/>
      <c r="BZ199" s="51"/>
    </row>
    <row r="200" ht="12.75" customHeight="1">
      <c r="A200" s="46" t="s">
        <v>172</v>
      </c>
      <c r="B200" s="68" t="str">
        <f>HYPERLINK("https://drive.google.com/open?id=1mhzXbBgQTIpD2ZYPpIiuQvYhFKyDjqaY","Treude2010")</f>
        <v>Treude2010</v>
      </c>
      <c r="C200" s="63" t="s">
        <v>1130</v>
      </c>
      <c r="D200" s="55" t="s">
        <v>1131</v>
      </c>
      <c r="E200" s="55">
        <v>2010.0</v>
      </c>
      <c r="F200" s="71">
        <v>1.0</v>
      </c>
      <c r="G200" s="55"/>
      <c r="H200" s="55"/>
      <c r="I200" s="55"/>
      <c r="J200" s="55"/>
      <c r="K200" s="55"/>
      <c r="L200" s="55"/>
      <c r="M200" s="55">
        <v>1.0</v>
      </c>
      <c r="N200" s="55">
        <v>1.0</v>
      </c>
      <c r="O200" s="55"/>
      <c r="P200" s="55"/>
      <c r="Q200" s="55"/>
      <c r="R200" s="55"/>
      <c r="S200" s="55"/>
      <c r="T200" s="55"/>
      <c r="U200" s="55"/>
      <c r="V200" s="55"/>
      <c r="W200" s="55"/>
      <c r="X200" s="55"/>
      <c r="Y200" s="55"/>
      <c r="Z200" s="55"/>
      <c r="AA200" s="55"/>
      <c r="AB200" s="55">
        <v>1.0</v>
      </c>
      <c r="AC200" s="55"/>
      <c r="AD200" s="55">
        <v>1.0</v>
      </c>
      <c r="AE200" s="55"/>
      <c r="AF200" s="55"/>
      <c r="AG200" s="55"/>
      <c r="AH200" s="48" t="s">
        <v>1132</v>
      </c>
      <c r="AI200" s="52">
        <v>1.0</v>
      </c>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row>
    <row r="201" ht="12.75" customHeight="1">
      <c r="A201" s="46" t="s">
        <v>88</v>
      </c>
      <c r="B201" s="53" t="str">
        <f>HYPERLINK("https://drive.google.com/open?id=0B00cIHsghs6UckpJWlhwNmhGbkE","Tudoreanu2003")</f>
        <v>Tudoreanu2003</v>
      </c>
      <c r="C201" s="48" t="s">
        <v>1133</v>
      </c>
      <c r="D201" s="48" t="s">
        <v>1134</v>
      </c>
      <c r="E201" s="49">
        <v>2003.0</v>
      </c>
      <c r="F201" s="50"/>
      <c r="G201" s="50"/>
      <c r="H201" s="50"/>
      <c r="I201" s="50"/>
      <c r="J201" s="50">
        <v>1.0</v>
      </c>
      <c r="K201" s="50"/>
      <c r="L201" s="50"/>
      <c r="M201" s="50"/>
      <c r="N201" s="50"/>
      <c r="O201" s="50"/>
      <c r="P201" s="50"/>
      <c r="Q201" s="50"/>
      <c r="R201" s="50"/>
      <c r="S201" s="50"/>
      <c r="T201" s="50"/>
      <c r="U201" s="50"/>
      <c r="V201" s="51"/>
      <c r="W201" s="51" t="s">
        <v>1135</v>
      </c>
      <c r="X201" s="51" t="s">
        <v>92</v>
      </c>
      <c r="Y201" s="51" t="s">
        <v>1136</v>
      </c>
      <c r="Z201" s="51" t="s">
        <v>137</v>
      </c>
      <c r="AA201" s="50"/>
      <c r="AB201" s="50"/>
      <c r="AC201" s="50">
        <v>1.0</v>
      </c>
      <c r="AD201" s="50"/>
      <c r="AE201" s="50"/>
      <c r="AF201" s="50"/>
      <c r="AG201" s="50"/>
      <c r="AH201" s="51" t="s">
        <v>1137</v>
      </c>
      <c r="AI201" s="51">
        <v>1.0</v>
      </c>
      <c r="AJ201" s="51"/>
      <c r="AK201" s="51"/>
      <c r="AL201" s="51"/>
      <c r="AM201" s="51"/>
      <c r="AN201" s="51"/>
      <c r="AO201" s="51"/>
      <c r="AP201" s="51"/>
      <c r="AQ201" s="51"/>
      <c r="AR201" s="51">
        <v>1.0</v>
      </c>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c r="BO201" s="51"/>
      <c r="BP201" s="51"/>
      <c r="BQ201" s="51"/>
      <c r="BR201" s="51"/>
      <c r="BS201" s="51"/>
      <c r="BT201" s="51"/>
      <c r="BU201" s="51"/>
      <c r="BV201" s="51"/>
      <c r="BW201" s="51">
        <v>1.0</v>
      </c>
      <c r="BX201" s="51"/>
      <c r="BY201" s="51"/>
      <c r="BZ201" s="51"/>
    </row>
    <row r="202" ht="12.75" customHeight="1">
      <c r="A202" s="46" t="s">
        <v>124</v>
      </c>
      <c r="B202" s="54" t="str">
        <f>HYPERLINK("https://drive.google.com/open?id=0B-nn5iJ29NJaME5ka1NmWS1zems","Unkelos-Shpigel2015")</f>
        <v>Unkelos-Shpigel2015</v>
      </c>
      <c r="C202" s="55" t="s">
        <v>1138</v>
      </c>
      <c r="D202" s="55" t="s">
        <v>1139</v>
      </c>
      <c r="E202" s="57">
        <v>2015.0</v>
      </c>
      <c r="F202" s="70">
        <v>1.0</v>
      </c>
      <c r="G202" s="50"/>
      <c r="H202" s="50"/>
      <c r="I202" s="50">
        <v>1.0</v>
      </c>
      <c r="J202" s="50"/>
      <c r="K202" s="50"/>
      <c r="L202" s="50"/>
      <c r="M202" s="50"/>
      <c r="N202" s="50"/>
      <c r="O202" s="50"/>
      <c r="P202" s="50"/>
      <c r="Q202" s="50"/>
      <c r="R202" s="50"/>
      <c r="S202" s="50"/>
      <c r="T202" s="50"/>
      <c r="U202" s="50"/>
      <c r="V202" s="48" t="s">
        <v>1140</v>
      </c>
      <c r="W202" s="48"/>
      <c r="X202" s="48"/>
      <c r="Y202" s="48"/>
      <c r="Z202" s="48" t="s">
        <v>1141</v>
      </c>
      <c r="AA202" s="50"/>
      <c r="AB202" s="50"/>
      <c r="AC202" s="50">
        <v>1.0</v>
      </c>
      <c r="AD202" s="50"/>
      <c r="AE202" s="50"/>
      <c r="AF202" s="50"/>
      <c r="AG202" s="50"/>
      <c r="AH202" s="59"/>
      <c r="AI202" s="52">
        <v>1.0</v>
      </c>
      <c r="AJ202" s="51"/>
      <c r="AK202" s="51"/>
      <c r="AL202" s="51"/>
      <c r="AM202" s="51"/>
      <c r="AN202" s="51"/>
      <c r="AO202" s="51"/>
      <c r="AP202" s="51"/>
      <c r="AQ202" s="51"/>
      <c r="AR202" s="51"/>
      <c r="AS202" s="51"/>
      <c r="AT202" s="51"/>
      <c r="AU202" s="51"/>
      <c r="AV202" s="52">
        <v>1.0</v>
      </c>
      <c r="AW202" s="51"/>
      <c r="AX202" s="51"/>
      <c r="AY202" s="51"/>
      <c r="AZ202" s="51"/>
      <c r="BA202" s="51"/>
      <c r="BB202" s="51"/>
      <c r="BC202" s="51"/>
      <c r="BD202" s="51"/>
      <c r="BE202" s="51"/>
      <c r="BF202" s="51"/>
      <c r="BG202" s="51"/>
      <c r="BH202" s="51"/>
      <c r="BI202" s="51"/>
      <c r="BJ202" s="51"/>
      <c r="BK202" s="51"/>
      <c r="BL202" s="51"/>
      <c r="BM202" s="51"/>
      <c r="BN202" s="51"/>
      <c r="BO202" s="51"/>
      <c r="BP202" s="51"/>
      <c r="BQ202" s="51"/>
      <c r="BR202" s="51"/>
      <c r="BS202" s="51"/>
      <c r="BT202" s="51"/>
      <c r="BU202" s="51"/>
      <c r="BV202" s="51"/>
      <c r="BW202" s="51"/>
      <c r="BX202" s="51"/>
      <c r="BY202" s="51"/>
      <c r="BZ202" s="51"/>
    </row>
    <row r="203" ht="12.75" customHeight="1">
      <c r="A203" s="46" t="s">
        <v>116</v>
      </c>
      <c r="B203" s="54" t="str">
        <f>HYPERLINK("https://drive.google.com/open?id=0B1GMAYMj9v6rMS1DZGlCNXV1VTQ","Urbach2010")</f>
        <v>Urbach2010</v>
      </c>
      <c r="C203" s="55" t="s">
        <v>1142</v>
      </c>
      <c r="D203" s="55" t="s">
        <v>1058</v>
      </c>
      <c r="E203" s="49">
        <v>2010.0</v>
      </c>
      <c r="F203" s="61">
        <v>1.0</v>
      </c>
      <c r="G203" s="50"/>
      <c r="H203" s="50"/>
      <c r="I203" s="50"/>
      <c r="J203" s="50"/>
      <c r="K203" s="50"/>
      <c r="L203" s="50"/>
      <c r="M203" s="50"/>
      <c r="N203" s="50"/>
      <c r="O203" s="50"/>
      <c r="P203" s="50"/>
      <c r="Q203" s="50">
        <v>1.0</v>
      </c>
      <c r="R203" s="50"/>
      <c r="S203" s="50"/>
      <c r="T203" s="50"/>
      <c r="U203" s="50"/>
      <c r="V203" s="60"/>
      <c r="W203" s="51" t="s">
        <v>1143</v>
      </c>
      <c r="X203" s="51" t="s">
        <v>1144</v>
      </c>
      <c r="Y203" s="51" t="s">
        <v>336</v>
      </c>
      <c r="Z203" s="51" t="s">
        <v>122</v>
      </c>
      <c r="AA203" s="50"/>
      <c r="AB203" s="50">
        <v>1.0</v>
      </c>
      <c r="AC203" s="50"/>
      <c r="AD203" s="50">
        <v>1.0</v>
      </c>
      <c r="AE203" s="50"/>
      <c r="AF203" s="50"/>
      <c r="AG203" s="50"/>
      <c r="AH203" s="51" t="s">
        <v>1145</v>
      </c>
      <c r="AI203" s="52">
        <v>1.0</v>
      </c>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c r="BO203" s="51"/>
      <c r="BP203" s="51"/>
      <c r="BQ203" s="51"/>
      <c r="BR203" s="51"/>
      <c r="BS203" s="51"/>
      <c r="BT203" s="51"/>
      <c r="BU203" s="51"/>
      <c r="BV203" s="51"/>
      <c r="BW203" s="51"/>
      <c r="BX203" s="51"/>
      <c r="BY203" s="51"/>
      <c r="BZ203" s="51"/>
    </row>
    <row r="204" ht="12.75" customHeight="1">
      <c r="A204" s="46" t="s">
        <v>124</v>
      </c>
      <c r="B204" s="54" t="str">
        <f>HYPERLINK("https://drive.google.com/open?id=0B-nn5iJ29NJaS0dmc3dPN1pZZlU","Vasilescu2016")</f>
        <v>Vasilescu2016</v>
      </c>
      <c r="C204" s="55" t="s">
        <v>1146</v>
      </c>
      <c r="D204" s="55" t="s">
        <v>196</v>
      </c>
      <c r="E204" s="57">
        <v>2016.0</v>
      </c>
      <c r="F204" s="58"/>
      <c r="G204" s="50"/>
      <c r="H204" s="50"/>
      <c r="I204" s="50">
        <v>1.0</v>
      </c>
      <c r="J204" s="50"/>
      <c r="K204" s="50"/>
      <c r="L204" s="50"/>
      <c r="M204" s="50"/>
      <c r="N204" s="50"/>
      <c r="O204" s="50"/>
      <c r="P204" s="50"/>
      <c r="Q204" s="50"/>
      <c r="R204" s="50"/>
      <c r="S204" s="50"/>
      <c r="T204" s="50"/>
      <c r="U204" s="50"/>
      <c r="V204" s="60"/>
      <c r="W204" s="48" t="s">
        <v>842</v>
      </c>
      <c r="X204" s="48" t="s">
        <v>1147</v>
      </c>
      <c r="Y204" s="69" t="s">
        <v>1148</v>
      </c>
      <c r="Z204" s="48"/>
      <c r="AA204" s="50"/>
      <c r="AB204" s="50">
        <v>1.0</v>
      </c>
      <c r="AC204" s="50"/>
      <c r="AD204" s="50">
        <v>1.0</v>
      </c>
      <c r="AE204" s="50"/>
      <c r="AF204" s="50"/>
      <c r="AG204" s="50"/>
      <c r="AH204" s="59"/>
      <c r="AI204" s="51">
        <v>1.0</v>
      </c>
      <c r="AJ204" s="51"/>
      <c r="AK204" s="51"/>
      <c r="AL204" s="51"/>
      <c r="AM204" s="51"/>
      <c r="AN204" s="51"/>
      <c r="AO204" s="51"/>
      <c r="AP204" s="51"/>
      <c r="AQ204" s="51"/>
      <c r="AR204" s="51">
        <v>1.0</v>
      </c>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c r="BP204" s="51"/>
      <c r="BQ204" s="52">
        <v>1.0</v>
      </c>
      <c r="BR204" s="51"/>
      <c r="BS204" s="51"/>
      <c r="BT204" s="51"/>
      <c r="BU204" s="51"/>
      <c r="BV204" s="52">
        <v>1.0</v>
      </c>
      <c r="BW204" s="51"/>
      <c r="BX204" s="51"/>
      <c r="BY204" s="51"/>
      <c r="BZ204" s="51"/>
    </row>
    <row r="205" ht="12.75" customHeight="1">
      <c r="A205" s="46" t="s">
        <v>172</v>
      </c>
      <c r="B205" s="67" t="str">
        <f>HYPERLINK("https://drive.google.com/open?id=1iUtQKNl545xhvh7IjKcWTzz1vM_SpUF0","Vessey1985")</f>
        <v>Vessey1985</v>
      </c>
      <c r="C205" s="63" t="s">
        <v>1149</v>
      </c>
      <c r="D205" s="63" t="s">
        <v>727</v>
      </c>
      <c r="E205" s="55">
        <v>1985.0</v>
      </c>
      <c r="F205" s="55"/>
      <c r="G205" s="55"/>
      <c r="H205" s="55"/>
      <c r="I205" s="55"/>
      <c r="J205" s="55"/>
      <c r="K205" s="55">
        <v>1.0</v>
      </c>
      <c r="L205" s="55"/>
      <c r="M205" s="55"/>
      <c r="N205" s="55"/>
      <c r="O205" s="55"/>
      <c r="P205" s="55"/>
      <c r="Q205" s="55"/>
      <c r="R205" s="55"/>
      <c r="S205" s="55"/>
      <c r="T205" s="55"/>
      <c r="U205" s="55"/>
      <c r="V205" s="55"/>
      <c r="W205" s="55" t="s">
        <v>1150</v>
      </c>
      <c r="X205" s="55" t="s">
        <v>1151</v>
      </c>
      <c r="Y205" s="55" t="s">
        <v>1152</v>
      </c>
      <c r="Z205" s="55"/>
      <c r="AA205" s="55"/>
      <c r="AB205" s="55"/>
      <c r="AC205" s="55">
        <v>1.0</v>
      </c>
      <c r="AD205" s="55">
        <v>1.0</v>
      </c>
      <c r="AE205" s="55"/>
      <c r="AF205" s="55"/>
      <c r="AG205" s="55"/>
      <c r="AH205" s="48" t="s">
        <v>1153</v>
      </c>
      <c r="AI205" s="51">
        <v>1.0</v>
      </c>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v>1.0</v>
      </c>
      <c r="BF205" s="51"/>
      <c r="BG205" s="51"/>
      <c r="BH205" s="51"/>
      <c r="BI205" s="51"/>
      <c r="BJ205" s="51"/>
      <c r="BK205" s="51"/>
      <c r="BL205" s="51"/>
      <c r="BM205" s="51"/>
      <c r="BN205" s="51"/>
      <c r="BO205" s="51"/>
      <c r="BP205" s="51"/>
      <c r="BQ205" s="51"/>
      <c r="BR205" s="51"/>
      <c r="BS205" s="51"/>
      <c r="BT205" s="51">
        <v>1.0</v>
      </c>
      <c r="BU205" s="51"/>
      <c r="BV205" s="51"/>
      <c r="BW205" s="51"/>
      <c r="BX205" s="51"/>
      <c r="BY205" s="51"/>
      <c r="BZ205" s="51"/>
    </row>
    <row r="206" ht="12.75" customHeight="1">
      <c r="A206" s="46" t="s">
        <v>116</v>
      </c>
      <c r="B206" s="68" t="str">
        <f>HYPERLINK("https://drive.google.com/open?id=1ArI5I0hor3NTQ2JEVcOKsegsClGWDyXD","vonMayrhauser1993a")</f>
        <v>vonMayrhauser1993a</v>
      </c>
      <c r="C206" s="63" t="s">
        <v>1154</v>
      </c>
      <c r="D206" s="63" t="s">
        <v>1155</v>
      </c>
      <c r="E206" s="49">
        <v>1993.0</v>
      </c>
      <c r="F206" s="50"/>
      <c r="G206" s="50"/>
      <c r="H206" s="50"/>
      <c r="I206" s="50"/>
      <c r="J206" s="50"/>
      <c r="K206" s="50">
        <v>1.0</v>
      </c>
      <c r="L206" s="50"/>
      <c r="M206" s="50"/>
      <c r="N206" s="50"/>
      <c r="O206" s="50"/>
      <c r="P206" s="50"/>
      <c r="Q206" s="50"/>
      <c r="R206" s="50"/>
      <c r="S206" s="50"/>
      <c r="T206" s="50"/>
      <c r="U206" s="50"/>
      <c r="V206" s="51"/>
      <c r="W206" s="51" t="s">
        <v>1156</v>
      </c>
      <c r="X206" s="51" t="s">
        <v>1157</v>
      </c>
      <c r="Y206" s="51" t="s">
        <v>1158</v>
      </c>
      <c r="Z206" s="51" t="s">
        <v>1159</v>
      </c>
      <c r="AA206" s="50"/>
      <c r="AB206" s="50">
        <v>1.0</v>
      </c>
      <c r="AC206" s="50"/>
      <c r="AD206" s="50">
        <v>1.0</v>
      </c>
      <c r="AE206" s="50"/>
      <c r="AF206" s="50"/>
      <c r="AG206" s="50"/>
      <c r="AH206" s="51" t="s">
        <v>1160</v>
      </c>
      <c r="AI206" s="51">
        <v>1.0</v>
      </c>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2">
        <v>1.0</v>
      </c>
      <c r="BJ206" s="52">
        <v>1.0</v>
      </c>
      <c r="BK206" s="51"/>
      <c r="BL206" s="52">
        <v>1.0</v>
      </c>
      <c r="BM206" s="51"/>
      <c r="BN206" s="51"/>
      <c r="BO206" s="51"/>
      <c r="BP206" s="51"/>
      <c r="BQ206" s="51"/>
      <c r="BR206" s="51"/>
      <c r="BS206" s="51"/>
      <c r="BT206" s="51">
        <v>1.0</v>
      </c>
      <c r="BU206" s="51"/>
      <c r="BV206" s="51"/>
      <c r="BW206" s="51"/>
      <c r="BX206" s="51"/>
      <c r="BY206" s="51"/>
      <c r="BZ206" s="51"/>
    </row>
    <row r="207" ht="12.75" customHeight="1">
      <c r="A207" s="46" t="s">
        <v>116</v>
      </c>
      <c r="B207" s="68" t="str">
        <f>HYPERLINK("https://drive.google.com/open?id=1HUnekh2ZZQt8nP5LS2oeqbswNhqfmVfP","vonMayrhauser1994")</f>
        <v>vonMayrhauser1994</v>
      </c>
      <c r="C207" s="63" t="s">
        <v>1161</v>
      </c>
      <c r="D207" s="63" t="s">
        <v>1162</v>
      </c>
      <c r="E207" s="49">
        <v>1994.0</v>
      </c>
      <c r="F207" s="50"/>
      <c r="G207" s="50"/>
      <c r="H207" s="50"/>
      <c r="I207" s="50"/>
      <c r="J207" s="50"/>
      <c r="K207" s="50">
        <v>1.0</v>
      </c>
      <c r="L207" s="50"/>
      <c r="M207" s="50"/>
      <c r="N207" s="50"/>
      <c r="O207" s="50"/>
      <c r="P207" s="50"/>
      <c r="Q207" s="50"/>
      <c r="R207" s="50"/>
      <c r="S207" s="50"/>
      <c r="T207" s="50"/>
      <c r="U207" s="50"/>
      <c r="V207" s="51"/>
      <c r="W207" s="51" t="s">
        <v>1163</v>
      </c>
      <c r="X207" s="51" t="s">
        <v>1157</v>
      </c>
      <c r="Y207" s="51" t="s">
        <v>1158</v>
      </c>
      <c r="Z207" s="51" t="s">
        <v>1159</v>
      </c>
      <c r="AA207" s="50"/>
      <c r="AB207" s="50">
        <v>1.0</v>
      </c>
      <c r="AC207" s="50"/>
      <c r="AD207" s="50">
        <v>1.0</v>
      </c>
      <c r="AE207" s="50"/>
      <c r="AF207" s="50"/>
      <c r="AG207" s="50"/>
      <c r="AH207" s="51" t="s">
        <v>1164</v>
      </c>
      <c r="AI207" s="51">
        <v>1.0</v>
      </c>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2">
        <v>1.0</v>
      </c>
      <c r="BJ207" s="52">
        <v>1.0</v>
      </c>
      <c r="BK207" s="51"/>
      <c r="BL207" s="52">
        <v>1.0</v>
      </c>
      <c r="BM207" s="51"/>
      <c r="BN207" s="51"/>
      <c r="BO207" s="51"/>
      <c r="BP207" s="51"/>
      <c r="BQ207" s="51"/>
      <c r="BR207" s="51"/>
      <c r="BS207" s="51"/>
      <c r="BT207" s="51">
        <v>1.0</v>
      </c>
      <c r="BU207" s="51"/>
      <c r="BV207" s="51"/>
      <c r="BW207" s="51"/>
      <c r="BX207" s="51"/>
      <c r="BY207" s="51"/>
      <c r="BZ207" s="51"/>
    </row>
    <row r="208" ht="12.75" customHeight="1">
      <c r="A208" s="46" t="s">
        <v>124</v>
      </c>
      <c r="B208" s="67" t="str">
        <f>HYPERLINK("https://drive.google.com/open?id=1qBfWIf6NF2EbEqPuF7iqxli5VPgD5zrw","vonMayrhauser1996a")</f>
        <v>vonMayrhauser1996a</v>
      </c>
      <c r="C208" s="48" t="s">
        <v>1165</v>
      </c>
      <c r="D208" s="48" t="s">
        <v>1166</v>
      </c>
      <c r="E208" s="49">
        <v>1996.0</v>
      </c>
      <c r="F208" s="50"/>
      <c r="G208" s="50"/>
      <c r="H208" s="50"/>
      <c r="I208" s="50">
        <v>1.0</v>
      </c>
      <c r="J208" s="50"/>
      <c r="K208" s="50">
        <v>1.0</v>
      </c>
      <c r="L208" s="50"/>
      <c r="M208" s="50"/>
      <c r="N208" s="50"/>
      <c r="O208" s="50"/>
      <c r="P208" s="50"/>
      <c r="Q208" s="50"/>
      <c r="R208" s="50"/>
      <c r="S208" s="50"/>
      <c r="T208" s="50"/>
      <c r="U208" s="50"/>
      <c r="V208" s="48" t="s">
        <v>1167</v>
      </c>
      <c r="W208" s="48" t="s">
        <v>1168</v>
      </c>
      <c r="X208" s="48" t="s">
        <v>1169</v>
      </c>
      <c r="Y208" s="48"/>
      <c r="Z208" s="48" t="s">
        <v>1170</v>
      </c>
      <c r="AA208" s="50"/>
      <c r="AB208" s="50">
        <v>1.0</v>
      </c>
      <c r="AC208" s="50"/>
      <c r="AD208" s="50">
        <v>1.0</v>
      </c>
      <c r="AE208" s="50"/>
      <c r="AF208" s="50"/>
      <c r="AG208" s="50"/>
      <c r="AH208" s="59"/>
      <c r="AI208" s="51">
        <v>1.0</v>
      </c>
      <c r="AJ208" s="51"/>
      <c r="AK208" s="51"/>
      <c r="AL208" s="51"/>
      <c r="AM208" s="51"/>
      <c r="AN208" s="51"/>
      <c r="AO208" s="51"/>
      <c r="AP208" s="51"/>
      <c r="AQ208" s="51">
        <v>1.0</v>
      </c>
      <c r="AR208" s="51">
        <v>1.0</v>
      </c>
      <c r="AS208" s="51"/>
      <c r="AT208" s="51"/>
      <c r="AU208" s="51"/>
      <c r="AV208" s="51"/>
      <c r="AW208" s="51"/>
      <c r="AX208" s="51"/>
      <c r="AY208" s="51"/>
      <c r="AZ208" s="51"/>
      <c r="BA208" s="51"/>
      <c r="BB208" s="51"/>
      <c r="BC208" s="51"/>
      <c r="BD208" s="51"/>
      <c r="BE208" s="51"/>
      <c r="BF208" s="51"/>
      <c r="BG208" s="51"/>
      <c r="BH208" s="51"/>
      <c r="BI208" s="51">
        <v>1.0</v>
      </c>
      <c r="BJ208" s="51"/>
      <c r="BK208" s="51"/>
      <c r="BL208" s="51"/>
      <c r="BM208" s="51"/>
      <c r="BN208" s="51"/>
      <c r="BO208" s="51"/>
      <c r="BP208" s="51"/>
      <c r="BQ208" s="51"/>
      <c r="BR208" s="51">
        <v>1.0</v>
      </c>
      <c r="BS208" s="51"/>
      <c r="BT208" s="51"/>
      <c r="BU208" s="51"/>
      <c r="BV208" s="51"/>
      <c r="BW208" s="51"/>
      <c r="BX208" s="51"/>
      <c r="BY208" s="51"/>
      <c r="BZ208" s="51"/>
    </row>
    <row r="209" ht="12.75" customHeight="1">
      <c r="A209" s="46" t="s">
        <v>124</v>
      </c>
      <c r="B209" s="67" t="str">
        <f>HYPERLINK("https://drive.google.com/open?id=1PqDf-Q7T0XjMWbIH5DV0VAZWAs36sz4z","vonMayrhauser1996b")</f>
        <v>vonMayrhauser1996b</v>
      </c>
      <c r="C209" s="48" t="s">
        <v>1171</v>
      </c>
      <c r="D209" s="48" t="s">
        <v>819</v>
      </c>
      <c r="E209" s="49">
        <v>1996.0</v>
      </c>
      <c r="F209" s="50"/>
      <c r="G209" s="50"/>
      <c r="H209" s="50"/>
      <c r="I209" s="50">
        <v>1.0</v>
      </c>
      <c r="J209" s="50"/>
      <c r="K209" s="50">
        <v>1.0</v>
      </c>
      <c r="L209" s="50"/>
      <c r="M209" s="50"/>
      <c r="N209" s="50"/>
      <c r="O209" s="50"/>
      <c r="P209" s="50"/>
      <c r="Q209" s="50"/>
      <c r="R209" s="50"/>
      <c r="S209" s="50"/>
      <c r="T209" s="50"/>
      <c r="U209" s="50"/>
      <c r="V209" s="48"/>
      <c r="W209" s="48" t="s">
        <v>1172</v>
      </c>
      <c r="X209" s="48" t="s">
        <v>1173</v>
      </c>
      <c r="Y209" s="48"/>
      <c r="Z209" s="48" t="s">
        <v>1174</v>
      </c>
      <c r="AA209" s="50"/>
      <c r="AB209" s="50">
        <v>1.0</v>
      </c>
      <c r="AC209" s="50"/>
      <c r="AD209" s="50">
        <v>1.0</v>
      </c>
      <c r="AE209" s="50"/>
      <c r="AF209" s="50"/>
      <c r="AG209" s="50"/>
      <c r="AH209" s="59"/>
      <c r="AI209" s="51">
        <v>1.0</v>
      </c>
      <c r="AJ209" s="51"/>
      <c r="AK209" s="51"/>
      <c r="AL209" s="51"/>
      <c r="AM209" s="51"/>
      <c r="AN209" s="51"/>
      <c r="AO209" s="51"/>
      <c r="AP209" s="51"/>
      <c r="AQ209" s="51"/>
      <c r="AR209" s="51">
        <v>1.0</v>
      </c>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c r="BO209" s="51"/>
      <c r="BP209" s="51"/>
      <c r="BQ209" s="51"/>
      <c r="BR209" s="51">
        <v>1.0</v>
      </c>
      <c r="BS209" s="51"/>
      <c r="BT209" s="51"/>
      <c r="BU209" s="51"/>
      <c r="BV209" s="51"/>
      <c r="BW209" s="51"/>
      <c r="BX209" s="51"/>
      <c r="BY209" s="51"/>
      <c r="BZ209" s="51"/>
    </row>
    <row r="210" ht="12.75" customHeight="1">
      <c r="A210" s="46" t="s">
        <v>124</v>
      </c>
      <c r="B210" s="67" t="str">
        <f>HYPERLINK("https://drive.google.com/open?id=1gWS2KFYPMz1l7HMp-rEPLNRYGJ61nmKg","vonMayrhauser1996c")</f>
        <v>vonMayrhauser1996c</v>
      </c>
      <c r="C210" s="48" t="s">
        <v>1175</v>
      </c>
      <c r="D210" s="48" t="s">
        <v>503</v>
      </c>
      <c r="E210" s="49">
        <v>1996.0</v>
      </c>
      <c r="F210" s="50"/>
      <c r="G210" s="50"/>
      <c r="H210" s="50"/>
      <c r="I210" s="50">
        <v>1.0</v>
      </c>
      <c r="J210" s="50"/>
      <c r="K210" s="50">
        <v>1.0</v>
      </c>
      <c r="L210" s="50"/>
      <c r="M210" s="50"/>
      <c r="N210" s="50"/>
      <c r="O210" s="50"/>
      <c r="P210" s="50"/>
      <c r="Q210" s="50"/>
      <c r="R210" s="50"/>
      <c r="S210" s="50"/>
      <c r="T210" s="50"/>
      <c r="U210" s="50"/>
      <c r="V210" s="48" t="s">
        <v>1167</v>
      </c>
      <c r="W210" s="48" t="s">
        <v>1168</v>
      </c>
      <c r="X210" s="48"/>
      <c r="Y210" s="48" t="s">
        <v>1176</v>
      </c>
      <c r="Z210" s="48" t="s">
        <v>1177</v>
      </c>
      <c r="AA210" s="50"/>
      <c r="AB210" s="50">
        <v>1.0</v>
      </c>
      <c r="AC210" s="50"/>
      <c r="AD210" s="50">
        <v>1.0</v>
      </c>
      <c r="AE210" s="50"/>
      <c r="AF210" s="50"/>
      <c r="AG210" s="50"/>
      <c r="AH210" s="59"/>
      <c r="AI210" s="51">
        <v>1.0</v>
      </c>
      <c r="AJ210" s="51"/>
      <c r="AK210" s="51"/>
      <c r="AL210" s="51"/>
      <c r="AM210" s="51"/>
      <c r="AN210" s="51"/>
      <c r="AO210" s="51"/>
      <c r="AP210" s="51"/>
      <c r="AQ210" s="51">
        <v>1.0</v>
      </c>
      <c r="AR210" s="51">
        <v>1.0</v>
      </c>
      <c r="AS210" s="51"/>
      <c r="AT210" s="51"/>
      <c r="AU210" s="51"/>
      <c r="AV210" s="51"/>
      <c r="AW210" s="51"/>
      <c r="AX210" s="51"/>
      <c r="AY210" s="51"/>
      <c r="AZ210" s="51"/>
      <c r="BA210" s="51"/>
      <c r="BB210" s="51"/>
      <c r="BC210" s="51"/>
      <c r="BD210" s="51"/>
      <c r="BE210" s="51"/>
      <c r="BF210" s="51"/>
      <c r="BG210" s="51"/>
      <c r="BH210" s="51"/>
      <c r="BI210" s="51">
        <v>1.0</v>
      </c>
      <c r="BJ210" s="51"/>
      <c r="BK210" s="51"/>
      <c r="BL210" s="51"/>
      <c r="BM210" s="51"/>
      <c r="BN210" s="51"/>
      <c r="BO210" s="51"/>
      <c r="BP210" s="51"/>
      <c r="BQ210" s="51"/>
      <c r="BR210" s="51">
        <v>1.0</v>
      </c>
      <c r="BS210" s="51"/>
      <c r="BT210" s="51"/>
      <c r="BU210" s="51"/>
      <c r="BV210" s="51"/>
      <c r="BW210" s="51"/>
      <c r="BX210" s="51"/>
      <c r="BY210" s="51"/>
      <c r="BZ210" s="51"/>
    </row>
    <row r="211" ht="12.75" customHeight="1">
      <c r="A211" s="46" t="s">
        <v>88</v>
      </c>
      <c r="B211" s="53" t="str">
        <f>HYPERLINK("https://drive.google.com/open?id=0B00cIHsghs6UNDBNdEQ2VHdNanc","VonMayrhauser1997")</f>
        <v>VonMayrhauser1997</v>
      </c>
      <c r="C211" s="48" t="s">
        <v>1178</v>
      </c>
      <c r="D211" s="48" t="s">
        <v>1179</v>
      </c>
      <c r="E211" s="49">
        <v>1997.0</v>
      </c>
      <c r="F211" s="50"/>
      <c r="G211" s="50"/>
      <c r="H211" s="50"/>
      <c r="I211" s="50"/>
      <c r="J211" s="50"/>
      <c r="K211" s="50">
        <v>1.0</v>
      </c>
      <c r="L211" s="50"/>
      <c r="M211" s="50"/>
      <c r="N211" s="50"/>
      <c r="O211" s="50"/>
      <c r="P211" s="50"/>
      <c r="Q211" s="50"/>
      <c r="R211" s="50"/>
      <c r="S211" s="50"/>
      <c r="T211" s="50"/>
      <c r="U211" s="50"/>
      <c r="V211" s="51" t="s">
        <v>1180</v>
      </c>
      <c r="W211" s="51" t="s">
        <v>1181</v>
      </c>
      <c r="X211" s="51" t="s">
        <v>1182</v>
      </c>
      <c r="Y211" s="51" t="s">
        <v>1183</v>
      </c>
      <c r="Z211" s="51" t="s">
        <v>137</v>
      </c>
      <c r="AA211" s="50"/>
      <c r="AB211" s="50">
        <v>1.0</v>
      </c>
      <c r="AC211" s="50"/>
      <c r="AD211" s="50">
        <v>1.0</v>
      </c>
      <c r="AE211" s="50"/>
      <c r="AF211" s="50"/>
      <c r="AG211" s="50"/>
      <c r="AH211" s="51" t="s">
        <v>1184</v>
      </c>
      <c r="AI211" s="51">
        <v>1.0</v>
      </c>
      <c r="AJ211" s="51"/>
      <c r="AK211" s="51"/>
      <c r="AL211" s="51"/>
      <c r="AM211" s="51"/>
      <c r="AN211" s="51"/>
      <c r="AO211" s="51"/>
      <c r="AP211" s="51">
        <v>1.0</v>
      </c>
      <c r="AQ211" s="51">
        <v>1.0</v>
      </c>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c r="BO211" s="51"/>
      <c r="BP211" s="51"/>
      <c r="BQ211" s="51"/>
      <c r="BR211" s="51"/>
      <c r="BS211" s="51"/>
      <c r="BT211" s="51">
        <v>1.0</v>
      </c>
      <c r="BU211" s="51"/>
      <c r="BV211" s="51"/>
      <c r="BW211" s="51"/>
      <c r="BX211" s="51"/>
      <c r="BY211" s="51"/>
      <c r="BZ211" s="51"/>
    </row>
    <row r="212" ht="12.75" customHeight="1">
      <c r="A212" s="46" t="s">
        <v>124</v>
      </c>
      <c r="B212" s="67" t="str">
        <f>HYPERLINK("https://drive.google.com/open?id=1lM288i6mVd-PiTawN33KaPd_mWHkzmBC","vonMayrhauser1997a")</f>
        <v>vonMayrhauser1997a</v>
      </c>
      <c r="C212" s="48" t="s">
        <v>1185</v>
      </c>
      <c r="D212" s="48" t="s">
        <v>1186</v>
      </c>
      <c r="E212" s="49">
        <v>1997.0</v>
      </c>
      <c r="F212" s="50"/>
      <c r="G212" s="50"/>
      <c r="H212" s="50"/>
      <c r="I212" s="50">
        <v>1.0</v>
      </c>
      <c r="J212" s="50"/>
      <c r="K212" s="50">
        <v>1.0</v>
      </c>
      <c r="L212" s="50"/>
      <c r="M212" s="50"/>
      <c r="N212" s="50"/>
      <c r="O212" s="50"/>
      <c r="P212" s="50"/>
      <c r="Q212" s="50"/>
      <c r="R212" s="50"/>
      <c r="S212" s="50"/>
      <c r="T212" s="50"/>
      <c r="U212" s="50"/>
      <c r="V212" s="48" t="s">
        <v>1167</v>
      </c>
      <c r="W212" s="48" t="s">
        <v>1168</v>
      </c>
      <c r="X212" s="48"/>
      <c r="Y212" s="48" t="s">
        <v>1176</v>
      </c>
      <c r="Z212" s="48" t="s">
        <v>1177</v>
      </c>
      <c r="AA212" s="50"/>
      <c r="AB212" s="50">
        <v>1.0</v>
      </c>
      <c r="AC212" s="50"/>
      <c r="AD212" s="50">
        <v>1.0</v>
      </c>
      <c r="AE212" s="50"/>
      <c r="AF212" s="50"/>
      <c r="AG212" s="50"/>
      <c r="AH212" s="59"/>
      <c r="AI212" s="51">
        <v>1.0</v>
      </c>
      <c r="AJ212" s="51"/>
      <c r="AK212" s="51"/>
      <c r="AL212" s="51"/>
      <c r="AM212" s="51"/>
      <c r="AN212" s="51"/>
      <c r="AO212" s="51"/>
      <c r="AP212" s="51"/>
      <c r="AQ212" s="51">
        <v>1.0</v>
      </c>
      <c r="AR212" s="51">
        <v>1.0</v>
      </c>
      <c r="AS212" s="51"/>
      <c r="AT212" s="51"/>
      <c r="AU212" s="51"/>
      <c r="AV212" s="51"/>
      <c r="AW212" s="51"/>
      <c r="AX212" s="51"/>
      <c r="AY212" s="51"/>
      <c r="AZ212" s="51"/>
      <c r="BA212" s="51"/>
      <c r="BB212" s="51"/>
      <c r="BC212" s="51"/>
      <c r="BD212" s="51"/>
      <c r="BE212" s="51"/>
      <c r="BF212" s="51"/>
      <c r="BG212" s="51"/>
      <c r="BH212" s="51"/>
      <c r="BI212" s="51">
        <v>1.0</v>
      </c>
      <c r="BJ212" s="51"/>
      <c r="BK212" s="51"/>
      <c r="BL212" s="51"/>
      <c r="BM212" s="51"/>
      <c r="BN212" s="51"/>
      <c r="BO212" s="51"/>
      <c r="BP212" s="51"/>
      <c r="BQ212" s="51"/>
      <c r="BR212" s="51">
        <v>1.0</v>
      </c>
      <c r="BS212" s="51"/>
      <c r="BT212" s="51"/>
      <c r="BU212" s="51"/>
      <c r="BV212" s="51"/>
      <c r="BW212" s="51"/>
      <c r="BX212" s="51"/>
      <c r="BY212" s="51"/>
      <c r="BZ212" s="51"/>
    </row>
    <row r="213" ht="12.75" customHeight="1">
      <c r="A213" s="46" t="s">
        <v>124</v>
      </c>
      <c r="B213" s="67" t="str">
        <f>HYPERLINK("https://drive.google.com/open?id=1l3YccjdgI1kqFNob1XtK5owypHubY7ss","vonMayrhauser1997b")</f>
        <v>vonMayrhauser1997b</v>
      </c>
      <c r="C213" s="48" t="s">
        <v>1187</v>
      </c>
      <c r="D213" s="48" t="s">
        <v>442</v>
      </c>
      <c r="E213" s="49">
        <v>1997.0</v>
      </c>
      <c r="F213" s="50"/>
      <c r="G213" s="50"/>
      <c r="H213" s="50"/>
      <c r="I213" s="50">
        <v>1.0</v>
      </c>
      <c r="J213" s="50"/>
      <c r="K213" s="50">
        <v>1.0</v>
      </c>
      <c r="L213" s="50"/>
      <c r="M213" s="50"/>
      <c r="N213" s="50"/>
      <c r="O213" s="50"/>
      <c r="P213" s="50"/>
      <c r="Q213" s="50"/>
      <c r="R213" s="50"/>
      <c r="S213" s="50"/>
      <c r="T213" s="50"/>
      <c r="U213" s="50"/>
      <c r="V213" s="48" t="s">
        <v>1167</v>
      </c>
      <c r="W213" s="48" t="s">
        <v>1168</v>
      </c>
      <c r="X213" s="48"/>
      <c r="Y213" s="48" t="s">
        <v>1176</v>
      </c>
      <c r="Z213" s="48" t="s">
        <v>1177</v>
      </c>
      <c r="AA213" s="50"/>
      <c r="AB213" s="50">
        <v>1.0</v>
      </c>
      <c r="AC213" s="50"/>
      <c r="AD213" s="50">
        <v>1.0</v>
      </c>
      <c r="AE213" s="50"/>
      <c r="AF213" s="50"/>
      <c r="AG213" s="50"/>
      <c r="AH213" s="59"/>
      <c r="AI213" s="51">
        <v>1.0</v>
      </c>
      <c r="AJ213" s="51"/>
      <c r="AK213" s="51"/>
      <c r="AL213" s="51"/>
      <c r="AM213" s="51"/>
      <c r="AN213" s="51"/>
      <c r="AO213" s="51"/>
      <c r="AP213" s="51"/>
      <c r="AQ213" s="51">
        <v>1.0</v>
      </c>
      <c r="AR213" s="51">
        <v>1.0</v>
      </c>
      <c r="AS213" s="51"/>
      <c r="AT213" s="51"/>
      <c r="AU213" s="51"/>
      <c r="AV213" s="51"/>
      <c r="AW213" s="51"/>
      <c r="AX213" s="51"/>
      <c r="AY213" s="51"/>
      <c r="AZ213" s="51"/>
      <c r="BA213" s="51"/>
      <c r="BB213" s="51"/>
      <c r="BC213" s="51"/>
      <c r="BD213" s="51"/>
      <c r="BE213" s="51"/>
      <c r="BF213" s="51"/>
      <c r="BG213" s="51"/>
      <c r="BH213" s="51"/>
      <c r="BI213" s="51">
        <v>1.0</v>
      </c>
      <c r="BJ213" s="51"/>
      <c r="BK213" s="51"/>
      <c r="BL213" s="51"/>
      <c r="BM213" s="51"/>
      <c r="BN213" s="51"/>
      <c r="BO213" s="51"/>
      <c r="BP213" s="51"/>
      <c r="BQ213" s="51"/>
      <c r="BR213" s="51">
        <v>1.0</v>
      </c>
      <c r="BS213" s="51"/>
      <c r="BT213" s="51"/>
      <c r="BU213" s="51"/>
      <c r="BV213" s="51"/>
      <c r="BW213" s="51"/>
      <c r="BX213" s="51"/>
      <c r="BY213" s="51"/>
      <c r="BZ213" s="51"/>
    </row>
    <row r="214" ht="12.75" customHeight="1">
      <c r="A214" s="46" t="s">
        <v>124</v>
      </c>
      <c r="B214" s="68" t="str">
        <f>HYPERLINK("https://drive.google.com/open?id=1u1aBFyFg8PIHdg32ko1vBCzMGp6cCHgo","Walenstein2003")</f>
        <v>Walenstein2003</v>
      </c>
      <c r="C214" s="48" t="s">
        <v>1188</v>
      </c>
      <c r="D214" s="48" t="s">
        <v>1189</v>
      </c>
      <c r="E214" s="49">
        <v>2003.0</v>
      </c>
      <c r="F214" s="50"/>
      <c r="G214" s="50"/>
      <c r="H214" s="50"/>
      <c r="I214" s="50">
        <v>1.0</v>
      </c>
      <c r="J214" s="50"/>
      <c r="K214" s="50"/>
      <c r="L214" s="50"/>
      <c r="M214" s="50"/>
      <c r="N214" s="50"/>
      <c r="O214" s="50"/>
      <c r="P214" s="50"/>
      <c r="Q214" s="50"/>
      <c r="R214" s="50"/>
      <c r="S214" s="50"/>
      <c r="T214" s="50"/>
      <c r="U214" s="50"/>
      <c r="V214" s="48" t="s">
        <v>1190</v>
      </c>
      <c r="W214" s="48" t="s">
        <v>1191</v>
      </c>
      <c r="X214" s="48"/>
      <c r="Y214" s="48" t="s">
        <v>1192</v>
      </c>
      <c r="Z214" s="48" t="s">
        <v>1193</v>
      </c>
      <c r="AA214" s="50"/>
      <c r="AB214" s="50">
        <v>1.0</v>
      </c>
      <c r="AC214" s="50"/>
      <c r="AD214" s="50">
        <v>1.0</v>
      </c>
      <c r="AE214" s="50"/>
      <c r="AF214" s="50"/>
      <c r="AG214" s="50"/>
      <c r="AH214" s="59"/>
      <c r="AI214" s="51">
        <v>1.0</v>
      </c>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2">
        <v>1.0</v>
      </c>
      <c r="BF214" s="51"/>
      <c r="BG214" s="51"/>
      <c r="BH214" s="51"/>
      <c r="BI214" s="52">
        <v>1.0</v>
      </c>
      <c r="BJ214" s="51"/>
      <c r="BK214" s="51"/>
      <c r="BL214" s="51"/>
      <c r="BM214" s="51"/>
      <c r="BN214" s="51"/>
      <c r="BO214" s="51"/>
      <c r="BP214" s="51"/>
      <c r="BQ214" s="51"/>
      <c r="BR214" s="51"/>
      <c r="BS214" s="51"/>
      <c r="BT214" s="51"/>
      <c r="BU214" s="51"/>
      <c r="BV214" s="51"/>
      <c r="BW214" s="51"/>
      <c r="BX214" s="51"/>
      <c r="BY214" s="51"/>
      <c r="BZ214" s="51">
        <v>1.0</v>
      </c>
    </row>
    <row r="215" ht="12.75" customHeight="1">
      <c r="A215" s="46" t="s">
        <v>116</v>
      </c>
      <c r="B215" s="56" t="str">
        <f>HYPERLINK("https://drive.google.com/open?id=0B1GMAYMj9v6rV2hrT0I1ZDFFQVk","Walia2013")</f>
        <v>Walia2013</v>
      </c>
      <c r="C215" s="55" t="s">
        <v>1194</v>
      </c>
      <c r="D215" s="55" t="s">
        <v>268</v>
      </c>
      <c r="E215" s="49">
        <v>2013.0</v>
      </c>
      <c r="F215" s="50"/>
      <c r="G215" s="50">
        <v>1.0</v>
      </c>
      <c r="H215" s="50"/>
      <c r="I215" s="50"/>
      <c r="J215" s="50"/>
      <c r="K215" s="50"/>
      <c r="L215" s="50"/>
      <c r="M215" s="50"/>
      <c r="N215" s="50"/>
      <c r="O215" s="50"/>
      <c r="P215" s="50"/>
      <c r="Q215" s="50"/>
      <c r="R215" s="50"/>
      <c r="S215" s="50"/>
      <c r="T215" s="50"/>
      <c r="U215" s="50"/>
      <c r="V215" s="51"/>
      <c r="W215" s="51" t="s">
        <v>1195</v>
      </c>
      <c r="X215" s="51" t="s">
        <v>1196</v>
      </c>
      <c r="Y215" s="51" t="s">
        <v>1197</v>
      </c>
      <c r="Z215" s="51" t="s">
        <v>1198</v>
      </c>
      <c r="AA215" s="50">
        <v>1.0</v>
      </c>
      <c r="AB215" s="50"/>
      <c r="AC215" s="50"/>
      <c r="AD215" s="50">
        <v>1.0</v>
      </c>
      <c r="AE215" s="50"/>
      <c r="AF215" s="50"/>
      <c r="AG215" s="50"/>
      <c r="AH215" s="51" t="s">
        <v>1199</v>
      </c>
      <c r="AI215" s="51">
        <v>1.0</v>
      </c>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51"/>
      <c r="BM215" s="51"/>
      <c r="BN215" s="51"/>
      <c r="BO215" s="51"/>
      <c r="BP215" s="51"/>
      <c r="BQ215" s="51"/>
      <c r="BR215" s="51"/>
      <c r="BS215" s="51"/>
      <c r="BT215" s="51"/>
      <c r="BU215" s="51"/>
      <c r="BV215" s="51"/>
      <c r="BW215" s="51">
        <v>1.0</v>
      </c>
      <c r="BX215" s="51"/>
      <c r="BY215" s="51"/>
      <c r="BZ215" s="51"/>
    </row>
    <row r="216" ht="12.75" customHeight="1">
      <c r="A216" s="46" t="s">
        <v>116</v>
      </c>
      <c r="B216" s="56" t="str">
        <f>HYPERLINK("https://drive.google.com/open?id=0B1GMAYMj9v6rTU9zZ2NfcWd1ZVk","Wanderley2015")</f>
        <v>Wanderley2015</v>
      </c>
      <c r="C216" s="55" t="s">
        <v>1200</v>
      </c>
      <c r="D216" s="55" t="s">
        <v>1201</v>
      </c>
      <c r="E216" s="49">
        <v>2015.0</v>
      </c>
      <c r="F216" s="50"/>
      <c r="G216" s="50">
        <v>1.0</v>
      </c>
      <c r="H216" s="50"/>
      <c r="I216" s="50"/>
      <c r="J216" s="50"/>
      <c r="K216" s="50"/>
      <c r="L216" s="50"/>
      <c r="M216" s="50"/>
      <c r="N216" s="50"/>
      <c r="O216" s="50"/>
      <c r="P216" s="50"/>
      <c r="Q216" s="50"/>
      <c r="R216" s="50"/>
      <c r="S216" s="50"/>
      <c r="T216" s="50"/>
      <c r="U216" s="50"/>
      <c r="V216" s="51" t="s">
        <v>9</v>
      </c>
      <c r="W216" s="51" t="s">
        <v>197</v>
      </c>
      <c r="X216" s="51" t="s">
        <v>197</v>
      </c>
      <c r="Y216" s="51" t="s">
        <v>1202</v>
      </c>
      <c r="Z216" s="51" t="s">
        <v>122</v>
      </c>
      <c r="AA216" s="50" t="s">
        <v>1203</v>
      </c>
      <c r="AB216" s="50" t="s">
        <v>1203</v>
      </c>
      <c r="AC216" s="50"/>
      <c r="AD216" s="50">
        <v>1.0</v>
      </c>
      <c r="AE216" s="50"/>
      <c r="AF216" s="50"/>
      <c r="AG216" s="50"/>
      <c r="AH216" s="51" t="s">
        <v>1204</v>
      </c>
      <c r="AI216" s="51">
        <v>1.0</v>
      </c>
      <c r="AJ216" s="51"/>
      <c r="AK216" s="51"/>
      <c r="AL216" s="51"/>
      <c r="AM216" s="51"/>
      <c r="AN216" s="51"/>
      <c r="AO216" s="51"/>
      <c r="AP216" s="51"/>
      <c r="AQ216" s="51"/>
      <c r="AR216" s="51">
        <v>1.0</v>
      </c>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c r="BO216" s="51"/>
      <c r="BP216" s="51"/>
      <c r="BQ216" s="51"/>
      <c r="BR216" s="51"/>
      <c r="BS216" s="51"/>
      <c r="BT216" s="51"/>
      <c r="BU216" s="51"/>
      <c r="BV216" s="51"/>
      <c r="BW216" s="51"/>
      <c r="BX216" s="51"/>
      <c r="BY216" s="51">
        <v>1.0</v>
      </c>
      <c r="BZ216" s="51"/>
    </row>
    <row r="217" ht="12.75" customHeight="1">
      <c r="A217" s="46" t="s">
        <v>172</v>
      </c>
      <c r="B217" s="67" t="str">
        <f>HYPERLINK("https://drive.google.com/open?id=1UPKh9g6W_YTNpHdP9lTJ2ViyYkqxITqp","Weidenbeck1986")</f>
        <v>Weidenbeck1986</v>
      </c>
      <c r="C217" s="63" t="s">
        <v>1205</v>
      </c>
      <c r="D217" s="55" t="s">
        <v>727</v>
      </c>
      <c r="E217" s="55">
        <v>1986.0</v>
      </c>
      <c r="F217" s="55"/>
      <c r="G217" s="55"/>
      <c r="H217" s="55"/>
      <c r="I217" s="55"/>
      <c r="J217" s="55"/>
      <c r="K217" s="55">
        <v>1.0</v>
      </c>
      <c r="L217" s="55"/>
      <c r="M217" s="55"/>
      <c r="N217" s="55"/>
      <c r="O217" s="55"/>
      <c r="P217" s="55"/>
      <c r="Q217" s="55"/>
      <c r="R217" s="55"/>
      <c r="S217" s="55"/>
      <c r="T217" s="55"/>
      <c r="U217" s="55"/>
      <c r="V217" s="55" t="s">
        <v>1206</v>
      </c>
      <c r="W217" s="55" t="s">
        <v>239</v>
      </c>
      <c r="X217" s="55" t="s">
        <v>1207</v>
      </c>
      <c r="Y217" s="55" t="s">
        <v>1208</v>
      </c>
      <c r="Z217" s="55"/>
      <c r="AA217" s="55">
        <v>1.0</v>
      </c>
      <c r="AB217" s="55"/>
      <c r="AC217" s="55"/>
      <c r="AD217" s="55">
        <v>1.0</v>
      </c>
      <c r="AE217" s="55"/>
      <c r="AF217" s="55"/>
      <c r="AG217" s="55"/>
      <c r="AH217" s="48" t="s">
        <v>1209</v>
      </c>
      <c r="AI217" s="51">
        <v>1.0</v>
      </c>
      <c r="AJ217" s="51"/>
      <c r="AK217" s="51"/>
      <c r="AL217" s="51"/>
      <c r="AM217" s="51"/>
      <c r="AN217" s="51">
        <v>1.0</v>
      </c>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v>1.0</v>
      </c>
      <c r="BX217" s="51"/>
      <c r="BY217" s="51"/>
      <c r="BZ217" s="51"/>
    </row>
    <row r="218" ht="12.75" customHeight="1">
      <c r="A218" s="46" t="s">
        <v>172</v>
      </c>
      <c r="B218" s="68" t="str">
        <f>HYPERLINK("https://drive.google.com/open?id=1taG4GbpAlVxV5OupUBF889K4Gh75rSgA","Weidenbeck1991")</f>
        <v>Weidenbeck1991</v>
      </c>
      <c r="C218" s="63" t="s">
        <v>1210</v>
      </c>
      <c r="D218" s="55" t="s">
        <v>727</v>
      </c>
      <c r="E218" s="55">
        <v>1991.0</v>
      </c>
      <c r="F218" s="55"/>
      <c r="G218" s="55"/>
      <c r="H218" s="55"/>
      <c r="I218" s="55"/>
      <c r="J218" s="55"/>
      <c r="K218" s="55">
        <v>1.0</v>
      </c>
      <c r="L218" s="55"/>
      <c r="M218" s="55"/>
      <c r="N218" s="55"/>
      <c r="O218" s="55"/>
      <c r="P218" s="55"/>
      <c r="Q218" s="55"/>
      <c r="R218" s="55"/>
      <c r="S218" s="55"/>
      <c r="T218" s="55"/>
      <c r="U218" s="55"/>
      <c r="V218" s="55"/>
      <c r="W218" s="55" t="s">
        <v>1211</v>
      </c>
      <c r="X218" s="55" t="s">
        <v>1207</v>
      </c>
      <c r="Y218" s="55" t="s">
        <v>1212</v>
      </c>
      <c r="Z218" s="55"/>
      <c r="AA218" s="55">
        <v>1.0</v>
      </c>
      <c r="AB218" s="55"/>
      <c r="AC218" s="55"/>
      <c r="AD218" s="55">
        <v>1.0</v>
      </c>
      <c r="AE218" s="55"/>
      <c r="AF218" s="55"/>
      <c r="AG218" s="55"/>
      <c r="AH218" s="48" t="s">
        <v>1213</v>
      </c>
      <c r="AI218" s="51">
        <v>1.0</v>
      </c>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2">
        <v>1.0</v>
      </c>
      <c r="BJ218" s="51"/>
      <c r="BK218" s="51"/>
      <c r="BL218" s="52">
        <v>1.0</v>
      </c>
      <c r="BM218" s="51"/>
      <c r="BN218" s="51"/>
      <c r="BO218" s="51"/>
      <c r="BP218" s="51"/>
      <c r="BQ218" s="51"/>
      <c r="BR218" s="51"/>
      <c r="BS218" s="51"/>
      <c r="BT218" s="51"/>
      <c r="BU218" s="51"/>
      <c r="BV218" s="51"/>
      <c r="BW218" s="51">
        <v>1.0</v>
      </c>
      <c r="BX218" s="51"/>
      <c r="BY218" s="51">
        <v>1.0</v>
      </c>
      <c r="BZ218" s="51"/>
    </row>
    <row r="219" ht="12.75" customHeight="1">
      <c r="A219" s="46" t="s">
        <v>116</v>
      </c>
      <c r="B219" s="56" t="str">
        <f>HYPERLINK("https://drive.google.com/open?id=0B1GMAYMj9v6rc2xFZ3JoU1J5czg","Wein1992")</f>
        <v>Wein1992</v>
      </c>
      <c r="C219" s="55" t="s">
        <v>1214</v>
      </c>
      <c r="D219" s="55" t="s">
        <v>1215</v>
      </c>
      <c r="E219" s="49">
        <v>1992.0</v>
      </c>
      <c r="F219" s="50"/>
      <c r="G219" s="50"/>
      <c r="H219" s="50"/>
      <c r="I219" s="50"/>
      <c r="J219" s="50"/>
      <c r="K219" s="50"/>
      <c r="L219" s="50">
        <v>1.0</v>
      </c>
      <c r="M219" s="50"/>
      <c r="N219" s="50"/>
      <c r="O219" s="50"/>
      <c r="P219" s="50"/>
      <c r="Q219" s="50"/>
      <c r="R219" s="50"/>
      <c r="S219" s="50"/>
      <c r="T219" s="50"/>
      <c r="U219" s="50"/>
      <c r="V219" s="51" t="s">
        <v>9</v>
      </c>
      <c r="W219" s="51"/>
      <c r="X219" s="51"/>
      <c r="Y219" s="51"/>
      <c r="Z219" s="51" t="s">
        <v>1216</v>
      </c>
      <c r="AA219" s="50"/>
      <c r="AB219" s="50"/>
      <c r="AC219" s="50">
        <v>1.0</v>
      </c>
      <c r="AD219" s="50"/>
      <c r="AE219" s="50"/>
      <c r="AF219" s="50"/>
      <c r="AG219" s="50"/>
      <c r="AH219" s="51" t="s">
        <v>1217</v>
      </c>
      <c r="AI219" s="51">
        <v>1.0</v>
      </c>
      <c r="AJ219" s="51"/>
      <c r="AK219" s="51"/>
      <c r="AL219" s="51"/>
      <c r="AM219" s="51"/>
      <c r="AN219" s="51"/>
      <c r="AO219" s="51"/>
      <c r="AP219" s="51"/>
      <c r="AQ219" s="51"/>
      <c r="AR219" s="51">
        <v>1.0</v>
      </c>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c r="BO219" s="51"/>
      <c r="BP219" s="51"/>
      <c r="BQ219" s="51"/>
      <c r="BR219" s="51"/>
      <c r="BS219" s="51"/>
      <c r="BT219" s="51"/>
      <c r="BU219" s="51"/>
      <c r="BV219" s="51"/>
      <c r="BW219" s="51"/>
      <c r="BX219" s="51"/>
      <c r="BY219" s="51"/>
      <c r="BZ219" s="51"/>
    </row>
    <row r="220" ht="12.75" customHeight="1">
      <c r="A220" s="46" t="s">
        <v>172</v>
      </c>
      <c r="B220" s="68" t="str">
        <f>HYPERLINK("https://drive.google.com/open?id=1QaR_VNIg4cEN7qkGqgO7VCHqwEFtgZxZ","Welty1981")</f>
        <v>Welty1981</v>
      </c>
      <c r="C220" s="63" t="s">
        <v>1218</v>
      </c>
      <c r="D220" s="63" t="s">
        <v>1219</v>
      </c>
      <c r="E220" s="55">
        <v>1981.0</v>
      </c>
      <c r="F220" s="55"/>
      <c r="G220" s="55"/>
      <c r="H220" s="55"/>
      <c r="I220" s="55">
        <v>1.0</v>
      </c>
      <c r="J220" s="55"/>
      <c r="K220" s="55"/>
      <c r="L220" s="55"/>
      <c r="M220" s="55"/>
      <c r="N220" s="55"/>
      <c r="O220" s="55"/>
      <c r="P220" s="55"/>
      <c r="Q220" s="55"/>
      <c r="R220" s="55"/>
      <c r="S220" s="55"/>
      <c r="T220" s="55"/>
      <c r="U220" s="55"/>
      <c r="V220" s="55"/>
      <c r="W220" s="55"/>
      <c r="X220" s="55" t="s">
        <v>1220</v>
      </c>
      <c r="Y220" s="55" t="s">
        <v>1221</v>
      </c>
      <c r="Z220" s="55"/>
      <c r="AA220" s="55">
        <v>1.0</v>
      </c>
      <c r="AB220" s="55"/>
      <c r="AC220" s="55"/>
      <c r="AD220" s="55">
        <v>1.0</v>
      </c>
      <c r="AE220" s="55"/>
      <c r="AF220" s="55"/>
      <c r="AG220" s="55"/>
      <c r="AH220" s="48" t="s">
        <v>1222</v>
      </c>
      <c r="AI220" s="52">
        <v>1.0</v>
      </c>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2">
        <v>1.0</v>
      </c>
      <c r="BJ220" s="51"/>
      <c r="BK220" s="51"/>
      <c r="BL220" s="52">
        <v>1.0</v>
      </c>
      <c r="BM220" s="51"/>
      <c r="BN220" s="51"/>
      <c r="BO220" s="51"/>
      <c r="BP220" s="51"/>
      <c r="BQ220" s="51"/>
      <c r="BR220" s="51"/>
      <c r="BS220" s="51"/>
      <c r="BT220" s="51"/>
      <c r="BU220" s="51"/>
      <c r="BV220" s="51"/>
      <c r="BW220" s="52">
        <v>1.0</v>
      </c>
      <c r="BX220" s="51"/>
      <c r="BY220" s="51"/>
      <c r="BZ220" s="51"/>
    </row>
    <row r="221" ht="12.75" customHeight="1">
      <c r="A221" s="46" t="s">
        <v>172</v>
      </c>
      <c r="B221" s="68" t="str">
        <f>HYPERLINK("https://drive.google.com/open?id=1CDq5caygS5RK64-BvTDxfbO51qhspKpi","Whatton1992")</f>
        <v>Whatton1992</v>
      </c>
      <c r="C221" s="63" t="s">
        <v>1223</v>
      </c>
      <c r="D221" s="55" t="s">
        <v>1224</v>
      </c>
      <c r="E221" s="55">
        <v>1992.0</v>
      </c>
      <c r="F221" s="71">
        <v>1.0</v>
      </c>
      <c r="G221" s="55"/>
      <c r="H221" s="55"/>
      <c r="I221" s="55">
        <v>1.0</v>
      </c>
      <c r="J221" s="55"/>
      <c r="K221" s="55"/>
      <c r="L221" s="55"/>
      <c r="M221" s="55"/>
      <c r="N221" s="55"/>
      <c r="O221" s="55"/>
      <c r="P221" s="55"/>
      <c r="Q221" s="55"/>
      <c r="R221" s="55"/>
      <c r="S221" s="55"/>
      <c r="T221" s="55"/>
      <c r="U221" s="55"/>
      <c r="V221" s="55" t="s">
        <v>1225</v>
      </c>
      <c r="W221" s="55" t="s">
        <v>1226</v>
      </c>
      <c r="X221" s="55"/>
      <c r="Y221" s="55"/>
      <c r="Z221" s="55"/>
      <c r="AA221" s="55">
        <v>1.0</v>
      </c>
      <c r="AB221" s="55"/>
      <c r="AC221" s="55"/>
      <c r="AD221" s="55"/>
      <c r="AE221" s="55">
        <v>1.0</v>
      </c>
      <c r="AF221" s="55"/>
      <c r="AG221" s="55"/>
      <c r="AH221" s="48" t="s">
        <v>1227</v>
      </c>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c r="BK221" s="51"/>
      <c r="BL221" s="51"/>
      <c r="BM221" s="51"/>
      <c r="BN221" s="51"/>
      <c r="BO221" s="51"/>
      <c r="BP221" s="51"/>
      <c r="BQ221" s="51"/>
      <c r="BR221" s="51"/>
      <c r="BS221" s="51"/>
      <c r="BT221" s="51"/>
      <c r="BU221" s="51"/>
      <c r="BV221" s="51"/>
      <c r="BW221" s="51"/>
      <c r="BX221" s="51"/>
      <c r="BY221" s="51"/>
      <c r="BZ221" s="51"/>
    </row>
    <row r="222" ht="12.75" customHeight="1">
      <c r="A222" s="46" t="s">
        <v>116</v>
      </c>
      <c r="B222" s="54" t="str">
        <f>HYPERLINK("https://drive.google.com/open?id=0B1GMAYMj9v6rZGVNMkVUUEoyZEE","White2005")</f>
        <v>White2005</v>
      </c>
      <c r="C222" s="55" t="s">
        <v>1228</v>
      </c>
      <c r="D222" s="55" t="s">
        <v>1229</v>
      </c>
      <c r="E222" s="49">
        <v>2005.0</v>
      </c>
      <c r="F222" s="61"/>
      <c r="G222" s="50"/>
      <c r="H222" s="50"/>
      <c r="I222" s="50">
        <v>1.0</v>
      </c>
      <c r="J222" s="50"/>
      <c r="K222" s="50"/>
      <c r="L222" s="50"/>
      <c r="M222" s="50"/>
      <c r="N222" s="50"/>
      <c r="O222" s="50"/>
      <c r="P222" s="50"/>
      <c r="Q222" s="50"/>
      <c r="R222" s="50"/>
      <c r="S222" s="50"/>
      <c r="T222" s="50"/>
      <c r="U222" s="50"/>
      <c r="V222" s="51"/>
      <c r="W222" s="51" t="s">
        <v>1230</v>
      </c>
      <c r="X222" s="51" t="s">
        <v>1231</v>
      </c>
      <c r="Y222" s="51" t="s">
        <v>1232</v>
      </c>
      <c r="Z222" s="51" t="s">
        <v>122</v>
      </c>
      <c r="AA222" s="50">
        <v>1.0</v>
      </c>
      <c r="AB222" s="50"/>
      <c r="AC222" s="50"/>
      <c r="AD222" s="50">
        <v>1.0</v>
      </c>
      <c r="AE222" s="50"/>
      <c r="AF222" s="50"/>
      <c r="AG222" s="50"/>
      <c r="AH222" s="51" t="s">
        <v>1233</v>
      </c>
      <c r="AI222" s="51">
        <v>1.0</v>
      </c>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2">
        <v>1.0</v>
      </c>
      <c r="BJ222" s="52">
        <v>1.0</v>
      </c>
      <c r="BK222" s="51"/>
      <c r="BL222" s="52">
        <v>1.0</v>
      </c>
      <c r="BM222" s="51"/>
      <c r="BN222" s="51"/>
      <c r="BO222" s="51"/>
      <c r="BP222" s="51"/>
      <c r="BQ222" s="51"/>
      <c r="BR222" s="51"/>
      <c r="BS222" s="51"/>
      <c r="BT222" s="51"/>
      <c r="BU222" s="51"/>
      <c r="BV222" s="51"/>
      <c r="BW222" s="52">
        <v>1.0</v>
      </c>
      <c r="BX222" s="51"/>
      <c r="BY222" s="52">
        <v>1.0</v>
      </c>
      <c r="BZ222" s="51"/>
    </row>
    <row r="223" ht="12.75" customHeight="1">
      <c r="A223" s="46" t="s">
        <v>116</v>
      </c>
      <c r="B223" s="67" t="str">
        <f>HYPERLINK("https://drive.google.com/open?id=1gdH66z-EzY4T-OGAKLPzPDf9xW8NDLay","Wiedenbeck1993")</f>
        <v>Wiedenbeck1993</v>
      </c>
      <c r="C223" s="63" t="s">
        <v>1234</v>
      </c>
      <c r="D223" s="63" t="s">
        <v>1235</v>
      </c>
      <c r="E223" s="49">
        <v>1993.0</v>
      </c>
      <c r="F223" s="50"/>
      <c r="G223" s="50"/>
      <c r="H223" s="50"/>
      <c r="I223" s="50"/>
      <c r="J223" s="50"/>
      <c r="K223" s="50"/>
      <c r="L223" s="50"/>
      <c r="M223" s="50"/>
      <c r="N223" s="50"/>
      <c r="O223" s="50"/>
      <c r="P223" s="50"/>
      <c r="Q223" s="50">
        <v>1.0</v>
      </c>
      <c r="R223" s="50"/>
      <c r="S223" s="50"/>
      <c r="T223" s="50"/>
      <c r="U223" s="50"/>
      <c r="V223" s="51"/>
      <c r="W223" s="51" t="s">
        <v>1236</v>
      </c>
      <c r="X223" s="51" t="s">
        <v>1237</v>
      </c>
      <c r="Y223" s="51" t="s">
        <v>1238</v>
      </c>
      <c r="Z223" s="51" t="s">
        <v>122</v>
      </c>
      <c r="AA223" s="50">
        <v>1.0</v>
      </c>
      <c r="AB223" s="50">
        <v>1.0</v>
      </c>
      <c r="AC223" s="50"/>
      <c r="AD223" s="50">
        <v>1.0</v>
      </c>
      <c r="AE223" s="50"/>
      <c r="AF223" s="50"/>
      <c r="AG223" s="50"/>
      <c r="AH223" s="51" t="s">
        <v>1239</v>
      </c>
      <c r="AI223" s="51">
        <v>1.0</v>
      </c>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t="s">
        <v>1240</v>
      </c>
      <c r="BF223" s="51"/>
      <c r="BG223" s="51"/>
      <c r="BH223" s="51"/>
      <c r="BI223" s="51"/>
      <c r="BJ223" s="51"/>
      <c r="BK223" s="51"/>
      <c r="BL223" s="51"/>
      <c r="BM223" s="51"/>
      <c r="BN223" s="51"/>
      <c r="BO223" s="51"/>
      <c r="BP223" s="51"/>
      <c r="BQ223" s="51"/>
      <c r="BR223" s="51"/>
      <c r="BS223" s="51"/>
      <c r="BT223" s="51"/>
      <c r="BU223" s="51"/>
      <c r="BV223" s="51"/>
      <c r="BW223" s="51">
        <v>1.0</v>
      </c>
      <c r="BX223" s="51"/>
      <c r="BY223" s="51"/>
      <c r="BZ223" s="51"/>
    </row>
    <row r="224" ht="12.75" customHeight="1">
      <c r="A224" s="46" t="s">
        <v>124</v>
      </c>
      <c r="B224" s="56" t="str">
        <f>HYPERLINK("https://drive.google.com/open?id=0B-nn5iJ29NJaWlVzQzZlUTVvc1E","Wirfs-Brock2007")</f>
        <v>Wirfs-Brock2007</v>
      </c>
      <c r="C224" s="55" t="s">
        <v>1241</v>
      </c>
      <c r="D224" s="55" t="s">
        <v>560</v>
      </c>
      <c r="E224" s="57">
        <v>2007.0</v>
      </c>
      <c r="F224" s="58"/>
      <c r="G224" s="50"/>
      <c r="H224" s="50">
        <v>1.0</v>
      </c>
      <c r="I224" s="50"/>
      <c r="J224" s="50"/>
      <c r="K224" s="50"/>
      <c r="L224" s="50"/>
      <c r="M224" s="50"/>
      <c r="N224" s="50"/>
      <c r="O224" s="50"/>
      <c r="P224" s="50"/>
      <c r="Q224" s="50"/>
      <c r="R224" s="50"/>
      <c r="S224" s="50"/>
      <c r="T224" s="50"/>
      <c r="U224" s="50"/>
      <c r="V224" s="48"/>
      <c r="W224" s="48" t="s">
        <v>70</v>
      </c>
      <c r="X224" s="60"/>
      <c r="Y224" s="48"/>
      <c r="Z224" s="48" t="s">
        <v>1242</v>
      </c>
      <c r="AA224" s="50"/>
      <c r="AB224" s="50"/>
      <c r="AC224" s="50"/>
      <c r="AD224" s="50"/>
      <c r="AE224" s="50"/>
      <c r="AF224" s="50"/>
      <c r="AG224" s="50">
        <v>1.0</v>
      </c>
      <c r="AH224" s="59"/>
      <c r="AI224" s="51">
        <v>1.0</v>
      </c>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v>1.0</v>
      </c>
      <c r="BI224" s="51"/>
      <c r="BJ224" s="51"/>
      <c r="BK224" s="51"/>
      <c r="BL224" s="51"/>
      <c r="BM224" s="51"/>
      <c r="BN224" s="51"/>
      <c r="BO224" s="51"/>
      <c r="BP224" s="51"/>
      <c r="BQ224" s="51"/>
      <c r="BR224" s="51"/>
      <c r="BS224" s="51"/>
      <c r="BT224" s="51"/>
      <c r="BU224" s="51"/>
      <c r="BV224" s="51"/>
      <c r="BW224" s="51"/>
      <c r="BX224" s="51"/>
      <c r="BY224" s="51"/>
      <c r="BZ224" s="51"/>
    </row>
    <row r="225" ht="12.75" customHeight="1">
      <c r="A225" s="46" t="s">
        <v>116</v>
      </c>
      <c r="B225" s="67" t="str">
        <f>HYPERLINK("https://drive.google.com/open?id=1Wh75j21c7F84HooWAXw1zCsCdB3owCm9","Wong2006")</f>
        <v>Wong2006</v>
      </c>
      <c r="C225" s="63" t="s">
        <v>1243</v>
      </c>
      <c r="D225" s="63" t="s">
        <v>1244</v>
      </c>
      <c r="E225" s="49">
        <v>2006.0</v>
      </c>
      <c r="F225" s="50"/>
      <c r="G225" s="50"/>
      <c r="H225" s="50"/>
      <c r="I225" s="50"/>
      <c r="J225" s="50"/>
      <c r="K225" s="50"/>
      <c r="L225" s="50"/>
      <c r="M225" s="50"/>
      <c r="N225" s="50"/>
      <c r="O225" s="50"/>
      <c r="P225" s="50"/>
      <c r="Q225" s="50">
        <v>1.0</v>
      </c>
      <c r="R225" s="50"/>
      <c r="S225" s="50"/>
      <c r="T225" s="50"/>
      <c r="U225" s="50"/>
      <c r="V225" s="51" t="s">
        <v>1245</v>
      </c>
      <c r="W225" s="51" t="s">
        <v>1246</v>
      </c>
      <c r="X225" s="51" t="s">
        <v>1247</v>
      </c>
      <c r="Y225" s="51" t="s">
        <v>1248</v>
      </c>
      <c r="Z225" s="51" t="s">
        <v>122</v>
      </c>
      <c r="AA225" s="50"/>
      <c r="AB225" s="50"/>
      <c r="AC225" s="50"/>
      <c r="AD225" s="50"/>
      <c r="AE225" s="50"/>
      <c r="AF225" s="50">
        <v>1.0</v>
      </c>
      <c r="AG225" s="50"/>
      <c r="AH225" s="51" t="s">
        <v>1249</v>
      </c>
      <c r="AI225" s="51">
        <v>1.0</v>
      </c>
      <c r="AJ225" s="51"/>
      <c r="AK225" s="51"/>
      <c r="AL225" s="51"/>
      <c r="AM225" s="51"/>
      <c r="AN225" s="51"/>
      <c r="AO225" s="51"/>
      <c r="AP225" s="51"/>
      <c r="AQ225" s="51"/>
      <c r="AR225" s="51"/>
      <c r="AS225" s="51"/>
      <c r="AT225" s="51"/>
      <c r="AU225" s="51"/>
      <c r="AV225" s="51"/>
      <c r="AW225" s="51"/>
      <c r="AX225" s="51"/>
      <c r="AY225" s="51"/>
      <c r="AZ225" s="51"/>
      <c r="BA225" s="51"/>
      <c r="BB225" s="51"/>
      <c r="BC225" s="51"/>
      <c r="BD225" s="51">
        <v>1.0</v>
      </c>
      <c r="BE225" s="51"/>
      <c r="BF225" s="51"/>
      <c r="BG225" s="51"/>
      <c r="BH225" s="51"/>
      <c r="BI225" s="51"/>
      <c r="BJ225" s="51"/>
      <c r="BK225" s="51"/>
      <c r="BL225" s="51"/>
      <c r="BM225" s="51"/>
      <c r="BN225" s="51"/>
      <c r="BO225" s="51"/>
      <c r="BP225" s="51"/>
      <c r="BQ225" s="51"/>
      <c r="BR225" s="51"/>
      <c r="BS225" s="51"/>
      <c r="BT225" s="51"/>
      <c r="BU225" s="51"/>
      <c r="BV225" s="51"/>
      <c r="BW225" s="51"/>
      <c r="BX225" s="51"/>
      <c r="BY225" s="51">
        <v>1.0</v>
      </c>
      <c r="BZ225" s="51"/>
    </row>
    <row r="226" ht="12.75" customHeight="1">
      <c r="A226" s="46" t="s">
        <v>124</v>
      </c>
      <c r="B226" s="56" t="str">
        <f>HYPERLINK("https://drive.google.com/open?id=0B-nn5iJ29NJabW9SRk9LanB5MFE","Xiao2013")</f>
        <v>Xiao2013</v>
      </c>
      <c r="C226" s="55" t="s">
        <v>1250</v>
      </c>
      <c r="D226" s="55" t="s">
        <v>1251</v>
      </c>
      <c r="E226" s="57">
        <v>2013.0</v>
      </c>
      <c r="F226" s="58"/>
      <c r="G226" s="50">
        <v>1.0</v>
      </c>
      <c r="H226" s="50"/>
      <c r="I226" s="50"/>
      <c r="J226" s="50"/>
      <c r="K226" s="50"/>
      <c r="L226" s="50"/>
      <c r="M226" s="50"/>
      <c r="N226" s="50"/>
      <c r="O226" s="50"/>
      <c r="P226" s="50"/>
      <c r="Q226" s="50"/>
      <c r="R226" s="50"/>
      <c r="S226" s="50"/>
      <c r="T226" s="50"/>
      <c r="U226" s="50"/>
      <c r="V226" s="48" t="s">
        <v>1252</v>
      </c>
      <c r="W226" s="48" t="s">
        <v>1253</v>
      </c>
      <c r="X226" s="48" t="s">
        <v>1254</v>
      </c>
      <c r="Y226" s="48"/>
      <c r="Z226" s="48" t="s">
        <v>1255</v>
      </c>
      <c r="AA226" s="50"/>
      <c r="AB226" s="50">
        <v>1.0</v>
      </c>
      <c r="AC226" s="50"/>
      <c r="AD226" s="50">
        <v>1.0</v>
      </c>
      <c r="AE226" s="50"/>
      <c r="AF226" s="50"/>
      <c r="AG226" s="60"/>
      <c r="AH226" s="59"/>
      <c r="AI226" s="51">
        <v>1.0</v>
      </c>
      <c r="AJ226" s="51"/>
      <c r="AK226" s="51"/>
      <c r="AL226" s="51"/>
      <c r="AM226" s="51"/>
      <c r="AN226" s="51">
        <v>1.0</v>
      </c>
      <c r="AO226" s="51"/>
      <c r="AP226" s="51"/>
      <c r="AQ226" s="51"/>
      <c r="AR226" s="51"/>
      <c r="AS226" s="51"/>
      <c r="AT226" s="51"/>
      <c r="AU226" s="51"/>
      <c r="AV226" s="51"/>
      <c r="AW226" s="51"/>
      <c r="AX226" s="51"/>
      <c r="AY226" s="51"/>
      <c r="AZ226" s="51"/>
      <c r="BA226" s="51"/>
      <c r="BB226" s="51"/>
      <c r="BC226" s="51"/>
      <c r="BD226" s="51">
        <v>1.0</v>
      </c>
      <c r="BE226" s="51">
        <v>1.0</v>
      </c>
      <c r="BF226" s="51"/>
      <c r="BG226" s="51">
        <v>1.0</v>
      </c>
      <c r="BH226" s="51"/>
      <c r="BI226" s="51"/>
      <c r="BJ226" s="51"/>
      <c r="BK226" s="51"/>
      <c r="BL226" s="51"/>
      <c r="BM226" s="51"/>
      <c r="BN226" s="51"/>
      <c r="BO226" s="51"/>
      <c r="BP226" s="51"/>
      <c r="BQ226" s="51"/>
      <c r="BR226" s="51"/>
      <c r="BS226" s="51"/>
      <c r="BT226" s="51"/>
      <c r="BU226" s="51"/>
      <c r="BV226" s="51"/>
      <c r="BW226" s="51"/>
      <c r="BX226" s="51"/>
      <c r="BY226" s="51"/>
      <c r="BZ226" s="51"/>
    </row>
    <row r="227" ht="12.75" customHeight="1">
      <c r="A227" s="46" t="s">
        <v>124</v>
      </c>
      <c r="B227" s="54" t="str">
        <f>HYPERLINK("https://drive.google.com/open?id=0B-nn5iJ29NJaR1NZblBibG9RQjg","Xie2011")</f>
        <v>Xie2011</v>
      </c>
      <c r="C227" s="55" t="s">
        <v>1256</v>
      </c>
      <c r="D227" s="55" t="s">
        <v>588</v>
      </c>
      <c r="E227" s="57">
        <v>2011.0</v>
      </c>
      <c r="F227" s="58"/>
      <c r="G227" s="50"/>
      <c r="H227" s="50"/>
      <c r="I227" s="50">
        <v>1.0</v>
      </c>
      <c r="J227" s="50"/>
      <c r="K227" s="50"/>
      <c r="L227" s="50"/>
      <c r="M227" s="50"/>
      <c r="N227" s="50"/>
      <c r="O227" s="50"/>
      <c r="P227" s="50"/>
      <c r="Q227" s="50"/>
      <c r="R227" s="50"/>
      <c r="S227" s="50"/>
      <c r="T227" s="50"/>
      <c r="U227" s="50"/>
      <c r="V227" s="69" t="s">
        <v>670</v>
      </c>
      <c r="W227" s="48" t="s">
        <v>1257</v>
      </c>
      <c r="X227" s="48"/>
      <c r="Y227" s="48" t="s">
        <v>1258</v>
      </c>
      <c r="Z227" s="48" t="s">
        <v>1259</v>
      </c>
      <c r="AA227" s="50"/>
      <c r="AB227" s="50"/>
      <c r="AC227" s="50"/>
      <c r="AD227" s="50">
        <v>1.0</v>
      </c>
      <c r="AE227" s="50"/>
      <c r="AF227" s="50"/>
      <c r="AG227" s="50"/>
      <c r="AH227" s="59"/>
      <c r="AI227" s="52">
        <v>1.0</v>
      </c>
      <c r="AJ227" s="51"/>
      <c r="AK227" s="51"/>
      <c r="AL227" s="51"/>
      <c r="AM227" s="51"/>
      <c r="AN227" s="51"/>
      <c r="AO227" s="51"/>
      <c r="AP227" s="51"/>
      <c r="AQ227" s="51"/>
      <c r="AR227" s="52">
        <v>1.0</v>
      </c>
      <c r="AS227" s="51"/>
      <c r="AT227" s="51"/>
      <c r="AU227" s="51"/>
      <c r="AV227" s="51"/>
      <c r="AW227" s="51"/>
      <c r="AX227" s="51"/>
      <c r="AY227" s="51"/>
      <c r="AZ227" s="51"/>
      <c r="BA227" s="51"/>
      <c r="BB227" s="51"/>
      <c r="BC227" s="51"/>
      <c r="BD227" s="51"/>
      <c r="BE227" s="51"/>
      <c r="BF227" s="51"/>
      <c r="BG227" s="51"/>
      <c r="BH227" s="51"/>
      <c r="BI227" s="52">
        <v>1.0</v>
      </c>
      <c r="BJ227" s="51"/>
      <c r="BK227" s="51"/>
      <c r="BL227" s="51"/>
      <c r="BM227" s="51"/>
      <c r="BN227" s="51"/>
      <c r="BO227" s="51"/>
      <c r="BP227" s="51"/>
      <c r="BQ227" s="51"/>
      <c r="BR227" s="51"/>
      <c r="BS227" s="51"/>
      <c r="BT227" s="51"/>
      <c r="BU227" s="51"/>
      <c r="BV227" s="52"/>
      <c r="BW227" s="52">
        <v>1.0</v>
      </c>
      <c r="BX227" s="51"/>
      <c r="BY227" s="51"/>
      <c r="BZ227" s="51"/>
    </row>
    <row r="228" ht="12.75" customHeight="1">
      <c r="A228" s="46" t="s">
        <v>108</v>
      </c>
      <c r="B228" s="56" t="str">
        <f>HYPERLINK("https://drive.google.com/open?id=0B3oar8-GeP-IbHFVZjN2TUhKbms","Xu2010")</f>
        <v>Xu2010</v>
      </c>
      <c r="C228" s="55" t="s">
        <v>1260</v>
      </c>
      <c r="D228" s="55" t="s">
        <v>166</v>
      </c>
      <c r="E228" s="49">
        <v>2010.0</v>
      </c>
      <c r="F228" s="50"/>
      <c r="G228" s="50"/>
      <c r="H228" s="50">
        <v>1.0</v>
      </c>
      <c r="I228" s="50">
        <v>1.0</v>
      </c>
      <c r="J228" s="50">
        <v>1.0</v>
      </c>
      <c r="K228" s="50"/>
      <c r="L228" s="50"/>
      <c r="M228" s="50"/>
      <c r="N228" s="50"/>
      <c r="O228" s="50"/>
      <c r="P228" s="50"/>
      <c r="Q228" s="50"/>
      <c r="R228" s="50"/>
      <c r="S228" s="50"/>
      <c r="T228" s="50"/>
      <c r="U228" s="50"/>
      <c r="V228" s="48"/>
      <c r="W228" s="48" t="s">
        <v>1261</v>
      </c>
      <c r="X228" s="87" t="s">
        <v>1262</v>
      </c>
      <c r="Y228" s="48" t="s">
        <v>1263</v>
      </c>
      <c r="Z228" s="48" t="s">
        <v>542</v>
      </c>
      <c r="AA228" s="50">
        <v>1.0</v>
      </c>
      <c r="AB228" s="50"/>
      <c r="AC228" s="50"/>
      <c r="AD228" s="50">
        <v>1.0</v>
      </c>
      <c r="AE228" s="50"/>
      <c r="AF228" s="50"/>
      <c r="AG228" s="50"/>
      <c r="AH228" s="51" t="s">
        <v>1264</v>
      </c>
      <c r="AI228" s="51">
        <v>1.0</v>
      </c>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v>1.0</v>
      </c>
      <c r="BJ228" s="51"/>
      <c r="BK228" s="51"/>
      <c r="BL228" s="51"/>
      <c r="BM228" s="51"/>
      <c r="BN228" s="51"/>
      <c r="BO228" s="51"/>
      <c r="BP228" s="51"/>
      <c r="BQ228" s="51"/>
      <c r="BR228" s="51"/>
      <c r="BS228" s="51"/>
      <c r="BT228" s="51"/>
      <c r="BU228" s="51"/>
      <c r="BV228" s="51"/>
      <c r="BW228" s="51"/>
      <c r="BX228" s="51"/>
      <c r="BY228" s="51">
        <v>1.0</v>
      </c>
      <c r="BZ228" s="51"/>
    </row>
    <row r="229" ht="12.75" customHeight="1">
      <c r="A229" s="46" t="s">
        <v>88</v>
      </c>
      <c r="B229" s="47" t="str">
        <f>HYPERLINK("https://drive.google.com/open?id=0B00cIHsghs6UTU5GSzlmQzlCQUk","Yang1996")</f>
        <v>Yang1996</v>
      </c>
      <c r="C229" s="48" t="s">
        <v>1265</v>
      </c>
      <c r="D229" s="48" t="s">
        <v>1266</v>
      </c>
      <c r="E229" s="49">
        <v>1996.0</v>
      </c>
      <c r="F229" s="61">
        <v>1.0</v>
      </c>
      <c r="G229" s="50"/>
      <c r="H229" s="50"/>
      <c r="I229" s="50">
        <v>1.0</v>
      </c>
      <c r="J229" s="50"/>
      <c r="K229" s="50"/>
      <c r="L229" s="50"/>
      <c r="M229" s="50"/>
      <c r="N229" s="50"/>
      <c r="O229" s="50"/>
      <c r="P229" s="50"/>
      <c r="Q229" s="50"/>
      <c r="R229" s="50"/>
      <c r="S229" s="50"/>
      <c r="T229" s="50"/>
      <c r="U229" s="50"/>
      <c r="V229" s="51"/>
      <c r="W229" s="51" t="s">
        <v>1267</v>
      </c>
      <c r="X229" s="51" t="s">
        <v>1268</v>
      </c>
      <c r="Y229" s="51" t="s">
        <v>92</v>
      </c>
      <c r="Z229" s="51" t="s">
        <v>100</v>
      </c>
      <c r="AA229" s="50">
        <v>1.0</v>
      </c>
      <c r="AB229" s="50">
        <v>1.0</v>
      </c>
      <c r="AC229" s="50"/>
      <c r="AD229" s="50"/>
      <c r="AE229" s="50"/>
      <c r="AF229" s="50">
        <v>1.0</v>
      </c>
      <c r="AG229" s="50"/>
      <c r="AH229" s="51" t="s">
        <v>1269</v>
      </c>
      <c r="AI229" s="52"/>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c r="BK229" s="51"/>
      <c r="BL229" s="51"/>
      <c r="BM229" s="51"/>
      <c r="BN229" s="51"/>
      <c r="BO229" s="51"/>
      <c r="BP229" s="51"/>
      <c r="BQ229" s="51"/>
      <c r="BR229" s="51"/>
      <c r="BS229" s="51"/>
      <c r="BT229" s="51"/>
      <c r="BU229" s="51"/>
      <c r="BV229" s="51"/>
      <c r="BW229" s="51"/>
      <c r="BX229" s="51"/>
      <c r="BY229" s="51"/>
      <c r="BZ229" s="51"/>
    </row>
    <row r="230" ht="12.75" customHeight="1">
      <c r="A230" s="46" t="s">
        <v>124</v>
      </c>
      <c r="B230" s="68" t="str">
        <f>HYPERLINK("https://drive.google.com/open?id=19su574uGkFt0od3POC4PFongwP80oqAv","Yusuf2007")</f>
        <v>Yusuf2007</v>
      </c>
      <c r="C230" s="48" t="s">
        <v>1270</v>
      </c>
      <c r="D230" s="48" t="s">
        <v>819</v>
      </c>
      <c r="E230" s="49">
        <v>2007.0</v>
      </c>
      <c r="F230" s="50"/>
      <c r="G230" s="50"/>
      <c r="H230" s="50">
        <v>1.0</v>
      </c>
      <c r="I230" s="50"/>
      <c r="J230" s="50"/>
      <c r="K230" s="50"/>
      <c r="L230" s="50"/>
      <c r="M230" s="50"/>
      <c r="N230" s="50"/>
      <c r="O230" s="50">
        <v>1.0</v>
      </c>
      <c r="P230" s="50"/>
      <c r="Q230" s="50"/>
      <c r="R230" s="50"/>
      <c r="S230" s="50"/>
      <c r="T230" s="50"/>
      <c r="U230" s="50"/>
      <c r="V230" s="60"/>
      <c r="W230" s="48" t="s">
        <v>1271</v>
      </c>
      <c r="X230" s="48" t="s">
        <v>1272</v>
      </c>
      <c r="Y230" s="48" t="s">
        <v>1273</v>
      </c>
      <c r="Z230" s="48" t="s">
        <v>1274</v>
      </c>
      <c r="AA230" s="50">
        <v>1.0</v>
      </c>
      <c r="AB230" s="50"/>
      <c r="AC230" s="50"/>
      <c r="AD230" s="50">
        <v>1.0</v>
      </c>
      <c r="AE230" s="50"/>
      <c r="AF230" s="50"/>
      <c r="AG230" s="50"/>
      <c r="AH230" s="59"/>
      <c r="AI230" s="51">
        <v>1.0</v>
      </c>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2">
        <v>1.0</v>
      </c>
      <c r="BF230" s="51"/>
      <c r="BG230" s="51"/>
      <c r="BH230" s="51"/>
      <c r="BI230" s="52">
        <v>1.0</v>
      </c>
      <c r="BJ230" s="51"/>
      <c r="BK230" s="51"/>
      <c r="BL230" s="51"/>
      <c r="BM230" s="51"/>
      <c r="BN230" s="51"/>
      <c r="BO230" s="51"/>
      <c r="BP230" s="51"/>
      <c r="BQ230" s="51"/>
      <c r="BR230" s="51"/>
      <c r="BS230" s="51"/>
      <c r="BT230" s="51"/>
      <c r="BU230" s="51"/>
      <c r="BV230" s="51"/>
      <c r="BW230" s="51"/>
      <c r="BX230" s="51">
        <v>1.0</v>
      </c>
      <c r="BY230" s="51"/>
      <c r="BZ230" s="51"/>
    </row>
    <row r="231" ht="12.75" customHeight="1">
      <c r="A231" s="46" t="s">
        <v>88</v>
      </c>
      <c r="B231" s="53" t="str">
        <f>HYPERLINK("https://drive.google.com/open?id=0B00cIHsghs6UNzRka1l5V29fRlE","Zayour2001")</f>
        <v>Zayour2001</v>
      </c>
      <c r="C231" s="48" t="s">
        <v>1275</v>
      </c>
      <c r="D231" s="48" t="s">
        <v>1276</v>
      </c>
      <c r="E231" s="49">
        <v>2001.0</v>
      </c>
      <c r="F231" s="50"/>
      <c r="G231" s="50"/>
      <c r="H231" s="50"/>
      <c r="I231" s="50"/>
      <c r="J231" s="50"/>
      <c r="K231" s="50">
        <v>1.0</v>
      </c>
      <c r="L231" s="50"/>
      <c r="M231" s="50"/>
      <c r="N231" s="50"/>
      <c r="O231" s="50"/>
      <c r="P231" s="50"/>
      <c r="Q231" s="50"/>
      <c r="R231" s="50"/>
      <c r="S231" s="50"/>
      <c r="T231" s="50"/>
      <c r="U231" s="50"/>
      <c r="V231" s="51"/>
      <c r="W231" s="51" t="s">
        <v>1277</v>
      </c>
      <c r="X231" s="51" t="s">
        <v>92</v>
      </c>
      <c r="Y231" s="51" t="s">
        <v>92</v>
      </c>
      <c r="Z231" s="51" t="s">
        <v>100</v>
      </c>
      <c r="AA231" s="50"/>
      <c r="AB231" s="50">
        <v>1.0</v>
      </c>
      <c r="AC231" s="50">
        <v>1.0</v>
      </c>
      <c r="AD231" s="50"/>
      <c r="AE231" s="50"/>
      <c r="AF231" s="50"/>
      <c r="AG231" s="50"/>
      <c r="AH231" s="51" t="s">
        <v>1278</v>
      </c>
      <c r="AI231" s="51">
        <v>1.0</v>
      </c>
      <c r="AJ231" s="51"/>
      <c r="AK231" s="51"/>
      <c r="AL231" s="51"/>
      <c r="AM231" s="51"/>
      <c r="AN231" s="51"/>
      <c r="AO231" s="51">
        <v>1.0</v>
      </c>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row>
    <row r="232" ht="12.75" customHeight="1">
      <c r="A232" s="46" t="s">
        <v>116</v>
      </c>
      <c r="B232" s="88" t="str">
        <f>HYPERLINK("https://drive.google.com/open?id=0B1GMAYMj9v6rLXZRSWNiNk82Nms","Zayour2013")</f>
        <v>Zayour2013</v>
      </c>
      <c r="C232" s="55" t="s">
        <v>1279</v>
      </c>
      <c r="D232" s="55" t="s">
        <v>187</v>
      </c>
      <c r="E232" s="49">
        <v>2013.0</v>
      </c>
      <c r="F232" s="50"/>
      <c r="G232" s="50"/>
      <c r="H232" s="50"/>
      <c r="I232" s="50">
        <v>1.0</v>
      </c>
      <c r="J232" s="50"/>
      <c r="K232" s="50">
        <v>1.0</v>
      </c>
      <c r="L232" s="50"/>
      <c r="M232" s="50"/>
      <c r="N232" s="50"/>
      <c r="O232" s="50"/>
      <c r="P232" s="50"/>
      <c r="Q232" s="50">
        <v>1.0</v>
      </c>
      <c r="R232" s="50"/>
      <c r="S232" s="50"/>
      <c r="T232" s="50"/>
      <c r="U232" s="50"/>
      <c r="V232" s="51" t="s">
        <v>9</v>
      </c>
      <c r="W232" s="51" t="s">
        <v>53</v>
      </c>
      <c r="X232" s="51" t="s">
        <v>1280</v>
      </c>
      <c r="Y232" s="51" t="s">
        <v>1281</v>
      </c>
      <c r="Z232" s="51" t="s">
        <v>122</v>
      </c>
      <c r="AA232" s="50"/>
      <c r="AB232" s="50">
        <v>1.0</v>
      </c>
      <c r="AC232" s="50"/>
      <c r="AD232" s="50">
        <v>1.0</v>
      </c>
      <c r="AE232" s="50"/>
      <c r="AF232" s="50"/>
      <c r="AG232" s="50"/>
      <c r="AH232" s="51" t="s">
        <v>1282</v>
      </c>
      <c r="AI232" s="51">
        <v>1.0</v>
      </c>
      <c r="AJ232" s="51"/>
      <c r="AK232" s="51"/>
      <c r="AL232" s="51"/>
      <c r="AM232" s="51"/>
      <c r="AN232" s="51"/>
      <c r="AO232" s="51">
        <v>1.0</v>
      </c>
      <c r="AP232" s="51"/>
      <c r="AQ232" s="51"/>
      <c r="AR232" s="51">
        <v>1.0</v>
      </c>
      <c r="AS232" s="51"/>
      <c r="AT232" s="51"/>
      <c r="AU232" s="51"/>
      <c r="AV232" s="51"/>
      <c r="AW232" s="51"/>
      <c r="AX232" s="51"/>
      <c r="AY232" s="51"/>
      <c r="AZ232" s="51"/>
      <c r="BA232" s="51"/>
      <c r="BB232" s="51"/>
      <c r="BC232" s="51"/>
      <c r="BD232" s="51"/>
      <c r="BE232" s="51"/>
      <c r="BF232" s="51"/>
      <c r="BG232" s="51"/>
      <c r="BH232" s="51"/>
      <c r="BI232" s="51"/>
      <c r="BJ232" s="51"/>
      <c r="BK232" s="51"/>
      <c r="BL232" s="51"/>
      <c r="BM232" s="51"/>
      <c r="BN232" s="51"/>
      <c r="BO232" s="51"/>
      <c r="BP232" s="51"/>
      <c r="BQ232" s="51"/>
      <c r="BR232" s="51"/>
      <c r="BS232" s="51"/>
      <c r="BT232" s="51">
        <v>1.0</v>
      </c>
      <c r="BU232" s="51"/>
      <c r="BV232" s="51"/>
      <c r="BW232" s="51"/>
      <c r="BX232" s="51"/>
      <c r="BY232" s="51"/>
      <c r="BZ232" s="51"/>
    </row>
    <row r="233" ht="12.75" customHeight="1">
      <c r="A233" s="46" t="s">
        <v>108</v>
      </c>
      <c r="B233" s="54" t="str">
        <f>HYPERLINK("https://drive.google.com/open?id=0B3oar8-GeP-IY3lHc3Z3NUdERUE","Zhan2012")</f>
        <v>Zhan2012</v>
      </c>
      <c r="C233" s="55" t="s">
        <v>1283</v>
      </c>
      <c r="D233" s="55" t="s">
        <v>613</v>
      </c>
      <c r="E233" s="49">
        <v>2012.0</v>
      </c>
      <c r="F233" s="61">
        <v>1.0</v>
      </c>
      <c r="G233" s="50"/>
      <c r="H233" s="50"/>
      <c r="I233" s="50"/>
      <c r="J233" s="50"/>
      <c r="K233" s="50"/>
      <c r="L233" s="50"/>
      <c r="M233" s="50">
        <v>1.0</v>
      </c>
      <c r="N233" s="50">
        <v>1.0</v>
      </c>
      <c r="O233" s="50"/>
      <c r="P233" s="50"/>
      <c r="Q233" s="50"/>
      <c r="R233" s="50"/>
      <c r="S233" s="50"/>
      <c r="T233" s="50"/>
      <c r="U233" s="50"/>
      <c r="V233" s="48" t="s">
        <v>1284</v>
      </c>
      <c r="W233" s="48"/>
      <c r="X233" s="48" t="s">
        <v>1285</v>
      </c>
      <c r="Y233" s="60"/>
      <c r="Z233" s="48" t="s">
        <v>1286</v>
      </c>
      <c r="AA233" s="50"/>
      <c r="AB233" s="50">
        <v>1.0</v>
      </c>
      <c r="AC233" s="50"/>
      <c r="AD233" s="50">
        <v>1.0</v>
      </c>
      <c r="AE233" s="50"/>
      <c r="AF233" s="50"/>
      <c r="AG233" s="50"/>
      <c r="AH233" s="51" t="s">
        <v>1287</v>
      </c>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c r="BK233" s="51"/>
      <c r="BL233" s="51"/>
      <c r="BM233" s="51"/>
      <c r="BN233" s="51"/>
      <c r="BO233" s="51"/>
      <c r="BP233" s="51"/>
      <c r="BQ233" s="51"/>
      <c r="BR233" s="51"/>
      <c r="BS233" s="51"/>
      <c r="BT233" s="51"/>
      <c r="BU233" s="51"/>
      <c r="BV233" s="51"/>
      <c r="BW233" s="51"/>
      <c r="BX233" s="51"/>
      <c r="BY233" s="51"/>
      <c r="BZ233" s="51"/>
    </row>
    <row r="234" ht="12.75" customHeight="1">
      <c r="A234" s="46" t="s">
        <v>88</v>
      </c>
      <c r="B234" s="53" t="str">
        <f>HYPERLINK("https://drive.google.com/open?id=0B00cIHsghs6UUjlHem9FWDZOZm8","Zhou2010")</f>
        <v>Zhou2010</v>
      </c>
      <c r="C234" s="48" t="s">
        <v>1288</v>
      </c>
      <c r="D234" s="48" t="s">
        <v>1289</v>
      </c>
      <c r="E234" s="49">
        <v>2010.0</v>
      </c>
      <c r="F234" s="50"/>
      <c r="G234" s="50"/>
      <c r="H234" s="50"/>
      <c r="I234" s="50"/>
      <c r="J234" s="50"/>
      <c r="K234" s="50"/>
      <c r="L234" s="50"/>
      <c r="M234" s="50">
        <v>1.0</v>
      </c>
      <c r="N234" s="50"/>
      <c r="O234" s="50"/>
      <c r="P234" s="50"/>
      <c r="Q234" s="50"/>
      <c r="R234" s="50"/>
      <c r="S234" s="50"/>
      <c r="T234" s="50"/>
      <c r="U234" s="50"/>
      <c r="V234" s="51"/>
      <c r="W234" s="51" t="s">
        <v>1290</v>
      </c>
      <c r="X234" s="51" t="s">
        <v>1291</v>
      </c>
      <c r="Y234" s="51" t="s">
        <v>1292</v>
      </c>
      <c r="Z234" s="51" t="s">
        <v>1293</v>
      </c>
      <c r="AA234" s="50"/>
      <c r="AB234" s="50">
        <v>1.0</v>
      </c>
      <c r="AC234" s="50"/>
      <c r="AD234" s="50">
        <v>1.0</v>
      </c>
      <c r="AE234" s="50"/>
      <c r="AF234" s="50"/>
      <c r="AG234" s="50"/>
      <c r="AH234" s="51" t="s">
        <v>1294</v>
      </c>
      <c r="AI234" s="51">
        <v>1.0</v>
      </c>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v>1.0</v>
      </c>
      <c r="BM234" s="51"/>
      <c r="BN234" s="51"/>
      <c r="BO234" s="51"/>
      <c r="BP234" s="51"/>
      <c r="BQ234" s="51"/>
      <c r="BR234" s="51"/>
      <c r="BS234" s="51"/>
      <c r="BT234" s="51"/>
      <c r="BU234" s="51"/>
      <c r="BV234" s="51"/>
      <c r="BW234" s="51">
        <v>1.0</v>
      </c>
      <c r="BX234" s="51"/>
      <c r="BY234" s="51"/>
      <c r="BZ234" s="51"/>
    </row>
    <row r="235" ht="12.75" customHeight="1">
      <c r="A235" s="46" t="s">
        <v>124</v>
      </c>
      <c r="B235" s="68" t="str">
        <f>HYPERLINK("https://drive.google.com/open?id=1q1BGIo6YzI8f6kEKYd1vQK_6mWmFZtbG","Zhuge1997")</f>
        <v>Zhuge1997</v>
      </c>
      <c r="C235" s="48" t="s">
        <v>1295</v>
      </c>
      <c r="D235" s="48" t="s">
        <v>310</v>
      </c>
      <c r="E235" s="49">
        <v>1997.0</v>
      </c>
      <c r="F235" s="50"/>
      <c r="G235" s="50"/>
      <c r="H235" s="50"/>
      <c r="I235" s="50"/>
      <c r="J235" s="50"/>
      <c r="K235" s="50"/>
      <c r="L235" s="50"/>
      <c r="M235" s="50"/>
      <c r="N235" s="50">
        <v>1.0</v>
      </c>
      <c r="O235" s="50"/>
      <c r="P235" s="50"/>
      <c r="Q235" s="50"/>
      <c r="R235" s="50"/>
      <c r="S235" s="50"/>
      <c r="T235" s="50"/>
      <c r="U235" s="50"/>
      <c r="V235" s="48" t="s">
        <v>1296</v>
      </c>
      <c r="W235" s="48" t="s">
        <v>1297</v>
      </c>
      <c r="X235" s="48"/>
      <c r="Y235" s="48"/>
      <c r="Z235" s="48" t="s">
        <v>1298</v>
      </c>
      <c r="AA235" s="50"/>
      <c r="AB235" s="50"/>
      <c r="AC235" s="50">
        <v>1.0</v>
      </c>
      <c r="AD235" s="50"/>
      <c r="AE235" s="50"/>
      <c r="AF235" s="50"/>
      <c r="AG235" s="50"/>
      <c r="AH235" s="59"/>
      <c r="AI235" s="51">
        <v>1.0</v>
      </c>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2">
        <v>1.0</v>
      </c>
      <c r="BF235" s="51"/>
      <c r="BG235" s="51"/>
      <c r="BH235" s="51"/>
      <c r="BI235" s="51">
        <v>1.0</v>
      </c>
      <c r="BJ235" s="51"/>
      <c r="BK235" s="51"/>
      <c r="BL235" s="51"/>
      <c r="BM235" s="51"/>
      <c r="BN235" s="51"/>
      <c r="BO235" s="51"/>
      <c r="BP235" s="51"/>
      <c r="BQ235" s="51"/>
      <c r="BR235" s="51"/>
      <c r="BS235" s="51"/>
      <c r="BT235" s="51"/>
      <c r="BU235" s="51"/>
      <c r="BV235" s="51"/>
      <c r="BW235" s="51"/>
      <c r="BX235" s="51"/>
      <c r="BY235" s="51"/>
      <c r="BZ235" s="51"/>
    </row>
    <row r="236" ht="12.75" customHeight="1">
      <c r="A236" s="46" t="s">
        <v>124</v>
      </c>
      <c r="B236" s="68" t="str">
        <f>HYPERLINK("https://drive.google.com/open?id=1oDSryRWIMcDT_zE2rayrYOZhVBGuwoMp","Zhuge2003")</f>
        <v>Zhuge2003</v>
      </c>
      <c r="C236" s="48" t="s">
        <v>1299</v>
      </c>
      <c r="D236" s="48" t="s">
        <v>261</v>
      </c>
      <c r="E236" s="49">
        <v>2003.0</v>
      </c>
      <c r="F236" s="50"/>
      <c r="G236" s="50"/>
      <c r="H236" s="50"/>
      <c r="I236" s="50"/>
      <c r="J236" s="50"/>
      <c r="K236" s="50"/>
      <c r="L236" s="50"/>
      <c r="M236" s="50">
        <v>1.0</v>
      </c>
      <c r="N236" s="50"/>
      <c r="O236" s="50"/>
      <c r="P236" s="50"/>
      <c r="Q236" s="50">
        <v>1.0</v>
      </c>
      <c r="R236" s="50"/>
      <c r="S236" s="50"/>
      <c r="T236" s="50"/>
      <c r="U236" s="50"/>
      <c r="V236" s="48" t="s">
        <v>1300</v>
      </c>
      <c r="W236" s="48" t="s">
        <v>1301</v>
      </c>
      <c r="X236" s="48"/>
      <c r="Y236" s="48"/>
      <c r="Z236" s="69" t="s">
        <v>1302</v>
      </c>
      <c r="AA236" s="50"/>
      <c r="AB236" s="50"/>
      <c r="AC236" s="50"/>
      <c r="AD236" s="50">
        <v>1.0</v>
      </c>
      <c r="AE236" s="50"/>
      <c r="AF236" s="50"/>
      <c r="AG236" s="50"/>
      <c r="AH236" s="59"/>
      <c r="AI236" s="52">
        <v>1.0</v>
      </c>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2">
        <v>1.0</v>
      </c>
      <c r="BF236" s="51"/>
      <c r="BG236" s="51"/>
      <c r="BH236" s="51"/>
      <c r="BI236" s="51"/>
      <c r="BJ236" s="51"/>
      <c r="BK236" s="51"/>
      <c r="BL236" s="51"/>
      <c r="BM236" s="51"/>
      <c r="BN236" s="51"/>
      <c r="BO236" s="51"/>
      <c r="BP236" s="51"/>
      <c r="BQ236" s="51"/>
      <c r="BR236" s="51"/>
      <c r="BS236" s="51"/>
      <c r="BT236" s="51"/>
      <c r="BU236" s="51"/>
      <c r="BV236" s="52"/>
      <c r="BW236" s="52">
        <v>1.0</v>
      </c>
      <c r="BX236" s="51"/>
      <c r="BY236" s="51"/>
      <c r="BZ236" s="51"/>
    </row>
    <row r="237" ht="12.75" customHeight="1">
      <c r="A237" s="46" t="s">
        <v>88</v>
      </c>
      <c r="B237" s="53" t="str">
        <f>HYPERLINK("https://drive.google.com/open?id=0B00cIHsghs6UMzBmYVVTYmh5NEE","Zugal2012")</f>
        <v>Zugal2012</v>
      </c>
      <c r="C237" s="48" t="s">
        <v>1303</v>
      </c>
      <c r="D237" s="48" t="s">
        <v>588</v>
      </c>
      <c r="E237" s="49">
        <v>2012.0</v>
      </c>
      <c r="F237" s="50"/>
      <c r="G237" s="50"/>
      <c r="H237" s="50">
        <v>1.0</v>
      </c>
      <c r="I237" s="50"/>
      <c r="J237" s="50"/>
      <c r="K237" s="50"/>
      <c r="L237" s="50"/>
      <c r="M237" s="50"/>
      <c r="N237" s="50"/>
      <c r="O237" s="50"/>
      <c r="P237" s="50"/>
      <c r="Q237" s="50"/>
      <c r="R237" s="50"/>
      <c r="S237" s="50"/>
      <c r="T237" s="50"/>
      <c r="U237" s="50"/>
      <c r="V237" s="51" t="s">
        <v>353</v>
      </c>
      <c r="W237" s="51" t="s">
        <v>1304</v>
      </c>
      <c r="X237" s="51" t="s">
        <v>1305</v>
      </c>
      <c r="Y237" s="51" t="s">
        <v>1306</v>
      </c>
      <c r="Z237" s="51" t="s">
        <v>100</v>
      </c>
      <c r="AA237" s="50"/>
      <c r="AB237" s="50"/>
      <c r="AC237" s="50"/>
      <c r="AD237" s="50"/>
      <c r="AE237" s="50"/>
      <c r="AF237" s="50">
        <v>1.0</v>
      </c>
      <c r="AG237" s="50"/>
      <c r="AH237" s="51" t="s">
        <v>1307</v>
      </c>
      <c r="AI237" s="51">
        <v>1.0</v>
      </c>
      <c r="AJ237" s="51"/>
      <c r="AK237" s="51"/>
      <c r="AL237" s="51">
        <v>1.0</v>
      </c>
      <c r="AM237" s="51"/>
      <c r="AN237" s="51"/>
      <c r="AO237" s="51">
        <v>1.0</v>
      </c>
      <c r="AP237" s="51"/>
      <c r="AQ237" s="51"/>
      <c r="AR237" s="51">
        <v>1.0</v>
      </c>
      <c r="AS237" s="51"/>
      <c r="AT237" s="51"/>
      <c r="AU237" s="51"/>
      <c r="AV237" s="51"/>
      <c r="AW237" s="51"/>
      <c r="AX237" s="51"/>
      <c r="AY237" s="51"/>
      <c r="AZ237" s="51"/>
      <c r="BA237" s="51"/>
      <c r="BB237" s="51"/>
      <c r="BC237" s="51"/>
      <c r="BD237" s="51"/>
      <c r="BE237" s="51">
        <v>1.0</v>
      </c>
      <c r="BF237" s="51"/>
      <c r="BG237" s="51"/>
      <c r="BH237" s="51"/>
      <c r="BI237" s="51"/>
      <c r="BJ237" s="51"/>
      <c r="BK237" s="51"/>
      <c r="BL237" s="51"/>
      <c r="BM237" s="51"/>
      <c r="BN237" s="51"/>
      <c r="BO237" s="51"/>
      <c r="BP237" s="51"/>
      <c r="BQ237" s="51"/>
      <c r="BR237" s="51"/>
      <c r="BS237" s="51"/>
      <c r="BT237" s="51"/>
      <c r="BU237" s="51"/>
      <c r="BV237" s="51"/>
      <c r="BW237" s="51">
        <v>1.0</v>
      </c>
      <c r="BX237" s="51"/>
      <c r="BY237" s="51"/>
      <c r="BZ237" s="51"/>
    </row>
    <row r="238">
      <c r="B238" t="s">
        <v>1308</v>
      </c>
      <c r="C238" s="89" t="s">
        <v>1309</v>
      </c>
      <c r="D238" s="90" t="s">
        <v>310</v>
      </c>
      <c r="E238" s="91">
        <v>2020.0</v>
      </c>
      <c r="F238" s="92">
        <v>1.0</v>
      </c>
      <c r="G238" s="93"/>
      <c r="H238" s="93"/>
      <c r="I238" s="93"/>
      <c r="J238" s="93"/>
      <c r="K238" s="93"/>
      <c r="L238" s="93"/>
      <c r="M238" s="93"/>
      <c r="N238" s="93"/>
      <c r="O238" s="93"/>
      <c r="P238" s="93"/>
      <c r="Q238" s="93"/>
      <c r="R238" s="93"/>
      <c r="S238" s="93"/>
      <c r="T238" s="93"/>
      <c r="U238" s="93"/>
      <c r="V238" s="93"/>
      <c r="W238" s="93"/>
      <c r="X238" s="93"/>
      <c r="Y238" s="93"/>
      <c r="Z238" s="93"/>
      <c r="AA238" s="93"/>
      <c r="AB238" s="93"/>
      <c r="AC238" s="93"/>
      <c r="AD238" s="93"/>
      <c r="AE238" s="93"/>
      <c r="AF238" s="93"/>
      <c r="AG238" s="93"/>
      <c r="AH238" s="94"/>
      <c r="AI238" s="93"/>
      <c r="AJ238" s="93"/>
      <c r="AK238" s="93"/>
      <c r="AL238" s="93"/>
      <c r="AM238" s="93"/>
      <c r="AN238" s="93"/>
      <c r="AO238" s="93"/>
      <c r="AP238" s="93"/>
      <c r="AQ238" s="93"/>
      <c r="AR238" s="93"/>
      <c r="AS238" s="93"/>
      <c r="AT238" s="93"/>
      <c r="AU238" s="93"/>
      <c r="AV238" s="93"/>
      <c r="AW238" s="93"/>
      <c r="AX238" s="93"/>
      <c r="AY238" s="93"/>
      <c r="AZ238" s="93"/>
      <c r="BA238" s="93"/>
      <c r="BB238" s="93"/>
      <c r="BC238" s="93"/>
      <c r="BD238" s="93"/>
      <c r="BE238" s="93"/>
      <c r="BF238" s="93"/>
      <c r="BG238" s="93"/>
      <c r="BH238" s="93"/>
      <c r="BI238" s="93"/>
      <c r="BJ238" s="93"/>
      <c r="BK238" s="93"/>
      <c r="BL238" s="93"/>
      <c r="BM238" s="93"/>
      <c r="BN238" s="93"/>
      <c r="BO238" s="93"/>
      <c r="BP238" s="93"/>
      <c r="BQ238" s="93"/>
      <c r="BR238" s="93"/>
      <c r="BS238" s="93"/>
      <c r="BT238" s="93"/>
      <c r="BU238" s="93"/>
      <c r="BV238" s="93"/>
      <c r="BW238" s="93"/>
      <c r="BX238" s="93"/>
      <c r="BY238" s="93"/>
      <c r="BZ238" s="93"/>
    </row>
    <row r="239">
      <c r="B239" t="s">
        <v>1310</v>
      </c>
      <c r="C239" s="89" t="s">
        <v>1311</v>
      </c>
      <c r="D239" s="90" t="s">
        <v>1312</v>
      </c>
      <c r="E239" s="91">
        <v>2020.0</v>
      </c>
      <c r="F239" s="92">
        <v>1.0</v>
      </c>
      <c r="G239" s="93"/>
      <c r="H239" s="93"/>
      <c r="I239" s="93"/>
      <c r="J239" s="93"/>
      <c r="K239" s="93"/>
      <c r="L239" s="93"/>
      <c r="M239" s="93"/>
      <c r="N239" s="93"/>
      <c r="O239" s="93"/>
      <c r="P239" s="93"/>
      <c r="Q239" s="93"/>
      <c r="R239" s="93"/>
      <c r="S239" s="93"/>
      <c r="T239" s="93"/>
      <c r="U239" s="93"/>
      <c r="V239" s="93"/>
      <c r="W239" s="93"/>
      <c r="X239" s="93"/>
      <c r="Y239" s="93"/>
      <c r="Z239" s="93"/>
      <c r="AA239" s="93"/>
      <c r="AB239" s="93"/>
      <c r="AC239" s="93"/>
      <c r="AD239" s="93"/>
      <c r="AE239" s="93"/>
      <c r="AF239" s="93"/>
      <c r="AG239" s="93"/>
      <c r="AH239" s="94"/>
      <c r="AI239" s="93"/>
      <c r="AJ239" s="93"/>
      <c r="AK239" s="93"/>
      <c r="AL239" s="93"/>
      <c r="AM239" s="93"/>
      <c r="AN239" s="93"/>
      <c r="AO239" s="93"/>
      <c r="AP239" s="93"/>
      <c r="AQ239" s="93"/>
      <c r="AR239" s="93"/>
      <c r="AS239" s="93"/>
      <c r="AT239" s="93"/>
      <c r="AU239" s="93"/>
      <c r="AV239" s="93"/>
      <c r="AW239" s="93"/>
      <c r="AX239" s="93"/>
      <c r="AY239" s="93"/>
      <c r="AZ239" s="93"/>
      <c r="BA239" s="93"/>
      <c r="BB239" s="93"/>
      <c r="BC239" s="93"/>
      <c r="BD239" s="93"/>
      <c r="BE239" s="93"/>
      <c r="BF239" s="93"/>
      <c r="BG239" s="93"/>
      <c r="BH239" s="93"/>
      <c r="BI239" s="93"/>
      <c r="BJ239" s="93"/>
      <c r="BK239" s="93"/>
      <c r="BL239" s="93"/>
      <c r="BM239" s="93"/>
      <c r="BN239" s="93"/>
      <c r="BO239" s="93"/>
      <c r="BP239" s="93"/>
      <c r="BQ239" s="93"/>
      <c r="BR239" s="93"/>
      <c r="BS239" s="93"/>
      <c r="BT239" s="93"/>
      <c r="BU239" s="93"/>
      <c r="BV239" s="93"/>
      <c r="BW239" s="93"/>
      <c r="BX239" s="93"/>
      <c r="BY239" s="93"/>
      <c r="BZ239" s="93"/>
    </row>
    <row r="240">
      <c r="B240" t="s">
        <v>1313</v>
      </c>
      <c r="C240" s="89" t="s">
        <v>1314</v>
      </c>
      <c r="D240" s="90" t="s">
        <v>1315</v>
      </c>
      <c r="E240" s="91">
        <v>2020.0</v>
      </c>
      <c r="F240" s="92">
        <v>1.0</v>
      </c>
      <c r="G240" s="93"/>
      <c r="H240" s="93"/>
      <c r="I240" s="93"/>
      <c r="J240" s="93"/>
      <c r="K240" s="93"/>
      <c r="L240" s="93"/>
      <c r="M240" s="93"/>
      <c r="N240" s="93"/>
      <c r="O240" s="93"/>
      <c r="P240" s="93"/>
      <c r="Q240" s="93"/>
      <c r="R240" s="93"/>
      <c r="S240" s="93"/>
      <c r="T240" s="93"/>
      <c r="U240" s="93"/>
      <c r="V240" s="93"/>
      <c r="W240" s="93"/>
      <c r="X240" s="93"/>
      <c r="Y240" s="93"/>
      <c r="Z240" s="93"/>
      <c r="AA240" s="93"/>
      <c r="AB240" s="93"/>
      <c r="AC240" s="93"/>
      <c r="AD240" s="93"/>
      <c r="AE240" s="93"/>
      <c r="AF240" s="93"/>
      <c r="AG240" s="93"/>
      <c r="AH240" s="94"/>
      <c r="AI240" s="93"/>
      <c r="AJ240" s="93"/>
      <c r="AK240" s="93"/>
      <c r="AL240" s="93"/>
      <c r="AM240" s="93"/>
      <c r="AN240" s="93"/>
      <c r="AO240" s="93"/>
      <c r="AP240" s="93"/>
      <c r="AQ240" s="93"/>
      <c r="AR240" s="93"/>
      <c r="AS240" s="93"/>
      <c r="AT240" s="93"/>
      <c r="AU240" s="93"/>
      <c r="AV240" s="93"/>
      <c r="AW240" s="93"/>
      <c r="AX240" s="93"/>
      <c r="AY240" s="93"/>
      <c r="AZ240" s="93"/>
      <c r="BA240" s="93"/>
      <c r="BB240" s="93"/>
      <c r="BC240" s="93"/>
      <c r="BD240" s="93"/>
      <c r="BE240" s="93"/>
      <c r="BF240" s="93"/>
      <c r="BG240" s="93"/>
      <c r="BH240" s="93"/>
      <c r="BI240" s="93"/>
      <c r="BJ240" s="93"/>
      <c r="BK240" s="93"/>
      <c r="BL240" s="93"/>
      <c r="BM240" s="93"/>
      <c r="BN240" s="93"/>
      <c r="BO240" s="93"/>
      <c r="BP240" s="93"/>
      <c r="BQ240" s="93"/>
      <c r="BR240" s="93"/>
      <c r="BS240" s="93"/>
      <c r="BT240" s="93"/>
      <c r="BU240" s="93"/>
      <c r="BV240" s="93"/>
      <c r="BW240" s="93"/>
      <c r="BX240" s="93"/>
      <c r="BY240" s="93"/>
      <c r="BZ240" s="93"/>
    </row>
    <row r="241">
      <c r="B241" t="s">
        <v>1316</v>
      </c>
      <c r="C241" s="89" t="s">
        <v>1317</v>
      </c>
      <c r="D241" s="90" t="s">
        <v>1318</v>
      </c>
      <c r="E241" s="91">
        <v>2020.0</v>
      </c>
      <c r="F241" s="92">
        <v>1.0</v>
      </c>
      <c r="G241" s="93"/>
      <c r="H241" s="93"/>
      <c r="I241" s="93"/>
      <c r="J241" s="93"/>
      <c r="K241" s="93"/>
      <c r="L241" s="93"/>
      <c r="M241" s="93"/>
      <c r="N241" s="93"/>
      <c r="O241" s="93"/>
      <c r="P241" s="93"/>
      <c r="Q241" s="93"/>
      <c r="R241" s="93"/>
      <c r="S241" s="93"/>
      <c r="T241" s="93"/>
      <c r="U241" s="93"/>
      <c r="V241" s="93"/>
      <c r="W241" s="93"/>
      <c r="X241" s="93"/>
      <c r="Y241" s="93"/>
      <c r="Z241" s="93"/>
      <c r="AA241" s="93"/>
      <c r="AB241" s="93"/>
      <c r="AC241" s="93"/>
      <c r="AD241" s="93"/>
      <c r="AE241" s="93"/>
      <c r="AF241" s="93"/>
      <c r="AG241" s="93"/>
      <c r="AH241" s="94"/>
      <c r="AI241" s="93"/>
      <c r="AJ241" s="93"/>
      <c r="AK241" s="93"/>
      <c r="AL241" s="93"/>
      <c r="AM241" s="93"/>
      <c r="AN241" s="93"/>
      <c r="AO241" s="93"/>
      <c r="AP241" s="93"/>
      <c r="AQ241" s="93"/>
      <c r="AR241" s="93"/>
      <c r="AS241" s="93"/>
      <c r="AT241" s="93"/>
      <c r="AU241" s="93"/>
      <c r="AV241" s="93"/>
      <c r="AW241" s="93"/>
      <c r="AX241" s="93"/>
      <c r="AY241" s="93"/>
      <c r="AZ241" s="93"/>
      <c r="BA241" s="93"/>
      <c r="BB241" s="93"/>
      <c r="BC241" s="93"/>
      <c r="BD241" s="93"/>
      <c r="BE241" s="93"/>
      <c r="BF241" s="93"/>
      <c r="BG241" s="93"/>
      <c r="BH241" s="93"/>
      <c r="BI241" s="93"/>
      <c r="BJ241" s="93"/>
      <c r="BK241" s="93"/>
      <c r="BL241" s="93"/>
      <c r="BM241" s="93"/>
      <c r="BN241" s="93"/>
      <c r="BO241" s="93"/>
      <c r="BP241" s="93"/>
      <c r="BQ241" s="93"/>
      <c r="BR241" s="93"/>
      <c r="BS241" s="93"/>
      <c r="BT241" s="93"/>
      <c r="BU241" s="93"/>
      <c r="BV241" s="93"/>
      <c r="BW241" s="93"/>
      <c r="BX241" s="93"/>
      <c r="BY241" s="93"/>
      <c r="BZ241" s="93"/>
    </row>
    <row r="242">
      <c r="B242" t="s">
        <v>1319</v>
      </c>
      <c r="C242" s="89" t="s">
        <v>1320</v>
      </c>
      <c r="D242" s="90" t="s">
        <v>777</v>
      </c>
      <c r="E242" s="91">
        <v>2020.0</v>
      </c>
      <c r="F242" s="92">
        <v>1.0</v>
      </c>
      <c r="G242" s="93"/>
      <c r="H242" s="93"/>
      <c r="I242" s="93"/>
      <c r="J242" s="93"/>
      <c r="K242" s="93"/>
      <c r="L242" s="93"/>
      <c r="M242" s="93"/>
      <c r="N242" s="93"/>
      <c r="O242" s="93"/>
      <c r="P242" s="93"/>
      <c r="Q242" s="93"/>
      <c r="R242" s="93"/>
      <c r="S242" s="93"/>
      <c r="T242" s="93"/>
      <c r="U242" s="93"/>
      <c r="V242" s="93"/>
      <c r="W242" s="93"/>
      <c r="X242" s="93"/>
      <c r="Y242" s="93"/>
      <c r="Z242" s="93"/>
      <c r="AA242" s="93"/>
      <c r="AB242" s="93"/>
      <c r="AC242" s="93"/>
      <c r="AD242" s="93"/>
      <c r="AE242" s="93"/>
      <c r="AF242" s="93"/>
      <c r="AG242" s="93"/>
      <c r="AH242" s="94"/>
      <c r="AI242" s="93"/>
      <c r="AJ242" s="93"/>
      <c r="AK242" s="93"/>
      <c r="AL242" s="93"/>
      <c r="AM242" s="93"/>
      <c r="AN242" s="93"/>
      <c r="AO242" s="93"/>
      <c r="AP242" s="93"/>
      <c r="AQ242" s="93"/>
      <c r="AR242" s="93"/>
      <c r="AS242" s="93"/>
      <c r="AT242" s="93"/>
      <c r="AU242" s="93"/>
      <c r="AV242" s="93"/>
      <c r="AW242" s="93"/>
      <c r="AX242" s="93"/>
      <c r="AY242" s="93"/>
      <c r="AZ242" s="93"/>
      <c r="BA242" s="93"/>
      <c r="BB242" s="93"/>
      <c r="BC242" s="93"/>
      <c r="BD242" s="93"/>
      <c r="BE242" s="93"/>
      <c r="BF242" s="93"/>
      <c r="BG242" s="93"/>
      <c r="BH242" s="93"/>
      <c r="BI242" s="93"/>
      <c r="BJ242" s="93"/>
      <c r="BK242" s="93"/>
      <c r="BL242" s="93"/>
      <c r="BM242" s="93"/>
      <c r="BN242" s="93"/>
      <c r="BO242" s="93"/>
      <c r="BP242" s="93"/>
      <c r="BQ242" s="93"/>
      <c r="BR242" s="93"/>
      <c r="BS242" s="93"/>
      <c r="BT242" s="93"/>
      <c r="BU242" s="93"/>
      <c r="BV242" s="93"/>
      <c r="BW242" s="93"/>
      <c r="BX242" s="93"/>
      <c r="BY242" s="93"/>
      <c r="BZ242" s="93"/>
    </row>
    <row r="243">
      <c r="B243" t="s">
        <v>1321</v>
      </c>
      <c r="C243" s="89" t="s">
        <v>1322</v>
      </c>
      <c r="D243" s="90" t="s">
        <v>865</v>
      </c>
      <c r="E243" s="91">
        <v>2020.0</v>
      </c>
      <c r="F243" s="92">
        <v>1.0</v>
      </c>
      <c r="G243" s="93"/>
      <c r="H243" s="93"/>
      <c r="I243" s="93"/>
      <c r="J243" s="93"/>
      <c r="K243" s="93"/>
      <c r="L243" s="93"/>
      <c r="M243" s="93"/>
      <c r="N243" s="93"/>
      <c r="O243" s="93"/>
      <c r="P243" s="93"/>
      <c r="Q243" s="93"/>
      <c r="R243" s="93"/>
      <c r="S243" s="93"/>
      <c r="T243" s="93"/>
      <c r="U243" s="93"/>
      <c r="V243" s="93"/>
      <c r="W243" s="93"/>
      <c r="X243" s="93"/>
      <c r="Y243" s="93"/>
      <c r="Z243" s="93"/>
      <c r="AA243" s="93"/>
      <c r="AB243" s="93"/>
      <c r="AC243" s="93"/>
      <c r="AD243" s="93"/>
      <c r="AE243" s="93"/>
      <c r="AF243" s="93"/>
      <c r="AG243" s="93"/>
      <c r="AH243" s="94"/>
      <c r="AI243" s="93"/>
      <c r="AJ243" s="93"/>
      <c r="AK243" s="93"/>
      <c r="AL243" s="93"/>
      <c r="AM243" s="93"/>
      <c r="AN243" s="93"/>
      <c r="AO243" s="93"/>
      <c r="AP243" s="93"/>
      <c r="AQ243" s="93"/>
      <c r="AR243" s="93"/>
      <c r="AS243" s="93"/>
      <c r="AT243" s="93"/>
      <c r="AU243" s="93"/>
      <c r="AV243" s="93"/>
      <c r="AW243" s="93"/>
      <c r="AX243" s="93"/>
      <c r="AY243" s="93"/>
      <c r="AZ243" s="93"/>
      <c r="BA243" s="93"/>
      <c r="BB243" s="93"/>
      <c r="BC243" s="93"/>
      <c r="BD243" s="93"/>
      <c r="BE243" s="93"/>
      <c r="BF243" s="93"/>
      <c r="BG243" s="93"/>
      <c r="BH243" s="93"/>
      <c r="BI243" s="93"/>
      <c r="BJ243" s="93"/>
      <c r="BK243" s="93"/>
      <c r="BL243" s="93"/>
      <c r="BM243" s="93"/>
      <c r="BN243" s="93"/>
      <c r="BO243" s="93"/>
      <c r="BP243" s="93"/>
      <c r="BQ243" s="93"/>
      <c r="BR243" s="93"/>
      <c r="BS243" s="93"/>
      <c r="BT243" s="93"/>
      <c r="BU243" s="93"/>
      <c r="BV243" s="93"/>
      <c r="BW243" s="93"/>
      <c r="BX243" s="93"/>
      <c r="BY243" s="93"/>
      <c r="BZ243" s="93"/>
    </row>
    <row r="244">
      <c r="A244" t="s">
        <v>1323</v>
      </c>
      <c r="B244" t="s">
        <v>1324</v>
      </c>
      <c r="C244" s="89" t="s">
        <v>1325</v>
      </c>
      <c r="D244" s="90" t="s">
        <v>1326</v>
      </c>
      <c r="E244" s="91">
        <v>2020.0</v>
      </c>
      <c r="F244" s="93"/>
      <c r="G244" s="93"/>
      <c r="H244" s="93"/>
      <c r="I244" s="93"/>
      <c r="J244" s="93"/>
      <c r="K244" s="93"/>
      <c r="L244" s="93"/>
      <c r="M244" s="92">
        <v>1.0</v>
      </c>
      <c r="N244" s="93"/>
      <c r="O244" s="93"/>
      <c r="P244" s="93"/>
      <c r="Q244" s="93"/>
      <c r="R244" s="93"/>
      <c r="S244" s="93"/>
      <c r="T244" s="93"/>
      <c r="U244" s="93"/>
      <c r="V244" s="93"/>
      <c r="W244" s="95" t="s">
        <v>1327</v>
      </c>
      <c r="X244" s="95" t="s">
        <v>1328</v>
      </c>
      <c r="Y244" s="95" t="s">
        <v>1329</v>
      </c>
      <c r="Z244" s="95" t="s">
        <v>100</v>
      </c>
      <c r="AA244" s="92">
        <v>1.0</v>
      </c>
      <c r="AB244" s="92">
        <v>1.0</v>
      </c>
      <c r="AC244" s="93"/>
      <c r="AD244" s="92">
        <v>1.0</v>
      </c>
      <c r="AE244" s="93"/>
      <c r="AF244" s="93"/>
      <c r="AG244" s="93"/>
      <c r="AH244" s="96" t="s">
        <v>1330</v>
      </c>
      <c r="AI244" s="92">
        <v>1.0</v>
      </c>
      <c r="AJ244" s="93"/>
      <c r="AK244" s="93"/>
      <c r="AL244" s="93"/>
      <c r="AM244" s="93"/>
      <c r="AN244" s="93"/>
      <c r="AO244" s="93"/>
      <c r="AP244" s="93"/>
      <c r="AQ244" s="93"/>
      <c r="AR244" s="95"/>
      <c r="AS244" s="93"/>
      <c r="AT244" s="93"/>
      <c r="AU244" s="93"/>
      <c r="AV244" s="93"/>
      <c r="AW244" s="93"/>
      <c r="AX244" s="93"/>
      <c r="AY244" s="93"/>
      <c r="AZ244" s="93"/>
      <c r="BA244" s="93"/>
      <c r="BB244" s="93"/>
      <c r="BC244" s="93"/>
      <c r="BD244" s="93"/>
      <c r="BE244" s="95"/>
      <c r="BF244" s="95"/>
      <c r="BG244" s="92">
        <v>1.0</v>
      </c>
      <c r="BH244" s="92">
        <v>1.0</v>
      </c>
      <c r="BI244" s="93"/>
      <c r="BJ244" s="93"/>
      <c r="BK244" s="93"/>
      <c r="BL244" s="95"/>
      <c r="BM244" s="93"/>
      <c r="BN244" s="93"/>
      <c r="BO244" s="93"/>
      <c r="BP244" s="93"/>
      <c r="BQ244" s="93"/>
      <c r="BR244" s="93"/>
      <c r="BS244" s="93"/>
      <c r="BT244" s="93"/>
      <c r="BU244" s="93"/>
      <c r="BV244" s="92">
        <v>1.0</v>
      </c>
      <c r="BW244" s="92">
        <v>1.0</v>
      </c>
      <c r="BX244" s="93"/>
      <c r="BY244" s="93"/>
      <c r="BZ244" s="93"/>
    </row>
    <row r="245">
      <c r="A245" t="s">
        <v>1331</v>
      </c>
      <c r="B245" t="s">
        <v>1332</v>
      </c>
      <c r="C245" s="89" t="s">
        <v>1333</v>
      </c>
      <c r="D245" s="90" t="s">
        <v>588</v>
      </c>
      <c r="E245" s="91">
        <v>2020.0</v>
      </c>
      <c r="F245" s="93"/>
      <c r="G245" s="92">
        <v>1.0</v>
      </c>
      <c r="H245" s="93"/>
      <c r="I245" s="93"/>
      <c r="J245" s="93"/>
      <c r="K245" s="93"/>
      <c r="L245" s="93"/>
      <c r="M245" s="93"/>
      <c r="N245" s="93"/>
      <c r="O245" s="93"/>
      <c r="P245" s="93"/>
      <c r="Q245" s="93"/>
      <c r="R245" s="93"/>
      <c r="S245" s="93"/>
      <c r="T245" s="93"/>
      <c r="U245" s="93"/>
      <c r="V245" s="95" t="s">
        <v>1334</v>
      </c>
      <c r="W245" s="95" t="s">
        <v>1335</v>
      </c>
      <c r="X245" s="95" t="s">
        <v>1336</v>
      </c>
      <c r="Y245" s="95" t="s">
        <v>1337</v>
      </c>
      <c r="Z245" s="97" t="s">
        <v>1338</v>
      </c>
      <c r="AA245" s="93"/>
      <c r="AB245" s="92">
        <v>1.0</v>
      </c>
      <c r="AC245" s="93"/>
      <c r="AD245" s="92">
        <v>1.0</v>
      </c>
      <c r="AE245" s="93"/>
      <c r="AF245" s="93"/>
      <c r="AG245" s="93"/>
      <c r="AH245" s="96" t="s">
        <v>1339</v>
      </c>
      <c r="AI245" s="92">
        <v>1.0</v>
      </c>
      <c r="AJ245" s="93"/>
      <c r="AK245" s="93"/>
      <c r="AL245" s="93"/>
      <c r="AM245" s="93"/>
      <c r="AN245" s="93"/>
      <c r="AO245" s="93"/>
      <c r="AP245" s="93"/>
      <c r="AQ245" s="93"/>
      <c r="AR245" s="93"/>
      <c r="AS245" s="93"/>
      <c r="AT245" s="93"/>
      <c r="AU245" s="93"/>
      <c r="AV245" s="93"/>
      <c r="AW245" s="93"/>
      <c r="AX245" s="93"/>
      <c r="AY245" s="93"/>
      <c r="AZ245" s="93"/>
      <c r="BA245" s="93"/>
      <c r="BB245" s="93"/>
      <c r="BC245" s="93"/>
      <c r="BD245" s="93"/>
      <c r="BE245" s="93"/>
      <c r="BF245" s="92">
        <v>1.0</v>
      </c>
      <c r="BG245" s="93"/>
      <c r="BH245" s="93"/>
      <c r="BI245" s="93"/>
      <c r="BJ245" s="93"/>
      <c r="BK245" s="93"/>
      <c r="BL245" s="93"/>
      <c r="BM245" s="93"/>
      <c r="BN245" s="93"/>
      <c r="BO245" s="93"/>
      <c r="BP245" s="93"/>
      <c r="BQ245" s="93"/>
      <c r="BR245" s="92">
        <v>1.0</v>
      </c>
      <c r="BS245" s="93"/>
      <c r="BT245" s="93"/>
      <c r="BU245" s="92">
        <v>1.0</v>
      </c>
      <c r="BV245" s="93"/>
      <c r="BW245" s="93"/>
      <c r="BX245" s="93"/>
      <c r="BY245" s="93"/>
      <c r="BZ245" s="93"/>
    </row>
    <row r="246">
      <c r="A246" t="s">
        <v>1340</v>
      </c>
      <c r="B246" t="s">
        <v>1341</v>
      </c>
      <c r="C246" s="89" t="s">
        <v>1342</v>
      </c>
      <c r="D246" s="90" t="s">
        <v>166</v>
      </c>
      <c r="E246" s="91">
        <v>2020.0</v>
      </c>
      <c r="F246" s="93"/>
      <c r="G246" s="92">
        <v>1.0</v>
      </c>
      <c r="H246" s="93"/>
      <c r="I246" s="93"/>
      <c r="J246" s="93"/>
      <c r="K246" s="93"/>
      <c r="L246" s="93"/>
      <c r="M246" s="93"/>
      <c r="N246" s="93"/>
      <c r="O246" s="93"/>
      <c r="P246" s="93"/>
      <c r="Q246" s="93"/>
      <c r="R246" s="93"/>
      <c r="S246" s="93"/>
      <c r="T246" s="93"/>
      <c r="U246" s="93"/>
      <c r="V246" s="93"/>
      <c r="W246" s="95" t="s">
        <v>70</v>
      </c>
      <c r="X246" s="98" t="s">
        <v>1343</v>
      </c>
      <c r="Y246" s="98" t="s">
        <v>1344</v>
      </c>
      <c r="Z246" s="98" t="s">
        <v>100</v>
      </c>
      <c r="AA246" s="92">
        <v>1.0</v>
      </c>
      <c r="AB246" s="93"/>
      <c r="AC246" s="93"/>
      <c r="AD246" s="92">
        <v>1.0</v>
      </c>
      <c r="AE246" s="93"/>
      <c r="AF246" s="93"/>
      <c r="AG246" s="93"/>
      <c r="AH246" s="96" t="s">
        <v>1345</v>
      </c>
      <c r="AI246" s="92">
        <v>1.0</v>
      </c>
      <c r="AJ246" s="93"/>
      <c r="AK246" s="93"/>
      <c r="AL246" s="93"/>
      <c r="AM246" s="93"/>
      <c r="AN246" s="93"/>
      <c r="AO246" s="93"/>
      <c r="AP246" s="93"/>
      <c r="AQ246" s="93"/>
      <c r="AR246" s="93"/>
      <c r="AS246" s="93"/>
      <c r="AT246" s="93"/>
      <c r="AU246" s="93"/>
      <c r="AV246" s="93"/>
      <c r="AW246" s="93"/>
      <c r="AX246" s="93"/>
      <c r="AY246" s="93"/>
      <c r="AZ246" s="93"/>
      <c r="BA246" s="93"/>
      <c r="BB246" s="93"/>
      <c r="BC246" s="93"/>
      <c r="BD246" s="93"/>
      <c r="BE246" s="93"/>
      <c r="BF246" s="92">
        <v>1.0</v>
      </c>
      <c r="BG246" s="93"/>
      <c r="BH246" s="92">
        <v>1.0</v>
      </c>
      <c r="BI246" s="93"/>
      <c r="BJ246" s="93"/>
      <c r="BK246" s="93"/>
      <c r="BL246" s="93"/>
      <c r="BM246" s="93"/>
      <c r="BN246" s="93"/>
      <c r="BO246" s="93"/>
      <c r="BP246" s="93"/>
      <c r="BQ246" s="93"/>
      <c r="BR246" s="93"/>
      <c r="BS246" s="93"/>
      <c r="BT246" s="93"/>
      <c r="BU246" s="93"/>
      <c r="BV246" s="92">
        <v>1.0</v>
      </c>
      <c r="BW246" s="93"/>
      <c r="BX246" s="93"/>
      <c r="BY246" s="92">
        <v>1.0</v>
      </c>
      <c r="BZ246" s="93"/>
    </row>
    <row r="247">
      <c r="B247" t="s">
        <v>1346</v>
      </c>
      <c r="C247" s="89" t="s">
        <v>1347</v>
      </c>
      <c r="D247" s="90" t="s">
        <v>1348</v>
      </c>
      <c r="E247" s="91">
        <v>2020.0</v>
      </c>
      <c r="F247" s="92">
        <v>1.0</v>
      </c>
      <c r="G247" s="93"/>
      <c r="H247" s="93"/>
      <c r="I247" s="93"/>
      <c r="J247" s="93"/>
      <c r="K247" s="93"/>
      <c r="L247" s="93"/>
      <c r="M247" s="93"/>
      <c r="N247" s="93"/>
      <c r="O247" s="93"/>
      <c r="P247" s="93"/>
      <c r="Q247" s="93"/>
      <c r="R247" s="93"/>
      <c r="S247" s="93"/>
      <c r="T247" s="93"/>
      <c r="U247" s="93"/>
      <c r="V247" s="93"/>
      <c r="W247" s="93"/>
      <c r="X247" s="93"/>
      <c r="Y247" s="93"/>
      <c r="Z247" s="93"/>
      <c r="AA247" s="93"/>
      <c r="AB247" s="93"/>
      <c r="AC247" s="93"/>
      <c r="AD247" s="93"/>
      <c r="AE247" s="93"/>
      <c r="AF247" s="93"/>
      <c r="AG247" s="93"/>
      <c r="AH247" s="94"/>
      <c r="AI247" s="93"/>
      <c r="AJ247" s="93"/>
      <c r="AK247" s="93"/>
      <c r="AL247" s="93"/>
      <c r="AM247" s="93"/>
      <c r="AN247" s="93"/>
      <c r="AO247" s="93"/>
      <c r="AP247" s="93"/>
      <c r="AQ247" s="93"/>
      <c r="AR247" s="93"/>
      <c r="AS247" s="93"/>
      <c r="AT247" s="93"/>
      <c r="AU247" s="93"/>
      <c r="AV247" s="93"/>
      <c r="AW247" s="93"/>
      <c r="AX247" s="93"/>
      <c r="AY247" s="93"/>
      <c r="AZ247" s="93"/>
      <c r="BA247" s="93"/>
      <c r="BB247" s="93"/>
      <c r="BC247" s="93"/>
      <c r="BD247" s="93"/>
      <c r="BE247" s="93"/>
      <c r="BF247" s="93"/>
      <c r="BG247" s="93"/>
      <c r="BH247" s="93"/>
      <c r="BI247" s="93"/>
      <c r="BJ247" s="93"/>
      <c r="BK247" s="93"/>
      <c r="BL247" s="93"/>
      <c r="BM247" s="93"/>
      <c r="BN247" s="93"/>
      <c r="BO247" s="93"/>
      <c r="BP247" s="93"/>
      <c r="BQ247" s="93"/>
      <c r="BR247" s="93"/>
      <c r="BS247" s="93"/>
      <c r="BT247" s="93"/>
      <c r="BU247" s="93"/>
      <c r="BV247" s="93"/>
      <c r="BW247" s="93"/>
      <c r="BX247" s="93"/>
      <c r="BY247" s="93"/>
      <c r="BZ247" s="93"/>
    </row>
    <row r="248">
      <c r="B248" t="s">
        <v>1349</v>
      </c>
      <c r="C248" s="89" t="s">
        <v>1350</v>
      </c>
      <c r="D248" s="90" t="s">
        <v>1351</v>
      </c>
      <c r="E248" s="91">
        <v>2020.0</v>
      </c>
      <c r="F248" s="92">
        <v>1.0</v>
      </c>
      <c r="G248" s="93"/>
      <c r="H248" s="93"/>
      <c r="I248" s="93"/>
      <c r="J248" s="93"/>
      <c r="K248" s="93"/>
      <c r="L248" s="93"/>
      <c r="M248" s="93"/>
      <c r="N248" s="93"/>
      <c r="O248" s="93"/>
      <c r="P248" s="93"/>
      <c r="Q248" s="93"/>
      <c r="R248" s="93"/>
      <c r="S248" s="93"/>
      <c r="T248" s="93"/>
      <c r="U248" s="93"/>
      <c r="V248" s="93"/>
      <c r="W248" s="93"/>
      <c r="X248" s="93"/>
      <c r="Y248" s="93"/>
      <c r="Z248" s="93"/>
      <c r="AA248" s="93"/>
      <c r="AB248" s="93"/>
      <c r="AC248" s="93"/>
      <c r="AD248" s="93"/>
      <c r="AE248" s="93"/>
      <c r="AF248" s="93"/>
      <c r="AG248" s="93"/>
      <c r="AH248" s="94"/>
      <c r="AI248" s="93"/>
      <c r="AJ248" s="93"/>
      <c r="AK248" s="93"/>
      <c r="AL248" s="93"/>
      <c r="AM248" s="93"/>
      <c r="AN248" s="93"/>
      <c r="AO248" s="93"/>
      <c r="AP248" s="93"/>
      <c r="AQ248" s="93"/>
      <c r="AR248" s="93"/>
      <c r="AS248" s="93"/>
      <c r="AT248" s="93"/>
      <c r="AU248" s="93"/>
      <c r="AV248" s="93"/>
      <c r="AW248" s="93"/>
      <c r="AX248" s="93"/>
      <c r="AY248" s="93"/>
      <c r="AZ248" s="93"/>
      <c r="BA248" s="93"/>
      <c r="BB248" s="93"/>
      <c r="BC248" s="93"/>
      <c r="BD248" s="93"/>
      <c r="BE248" s="93"/>
      <c r="BF248" s="93"/>
      <c r="BG248" s="93"/>
      <c r="BH248" s="93"/>
      <c r="BI248" s="93"/>
      <c r="BJ248" s="93"/>
      <c r="BK248" s="93"/>
      <c r="BL248" s="93"/>
      <c r="BM248" s="93"/>
      <c r="BN248" s="93"/>
      <c r="BO248" s="93"/>
      <c r="BP248" s="93"/>
      <c r="BQ248" s="93"/>
      <c r="BR248" s="93"/>
      <c r="BS248" s="93"/>
      <c r="BT248" s="93"/>
      <c r="BU248" s="93"/>
      <c r="BV248" s="93"/>
      <c r="BW248" s="93"/>
      <c r="BX248" s="93"/>
      <c r="BY248" s="93"/>
      <c r="BZ248" s="93"/>
    </row>
    <row r="249">
      <c r="B249" t="s">
        <v>1352</v>
      </c>
      <c r="C249" s="89" t="s">
        <v>1353</v>
      </c>
      <c r="D249" s="90" t="s">
        <v>588</v>
      </c>
      <c r="E249" s="91">
        <v>2020.0</v>
      </c>
      <c r="F249" s="92">
        <v>1.0</v>
      </c>
      <c r="G249" s="93"/>
      <c r="H249" s="93"/>
      <c r="I249" s="93"/>
      <c r="J249" s="93"/>
      <c r="K249" s="93"/>
      <c r="L249" s="93"/>
      <c r="M249" s="93"/>
      <c r="N249" s="93"/>
      <c r="O249" s="93"/>
      <c r="P249" s="93"/>
      <c r="Q249" s="93"/>
      <c r="R249" s="93"/>
      <c r="S249" s="93"/>
      <c r="T249" s="93"/>
      <c r="U249" s="93"/>
      <c r="V249" s="93"/>
      <c r="W249" s="93"/>
      <c r="X249" s="93"/>
      <c r="Y249" s="93"/>
      <c r="Z249" s="93"/>
      <c r="AA249" s="93"/>
      <c r="AB249" s="93"/>
      <c r="AC249" s="93"/>
      <c r="AD249" s="93"/>
      <c r="AE249" s="93"/>
      <c r="AF249" s="93"/>
      <c r="AG249" s="93"/>
      <c r="AH249" s="94"/>
      <c r="AI249" s="93"/>
      <c r="AJ249" s="93"/>
      <c r="AK249" s="93"/>
      <c r="AL249" s="93"/>
      <c r="AM249" s="93"/>
      <c r="AN249" s="93"/>
      <c r="AO249" s="93"/>
      <c r="AP249" s="93"/>
      <c r="AQ249" s="93"/>
      <c r="AR249" s="93"/>
      <c r="AS249" s="93"/>
      <c r="AT249" s="93"/>
      <c r="AU249" s="93"/>
      <c r="AV249" s="93"/>
      <c r="AW249" s="93"/>
      <c r="AX249" s="93"/>
      <c r="AY249" s="93"/>
      <c r="AZ249" s="93"/>
      <c r="BA249" s="93"/>
      <c r="BB249" s="93"/>
      <c r="BC249" s="93"/>
      <c r="BD249" s="93"/>
      <c r="BE249" s="93"/>
      <c r="BF249" s="93"/>
      <c r="BG249" s="93"/>
      <c r="BH249" s="93"/>
      <c r="BI249" s="93"/>
      <c r="BJ249" s="93"/>
      <c r="BK249" s="93"/>
      <c r="BL249" s="93"/>
      <c r="BM249" s="93"/>
      <c r="BN249" s="93"/>
      <c r="BO249" s="93"/>
      <c r="BP249" s="93"/>
      <c r="BQ249" s="93"/>
      <c r="BR249" s="93"/>
      <c r="BS249" s="93"/>
      <c r="BT249" s="93"/>
      <c r="BU249" s="93"/>
      <c r="BV249" s="93"/>
      <c r="BW249" s="93"/>
      <c r="BX249" s="93"/>
      <c r="BY249" s="93"/>
      <c r="BZ249" s="93"/>
    </row>
    <row r="250">
      <c r="A250" t="s">
        <v>1354</v>
      </c>
      <c r="B250" t="s">
        <v>1355</v>
      </c>
      <c r="C250" s="89" t="s">
        <v>1356</v>
      </c>
      <c r="D250" s="90" t="s">
        <v>1357</v>
      </c>
      <c r="E250" s="91">
        <v>2020.0</v>
      </c>
      <c r="F250" s="93"/>
      <c r="G250" s="93"/>
      <c r="H250" s="93"/>
      <c r="I250" s="93"/>
      <c r="J250" s="93"/>
      <c r="K250" s="93"/>
      <c r="L250" s="93"/>
      <c r="M250" s="93"/>
      <c r="N250" s="93"/>
      <c r="O250" s="93"/>
      <c r="P250" s="93"/>
      <c r="Q250" s="99">
        <v>1.0</v>
      </c>
      <c r="R250" s="93"/>
      <c r="S250" s="93"/>
      <c r="T250" s="93"/>
      <c r="U250" s="93"/>
      <c r="V250" s="98" t="s">
        <v>1358</v>
      </c>
      <c r="W250" s="98" t="s">
        <v>1359</v>
      </c>
      <c r="X250" s="98" t="s">
        <v>1360</v>
      </c>
      <c r="Y250" s="98" t="s">
        <v>1361</v>
      </c>
      <c r="Z250" s="93"/>
      <c r="AA250" s="93"/>
      <c r="AB250" s="99">
        <v>1.0</v>
      </c>
      <c r="AC250" s="93"/>
      <c r="AD250" s="99">
        <v>1.0</v>
      </c>
      <c r="AE250" s="93"/>
      <c r="AF250" s="93"/>
      <c r="AG250" s="93"/>
      <c r="AH250" s="98" t="s">
        <v>1362</v>
      </c>
      <c r="AI250" s="99">
        <v>1.0</v>
      </c>
      <c r="AJ250" s="93"/>
      <c r="AK250" s="93"/>
      <c r="AL250" s="93"/>
      <c r="AM250" s="93"/>
      <c r="AN250" s="93"/>
      <c r="AO250" s="93"/>
      <c r="AP250" s="93"/>
      <c r="AQ250" s="93"/>
      <c r="AR250" s="93"/>
      <c r="AS250" s="93"/>
      <c r="AT250" s="93"/>
      <c r="AU250" s="93"/>
      <c r="AV250" s="93"/>
      <c r="AW250" s="93"/>
      <c r="AX250" s="93"/>
      <c r="AY250" s="93"/>
      <c r="AZ250" s="93"/>
      <c r="BA250" s="93"/>
      <c r="BB250" s="93"/>
      <c r="BC250" s="93"/>
      <c r="BD250" s="93"/>
      <c r="BE250" s="93"/>
      <c r="BF250" s="93"/>
      <c r="BG250" s="93"/>
      <c r="BH250" s="93"/>
      <c r="BI250" s="99">
        <v>1.0</v>
      </c>
      <c r="BJ250" s="93"/>
      <c r="BK250" s="93"/>
      <c r="BL250" s="93"/>
      <c r="BM250" s="93"/>
      <c r="BN250" s="93"/>
      <c r="BO250" s="99">
        <v>1.0</v>
      </c>
      <c r="BP250" s="93"/>
      <c r="BQ250" s="99">
        <v>1.0</v>
      </c>
      <c r="BR250" s="93"/>
      <c r="BS250" s="93"/>
      <c r="BT250" s="93"/>
      <c r="BU250" s="93"/>
      <c r="BV250" s="93"/>
      <c r="BW250" s="93"/>
      <c r="BX250" s="93"/>
      <c r="BY250" s="99">
        <v>1.0</v>
      </c>
      <c r="BZ250" s="93"/>
    </row>
    <row r="251">
      <c r="B251" t="s">
        <v>1363</v>
      </c>
      <c r="C251" s="89" t="s">
        <v>1364</v>
      </c>
      <c r="D251" s="90" t="s">
        <v>1365</v>
      </c>
      <c r="E251" s="91">
        <v>2020.0</v>
      </c>
      <c r="F251" s="99">
        <v>1.0</v>
      </c>
      <c r="G251" s="93"/>
      <c r="H251" s="93"/>
      <c r="I251" s="93"/>
      <c r="J251" s="93"/>
      <c r="K251" s="93"/>
      <c r="L251" s="93"/>
      <c r="M251" s="93"/>
      <c r="N251" s="93"/>
      <c r="O251" s="93"/>
      <c r="P251" s="93"/>
      <c r="Q251" s="93"/>
      <c r="R251" s="93"/>
      <c r="S251" s="93"/>
      <c r="T251" s="93"/>
      <c r="U251" s="93"/>
      <c r="V251" s="93"/>
      <c r="W251" s="98" t="s">
        <v>748</v>
      </c>
      <c r="X251" s="98" t="s">
        <v>748</v>
      </c>
      <c r="Y251" s="98" t="s">
        <v>748</v>
      </c>
      <c r="Z251" s="98" t="s">
        <v>748</v>
      </c>
      <c r="AA251" s="98" t="s">
        <v>748</v>
      </c>
      <c r="AB251" s="98" t="s">
        <v>748</v>
      </c>
      <c r="AC251" s="93"/>
      <c r="AD251" s="98" t="s">
        <v>748</v>
      </c>
      <c r="AE251" s="93"/>
      <c r="AF251" s="93"/>
      <c r="AG251" s="93"/>
      <c r="AH251" s="96" t="s">
        <v>748</v>
      </c>
      <c r="AI251" s="98" t="s">
        <v>748</v>
      </c>
      <c r="AJ251" s="93"/>
      <c r="AK251" s="93"/>
      <c r="AL251" s="93"/>
      <c r="AM251" s="93"/>
      <c r="AN251" s="93"/>
      <c r="AO251" s="93"/>
      <c r="AP251" s="93"/>
      <c r="AQ251" s="93"/>
      <c r="AR251" s="98" t="s">
        <v>748</v>
      </c>
      <c r="AS251" s="93"/>
      <c r="AT251" s="93"/>
      <c r="AU251" s="93"/>
      <c r="AV251" s="93"/>
      <c r="AW251" s="93"/>
      <c r="AX251" s="93"/>
      <c r="AY251" s="93"/>
      <c r="AZ251" s="93"/>
      <c r="BA251" s="93"/>
      <c r="BB251" s="93"/>
      <c r="BC251" s="93"/>
      <c r="BD251" s="93"/>
      <c r="BE251" s="93"/>
      <c r="BF251" s="93"/>
      <c r="BG251" s="93"/>
      <c r="BH251" s="93"/>
      <c r="BI251" s="93"/>
      <c r="BJ251" s="93"/>
      <c r="BK251" s="93"/>
      <c r="BL251" s="93"/>
      <c r="BM251" s="93"/>
      <c r="BN251" s="93"/>
      <c r="BO251" s="93"/>
      <c r="BP251" s="93"/>
      <c r="BQ251" s="93"/>
      <c r="BR251" s="93"/>
      <c r="BS251" s="93"/>
      <c r="BT251" s="93"/>
      <c r="BU251" s="93"/>
      <c r="BV251" s="93"/>
      <c r="BW251" s="93"/>
      <c r="BX251" s="98" t="s">
        <v>748</v>
      </c>
      <c r="BY251" s="93"/>
      <c r="BZ251" s="93"/>
    </row>
    <row r="252">
      <c r="B252" t="s">
        <v>1366</v>
      </c>
      <c r="C252" s="89" t="s">
        <v>1367</v>
      </c>
      <c r="D252" s="90" t="s">
        <v>1368</v>
      </c>
      <c r="E252" s="91">
        <v>2019.0</v>
      </c>
      <c r="F252" s="92">
        <v>1.0</v>
      </c>
      <c r="G252" s="93"/>
      <c r="H252" s="93"/>
      <c r="I252" s="93"/>
      <c r="J252" s="93"/>
      <c r="K252" s="93"/>
      <c r="L252" s="93"/>
      <c r="M252" s="93"/>
      <c r="N252" s="93"/>
      <c r="O252" s="93"/>
      <c r="P252" s="93"/>
      <c r="Q252" s="93"/>
      <c r="R252" s="93"/>
      <c r="S252" s="93"/>
      <c r="T252" s="93"/>
      <c r="U252" s="93"/>
      <c r="V252" s="93"/>
      <c r="W252" s="93"/>
      <c r="X252" s="93"/>
      <c r="Y252" s="93"/>
      <c r="Z252" s="93"/>
      <c r="AA252" s="93"/>
      <c r="AB252" s="93"/>
      <c r="AC252" s="93"/>
      <c r="AD252" s="93"/>
      <c r="AE252" s="93"/>
      <c r="AF252" s="93"/>
      <c r="AG252" s="93"/>
      <c r="AH252" s="94"/>
      <c r="AI252" s="93"/>
      <c r="AJ252" s="93"/>
      <c r="AK252" s="93"/>
      <c r="AL252" s="93"/>
      <c r="AM252" s="93"/>
      <c r="AN252" s="93"/>
      <c r="AO252" s="93"/>
      <c r="AP252" s="93"/>
      <c r="AQ252" s="93"/>
      <c r="AR252" s="93"/>
      <c r="AS252" s="93"/>
      <c r="AT252" s="93"/>
      <c r="AU252" s="93"/>
      <c r="AV252" s="93"/>
      <c r="AW252" s="93"/>
      <c r="AX252" s="93"/>
      <c r="AY252" s="93"/>
      <c r="AZ252" s="93"/>
      <c r="BA252" s="93"/>
      <c r="BB252" s="93"/>
      <c r="BC252" s="93"/>
      <c r="BD252" s="93"/>
      <c r="BE252" s="93"/>
      <c r="BF252" s="93"/>
      <c r="BG252" s="93"/>
      <c r="BH252" s="93"/>
      <c r="BI252" s="93"/>
      <c r="BJ252" s="93"/>
      <c r="BK252" s="93"/>
      <c r="BL252" s="93"/>
      <c r="BM252" s="93"/>
      <c r="BN252" s="93"/>
      <c r="BO252" s="93"/>
      <c r="BP252" s="93"/>
      <c r="BQ252" s="93"/>
      <c r="BR252" s="93"/>
      <c r="BS252" s="93"/>
      <c r="BT252" s="93"/>
      <c r="BU252" s="93"/>
      <c r="BV252" s="93"/>
      <c r="BW252" s="93"/>
      <c r="BX252" s="93"/>
      <c r="BY252" s="93"/>
      <c r="BZ252" s="93"/>
    </row>
    <row r="253">
      <c r="A253" t="s">
        <v>116</v>
      </c>
      <c r="B253" t="s">
        <v>1369</v>
      </c>
      <c r="C253" s="89" t="s">
        <v>1370</v>
      </c>
      <c r="D253" s="90" t="s">
        <v>777</v>
      </c>
      <c r="E253" s="91">
        <v>2019.0</v>
      </c>
      <c r="F253" s="93"/>
      <c r="G253" s="92">
        <v>1.0</v>
      </c>
      <c r="H253" s="93"/>
      <c r="I253" s="93"/>
      <c r="J253" s="93"/>
      <c r="K253" s="93"/>
      <c r="L253" s="93"/>
      <c r="M253" s="93"/>
      <c r="N253" s="93"/>
      <c r="O253" s="93"/>
      <c r="P253" s="93"/>
      <c r="Q253" s="93"/>
      <c r="R253" s="93"/>
      <c r="S253" s="93"/>
      <c r="T253" s="93"/>
      <c r="U253" s="93"/>
      <c r="V253" s="93"/>
      <c r="W253" s="95" t="s">
        <v>1371</v>
      </c>
      <c r="X253" s="95" t="s">
        <v>1372</v>
      </c>
      <c r="Y253" s="95" t="s">
        <v>1373</v>
      </c>
      <c r="Z253" s="95" t="s">
        <v>1374</v>
      </c>
      <c r="AA253" s="92">
        <v>1.0</v>
      </c>
      <c r="AB253" s="93"/>
      <c r="AC253" s="93"/>
      <c r="AD253" s="92">
        <v>1.0</v>
      </c>
      <c r="AE253" s="93"/>
      <c r="AF253" s="93"/>
      <c r="AG253" s="93"/>
      <c r="AH253" s="96" t="s">
        <v>1375</v>
      </c>
      <c r="AI253" s="92">
        <v>1.0</v>
      </c>
      <c r="AJ253" s="93"/>
      <c r="AK253" s="93"/>
      <c r="AL253" s="93"/>
      <c r="AM253" s="93"/>
      <c r="AN253" s="93"/>
      <c r="AO253" s="93"/>
      <c r="AP253" s="93"/>
      <c r="AQ253" s="93"/>
      <c r="AR253" s="93"/>
      <c r="AS253" s="93"/>
      <c r="AT253" s="93"/>
      <c r="AU253" s="93"/>
      <c r="AV253" s="93"/>
      <c r="AW253" s="93"/>
      <c r="AX253" s="93"/>
      <c r="AY253" s="93"/>
      <c r="AZ253" s="93"/>
      <c r="BA253" s="93"/>
      <c r="BB253" s="93"/>
      <c r="BC253" s="93"/>
      <c r="BD253" s="93"/>
      <c r="BE253" s="93"/>
      <c r="BF253" s="93"/>
      <c r="BG253" s="93"/>
      <c r="BH253" s="93"/>
      <c r="BI253" s="92">
        <v>1.0</v>
      </c>
      <c r="BJ253" s="93"/>
      <c r="BK253" s="92">
        <v>1.0</v>
      </c>
      <c r="BL253" s="93"/>
      <c r="BM253" s="93"/>
      <c r="BN253" s="93"/>
      <c r="BO253" s="93"/>
      <c r="BP253" s="93"/>
      <c r="BQ253" s="93"/>
      <c r="BR253" s="93"/>
      <c r="BS253" s="93"/>
      <c r="BT253" s="93"/>
      <c r="BU253" s="93"/>
      <c r="BV253" s="93"/>
      <c r="BW253" s="92">
        <v>1.0</v>
      </c>
      <c r="BX253" s="93"/>
      <c r="BY253" s="95"/>
      <c r="BZ253" s="93"/>
    </row>
    <row r="254">
      <c r="B254" t="s">
        <v>1376</v>
      </c>
      <c r="C254" s="89" t="s">
        <v>1377</v>
      </c>
      <c r="D254" s="90" t="s">
        <v>1378</v>
      </c>
      <c r="E254" s="91">
        <v>2019.0</v>
      </c>
      <c r="F254" s="92">
        <v>1.0</v>
      </c>
      <c r="G254" s="93"/>
      <c r="H254" s="93"/>
      <c r="I254" s="93"/>
      <c r="J254" s="93"/>
      <c r="K254" s="93"/>
      <c r="L254" s="93"/>
      <c r="M254" s="93"/>
      <c r="N254" s="93"/>
      <c r="O254" s="93"/>
      <c r="P254" s="93"/>
      <c r="Q254" s="93"/>
      <c r="R254" s="93"/>
      <c r="S254" s="93"/>
      <c r="T254" s="93"/>
      <c r="U254" s="93"/>
      <c r="V254" s="93"/>
      <c r="W254" s="93"/>
      <c r="X254" s="93"/>
      <c r="Y254" s="93"/>
      <c r="Z254" s="93"/>
      <c r="AA254" s="93"/>
      <c r="AB254" s="93"/>
      <c r="AC254" s="93"/>
      <c r="AD254" s="93"/>
      <c r="AE254" s="93"/>
      <c r="AF254" s="93"/>
      <c r="AG254" s="93"/>
      <c r="AH254" s="94"/>
      <c r="AI254" s="93"/>
      <c r="AJ254" s="93"/>
      <c r="AK254" s="93"/>
      <c r="AL254" s="93"/>
      <c r="AM254" s="93"/>
      <c r="AN254" s="93"/>
      <c r="AO254" s="93"/>
      <c r="AP254" s="93"/>
      <c r="AQ254" s="93"/>
      <c r="AR254" s="93"/>
      <c r="AS254" s="93"/>
      <c r="AT254" s="93"/>
      <c r="AU254" s="93"/>
      <c r="AV254" s="93"/>
      <c r="AW254" s="93"/>
      <c r="AX254" s="93"/>
      <c r="AY254" s="93"/>
      <c r="AZ254" s="93"/>
      <c r="BA254" s="93"/>
      <c r="BB254" s="93"/>
      <c r="BC254" s="93"/>
      <c r="BD254" s="93"/>
      <c r="BE254" s="93"/>
      <c r="BF254" s="93"/>
      <c r="BG254" s="93"/>
      <c r="BH254" s="93"/>
      <c r="BI254" s="93"/>
      <c r="BJ254" s="93"/>
      <c r="BK254" s="93"/>
      <c r="BL254" s="93"/>
      <c r="BM254" s="93"/>
      <c r="BN254" s="93"/>
      <c r="BO254" s="93"/>
      <c r="BP254" s="93"/>
      <c r="BQ254" s="93"/>
      <c r="BR254" s="93"/>
      <c r="BS254" s="93"/>
      <c r="BT254" s="93"/>
      <c r="BU254" s="93"/>
      <c r="BV254" s="93"/>
      <c r="BW254" s="93"/>
      <c r="BX254" s="93"/>
      <c r="BY254" s="93"/>
      <c r="BZ254" s="93"/>
    </row>
    <row r="255">
      <c r="A255" t="s">
        <v>1331</v>
      </c>
      <c r="B255" t="s">
        <v>1379</v>
      </c>
      <c r="C255" s="89" t="s">
        <v>1380</v>
      </c>
      <c r="D255" s="90" t="s">
        <v>1381</v>
      </c>
      <c r="E255" s="91">
        <v>2019.0</v>
      </c>
      <c r="F255" s="95"/>
      <c r="G255" s="95"/>
      <c r="H255" s="93"/>
      <c r="I255" s="92">
        <v>1.0</v>
      </c>
      <c r="J255" s="93"/>
      <c r="K255" s="93"/>
      <c r="L255" s="93"/>
      <c r="M255" s="93"/>
      <c r="N255" s="93"/>
      <c r="O255" s="93"/>
      <c r="P255" s="93"/>
      <c r="Q255" s="93"/>
      <c r="R255" s="93"/>
      <c r="S255" s="93"/>
      <c r="T255" s="93"/>
      <c r="U255" s="93"/>
      <c r="V255" s="93"/>
      <c r="W255" s="95" t="s">
        <v>1382</v>
      </c>
      <c r="X255" s="95" t="s">
        <v>1383</v>
      </c>
      <c r="Y255" s="95" t="s">
        <v>1384</v>
      </c>
      <c r="Z255" s="95" t="s">
        <v>1385</v>
      </c>
      <c r="AA255" s="92">
        <v>1.0</v>
      </c>
      <c r="AB255" s="92">
        <v>1.0</v>
      </c>
      <c r="AC255" s="93"/>
      <c r="AD255" s="92">
        <v>1.0</v>
      </c>
      <c r="AE255" s="93"/>
      <c r="AF255" s="93"/>
      <c r="AG255" s="93"/>
      <c r="AH255" s="96" t="s">
        <v>1386</v>
      </c>
      <c r="AI255" s="92">
        <v>1.0</v>
      </c>
      <c r="AJ255" s="93"/>
      <c r="AK255" s="93"/>
      <c r="AL255" s="93"/>
      <c r="AM255" s="93"/>
      <c r="AN255" s="93"/>
      <c r="AO255" s="93"/>
      <c r="AP255" s="93"/>
      <c r="AQ255" s="93"/>
      <c r="AR255" s="92">
        <v>1.0</v>
      </c>
      <c r="AS255" s="93"/>
      <c r="AT255" s="93"/>
      <c r="AU255" s="93"/>
      <c r="AV255" s="93"/>
      <c r="AW255" s="93"/>
      <c r="AX255" s="93"/>
      <c r="AY255" s="93"/>
      <c r="AZ255" s="93"/>
      <c r="BA255" s="93"/>
      <c r="BB255" s="93"/>
      <c r="BC255" s="93"/>
      <c r="BD255" s="93"/>
      <c r="BE255" s="93"/>
      <c r="BF255" s="93"/>
      <c r="BG255" s="93"/>
      <c r="BH255" s="93"/>
      <c r="BI255" s="93"/>
      <c r="BJ255" s="93"/>
      <c r="BK255" s="93"/>
      <c r="BL255" s="93"/>
      <c r="BM255" s="93"/>
      <c r="BN255" s="93"/>
      <c r="BO255" s="93"/>
      <c r="BP255" s="93"/>
      <c r="BQ255" s="93"/>
      <c r="BR255" s="93"/>
      <c r="BS255" s="93"/>
      <c r="BT255" s="93"/>
      <c r="BU255" s="93"/>
      <c r="BV255" s="92">
        <v>1.0</v>
      </c>
      <c r="BW255" s="93"/>
      <c r="BX255" s="93"/>
      <c r="BY255" s="93"/>
      <c r="BZ255" s="93"/>
    </row>
    <row r="256">
      <c r="B256" t="s">
        <v>1387</v>
      </c>
      <c r="C256" s="89" t="s">
        <v>1388</v>
      </c>
      <c r="D256" s="90" t="s">
        <v>1389</v>
      </c>
      <c r="E256" s="91">
        <v>2019.0</v>
      </c>
      <c r="F256" s="92">
        <v>1.0</v>
      </c>
      <c r="G256" s="93"/>
      <c r="H256" s="93"/>
      <c r="I256" s="93"/>
      <c r="J256" s="93"/>
      <c r="K256" s="93"/>
      <c r="L256" s="93"/>
      <c r="M256" s="93"/>
      <c r="N256" s="93"/>
      <c r="O256" s="93"/>
      <c r="P256" s="93"/>
      <c r="Q256" s="93"/>
      <c r="R256" s="93"/>
      <c r="S256" s="93"/>
      <c r="T256" s="93"/>
      <c r="U256" s="93"/>
      <c r="V256" s="93"/>
      <c r="W256" s="93"/>
      <c r="X256" s="93"/>
      <c r="Y256" s="93"/>
      <c r="Z256" s="93"/>
      <c r="AA256" s="93"/>
      <c r="AB256" s="93"/>
      <c r="AC256" s="93"/>
      <c r="AD256" s="93"/>
      <c r="AE256" s="93"/>
      <c r="AF256" s="93"/>
      <c r="AG256" s="93"/>
      <c r="AH256" s="94"/>
      <c r="AI256" s="93"/>
      <c r="AJ256" s="93"/>
      <c r="AK256" s="93"/>
      <c r="AL256" s="93"/>
      <c r="AM256" s="93"/>
      <c r="AN256" s="93"/>
      <c r="AO256" s="93"/>
      <c r="AP256" s="93"/>
      <c r="AQ256" s="93"/>
      <c r="AR256" s="93"/>
      <c r="AS256" s="93"/>
      <c r="AT256" s="93"/>
      <c r="AU256" s="93"/>
      <c r="AV256" s="93"/>
      <c r="AW256" s="93"/>
      <c r="AX256" s="93"/>
      <c r="AY256" s="93"/>
      <c r="AZ256" s="93"/>
      <c r="BA256" s="93"/>
      <c r="BB256" s="93"/>
      <c r="BC256" s="93"/>
      <c r="BD256" s="93"/>
      <c r="BE256" s="93"/>
      <c r="BF256" s="93"/>
      <c r="BG256" s="93"/>
      <c r="BH256" s="93"/>
      <c r="BI256" s="93"/>
      <c r="BJ256" s="93"/>
      <c r="BK256" s="93"/>
      <c r="BL256" s="93"/>
      <c r="BM256" s="93"/>
      <c r="BN256" s="93"/>
      <c r="BO256" s="93"/>
      <c r="BP256" s="93"/>
      <c r="BQ256" s="93"/>
      <c r="BR256" s="93"/>
      <c r="BS256" s="93"/>
      <c r="BT256" s="93"/>
      <c r="BU256" s="93"/>
      <c r="BV256" s="93"/>
      <c r="BW256" s="93"/>
      <c r="BX256" s="93"/>
      <c r="BY256" s="93"/>
      <c r="BZ256" s="93"/>
    </row>
    <row r="257">
      <c r="A257" t="s">
        <v>1340</v>
      </c>
      <c r="B257" t="s">
        <v>1390</v>
      </c>
      <c r="C257" s="89" t="s">
        <v>1391</v>
      </c>
      <c r="D257" s="90" t="s">
        <v>1392</v>
      </c>
      <c r="E257" s="91">
        <v>2019.0</v>
      </c>
      <c r="F257" s="95"/>
      <c r="G257" s="93"/>
      <c r="H257" s="92">
        <v>1.0</v>
      </c>
      <c r="I257" s="93"/>
      <c r="J257" s="93"/>
      <c r="K257" s="93"/>
      <c r="L257" s="93"/>
      <c r="M257" s="92">
        <v>1.0</v>
      </c>
      <c r="N257" s="93"/>
      <c r="O257" s="93"/>
      <c r="P257" s="93"/>
      <c r="Q257" s="93"/>
      <c r="R257" s="93"/>
      <c r="S257" s="93"/>
      <c r="T257" s="93"/>
      <c r="U257" s="93"/>
      <c r="V257" s="98" t="s">
        <v>1393</v>
      </c>
      <c r="W257" s="98" t="s">
        <v>1394</v>
      </c>
      <c r="X257" s="98" t="s">
        <v>1395</v>
      </c>
      <c r="Y257" s="98" t="s">
        <v>1396</v>
      </c>
      <c r="Z257" s="98" t="s">
        <v>100</v>
      </c>
      <c r="AA257" s="93"/>
      <c r="AB257" s="92">
        <v>1.0</v>
      </c>
      <c r="AC257" s="93"/>
      <c r="AD257" s="92">
        <v>1.0</v>
      </c>
      <c r="AE257" s="93"/>
      <c r="AF257" s="93"/>
      <c r="AG257" s="93"/>
      <c r="AH257" s="96" t="s">
        <v>1397</v>
      </c>
      <c r="AI257" s="92">
        <v>1.0</v>
      </c>
      <c r="AJ257" s="93"/>
      <c r="AK257" s="93"/>
      <c r="AL257" s="93"/>
      <c r="AM257" s="93"/>
      <c r="AN257" s="93"/>
      <c r="AO257" s="93"/>
      <c r="AP257" s="93"/>
      <c r="AQ257" s="93"/>
      <c r="AR257" s="93"/>
      <c r="AS257" s="93"/>
      <c r="AT257" s="93"/>
      <c r="AU257" s="92">
        <v>1.0</v>
      </c>
      <c r="AV257" s="93"/>
      <c r="AW257" s="93"/>
      <c r="AX257" s="93"/>
      <c r="AY257" s="93"/>
      <c r="AZ257" s="93"/>
      <c r="BA257" s="93"/>
      <c r="BB257" s="93"/>
      <c r="BC257" s="93"/>
      <c r="BD257" s="93"/>
      <c r="BE257" s="93"/>
      <c r="BF257" s="93"/>
      <c r="BG257" s="93"/>
      <c r="BH257" s="93"/>
      <c r="BI257" s="92">
        <v>1.0</v>
      </c>
      <c r="BJ257" s="93"/>
      <c r="BK257" s="92">
        <v>1.0</v>
      </c>
      <c r="BL257" s="93"/>
      <c r="BM257" s="93"/>
      <c r="BN257" s="93"/>
      <c r="BO257" s="93"/>
      <c r="BP257" s="93"/>
      <c r="BQ257" s="93"/>
      <c r="BR257" s="93"/>
      <c r="BS257" s="93"/>
      <c r="BT257" s="93"/>
      <c r="BU257" s="93"/>
      <c r="BV257" s="92">
        <v>1.0</v>
      </c>
      <c r="BW257" s="93"/>
      <c r="BX257" s="93"/>
      <c r="BY257" s="92">
        <v>1.0</v>
      </c>
      <c r="BZ257" s="93"/>
    </row>
    <row r="258">
      <c r="A258" t="s">
        <v>1354</v>
      </c>
      <c r="B258" t="s">
        <v>1398</v>
      </c>
      <c r="C258" s="89" t="s">
        <v>1399</v>
      </c>
      <c r="D258" s="90" t="s">
        <v>1400</v>
      </c>
      <c r="E258" s="91">
        <v>2019.0</v>
      </c>
      <c r="F258" s="93"/>
      <c r="G258" s="93"/>
      <c r="H258" s="93"/>
      <c r="I258" s="93"/>
      <c r="J258" s="99">
        <v>1.0</v>
      </c>
      <c r="K258" s="93"/>
      <c r="L258" s="93"/>
      <c r="M258" s="93"/>
      <c r="N258" s="93"/>
      <c r="O258" s="93"/>
      <c r="P258" s="93"/>
      <c r="Q258" s="93"/>
      <c r="R258" s="93"/>
      <c r="S258" s="93"/>
      <c r="T258" s="93"/>
      <c r="U258" s="93"/>
      <c r="V258" s="93"/>
      <c r="W258" s="100" t="s">
        <v>1401</v>
      </c>
      <c r="X258" s="100" t="s">
        <v>1402</v>
      </c>
      <c r="Y258" s="100" t="s">
        <v>1403</v>
      </c>
      <c r="Z258" s="100" t="s">
        <v>1404</v>
      </c>
      <c r="AA258" s="93"/>
      <c r="AB258" s="99">
        <v>1.0</v>
      </c>
      <c r="AC258" s="93"/>
      <c r="AD258" s="99">
        <v>1.0</v>
      </c>
      <c r="AE258" s="93"/>
      <c r="AF258" s="93"/>
      <c r="AG258" s="93"/>
      <c r="AH258" s="96" t="s">
        <v>1405</v>
      </c>
      <c r="AI258" s="99">
        <v>1.0</v>
      </c>
      <c r="AJ258" s="93"/>
      <c r="AK258" s="93"/>
      <c r="AL258" s="93"/>
      <c r="AM258" s="93"/>
      <c r="AN258" s="93"/>
      <c r="AO258" s="93"/>
      <c r="AP258" s="93"/>
      <c r="AQ258" s="93"/>
      <c r="AR258" s="99">
        <v>1.0</v>
      </c>
      <c r="AS258" s="93"/>
      <c r="AT258" s="93"/>
      <c r="AU258" s="93"/>
      <c r="AV258" s="93"/>
      <c r="AW258" s="93"/>
      <c r="AX258" s="93"/>
      <c r="AY258" s="93"/>
      <c r="AZ258" s="93"/>
      <c r="BA258" s="93"/>
      <c r="BB258" s="93"/>
      <c r="BC258" s="93"/>
      <c r="BD258" s="93"/>
      <c r="BE258" s="93"/>
      <c r="BF258" s="93"/>
      <c r="BG258" s="93"/>
      <c r="BH258" s="93"/>
      <c r="BI258" s="93"/>
      <c r="BJ258" s="93"/>
      <c r="BK258" s="93"/>
      <c r="BL258" s="93"/>
      <c r="BM258" s="93"/>
      <c r="BN258" s="93"/>
      <c r="BO258" s="93"/>
      <c r="BP258" s="93"/>
      <c r="BQ258" s="93"/>
      <c r="BR258" s="93"/>
      <c r="BS258" s="93"/>
      <c r="BT258" s="93"/>
      <c r="BU258" s="93"/>
      <c r="BV258" s="93"/>
      <c r="BW258" s="93"/>
      <c r="BX258" s="99">
        <v>1.0</v>
      </c>
      <c r="BY258" s="93"/>
      <c r="BZ258" s="93"/>
    </row>
    <row r="259">
      <c r="B259" t="s">
        <v>1406</v>
      </c>
      <c r="C259" s="89" t="s">
        <v>1407</v>
      </c>
      <c r="D259" s="90" t="s">
        <v>1408</v>
      </c>
      <c r="E259" s="91">
        <v>2019.0</v>
      </c>
      <c r="F259" s="92">
        <v>1.0</v>
      </c>
      <c r="G259" s="93"/>
      <c r="H259" s="93"/>
      <c r="I259" s="93"/>
      <c r="J259" s="93"/>
      <c r="K259" s="93"/>
      <c r="L259" s="93"/>
      <c r="M259" s="93"/>
      <c r="N259" s="93"/>
      <c r="O259" s="93"/>
      <c r="P259" s="93"/>
      <c r="Q259" s="93"/>
      <c r="R259" s="93"/>
      <c r="S259" s="93"/>
      <c r="T259" s="93"/>
      <c r="U259" s="93"/>
      <c r="V259" s="93"/>
      <c r="W259" s="93"/>
      <c r="X259" s="93"/>
      <c r="Y259" s="93"/>
      <c r="Z259" s="93"/>
      <c r="AA259" s="93"/>
      <c r="AB259" s="93"/>
      <c r="AC259" s="93"/>
      <c r="AD259" s="93"/>
      <c r="AE259" s="93"/>
      <c r="AF259" s="93"/>
      <c r="AG259" s="93"/>
      <c r="AH259" s="94"/>
      <c r="AI259" s="93"/>
      <c r="AJ259" s="93"/>
      <c r="AK259" s="93"/>
      <c r="AL259" s="93"/>
      <c r="AM259" s="93"/>
      <c r="AN259" s="93"/>
      <c r="AO259" s="93"/>
      <c r="AP259" s="93"/>
      <c r="AQ259" s="93"/>
      <c r="AR259" s="93"/>
      <c r="AS259" s="93"/>
      <c r="AT259" s="93"/>
      <c r="AU259" s="93"/>
      <c r="AV259" s="93"/>
      <c r="AW259" s="93"/>
      <c r="AX259" s="93"/>
      <c r="AY259" s="93"/>
      <c r="AZ259" s="93"/>
      <c r="BA259" s="93"/>
      <c r="BB259" s="93"/>
      <c r="BC259" s="93"/>
      <c r="BD259" s="93"/>
      <c r="BE259" s="93"/>
      <c r="BF259" s="93"/>
      <c r="BG259" s="93"/>
      <c r="BH259" s="93"/>
      <c r="BI259" s="93"/>
      <c r="BJ259" s="93"/>
      <c r="BK259" s="93"/>
      <c r="BL259" s="93"/>
      <c r="BM259" s="93"/>
      <c r="BN259" s="93"/>
      <c r="BO259" s="93"/>
      <c r="BP259" s="93"/>
      <c r="BQ259" s="93"/>
      <c r="BR259" s="93"/>
      <c r="BS259" s="93"/>
      <c r="BT259" s="93"/>
      <c r="BU259" s="93"/>
      <c r="BV259" s="93"/>
      <c r="BW259" s="93"/>
      <c r="BX259" s="93"/>
      <c r="BY259" s="93"/>
      <c r="BZ259" s="93"/>
    </row>
    <row r="260">
      <c r="B260" t="s">
        <v>1409</v>
      </c>
      <c r="C260" s="89" t="s">
        <v>1410</v>
      </c>
      <c r="D260" s="90" t="s">
        <v>1112</v>
      </c>
      <c r="E260" s="91">
        <v>2019.0</v>
      </c>
      <c r="F260" s="92">
        <v>1.0</v>
      </c>
      <c r="G260" s="93"/>
      <c r="H260" s="93"/>
      <c r="I260" s="93"/>
      <c r="J260" s="93"/>
      <c r="K260" s="93"/>
      <c r="L260" s="93"/>
      <c r="M260" s="93"/>
      <c r="N260" s="93"/>
      <c r="O260" s="93"/>
      <c r="P260" s="93"/>
      <c r="Q260" s="93"/>
      <c r="R260" s="93"/>
      <c r="S260" s="93"/>
      <c r="T260" s="93"/>
      <c r="U260" s="93"/>
      <c r="V260" s="93"/>
      <c r="W260" s="93"/>
      <c r="X260" s="93"/>
      <c r="Y260" s="93"/>
      <c r="Z260" s="93"/>
      <c r="AA260" s="93"/>
      <c r="AB260" s="93"/>
      <c r="AC260" s="93"/>
      <c r="AD260" s="93"/>
      <c r="AE260" s="93"/>
      <c r="AF260" s="93"/>
      <c r="AG260" s="93"/>
      <c r="AH260" s="94"/>
      <c r="AI260" s="93"/>
      <c r="AJ260" s="93"/>
      <c r="AK260" s="93"/>
      <c r="AL260" s="93"/>
      <c r="AM260" s="93"/>
      <c r="AN260" s="93"/>
      <c r="AO260" s="93"/>
      <c r="AP260" s="93"/>
      <c r="AQ260" s="93"/>
      <c r="AR260" s="93"/>
      <c r="AS260" s="93"/>
      <c r="AT260" s="93"/>
      <c r="AU260" s="93"/>
      <c r="AV260" s="93"/>
      <c r="AW260" s="93"/>
      <c r="AX260" s="93"/>
      <c r="AY260" s="93"/>
      <c r="AZ260" s="93"/>
      <c r="BA260" s="93"/>
      <c r="BB260" s="93"/>
      <c r="BC260" s="93"/>
      <c r="BD260" s="93"/>
      <c r="BE260" s="93"/>
      <c r="BF260" s="93"/>
      <c r="BG260" s="93"/>
      <c r="BH260" s="93"/>
      <c r="BI260" s="93"/>
      <c r="BJ260" s="93"/>
      <c r="BK260" s="93"/>
      <c r="BL260" s="93"/>
      <c r="BM260" s="93"/>
      <c r="BN260" s="93"/>
      <c r="BO260" s="93"/>
      <c r="BP260" s="93"/>
      <c r="BQ260" s="93"/>
      <c r="BR260" s="93"/>
      <c r="BS260" s="93"/>
      <c r="BT260" s="93"/>
      <c r="BU260" s="93"/>
      <c r="BV260" s="93"/>
      <c r="BW260" s="93"/>
      <c r="BX260" s="93"/>
      <c r="BY260" s="93"/>
      <c r="BZ260" s="93"/>
    </row>
    <row r="261">
      <c r="B261" t="s">
        <v>1411</v>
      </c>
      <c r="C261" s="89" t="s">
        <v>1412</v>
      </c>
      <c r="D261" s="90" t="s">
        <v>1408</v>
      </c>
      <c r="E261" s="91">
        <v>2019.0</v>
      </c>
      <c r="F261" s="92">
        <v>1.0</v>
      </c>
      <c r="G261" s="93"/>
      <c r="H261" s="93"/>
      <c r="I261" s="93"/>
      <c r="J261" s="93"/>
      <c r="K261" s="93"/>
      <c r="L261" s="93"/>
      <c r="M261" s="93"/>
      <c r="N261" s="93"/>
      <c r="O261" s="93"/>
      <c r="P261" s="93"/>
      <c r="Q261" s="93"/>
      <c r="R261" s="93"/>
      <c r="S261" s="93"/>
      <c r="T261" s="93"/>
      <c r="U261" s="93"/>
      <c r="V261" s="93"/>
      <c r="W261" s="93"/>
      <c r="X261" s="93"/>
      <c r="Y261" s="93"/>
      <c r="Z261" s="93"/>
      <c r="AA261" s="93"/>
      <c r="AB261" s="93"/>
      <c r="AC261" s="93"/>
      <c r="AD261" s="93"/>
      <c r="AE261" s="93"/>
      <c r="AF261" s="93"/>
      <c r="AG261" s="93"/>
      <c r="AH261" s="94"/>
      <c r="AI261" s="93"/>
      <c r="AJ261" s="93"/>
      <c r="AK261" s="93"/>
      <c r="AL261" s="93"/>
      <c r="AM261" s="93"/>
      <c r="AN261" s="93"/>
      <c r="AO261" s="93"/>
      <c r="AP261" s="93"/>
      <c r="AQ261" s="93"/>
      <c r="AR261" s="93"/>
      <c r="AS261" s="93"/>
      <c r="AT261" s="93"/>
      <c r="AU261" s="93"/>
      <c r="AV261" s="93"/>
      <c r="AW261" s="93"/>
      <c r="AX261" s="93"/>
      <c r="AY261" s="93"/>
      <c r="AZ261" s="93"/>
      <c r="BA261" s="93"/>
      <c r="BB261" s="93"/>
      <c r="BC261" s="93"/>
      <c r="BD261" s="93"/>
      <c r="BE261" s="93"/>
      <c r="BF261" s="93"/>
      <c r="BG261" s="93"/>
      <c r="BH261" s="93"/>
      <c r="BI261" s="93"/>
      <c r="BJ261" s="93"/>
      <c r="BK261" s="93"/>
      <c r="BL261" s="93"/>
      <c r="BM261" s="93"/>
      <c r="BN261" s="93"/>
      <c r="BO261" s="93"/>
      <c r="BP261" s="93"/>
      <c r="BQ261" s="93"/>
      <c r="BR261" s="93"/>
      <c r="BS261" s="93"/>
      <c r="BT261" s="93"/>
      <c r="BU261" s="93"/>
      <c r="BV261" s="93"/>
      <c r="BW261" s="93"/>
      <c r="BX261" s="93"/>
      <c r="BY261" s="93"/>
      <c r="BZ261" s="93"/>
    </row>
    <row r="262">
      <c r="B262" t="s">
        <v>1413</v>
      </c>
      <c r="C262" s="89" t="s">
        <v>1414</v>
      </c>
      <c r="D262" s="90" t="s">
        <v>1415</v>
      </c>
      <c r="E262" s="91">
        <v>2019.0</v>
      </c>
      <c r="F262" s="92">
        <v>1.0</v>
      </c>
      <c r="G262" s="93"/>
      <c r="H262" s="93"/>
      <c r="I262" s="93"/>
      <c r="J262" s="93"/>
      <c r="K262" s="93"/>
      <c r="L262" s="93"/>
      <c r="M262" s="93"/>
      <c r="N262" s="93"/>
      <c r="O262" s="93"/>
      <c r="P262" s="93"/>
      <c r="Q262" s="93"/>
      <c r="R262" s="93"/>
      <c r="S262" s="93"/>
      <c r="T262" s="93"/>
      <c r="U262" s="93"/>
      <c r="V262" s="93"/>
      <c r="W262" s="93"/>
      <c r="X262" s="93"/>
      <c r="Y262" s="93"/>
      <c r="Z262" s="93"/>
      <c r="AA262" s="93"/>
      <c r="AB262" s="93"/>
      <c r="AC262" s="93"/>
      <c r="AD262" s="93"/>
      <c r="AE262" s="93"/>
      <c r="AF262" s="93"/>
      <c r="AG262" s="93"/>
      <c r="AH262" s="94"/>
      <c r="AI262" s="93"/>
      <c r="AJ262" s="93"/>
      <c r="AK262" s="93"/>
      <c r="AL262" s="93"/>
      <c r="AM262" s="93"/>
      <c r="AN262" s="93"/>
      <c r="AO262" s="93"/>
      <c r="AP262" s="93"/>
      <c r="AQ262" s="93"/>
      <c r="AR262" s="93"/>
      <c r="AS262" s="93"/>
      <c r="AT262" s="93"/>
      <c r="AU262" s="93"/>
      <c r="AV262" s="93"/>
      <c r="AW262" s="93"/>
      <c r="AX262" s="93"/>
      <c r="AY262" s="93"/>
      <c r="AZ262" s="93"/>
      <c r="BA262" s="93"/>
      <c r="BB262" s="93"/>
      <c r="BC262" s="93"/>
      <c r="BD262" s="93"/>
      <c r="BE262" s="93"/>
      <c r="BF262" s="93"/>
      <c r="BG262" s="93"/>
      <c r="BH262" s="93"/>
      <c r="BI262" s="93"/>
      <c r="BJ262" s="93"/>
      <c r="BK262" s="93"/>
      <c r="BL262" s="93"/>
      <c r="BM262" s="93"/>
      <c r="BN262" s="93"/>
      <c r="BO262" s="93"/>
      <c r="BP262" s="93"/>
      <c r="BQ262" s="93"/>
      <c r="BR262" s="93"/>
      <c r="BS262" s="93"/>
      <c r="BT262" s="93"/>
      <c r="BU262" s="93"/>
      <c r="BV262" s="93"/>
      <c r="BW262" s="93"/>
      <c r="BX262" s="93"/>
      <c r="BY262" s="93"/>
      <c r="BZ262" s="93"/>
    </row>
    <row r="263">
      <c r="B263" t="s">
        <v>1416</v>
      </c>
      <c r="C263" s="89" t="s">
        <v>1417</v>
      </c>
      <c r="D263" s="90" t="s">
        <v>1418</v>
      </c>
      <c r="E263" s="91">
        <v>2019.0</v>
      </c>
      <c r="F263" s="92">
        <v>1.0</v>
      </c>
      <c r="G263" s="93"/>
      <c r="H263" s="93"/>
      <c r="I263" s="93"/>
      <c r="J263" s="93"/>
      <c r="K263" s="93"/>
      <c r="L263" s="93"/>
      <c r="M263" s="93"/>
      <c r="N263" s="93"/>
      <c r="O263" s="93"/>
      <c r="P263" s="93"/>
      <c r="Q263" s="93"/>
      <c r="R263" s="93"/>
      <c r="S263" s="93"/>
      <c r="T263" s="93"/>
      <c r="U263" s="93"/>
      <c r="V263" s="93"/>
      <c r="W263" s="93"/>
      <c r="X263" s="93"/>
      <c r="Y263" s="93"/>
      <c r="Z263" s="93"/>
      <c r="AA263" s="93"/>
      <c r="AB263" s="93"/>
      <c r="AC263" s="93"/>
      <c r="AD263" s="93"/>
      <c r="AE263" s="93"/>
      <c r="AF263" s="93"/>
      <c r="AG263" s="93"/>
      <c r="AH263" s="94"/>
      <c r="AI263" s="93"/>
      <c r="AJ263" s="93"/>
      <c r="AK263" s="93"/>
      <c r="AL263" s="93"/>
      <c r="AM263" s="93"/>
      <c r="AN263" s="93"/>
      <c r="AO263" s="93"/>
      <c r="AP263" s="93"/>
      <c r="AQ263" s="93"/>
      <c r="AR263" s="93"/>
      <c r="AS263" s="93"/>
      <c r="AT263" s="93"/>
      <c r="AU263" s="93"/>
      <c r="AV263" s="93"/>
      <c r="AW263" s="93"/>
      <c r="AX263" s="93"/>
      <c r="AY263" s="93"/>
      <c r="AZ263" s="93"/>
      <c r="BA263" s="93"/>
      <c r="BB263" s="93"/>
      <c r="BC263" s="93"/>
      <c r="BD263" s="93"/>
      <c r="BE263" s="93"/>
      <c r="BF263" s="93"/>
      <c r="BG263" s="93"/>
      <c r="BH263" s="93"/>
      <c r="BI263" s="93"/>
      <c r="BJ263" s="93"/>
      <c r="BK263" s="93"/>
      <c r="BL263" s="93"/>
      <c r="BM263" s="93"/>
      <c r="BN263" s="93"/>
      <c r="BO263" s="93"/>
      <c r="BP263" s="93"/>
      <c r="BQ263" s="93"/>
      <c r="BR263" s="93"/>
      <c r="BS263" s="93"/>
      <c r="BT263" s="93"/>
      <c r="BU263" s="93"/>
      <c r="BV263" s="93"/>
      <c r="BW263" s="93"/>
      <c r="BX263" s="93"/>
      <c r="BY263" s="93"/>
      <c r="BZ263" s="93"/>
    </row>
    <row r="264">
      <c r="B264" t="s">
        <v>1419</v>
      </c>
      <c r="C264" s="89" t="s">
        <v>1420</v>
      </c>
      <c r="D264" s="90" t="s">
        <v>1421</v>
      </c>
      <c r="E264" s="91">
        <v>2019.0</v>
      </c>
      <c r="F264" s="92">
        <v>1.0</v>
      </c>
      <c r="G264" s="93"/>
      <c r="H264" s="93"/>
      <c r="I264" s="93"/>
      <c r="J264" s="93"/>
      <c r="K264" s="93"/>
      <c r="L264" s="93"/>
      <c r="M264" s="93"/>
      <c r="N264" s="93"/>
      <c r="O264" s="93"/>
      <c r="P264" s="93"/>
      <c r="Q264" s="93"/>
      <c r="R264" s="93"/>
      <c r="S264" s="93"/>
      <c r="T264" s="93"/>
      <c r="U264" s="93"/>
      <c r="V264" s="93"/>
      <c r="W264" s="93"/>
      <c r="X264" s="93"/>
      <c r="Y264" s="93"/>
      <c r="Z264" s="93"/>
      <c r="AA264" s="93"/>
      <c r="AB264" s="93"/>
      <c r="AC264" s="93"/>
      <c r="AD264" s="93"/>
      <c r="AE264" s="93"/>
      <c r="AF264" s="93"/>
      <c r="AG264" s="93"/>
      <c r="AH264" s="94"/>
      <c r="AI264" s="93"/>
      <c r="AJ264" s="93"/>
      <c r="AK264" s="93"/>
      <c r="AL264" s="93"/>
      <c r="AM264" s="93"/>
      <c r="AN264" s="93"/>
      <c r="AO264" s="93"/>
      <c r="AP264" s="93"/>
      <c r="AQ264" s="93"/>
      <c r="AR264" s="93"/>
      <c r="AS264" s="93"/>
      <c r="AT264" s="93"/>
      <c r="AU264" s="93"/>
      <c r="AV264" s="93"/>
      <c r="AW264" s="93"/>
      <c r="AX264" s="93"/>
      <c r="AY264" s="93"/>
      <c r="AZ264" s="93"/>
      <c r="BA264" s="93"/>
      <c r="BB264" s="93"/>
      <c r="BC264" s="93"/>
      <c r="BD264" s="93"/>
      <c r="BE264" s="93"/>
      <c r="BF264" s="93"/>
      <c r="BG264" s="93"/>
      <c r="BH264" s="93"/>
      <c r="BI264" s="93"/>
      <c r="BJ264" s="93"/>
      <c r="BK264" s="93"/>
      <c r="BL264" s="93"/>
      <c r="BM264" s="93"/>
      <c r="BN264" s="93"/>
      <c r="BO264" s="93"/>
      <c r="BP264" s="93"/>
      <c r="BQ264" s="93"/>
      <c r="BR264" s="93"/>
      <c r="BS264" s="93"/>
      <c r="BT264" s="93"/>
      <c r="BU264" s="93"/>
      <c r="BV264" s="93"/>
      <c r="BW264" s="93"/>
      <c r="BX264" s="93"/>
      <c r="BY264" s="93"/>
      <c r="BZ264" s="93"/>
    </row>
    <row r="265">
      <c r="B265" t="s">
        <v>1422</v>
      </c>
      <c r="C265" s="89" t="s">
        <v>1423</v>
      </c>
      <c r="D265" s="90" t="s">
        <v>1424</v>
      </c>
      <c r="E265" s="91">
        <v>2019.0</v>
      </c>
      <c r="F265" s="92">
        <v>1.0</v>
      </c>
      <c r="G265" s="93"/>
      <c r="H265" s="93"/>
      <c r="I265" s="93"/>
      <c r="J265" s="93"/>
      <c r="K265" s="93"/>
      <c r="L265" s="93"/>
      <c r="M265" s="93"/>
      <c r="N265" s="93"/>
      <c r="O265" s="93"/>
      <c r="P265" s="93"/>
      <c r="Q265" s="93"/>
      <c r="R265" s="93"/>
      <c r="S265" s="93"/>
      <c r="T265" s="93"/>
      <c r="U265" s="93"/>
      <c r="V265" s="93"/>
      <c r="W265" s="93"/>
      <c r="X265" s="93"/>
      <c r="Y265" s="93"/>
      <c r="Z265" s="93"/>
      <c r="AA265" s="93"/>
      <c r="AB265" s="93"/>
      <c r="AC265" s="93"/>
      <c r="AD265" s="93"/>
      <c r="AE265" s="93"/>
      <c r="AF265" s="93"/>
      <c r="AG265" s="93"/>
      <c r="AH265" s="94"/>
      <c r="AI265" s="93"/>
      <c r="AJ265" s="93"/>
      <c r="AK265" s="93"/>
      <c r="AL265" s="93"/>
      <c r="AM265" s="93"/>
      <c r="AN265" s="93"/>
      <c r="AO265" s="93"/>
      <c r="AP265" s="93"/>
      <c r="AQ265" s="93"/>
      <c r="AR265" s="93"/>
      <c r="AS265" s="93"/>
      <c r="AT265" s="93"/>
      <c r="AU265" s="93"/>
      <c r="AV265" s="93"/>
      <c r="AW265" s="93"/>
      <c r="AX265" s="93"/>
      <c r="AY265" s="93"/>
      <c r="AZ265" s="93"/>
      <c r="BA265" s="93"/>
      <c r="BB265" s="93"/>
      <c r="BC265" s="93"/>
      <c r="BD265" s="93"/>
      <c r="BE265" s="93"/>
      <c r="BF265" s="93"/>
      <c r="BG265" s="93"/>
      <c r="BH265" s="93"/>
      <c r="BI265" s="93"/>
      <c r="BJ265" s="93"/>
      <c r="BK265" s="93"/>
      <c r="BL265" s="93"/>
      <c r="BM265" s="93"/>
      <c r="BN265" s="93"/>
      <c r="BO265" s="93"/>
      <c r="BP265" s="93"/>
      <c r="BQ265" s="93"/>
      <c r="BR265" s="93"/>
      <c r="BS265" s="93"/>
      <c r="BT265" s="93"/>
      <c r="BU265" s="93"/>
      <c r="BV265" s="93"/>
      <c r="BW265" s="93"/>
      <c r="BX265" s="93"/>
      <c r="BY265" s="93"/>
      <c r="BZ265" s="93"/>
    </row>
    <row r="266">
      <c r="A266" t="s">
        <v>116</v>
      </c>
      <c r="B266" t="s">
        <v>1425</v>
      </c>
      <c r="C266" s="89" t="s">
        <v>1426</v>
      </c>
      <c r="D266" s="90" t="s">
        <v>1427</v>
      </c>
      <c r="E266" s="91">
        <v>2019.0</v>
      </c>
      <c r="F266" s="92">
        <v>1.0</v>
      </c>
      <c r="G266" s="93"/>
      <c r="H266" s="93"/>
      <c r="I266" s="93"/>
      <c r="J266" s="93"/>
      <c r="K266" s="93"/>
      <c r="L266" s="93"/>
      <c r="M266" s="93"/>
      <c r="N266" s="93"/>
      <c r="O266" s="93"/>
      <c r="P266" s="93"/>
      <c r="Q266" s="93"/>
      <c r="R266" s="93"/>
      <c r="S266" s="93"/>
      <c r="T266" s="93"/>
      <c r="U266" s="93"/>
      <c r="V266" s="93"/>
      <c r="W266" s="93"/>
      <c r="X266" s="93"/>
      <c r="Y266" s="93"/>
      <c r="Z266" s="93"/>
      <c r="AA266" s="93"/>
      <c r="AB266" s="93"/>
      <c r="AC266" s="93"/>
      <c r="AD266" s="93"/>
      <c r="AE266" s="93"/>
      <c r="AF266" s="93"/>
      <c r="AG266" s="93"/>
      <c r="AH266" s="94"/>
      <c r="AI266" s="93"/>
      <c r="AJ266" s="93"/>
      <c r="AK266" s="93"/>
      <c r="AL266" s="93"/>
      <c r="AM266" s="93"/>
      <c r="AN266" s="93"/>
      <c r="AO266" s="93"/>
      <c r="AP266" s="93"/>
      <c r="AQ266" s="93"/>
      <c r="AR266" s="93"/>
      <c r="AS266" s="93"/>
      <c r="AT266" s="93"/>
      <c r="AU266" s="93"/>
      <c r="AV266" s="93"/>
      <c r="AW266" s="93"/>
      <c r="AX266" s="93"/>
      <c r="AY266" s="93"/>
      <c r="AZ266" s="93"/>
      <c r="BA266" s="93"/>
      <c r="BB266" s="93"/>
      <c r="BC266" s="93"/>
      <c r="BD266" s="93"/>
      <c r="BE266" s="93"/>
      <c r="BF266" s="93"/>
      <c r="BG266" s="93"/>
      <c r="BH266" s="93"/>
      <c r="BI266" s="93"/>
      <c r="BJ266" s="93"/>
      <c r="BK266" s="93"/>
      <c r="BL266" s="93"/>
      <c r="BM266" s="93"/>
      <c r="BN266" s="93"/>
      <c r="BO266" s="93"/>
      <c r="BP266" s="93"/>
      <c r="BQ266" s="93"/>
      <c r="BR266" s="93"/>
      <c r="BS266" s="93"/>
      <c r="BT266" s="93"/>
      <c r="BU266" s="93"/>
      <c r="BV266" s="93"/>
      <c r="BW266" s="93"/>
      <c r="BX266" s="93"/>
      <c r="BY266" s="93"/>
      <c r="BZ266" s="93"/>
    </row>
    <row r="267">
      <c r="A267" t="s">
        <v>1331</v>
      </c>
      <c r="B267" t="s">
        <v>1428</v>
      </c>
      <c r="C267" s="89" t="s">
        <v>1429</v>
      </c>
      <c r="D267" s="90" t="s">
        <v>1430</v>
      </c>
      <c r="E267" s="91">
        <v>2019.0</v>
      </c>
      <c r="F267" s="92">
        <v>1.0</v>
      </c>
      <c r="G267" s="93"/>
      <c r="H267" s="93"/>
      <c r="I267" s="93"/>
      <c r="J267" s="93"/>
      <c r="K267" s="93"/>
      <c r="L267" s="93"/>
      <c r="M267" s="93"/>
      <c r="N267" s="93"/>
      <c r="O267" s="93"/>
      <c r="P267" s="93"/>
      <c r="Q267" s="93"/>
      <c r="R267" s="93"/>
      <c r="S267" s="93"/>
      <c r="T267" s="93"/>
      <c r="U267" s="93"/>
      <c r="V267" s="93"/>
      <c r="W267" s="93"/>
      <c r="X267" s="93"/>
      <c r="Y267" s="93"/>
      <c r="Z267" s="93"/>
      <c r="AA267" s="93"/>
      <c r="AB267" s="93"/>
      <c r="AC267" s="93"/>
      <c r="AD267" s="93"/>
      <c r="AE267" s="93"/>
      <c r="AF267" s="93"/>
      <c r="AG267" s="93"/>
      <c r="AH267" s="94"/>
      <c r="AI267" s="93"/>
      <c r="AJ267" s="93"/>
      <c r="AK267" s="93"/>
      <c r="AL267" s="93"/>
      <c r="AM267" s="93"/>
      <c r="AN267" s="93"/>
      <c r="AO267" s="93"/>
      <c r="AP267" s="93"/>
      <c r="AQ267" s="93"/>
      <c r="AR267" s="93"/>
      <c r="AS267" s="93"/>
      <c r="AT267" s="93"/>
      <c r="AU267" s="93"/>
      <c r="AV267" s="93"/>
      <c r="AW267" s="93"/>
      <c r="AX267" s="93"/>
      <c r="AY267" s="93"/>
      <c r="AZ267" s="93"/>
      <c r="BA267" s="93"/>
      <c r="BB267" s="93"/>
      <c r="BC267" s="93"/>
      <c r="BD267" s="93"/>
      <c r="BE267" s="93"/>
      <c r="BF267" s="93"/>
      <c r="BG267" s="93"/>
      <c r="BH267" s="93"/>
      <c r="BI267" s="93"/>
      <c r="BJ267" s="93"/>
      <c r="BK267" s="93"/>
      <c r="BL267" s="93"/>
      <c r="BM267" s="93"/>
      <c r="BN267" s="93"/>
      <c r="BO267" s="93"/>
      <c r="BP267" s="93"/>
      <c r="BQ267" s="93"/>
      <c r="BR267" s="93"/>
      <c r="BS267" s="93"/>
      <c r="BT267" s="93"/>
      <c r="BU267" s="93"/>
      <c r="BV267" s="93"/>
      <c r="BW267" s="93"/>
      <c r="BX267" s="93"/>
      <c r="BY267" s="93"/>
      <c r="BZ267" s="93"/>
    </row>
    <row r="268">
      <c r="A268" t="s">
        <v>1340</v>
      </c>
      <c r="B268" t="s">
        <v>1431</v>
      </c>
      <c r="C268" s="89" t="s">
        <v>1432</v>
      </c>
      <c r="D268" s="90" t="s">
        <v>268</v>
      </c>
      <c r="E268" s="91">
        <v>2019.0</v>
      </c>
      <c r="F268" s="93"/>
      <c r="G268" s="93"/>
      <c r="H268" s="93"/>
      <c r="I268" s="93"/>
      <c r="J268" s="93"/>
      <c r="K268" s="93"/>
      <c r="L268" s="93"/>
      <c r="M268" s="93"/>
      <c r="N268" s="93"/>
      <c r="O268" s="93"/>
      <c r="P268" s="92">
        <v>1.0</v>
      </c>
      <c r="Q268" s="93"/>
      <c r="R268" s="93"/>
      <c r="S268" s="93"/>
      <c r="T268" s="93"/>
      <c r="U268" s="93"/>
      <c r="V268" s="93"/>
      <c r="W268" s="98" t="s">
        <v>1433</v>
      </c>
      <c r="X268" s="98" t="s">
        <v>1434</v>
      </c>
      <c r="Y268" s="98" t="s">
        <v>1435</v>
      </c>
      <c r="Z268" s="98" t="s">
        <v>100</v>
      </c>
      <c r="AA268" s="93"/>
      <c r="AB268" s="92">
        <v>1.0</v>
      </c>
      <c r="AC268" s="93"/>
      <c r="AD268" s="92">
        <v>1.0</v>
      </c>
      <c r="AE268" s="93"/>
      <c r="AF268" s="93"/>
      <c r="AG268" s="93"/>
      <c r="AH268" s="96" t="s">
        <v>1436</v>
      </c>
      <c r="AI268" s="92">
        <v>1.0</v>
      </c>
      <c r="AJ268" s="93"/>
      <c r="AK268" s="93"/>
      <c r="AL268" s="93"/>
      <c r="AM268" s="93"/>
      <c r="AN268" s="92">
        <v>1.0</v>
      </c>
      <c r="AO268" s="92">
        <v>1.0</v>
      </c>
      <c r="AP268" s="93"/>
      <c r="AQ268" s="93"/>
      <c r="AR268" s="92">
        <v>1.0</v>
      </c>
      <c r="AS268" s="93"/>
      <c r="AT268" s="93"/>
      <c r="AU268" s="93"/>
      <c r="AV268" s="93"/>
      <c r="AW268" s="93"/>
      <c r="AX268" s="93"/>
      <c r="AY268" s="93"/>
      <c r="AZ268" s="93"/>
      <c r="BA268" s="93"/>
      <c r="BB268" s="93"/>
      <c r="BC268" s="93"/>
      <c r="BD268" s="93"/>
      <c r="BE268" s="93"/>
      <c r="BF268" s="93"/>
      <c r="BG268" s="93"/>
      <c r="BH268" s="93"/>
      <c r="BI268" s="93"/>
      <c r="BJ268" s="93"/>
      <c r="BK268" s="93"/>
      <c r="BL268" s="93"/>
      <c r="BM268" s="93"/>
      <c r="BN268" s="93"/>
      <c r="BO268" s="93"/>
      <c r="BP268" s="93"/>
      <c r="BQ268" s="93"/>
      <c r="BR268" s="93"/>
      <c r="BS268" s="93"/>
      <c r="BT268" s="93"/>
      <c r="BU268" s="93"/>
      <c r="BV268" s="92">
        <v>1.0</v>
      </c>
      <c r="BW268" s="92">
        <v>1.0</v>
      </c>
      <c r="BX268" s="93"/>
      <c r="BY268" s="92">
        <v>1.0</v>
      </c>
      <c r="BZ268" s="93"/>
    </row>
    <row r="269">
      <c r="A269" t="s">
        <v>1354</v>
      </c>
      <c r="B269" t="s">
        <v>1437</v>
      </c>
      <c r="C269" s="89" t="s">
        <v>1438</v>
      </c>
      <c r="D269" s="90" t="s">
        <v>268</v>
      </c>
      <c r="E269" s="91">
        <v>2018.0</v>
      </c>
      <c r="F269" s="93"/>
      <c r="G269" s="93"/>
      <c r="H269" s="93"/>
      <c r="I269" s="93"/>
      <c r="J269" s="99">
        <v>1.0</v>
      </c>
      <c r="K269" s="93"/>
      <c r="L269" s="93"/>
      <c r="M269" s="93"/>
      <c r="N269" s="93"/>
      <c r="O269" s="93"/>
      <c r="P269" s="93"/>
      <c r="Q269" s="93"/>
      <c r="R269" s="93"/>
      <c r="S269" s="93"/>
      <c r="T269" s="93"/>
      <c r="U269" s="93"/>
      <c r="V269" s="93"/>
      <c r="W269" s="98" t="s">
        <v>1439</v>
      </c>
      <c r="X269" s="101" t="s">
        <v>1440</v>
      </c>
      <c r="Y269" s="98" t="s">
        <v>1441</v>
      </c>
      <c r="Z269" s="98" t="s">
        <v>137</v>
      </c>
      <c r="AA269" s="99">
        <v>1.0</v>
      </c>
      <c r="AB269" s="93"/>
      <c r="AC269" s="93"/>
      <c r="AD269" s="99">
        <v>1.0</v>
      </c>
      <c r="AE269" s="93"/>
      <c r="AF269" s="93"/>
      <c r="AG269" s="93"/>
      <c r="AH269" s="96" t="s">
        <v>1442</v>
      </c>
      <c r="AI269" s="99">
        <v>1.0</v>
      </c>
      <c r="AJ269" s="93"/>
      <c r="AK269" s="93"/>
      <c r="AL269" s="93"/>
      <c r="AM269" s="93"/>
      <c r="AN269" s="93"/>
      <c r="AO269" s="93"/>
      <c r="AP269" s="93"/>
      <c r="AQ269" s="93"/>
      <c r="AR269" s="93"/>
      <c r="AS269" s="93"/>
      <c r="AT269" s="93"/>
      <c r="AU269" s="93"/>
      <c r="AV269" s="93"/>
      <c r="AW269" s="93"/>
      <c r="AX269" s="93"/>
      <c r="AY269" s="93"/>
      <c r="AZ269" s="93"/>
      <c r="BA269" s="93"/>
      <c r="BB269" s="93"/>
      <c r="BC269" s="93"/>
      <c r="BD269" s="93"/>
      <c r="BE269" s="93"/>
      <c r="BF269" s="93"/>
      <c r="BG269" s="93"/>
      <c r="BH269" s="99">
        <v>1.0</v>
      </c>
      <c r="BI269" s="93"/>
      <c r="BJ269" s="93"/>
      <c r="BK269" s="93"/>
      <c r="BL269" s="93"/>
      <c r="BM269" s="93"/>
      <c r="BN269" s="93"/>
      <c r="BO269" s="93"/>
      <c r="BP269" s="93"/>
      <c r="BQ269" s="93"/>
      <c r="BR269" s="93"/>
      <c r="BS269" s="93"/>
      <c r="BT269" s="93"/>
      <c r="BU269" s="93"/>
      <c r="BV269" s="99">
        <v>1.0</v>
      </c>
      <c r="BW269" s="99">
        <v>1.0</v>
      </c>
      <c r="BX269" s="93"/>
      <c r="BY269" s="99">
        <v>1.0</v>
      </c>
      <c r="BZ269" s="93"/>
    </row>
    <row r="270">
      <c r="B270" t="s">
        <v>1443</v>
      </c>
      <c r="C270" s="89" t="s">
        <v>1444</v>
      </c>
      <c r="D270" s="90" t="s">
        <v>1445</v>
      </c>
      <c r="E270" s="91">
        <v>2019.0</v>
      </c>
      <c r="F270" s="92">
        <v>1.0</v>
      </c>
      <c r="G270" s="93"/>
      <c r="H270" s="93"/>
      <c r="I270" s="93"/>
      <c r="J270" s="93"/>
      <c r="K270" s="93"/>
      <c r="L270" s="93"/>
      <c r="M270" s="93"/>
      <c r="N270" s="93"/>
      <c r="O270" s="93"/>
      <c r="P270" s="93"/>
      <c r="Q270" s="93"/>
      <c r="R270" s="93"/>
      <c r="S270" s="93"/>
      <c r="T270" s="93"/>
      <c r="U270" s="93"/>
      <c r="V270" s="93"/>
      <c r="W270" s="93"/>
      <c r="X270" s="93"/>
      <c r="Y270" s="93"/>
      <c r="Z270" s="93"/>
      <c r="AA270" s="93"/>
      <c r="AB270" s="93"/>
      <c r="AC270" s="93"/>
      <c r="AD270" s="93"/>
      <c r="AE270" s="93"/>
      <c r="AF270" s="93"/>
      <c r="AG270" s="93"/>
      <c r="AH270" s="94"/>
      <c r="AI270" s="93"/>
      <c r="AJ270" s="93"/>
      <c r="AK270" s="93"/>
      <c r="AL270" s="93"/>
      <c r="AM270" s="93"/>
      <c r="AN270" s="93"/>
      <c r="AO270" s="93"/>
      <c r="AP270" s="93"/>
      <c r="AQ270" s="93"/>
      <c r="AR270" s="93"/>
      <c r="AS270" s="93"/>
      <c r="AT270" s="93"/>
      <c r="AU270" s="93"/>
      <c r="AV270" s="93"/>
      <c r="AW270" s="93"/>
      <c r="AX270" s="93"/>
      <c r="AY270" s="93"/>
      <c r="AZ270" s="93"/>
      <c r="BA270" s="93"/>
      <c r="BB270" s="93"/>
      <c r="BC270" s="93"/>
      <c r="BD270" s="93"/>
      <c r="BE270" s="93"/>
      <c r="BF270" s="93"/>
      <c r="BG270" s="93"/>
      <c r="BH270" s="93"/>
      <c r="BI270" s="93"/>
      <c r="BJ270" s="93"/>
      <c r="BK270" s="93"/>
      <c r="BL270" s="93"/>
      <c r="BM270" s="93"/>
      <c r="BN270" s="93"/>
      <c r="BO270" s="93"/>
      <c r="BP270" s="93"/>
      <c r="BQ270" s="93"/>
      <c r="BR270" s="93"/>
      <c r="BS270" s="93"/>
      <c r="BT270" s="93"/>
      <c r="BU270" s="93"/>
      <c r="BV270" s="93"/>
      <c r="BW270" s="93"/>
      <c r="BX270" s="93"/>
      <c r="BY270" s="93"/>
      <c r="BZ270" s="93"/>
    </row>
    <row r="271">
      <c r="B271" t="s">
        <v>1446</v>
      </c>
      <c r="C271" s="89" t="s">
        <v>1447</v>
      </c>
      <c r="D271" s="90" t="s">
        <v>1448</v>
      </c>
      <c r="E271" s="91">
        <v>2019.0</v>
      </c>
      <c r="F271" s="92">
        <v>1.0</v>
      </c>
      <c r="G271" s="93"/>
      <c r="H271" s="93"/>
      <c r="I271" s="93"/>
      <c r="J271" s="93"/>
      <c r="K271" s="93"/>
      <c r="L271" s="93"/>
      <c r="M271" s="93"/>
      <c r="N271" s="93"/>
      <c r="O271" s="93"/>
      <c r="P271" s="93"/>
      <c r="Q271" s="93"/>
      <c r="R271" s="93"/>
      <c r="S271" s="93"/>
      <c r="T271" s="93"/>
      <c r="U271" s="93"/>
      <c r="V271" s="93"/>
      <c r="W271" s="93"/>
      <c r="X271" s="93"/>
      <c r="Y271" s="93"/>
      <c r="Z271" s="93"/>
      <c r="AA271" s="93"/>
      <c r="AB271" s="93"/>
      <c r="AC271" s="93"/>
      <c r="AD271" s="93"/>
      <c r="AE271" s="93"/>
      <c r="AF271" s="93"/>
      <c r="AG271" s="93"/>
      <c r="AH271" s="94"/>
      <c r="AI271" s="93"/>
      <c r="AJ271" s="93"/>
      <c r="AK271" s="93"/>
      <c r="AL271" s="93"/>
      <c r="AM271" s="93"/>
      <c r="AN271" s="93"/>
      <c r="AO271" s="93"/>
      <c r="AP271" s="93"/>
      <c r="AQ271" s="93"/>
      <c r="AR271" s="93"/>
      <c r="AS271" s="93"/>
      <c r="AT271" s="93"/>
      <c r="AU271" s="93"/>
      <c r="AV271" s="93"/>
      <c r="AW271" s="93"/>
      <c r="AX271" s="93"/>
      <c r="AY271" s="93"/>
      <c r="AZ271" s="93"/>
      <c r="BA271" s="93"/>
      <c r="BB271" s="93"/>
      <c r="BC271" s="93"/>
      <c r="BD271" s="93"/>
      <c r="BE271" s="93"/>
      <c r="BF271" s="93"/>
      <c r="BG271" s="93"/>
      <c r="BH271" s="93"/>
      <c r="BI271" s="93"/>
      <c r="BJ271" s="93"/>
      <c r="BK271" s="93"/>
      <c r="BL271" s="93"/>
      <c r="BM271" s="93"/>
      <c r="BN271" s="93"/>
      <c r="BO271" s="93"/>
      <c r="BP271" s="93"/>
      <c r="BQ271" s="93"/>
      <c r="BR271" s="93"/>
      <c r="BS271" s="93"/>
      <c r="BT271" s="93"/>
      <c r="BU271" s="93"/>
      <c r="BV271" s="93"/>
      <c r="BW271" s="93"/>
      <c r="BX271" s="93"/>
      <c r="BY271" s="93"/>
      <c r="BZ271" s="93"/>
    </row>
    <row r="272">
      <c r="A272" t="s">
        <v>116</v>
      </c>
      <c r="B272" t="s">
        <v>1449</v>
      </c>
      <c r="C272" s="89" t="s">
        <v>1450</v>
      </c>
      <c r="D272" s="90" t="s">
        <v>268</v>
      </c>
      <c r="E272" s="91">
        <v>2019.0</v>
      </c>
      <c r="F272" s="95"/>
      <c r="G272" s="93"/>
      <c r="H272" s="93"/>
      <c r="I272" s="92">
        <v>1.0</v>
      </c>
      <c r="J272" s="93"/>
      <c r="K272" s="92">
        <v>1.0</v>
      </c>
      <c r="L272" s="92">
        <v>1.0</v>
      </c>
      <c r="M272" s="93"/>
      <c r="N272" s="93"/>
      <c r="O272" s="93"/>
      <c r="P272" s="93"/>
      <c r="Q272" s="93"/>
      <c r="R272" s="93"/>
      <c r="S272" s="93"/>
      <c r="T272" s="93"/>
      <c r="U272" s="93"/>
      <c r="V272" s="93"/>
      <c r="W272" s="95" t="s">
        <v>1451</v>
      </c>
      <c r="X272" s="95" t="s">
        <v>239</v>
      </c>
      <c r="Y272" s="95" t="s">
        <v>1452</v>
      </c>
      <c r="Z272" s="95" t="s">
        <v>122</v>
      </c>
      <c r="AA272" s="92">
        <v>1.0</v>
      </c>
      <c r="AB272" s="93"/>
      <c r="AC272" s="93"/>
      <c r="AD272" s="92">
        <v>1.0</v>
      </c>
      <c r="AE272" s="93"/>
      <c r="AF272" s="93"/>
      <c r="AG272" s="93"/>
      <c r="AH272" s="96" t="s">
        <v>1453</v>
      </c>
      <c r="AI272" s="92">
        <v>1.0</v>
      </c>
      <c r="AJ272" s="93"/>
      <c r="AK272" s="93"/>
      <c r="AL272" s="93"/>
      <c r="AM272" s="93"/>
      <c r="AN272" s="93"/>
      <c r="AO272" s="93"/>
      <c r="AP272" s="93"/>
      <c r="AQ272" s="93"/>
      <c r="AR272" s="93"/>
      <c r="AS272" s="93"/>
      <c r="AT272" s="93"/>
      <c r="AU272" s="93"/>
      <c r="AV272" s="93"/>
      <c r="AW272" s="93"/>
      <c r="AX272" s="93"/>
      <c r="AY272" s="93"/>
      <c r="AZ272" s="93"/>
      <c r="BA272" s="93"/>
      <c r="BB272" s="93"/>
      <c r="BC272" s="93"/>
      <c r="BD272" s="93"/>
      <c r="BE272" s="92">
        <v>1.0</v>
      </c>
      <c r="BF272" s="95"/>
      <c r="BG272" s="93"/>
      <c r="BH272" s="93"/>
      <c r="BI272" s="92">
        <v>1.0</v>
      </c>
      <c r="BJ272" s="93"/>
      <c r="BK272" s="93"/>
      <c r="BL272" s="93"/>
      <c r="BM272" s="93"/>
      <c r="BN272" s="93"/>
      <c r="BO272" s="93"/>
      <c r="BP272" s="93"/>
      <c r="BQ272" s="93"/>
      <c r="BR272" s="93"/>
      <c r="BS272" s="93"/>
      <c r="BT272" s="93"/>
      <c r="BU272" s="93"/>
      <c r="BV272" s="93"/>
      <c r="BW272" s="92">
        <v>1.0</v>
      </c>
      <c r="BX272" s="93"/>
      <c r="BY272" s="92">
        <v>1.0</v>
      </c>
      <c r="BZ272" s="93"/>
    </row>
    <row r="273">
      <c r="A273" t="s">
        <v>1331</v>
      </c>
      <c r="B273" t="s">
        <v>1454</v>
      </c>
      <c r="C273" s="89" t="s">
        <v>1455</v>
      </c>
      <c r="D273" s="90" t="s">
        <v>1456</v>
      </c>
      <c r="E273" s="91">
        <v>2019.0</v>
      </c>
      <c r="F273" s="95"/>
      <c r="G273" s="93"/>
      <c r="H273" s="93"/>
      <c r="I273" s="92">
        <v>1.0</v>
      </c>
      <c r="J273" s="95"/>
      <c r="K273" s="93"/>
      <c r="L273" s="93"/>
      <c r="M273" s="93"/>
      <c r="N273" s="95"/>
      <c r="O273" s="93"/>
      <c r="P273" s="95"/>
      <c r="Q273" s="95"/>
      <c r="R273" s="93"/>
      <c r="S273" s="93"/>
      <c r="T273" s="93"/>
      <c r="U273" s="93"/>
      <c r="V273" s="93"/>
      <c r="W273" s="95" t="s">
        <v>1457</v>
      </c>
      <c r="X273" s="95" t="s">
        <v>1458</v>
      </c>
      <c r="Y273" s="95" t="s">
        <v>1459</v>
      </c>
      <c r="Z273" s="95" t="s">
        <v>1385</v>
      </c>
      <c r="AA273" s="93"/>
      <c r="AB273" s="92">
        <v>1.0</v>
      </c>
      <c r="AC273" s="93"/>
      <c r="AD273" s="92">
        <v>1.0</v>
      </c>
      <c r="AE273" s="93"/>
      <c r="AF273" s="93"/>
      <c r="AG273" s="93"/>
      <c r="AH273" s="96" t="s">
        <v>1460</v>
      </c>
      <c r="AI273" s="92">
        <v>1.0</v>
      </c>
      <c r="AJ273" s="93"/>
      <c r="AK273" s="93"/>
      <c r="AL273" s="93"/>
      <c r="AM273" s="93"/>
      <c r="AN273" s="93"/>
      <c r="AO273" s="93"/>
      <c r="AP273" s="93"/>
      <c r="AQ273" s="93"/>
      <c r="AR273" s="92">
        <v>1.0</v>
      </c>
      <c r="AS273" s="93"/>
      <c r="AT273" s="93"/>
      <c r="AU273" s="93"/>
      <c r="AV273" s="93"/>
      <c r="AW273" s="93"/>
      <c r="AX273" s="93"/>
      <c r="AY273" s="92">
        <v>1.0</v>
      </c>
      <c r="AZ273" s="93"/>
      <c r="BA273" s="93"/>
      <c r="BB273" s="93"/>
      <c r="BC273" s="93"/>
      <c r="BD273" s="93"/>
      <c r="BE273" s="93"/>
      <c r="BF273" s="93"/>
      <c r="BG273" s="93"/>
      <c r="BH273" s="93"/>
      <c r="BI273" s="93"/>
      <c r="BJ273" s="93"/>
      <c r="BK273" s="93"/>
      <c r="BL273" s="93"/>
      <c r="BM273" s="93"/>
      <c r="BN273" s="93"/>
      <c r="BO273" s="93"/>
      <c r="BP273" s="93"/>
      <c r="BQ273" s="93"/>
      <c r="BR273" s="93"/>
      <c r="BS273" s="93"/>
      <c r="BT273" s="93"/>
      <c r="BU273" s="93"/>
      <c r="BV273" s="93"/>
      <c r="BW273" s="93"/>
      <c r="BX273" s="92">
        <v>1.0</v>
      </c>
      <c r="BY273" s="92">
        <v>1.0</v>
      </c>
      <c r="BZ273" s="92">
        <v>1.0</v>
      </c>
    </row>
    <row r="274">
      <c r="B274" t="s">
        <v>1461</v>
      </c>
      <c r="C274" s="89" t="s">
        <v>1462</v>
      </c>
      <c r="D274" s="90" t="s">
        <v>1463</v>
      </c>
      <c r="E274" s="91">
        <v>2019.0</v>
      </c>
      <c r="F274" s="92">
        <v>1.0</v>
      </c>
      <c r="G274" s="93"/>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93"/>
      <c r="AF274" s="93"/>
      <c r="AG274" s="93"/>
      <c r="AH274" s="94"/>
      <c r="AI274" s="93"/>
      <c r="AJ274" s="93"/>
      <c r="AK274" s="93"/>
      <c r="AL274" s="93"/>
      <c r="AM274" s="93"/>
      <c r="AN274" s="93"/>
      <c r="AO274" s="93"/>
      <c r="AP274" s="93"/>
      <c r="AQ274" s="93"/>
      <c r="AR274" s="93"/>
      <c r="AS274" s="93"/>
      <c r="AT274" s="93"/>
      <c r="AU274" s="93"/>
      <c r="AV274" s="93"/>
      <c r="AW274" s="93"/>
      <c r="AX274" s="93"/>
      <c r="AY274" s="93"/>
      <c r="AZ274" s="93"/>
      <c r="BA274" s="93"/>
      <c r="BB274" s="93"/>
      <c r="BC274" s="93"/>
      <c r="BD274" s="93"/>
      <c r="BE274" s="93"/>
      <c r="BF274" s="93"/>
      <c r="BG274" s="93"/>
      <c r="BH274" s="93"/>
      <c r="BI274" s="93"/>
      <c r="BJ274" s="93"/>
      <c r="BK274" s="93"/>
      <c r="BL274" s="93"/>
      <c r="BM274" s="93"/>
      <c r="BN274" s="93"/>
      <c r="BO274" s="93"/>
      <c r="BP274" s="93"/>
      <c r="BQ274" s="93"/>
      <c r="BR274" s="93"/>
      <c r="BS274" s="93"/>
      <c r="BT274" s="93"/>
      <c r="BU274" s="93"/>
      <c r="BV274" s="93"/>
      <c r="BW274" s="93"/>
      <c r="BX274" s="93"/>
      <c r="BY274" s="93"/>
      <c r="BZ274" s="93"/>
    </row>
    <row r="275">
      <c r="A275" t="s">
        <v>1340</v>
      </c>
      <c r="B275" t="s">
        <v>1464</v>
      </c>
      <c r="C275" s="89" t="s">
        <v>1465</v>
      </c>
      <c r="D275" s="90" t="s">
        <v>1466</v>
      </c>
      <c r="E275" s="91">
        <v>2019.0</v>
      </c>
      <c r="F275" s="93"/>
      <c r="G275" s="93"/>
      <c r="H275" s="93"/>
      <c r="I275" s="92">
        <v>1.0</v>
      </c>
      <c r="J275" s="93"/>
      <c r="K275" s="93"/>
      <c r="L275" s="93"/>
      <c r="M275" s="93"/>
      <c r="N275" s="93"/>
      <c r="O275" s="93"/>
      <c r="P275" s="93"/>
      <c r="Q275" s="92">
        <v>1.0</v>
      </c>
      <c r="R275" s="93"/>
      <c r="S275" s="93"/>
      <c r="T275" s="93"/>
      <c r="U275" s="93"/>
      <c r="V275" s="93"/>
      <c r="W275" s="98" t="s">
        <v>1467</v>
      </c>
      <c r="X275" s="98" t="s">
        <v>1468</v>
      </c>
      <c r="Y275" s="98" t="s">
        <v>1469</v>
      </c>
      <c r="Z275" s="98" t="s">
        <v>137</v>
      </c>
      <c r="AA275" s="93"/>
      <c r="AB275" s="92">
        <v>1.0</v>
      </c>
      <c r="AC275" s="93"/>
      <c r="AD275" s="92">
        <v>1.0</v>
      </c>
      <c r="AE275" s="93"/>
      <c r="AF275" s="93"/>
      <c r="AG275" s="93"/>
      <c r="AH275" s="96" t="s">
        <v>1470</v>
      </c>
      <c r="AI275" s="92">
        <v>1.0</v>
      </c>
      <c r="AJ275" s="93"/>
      <c r="AK275" s="93"/>
      <c r="AL275" s="93"/>
      <c r="AM275" s="93"/>
      <c r="AN275" s="93"/>
      <c r="AO275" s="93"/>
      <c r="AP275" s="93"/>
      <c r="AQ275" s="93"/>
      <c r="AR275" s="92">
        <v>1.0</v>
      </c>
      <c r="AS275" s="93"/>
      <c r="AT275" s="92">
        <v>1.0</v>
      </c>
      <c r="AU275" s="93"/>
      <c r="AV275" s="93"/>
      <c r="AW275" s="93"/>
      <c r="AX275" s="93"/>
      <c r="AY275" s="93"/>
      <c r="AZ275" s="93"/>
      <c r="BA275" s="93"/>
      <c r="BB275" s="93"/>
      <c r="BC275" s="93"/>
      <c r="BD275" s="93"/>
      <c r="BE275" s="93"/>
      <c r="BF275" s="93"/>
      <c r="BG275" s="93"/>
      <c r="BH275" s="93"/>
      <c r="BI275" s="93"/>
      <c r="BJ275" s="93"/>
      <c r="BK275" s="93"/>
      <c r="BL275" s="93"/>
      <c r="BM275" s="93"/>
      <c r="BN275" s="93"/>
      <c r="BO275" s="93"/>
      <c r="BP275" s="93"/>
      <c r="BQ275" s="92">
        <v>1.0</v>
      </c>
      <c r="BR275" s="93"/>
      <c r="BS275" s="92">
        <v>1.0</v>
      </c>
      <c r="BT275" s="93"/>
      <c r="BU275" s="93"/>
      <c r="BV275" s="93"/>
      <c r="BW275" s="93"/>
      <c r="BX275" s="93"/>
      <c r="BY275" s="93"/>
      <c r="BZ275" s="93"/>
    </row>
    <row r="276">
      <c r="A276" t="s">
        <v>1354</v>
      </c>
      <c r="B276" t="s">
        <v>1471</v>
      </c>
      <c r="C276" s="89" t="s">
        <v>1472</v>
      </c>
      <c r="D276" s="90" t="s">
        <v>1473</v>
      </c>
      <c r="E276" s="91">
        <v>2019.0</v>
      </c>
      <c r="F276" s="98"/>
      <c r="G276" s="93"/>
      <c r="H276" s="93"/>
      <c r="I276" s="93"/>
      <c r="J276" s="93"/>
      <c r="K276" s="99">
        <v>1.0</v>
      </c>
      <c r="L276" s="93"/>
      <c r="M276" s="93"/>
      <c r="N276" s="93"/>
      <c r="O276" s="93"/>
      <c r="P276" s="93"/>
      <c r="Q276" s="93"/>
      <c r="R276" s="93"/>
      <c r="S276" s="93"/>
      <c r="T276" s="93"/>
      <c r="U276" s="93"/>
      <c r="V276" s="93"/>
      <c r="W276" s="98" t="s">
        <v>1474</v>
      </c>
      <c r="X276" s="98" t="s">
        <v>1475</v>
      </c>
      <c r="Y276" s="98" t="s">
        <v>1476</v>
      </c>
      <c r="Z276" s="93"/>
      <c r="AA276" s="99">
        <v>1.0</v>
      </c>
      <c r="AB276" s="99">
        <v>1.0</v>
      </c>
      <c r="AC276" s="93"/>
      <c r="AD276" s="99">
        <v>1.0</v>
      </c>
      <c r="AE276" s="93"/>
      <c r="AF276" s="93"/>
      <c r="AG276" s="93"/>
      <c r="AH276" s="96" t="s">
        <v>1477</v>
      </c>
      <c r="AI276" s="99">
        <v>1.0</v>
      </c>
      <c r="AJ276" s="99">
        <v>1.0</v>
      </c>
      <c r="AK276" s="99">
        <v>1.0</v>
      </c>
      <c r="AL276" s="93"/>
      <c r="AM276" s="93"/>
      <c r="AN276" s="93"/>
      <c r="AO276" s="93"/>
      <c r="AP276" s="93"/>
      <c r="AQ276" s="93"/>
      <c r="AR276" s="99">
        <v>1.0</v>
      </c>
      <c r="AS276" s="93"/>
      <c r="AT276" s="93"/>
      <c r="AU276" s="93"/>
      <c r="AV276" s="93"/>
      <c r="AW276" s="93"/>
      <c r="AX276" s="93"/>
      <c r="AY276" s="93"/>
      <c r="AZ276" s="93"/>
      <c r="BA276" s="93"/>
      <c r="BB276" s="93"/>
      <c r="BC276" s="93"/>
      <c r="BD276" s="93"/>
      <c r="BE276" s="93"/>
      <c r="BF276" s="93"/>
      <c r="BG276" s="93"/>
      <c r="BH276" s="93"/>
      <c r="BI276" s="93"/>
      <c r="BJ276" s="93"/>
      <c r="BK276" s="93"/>
      <c r="BL276" s="93"/>
      <c r="BM276" s="93"/>
      <c r="BN276" s="93"/>
      <c r="BO276" s="93"/>
      <c r="BP276" s="93"/>
      <c r="BQ276" s="93"/>
      <c r="BR276" s="93"/>
      <c r="BS276" s="93"/>
      <c r="BT276" s="93"/>
      <c r="BU276" s="93"/>
      <c r="BV276" s="93"/>
      <c r="BW276" s="93"/>
      <c r="BX276" s="98" t="s">
        <v>748</v>
      </c>
      <c r="BY276" s="93"/>
      <c r="BZ276" s="99">
        <v>1.0</v>
      </c>
    </row>
    <row r="277">
      <c r="A277" t="s">
        <v>116</v>
      </c>
      <c r="B277" t="s">
        <v>1478</v>
      </c>
      <c r="C277" s="89" t="s">
        <v>1479</v>
      </c>
      <c r="D277" s="90" t="s">
        <v>1480</v>
      </c>
      <c r="E277" s="91">
        <v>2019.0</v>
      </c>
      <c r="F277" s="93"/>
      <c r="G277" s="93"/>
      <c r="H277" s="95"/>
      <c r="I277" s="92">
        <v>1.0</v>
      </c>
      <c r="J277" s="93"/>
      <c r="K277" s="93"/>
      <c r="L277" s="93"/>
      <c r="M277" s="93"/>
      <c r="N277" s="93"/>
      <c r="O277" s="93"/>
      <c r="P277" s="93"/>
      <c r="Q277" s="93"/>
      <c r="R277" s="93"/>
      <c r="S277" s="93"/>
      <c r="T277" s="93"/>
      <c r="U277" s="93"/>
      <c r="V277" s="93"/>
      <c r="W277" s="95" t="s">
        <v>1481</v>
      </c>
      <c r="X277" s="95" t="s">
        <v>1482</v>
      </c>
      <c r="Y277" s="95" t="s">
        <v>1483</v>
      </c>
      <c r="Z277" s="95" t="s">
        <v>122</v>
      </c>
      <c r="AA277" s="92">
        <v>1.0</v>
      </c>
      <c r="AB277" s="93"/>
      <c r="AC277" s="93"/>
      <c r="AD277" s="92">
        <v>1.0</v>
      </c>
      <c r="AE277" s="93"/>
      <c r="AF277" s="93"/>
      <c r="AG277" s="93"/>
      <c r="AH277" s="96" t="s">
        <v>1484</v>
      </c>
      <c r="AI277" s="92">
        <v>1.0</v>
      </c>
      <c r="AJ277" s="93"/>
      <c r="AK277" s="93"/>
      <c r="AL277" s="93"/>
      <c r="AM277" s="93"/>
      <c r="AN277" s="93"/>
      <c r="AO277" s="93"/>
      <c r="AP277" s="93"/>
      <c r="AQ277" s="93"/>
      <c r="AR277" s="92">
        <v>1.0</v>
      </c>
      <c r="AS277" s="93"/>
      <c r="AT277" s="93"/>
      <c r="AU277" s="93"/>
      <c r="AV277" s="93"/>
      <c r="AW277" s="93"/>
      <c r="AX277" s="93"/>
      <c r="AY277" s="93"/>
      <c r="AZ277" s="93"/>
      <c r="BA277" s="93"/>
      <c r="BB277" s="93"/>
      <c r="BC277" s="93"/>
      <c r="BD277" s="93"/>
      <c r="BE277" s="93"/>
      <c r="BF277" s="92">
        <v>1.0</v>
      </c>
      <c r="BG277" s="93"/>
      <c r="BH277" s="93"/>
      <c r="BI277" s="93"/>
      <c r="BJ277" s="93"/>
      <c r="BK277" s="93"/>
      <c r="BL277" s="93"/>
      <c r="BM277" s="93"/>
      <c r="BN277" s="93"/>
      <c r="BO277" s="93"/>
      <c r="BP277" s="93"/>
      <c r="BQ277" s="93"/>
      <c r="BR277" s="93"/>
      <c r="BS277" s="93"/>
      <c r="BT277" s="93"/>
      <c r="BU277" s="93"/>
      <c r="BV277" s="93"/>
      <c r="BW277" s="93"/>
      <c r="BX277" s="92">
        <v>1.0</v>
      </c>
      <c r="BY277" s="92">
        <v>1.0</v>
      </c>
      <c r="BZ277" s="93"/>
    </row>
    <row r="278">
      <c r="B278" t="s">
        <v>1485</v>
      </c>
      <c r="C278" s="89" t="s">
        <v>1486</v>
      </c>
      <c r="D278" s="90" t="s">
        <v>1487</v>
      </c>
      <c r="E278" s="91">
        <v>2019.0</v>
      </c>
      <c r="F278" s="95" t="s">
        <v>1488</v>
      </c>
      <c r="G278" s="93"/>
      <c r="H278" s="93"/>
      <c r="I278" s="93"/>
      <c r="J278" s="93"/>
      <c r="K278" s="93"/>
      <c r="L278" s="93"/>
      <c r="M278" s="93"/>
      <c r="N278" s="93"/>
      <c r="O278" s="93"/>
      <c r="P278" s="93"/>
      <c r="Q278" s="93"/>
      <c r="R278" s="93"/>
      <c r="S278" s="93"/>
      <c r="T278" s="93"/>
      <c r="U278" s="93"/>
      <c r="V278" s="93"/>
      <c r="W278" s="93"/>
      <c r="X278" s="93"/>
      <c r="Y278" s="93"/>
      <c r="Z278" s="93"/>
      <c r="AA278" s="93"/>
      <c r="AB278" s="93"/>
      <c r="AC278" s="93"/>
      <c r="AD278" s="93"/>
      <c r="AE278" s="93"/>
      <c r="AF278" s="93"/>
      <c r="AG278" s="93"/>
      <c r="AH278" s="94"/>
      <c r="AI278" s="93"/>
      <c r="AJ278" s="93"/>
      <c r="AK278" s="93"/>
      <c r="AL278" s="93"/>
      <c r="AM278" s="93"/>
      <c r="AN278" s="93"/>
      <c r="AO278" s="93"/>
      <c r="AP278" s="93"/>
      <c r="AQ278" s="93"/>
      <c r="AR278" s="93"/>
      <c r="AS278" s="93"/>
      <c r="AT278" s="93"/>
      <c r="AU278" s="93"/>
      <c r="AV278" s="93"/>
      <c r="AW278" s="93"/>
      <c r="AX278" s="93"/>
      <c r="AY278" s="93"/>
      <c r="AZ278" s="93"/>
      <c r="BA278" s="93"/>
      <c r="BB278" s="93"/>
      <c r="BC278" s="93"/>
      <c r="BD278" s="93"/>
      <c r="BE278" s="93"/>
      <c r="BF278" s="93"/>
      <c r="BG278" s="93"/>
      <c r="BH278" s="93"/>
      <c r="BI278" s="93"/>
      <c r="BJ278" s="93"/>
      <c r="BK278" s="93"/>
      <c r="BL278" s="93"/>
      <c r="BM278" s="93"/>
      <c r="BN278" s="93"/>
      <c r="BO278" s="93"/>
      <c r="BP278" s="93"/>
      <c r="BQ278" s="93"/>
      <c r="BR278" s="93"/>
      <c r="BS278" s="93"/>
      <c r="BT278" s="93"/>
      <c r="BU278" s="93"/>
      <c r="BV278" s="93"/>
      <c r="BW278" s="93"/>
      <c r="BX278" s="93"/>
      <c r="BY278" s="93"/>
      <c r="BZ278" s="93"/>
    </row>
    <row r="279">
      <c r="A279" t="s">
        <v>1331</v>
      </c>
      <c r="B279" t="s">
        <v>1489</v>
      </c>
      <c r="C279" s="89" t="s">
        <v>1490</v>
      </c>
      <c r="D279" s="90" t="s">
        <v>1491</v>
      </c>
      <c r="E279" s="91">
        <v>2019.0</v>
      </c>
      <c r="F279" s="93"/>
      <c r="G279" s="93"/>
      <c r="H279" s="95"/>
      <c r="I279" s="92">
        <v>1.0</v>
      </c>
      <c r="J279" s="93"/>
      <c r="K279" s="93"/>
      <c r="L279" s="93"/>
      <c r="M279" s="93"/>
      <c r="N279" s="93"/>
      <c r="O279" s="93"/>
      <c r="P279" s="93"/>
      <c r="Q279" s="93"/>
      <c r="R279" s="93"/>
      <c r="S279" s="93"/>
      <c r="T279" s="93"/>
      <c r="U279" s="93"/>
      <c r="V279" s="93"/>
      <c r="W279" s="95" t="s">
        <v>1492</v>
      </c>
      <c r="X279" s="95" t="s">
        <v>1493</v>
      </c>
      <c r="Y279" s="95" t="s">
        <v>1494</v>
      </c>
      <c r="Z279" s="95" t="s">
        <v>1385</v>
      </c>
      <c r="AA279" s="92">
        <v>1.0</v>
      </c>
      <c r="AB279" s="93"/>
      <c r="AC279" s="93"/>
      <c r="AD279" s="92">
        <v>1.0</v>
      </c>
      <c r="AE279" s="93"/>
      <c r="AF279" s="93"/>
      <c r="AG279" s="93"/>
      <c r="AH279" s="96" t="s">
        <v>1495</v>
      </c>
      <c r="AI279" s="92">
        <v>1.0</v>
      </c>
      <c r="AJ279" s="93"/>
      <c r="AK279" s="93"/>
      <c r="AL279" s="93"/>
      <c r="AM279" s="93"/>
      <c r="AN279" s="93"/>
      <c r="AO279" s="93"/>
      <c r="AP279" s="93"/>
      <c r="AQ279" s="93"/>
      <c r="AR279" s="92">
        <v>1.0</v>
      </c>
      <c r="AS279" s="93"/>
      <c r="AT279" s="93"/>
      <c r="AU279" s="93"/>
      <c r="AV279" s="93"/>
      <c r="AW279" s="93"/>
      <c r="AX279" s="93"/>
      <c r="AY279" s="93"/>
      <c r="AZ279" s="93"/>
      <c r="BA279" s="93"/>
      <c r="BB279" s="93"/>
      <c r="BC279" s="93"/>
      <c r="BD279" s="93"/>
      <c r="BE279" s="92">
        <v>1.0</v>
      </c>
      <c r="BF279" s="93"/>
      <c r="BG279" s="92">
        <v>1.0</v>
      </c>
      <c r="BH279" s="93"/>
      <c r="BI279" s="93"/>
      <c r="BJ279" s="93"/>
      <c r="BK279" s="93"/>
      <c r="BL279" s="93"/>
      <c r="BM279" s="93"/>
      <c r="BN279" s="93"/>
      <c r="BO279" s="93"/>
      <c r="BP279" s="93"/>
      <c r="BQ279" s="93"/>
      <c r="BR279" s="93"/>
      <c r="BS279" s="93"/>
      <c r="BT279" s="93"/>
      <c r="BU279" s="93"/>
      <c r="BV279" s="93"/>
      <c r="BW279" s="93"/>
      <c r="BX279" s="92">
        <v>1.0</v>
      </c>
      <c r="BY279" s="93"/>
      <c r="BZ279" s="92">
        <v>1.0</v>
      </c>
    </row>
    <row r="280">
      <c r="B280" t="s">
        <v>1496</v>
      </c>
      <c r="C280" s="89" t="s">
        <v>1497</v>
      </c>
      <c r="D280" s="90" t="s">
        <v>1498</v>
      </c>
      <c r="E280" s="91">
        <v>2019.0</v>
      </c>
      <c r="F280" s="92">
        <v>1.0</v>
      </c>
      <c r="G280" s="93"/>
      <c r="H280" s="93"/>
      <c r="I280" s="93"/>
      <c r="J280" s="93"/>
      <c r="K280" s="93"/>
      <c r="L280" s="93"/>
      <c r="M280" s="93"/>
      <c r="N280" s="93"/>
      <c r="O280" s="93"/>
      <c r="P280" s="93"/>
      <c r="Q280" s="93"/>
      <c r="R280" s="93"/>
      <c r="S280" s="93"/>
      <c r="T280" s="93"/>
      <c r="U280" s="93"/>
      <c r="V280" s="93"/>
      <c r="W280" s="93"/>
      <c r="X280" s="93"/>
      <c r="Y280" s="93"/>
      <c r="Z280" s="93"/>
      <c r="AA280" s="93"/>
      <c r="AB280" s="93"/>
      <c r="AC280" s="93"/>
      <c r="AD280" s="93"/>
      <c r="AE280" s="93"/>
      <c r="AF280" s="93"/>
      <c r="AG280" s="93"/>
      <c r="AH280" s="94"/>
      <c r="AI280" s="93"/>
      <c r="AJ280" s="93"/>
      <c r="AK280" s="93"/>
      <c r="AL280" s="93"/>
      <c r="AM280" s="93"/>
      <c r="AN280" s="93"/>
      <c r="AO280" s="93"/>
      <c r="AP280" s="93"/>
      <c r="AQ280" s="93"/>
      <c r="AR280" s="93"/>
      <c r="AS280" s="93"/>
      <c r="AT280" s="93"/>
      <c r="AU280" s="93"/>
      <c r="AV280" s="93"/>
      <c r="AW280" s="93"/>
      <c r="AX280" s="93"/>
      <c r="AY280" s="93"/>
      <c r="AZ280" s="93"/>
      <c r="BA280" s="93"/>
      <c r="BB280" s="93"/>
      <c r="BC280" s="93"/>
      <c r="BD280" s="93"/>
      <c r="BE280" s="93"/>
      <c r="BF280" s="93"/>
      <c r="BG280" s="93"/>
      <c r="BH280" s="93"/>
      <c r="BI280" s="93"/>
      <c r="BJ280" s="93"/>
      <c r="BK280" s="93"/>
      <c r="BL280" s="93"/>
      <c r="BM280" s="93"/>
      <c r="BN280" s="93"/>
      <c r="BO280" s="93"/>
      <c r="BP280" s="93"/>
      <c r="BQ280" s="93"/>
      <c r="BR280" s="93"/>
      <c r="BS280" s="93"/>
      <c r="BT280" s="93"/>
      <c r="BU280" s="93"/>
      <c r="BV280" s="93"/>
      <c r="BW280" s="93"/>
      <c r="BX280" s="93"/>
      <c r="BY280" s="93"/>
      <c r="BZ280" s="93"/>
    </row>
    <row r="281">
      <c r="B281" t="s">
        <v>1499</v>
      </c>
      <c r="C281" s="89" t="s">
        <v>1500</v>
      </c>
      <c r="D281" s="90" t="s">
        <v>1501</v>
      </c>
      <c r="E281" s="91">
        <v>2019.0</v>
      </c>
      <c r="F281" s="92">
        <v>1.0</v>
      </c>
      <c r="G281" s="93"/>
      <c r="H281" s="93"/>
      <c r="I281" s="93"/>
      <c r="J281" s="93"/>
      <c r="K281" s="93"/>
      <c r="L281" s="93"/>
      <c r="M281" s="93"/>
      <c r="N281" s="93"/>
      <c r="O281" s="93"/>
      <c r="P281" s="93"/>
      <c r="Q281" s="93"/>
      <c r="R281" s="93"/>
      <c r="S281" s="93"/>
      <c r="T281" s="93"/>
      <c r="U281" s="93"/>
      <c r="V281" s="93"/>
      <c r="W281" s="93"/>
      <c r="X281" s="93"/>
      <c r="Y281" s="93"/>
      <c r="Z281" s="93"/>
      <c r="AA281" s="93"/>
      <c r="AB281" s="93"/>
      <c r="AC281" s="93"/>
      <c r="AD281" s="93"/>
      <c r="AE281" s="93"/>
      <c r="AF281" s="93"/>
      <c r="AG281" s="93"/>
      <c r="AH281" s="94"/>
      <c r="AI281" s="93"/>
      <c r="AJ281" s="93"/>
      <c r="AK281" s="93"/>
      <c r="AL281" s="93"/>
      <c r="AM281" s="93"/>
      <c r="AN281" s="93"/>
      <c r="AO281" s="93"/>
      <c r="AP281" s="93"/>
      <c r="AQ281" s="93"/>
      <c r="AR281" s="93"/>
      <c r="AS281" s="93"/>
      <c r="AT281" s="93"/>
      <c r="AU281" s="93"/>
      <c r="AV281" s="93"/>
      <c r="AW281" s="93"/>
      <c r="AX281" s="93"/>
      <c r="AY281" s="93"/>
      <c r="AZ281" s="93"/>
      <c r="BA281" s="93"/>
      <c r="BB281" s="93"/>
      <c r="BC281" s="93"/>
      <c r="BD281" s="93"/>
      <c r="BE281" s="93"/>
      <c r="BF281" s="93"/>
      <c r="BG281" s="93"/>
      <c r="BH281" s="93"/>
      <c r="BI281" s="93"/>
      <c r="BJ281" s="93"/>
      <c r="BK281" s="93"/>
      <c r="BL281" s="93"/>
      <c r="BM281" s="93"/>
      <c r="BN281" s="93"/>
      <c r="BO281" s="93"/>
      <c r="BP281" s="93"/>
      <c r="BQ281" s="93"/>
      <c r="BR281" s="93"/>
      <c r="BS281" s="93"/>
      <c r="BT281" s="93"/>
      <c r="BU281" s="93"/>
      <c r="BV281" s="93"/>
      <c r="BW281" s="93"/>
      <c r="BX281" s="93"/>
      <c r="BY281" s="93"/>
      <c r="BZ281" s="93"/>
    </row>
    <row r="282">
      <c r="A282" t="s">
        <v>1340</v>
      </c>
      <c r="B282" t="s">
        <v>1502</v>
      </c>
      <c r="C282" s="89" t="s">
        <v>1503</v>
      </c>
      <c r="D282" s="90" t="s">
        <v>1504</v>
      </c>
      <c r="E282" s="91">
        <v>2019.0</v>
      </c>
      <c r="F282" s="93"/>
      <c r="G282" s="93"/>
      <c r="H282" s="93"/>
      <c r="I282" s="93"/>
      <c r="J282" s="93"/>
      <c r="K282" s="93"/>
      <c r="L282" s="93"/>
      <c r="M282" s="92">
        <v>1.0</v>
      </c>
      <c r="N282" s="93"/>
      <c r="O282" s="93"/>
      <c r="P282" s="93"/>
      <c r="Q282" s="92">
        <v>1.0</v>
      </c>
      <c r="R282" s="93"/>
      <c r="S282" s="93"/>
      <c r="T282" s="93"/>
      <c r="U282" s="93"/>
      <c r="V282" s="93"/>
      <c r="W282" s="98" t="s">
        <v>1505</v>
      </c>
      <c r="X282" s="98" t="s">
        <v>1506</v>
      </c>
      <c r="Y282" s="98" t="s">
        <v>1507</v>
      </c>
      <c r="Z282" s="98" t="s">
        <v>137</v>
      </c>
      <c r="AA282" s="93"/>
      <c r="AB282" s="92">
        <v>1.0</v>
      </c>
      <c r="AC282" s="93"/>
      <c r="AD282" s="93"/>
      <c r="AE282" s="92">
        <v>1.0</v>
      </c>
      <c r="AF282" s="93"/>
      <c r="AG282" s="92">
        <v>1.0</v>
      </c>
      <c r="AH282" s="96" t="s">
        <v>1508</v>
      </c>
      <c r="AI282" s="92">
        <v>1.0</v>
      </c>
      <c r="AJ282" s="93"/>
      <c r="AK282" s="93"/>
      <c r="AL282" s="93"/>
      <c r="AM282" s="93"/>
      <c r="AN282" s="93"/>
      <c r="AO282" s="93"/>
      <c r="AP282" s="93"/>
      <c r="AQ282" s="93"/>
      <c r="AR282" s="93"/>
      <c r="AS282" s="93"/>
      <c r="AT282" s="93"/>
      <c r="AU282" s="93"/>
      <c r="AV282" s="93"/>
      <c r="AW282" s="93"/>
      <c r="AX282" s="93"/>
      <c r="AY282" s="93"/>
      <c r="AZ282" s="93"/>
      <c r="BA282" s="93"/>
      <c r="BB282" s="93"/>
      <c r="BC282" s="92">
        <v>1.0</v>
      </c>
      <c r="BD282" s="93"/>
      <c r="BE282" s="93"/>
      <c r="BF282" s="93"/>
      <c r="BG282" s="93"/>
      <c r="BH282" s="92">
        <v>1.0</v>
      </c>
      <c r="BI282" s="93"/>
      <c r="BJ282" s="93"/>
      <c r="BK282" s="93"/>
      <c r="BL282" s="93"/>
      <c r="BM282" s="93"/>
      <c r="BN282" s="93"/>
      <c r="BO282" s="93"/>
      <c r="BP282" s="93"/>
      <c r="BQ282" s="92">
        <v>1.0</v>
      </c>
      <c r="BR282" s="93"/>
      <c r="BS282" s="93"/>
      <c r="BT282" s="93"/>
      <c r="BU282" s="93"/>
      <c r="BV282" s="93"/>
      <c r="BW282" s="93"/>
      <c r="BX282" s="93"/>
      <c r="BY282" s="93"/>
      <c r="BZ282" s="93"/>
    </row>
    <row r="283">
      <c r="A283" t="s">
        <v>1354</v>
      </c>
      <c r="B283" t="s">
        <v>1509</v>
      </c>
      <c r="C283" s="89" t="s">
        <v>1510</v>
      </c>
      <c r="D283" s="90" t="s">
        <v>278</v>
      </c>
      <c r="E283" s="91">
        <v>2019.0</v>
      </c>
      <c r="F283" s="98" t="s">
        <v>748</v>
      </c>
      <c r="G283" s="93"/>
      <c r="H283" s="93"/>
      <c r="I283" s="93"/>
      <c r="J283" s="93"/>
      <c r="K283" s="93"/>
      <c r="L283" s="93"/>
      <c r="M283" s="93"/>
      <c r="N283" s="98" t="s">
        <v>748</v>
      </c>
      <c r="O283" s="99">
        <v>1.0</v>
      </c>
      <c r="P283" s="93"/>
      <c r="Q283" s="93"/>
      <c r="R283" s="93"/>
      <c r="S283" s="93"/>
      <c r="T283" s="93"/>
      <c r="U283" s="93"/>
      <c r="V283" s="93"/>
      <c r="W283" s="98" t="s">
        <v>7</v>
      </c>
      <c r="X283" s="98" t="s">
        <v>1511</v>
      </c>
      <c r="Y283" s="98" t="s">
        <v>1512</v>
      </c>
      <c r="Z283" s="93"/>
      <c r="AA283" s="99">
        <v>1.0</v>
      </c>
      <c r="AB283" s="93"/>
      <c r="AC283" s="98" t="s">
        <v>748</v>
      </c>
      <c r="AD283" s="93"/>
      <c r="AE283" s="99">
        <v>1.0</v>
      </c>
      <c r="AF283" s="93"/>
      <c r="AG283" s="98" t="s">
        <v>748</v>
      </c>
      <c r="AH283" s="96" t="s">
        <v>1513</v>
      </c>
      <c r="AI283" s="99">
        <v>1.0</v>
      </c>
      <c r="AJ283" s="99">
        <v>1.0</v>
      </c>
      <c r="AK283" s="93"/>
      <c r="AL283" s="93"/>
      <c r="AM283" s="93"/>
      <c r="AN283" s="93"/>
      <c r="AO283" s="93"/>
      <c r="AP283" s="93"/>
      <c r="AQ283" s="93"/>
      <c r="AR283" s="99">
        <v>1.0</v>
      </c>
      <c r="AS283" s="93"/>
      <c r="AT283" s="93"/>
      <c r="AU283" s="93"/>
      <c r="AV283" s="93"/>
      <c r="AW283" s="93"/>
      <c r="AX283" s="93"/>
      <c r="AY283" s="93"/>
      <c r="AZ283" s="93"/>
      <c r="BA283" s="93"/>
      <c r="BB283" s="93"/>
      <c r="BC283" s="93"/>
      <c r="BD283" s="93"/>
      <c r="BE283" s="93"/>
      <c r="BF283" s="93"/>
      <c r="BG283" s="93"/>
      <c r="BH283" s="93"/>
      <c r="BI283" s="93"/>
      <c r="BJ283" s="93"/>
      <c r="BK283" s="93"/>
      <c r="BL283" s="93"/>
      <c r="BM283" s="93"/>
      <c r="BN283" s="93"/>
      <c r="BO283" s="93"/>
      <c r="BP283" s="93"/>
      <c r="BQ283" s="93"/>
      <c r="BR283" s="93"/>
      <c r="BS283" s="99">
        <v>1.0</v>
      </c>
      <c r="BT283" s="93"/>
      <c r="BU283" s="93"/>
      <c r="BV283" s="93"/>
      <c r="BW283" s="93"/>
      <c r="BX283" s="99">
        <v>1.0</v>
      </c>
      <c r="BY283" s="93"/>
      <c r="BZ283" s="93"/>
    </row>
    <row r="284">
      <c r="B284" t="s">
        <v>1514</v>
      </c>
      <c r="C284" s="89" t="s">
        <v>1515</v>
      </c>
      <c r="D284" s="90" t="s">
        <v>1516</v>
      </c>
      <c r="E284" s="91">
        <v>2019.0</v>
      </c>
      <c r="F284" s="92">
        <v>1.0</v>
      </c>
      <c r="G284" s="93"/>
      <c r="H284" s="93"/>
      <c r="I284" s="93"/>
      <c r="J284" s="93"/>
      <c r="K284" s="93"/>
      <c r="L284" s="93"/>
      <c r="M284" s="93"/>
      <c r="N284" s="93"/>
      <c r="O284" s="93"/>
      <c r="P284" s="93"/>
      <c r="Q284" s="93"/>
      <c r="R284" s="93"/>
      <c r="S284" s="93"/>
      <c r="T284" s="93"/>
      <c r="U284" s="93"/>
      <c r="V284" s="93"/>
      <c r="W284" s="93"/>
      <c r="X284" s="93"/>
      <c r="Y284" s="93"/>
      <c r="Z284" s="93"/>
      <c r="AA284" s="93"/>
      <c r="AB284" s="93"/>
      <c r="AC284" s="93"/>
      <c r="AD284" s="93"/>
      <c r="AE284" s="93"/>
      <c r="AF284" s="93"/>
      <c r="AG284" s="93"/>
      <c r="AH284" s="94"/>
      <c r="AI284" s="93"/>
      <c r="AJ284" s="93"/>
      <c r="AK284" s="93"/>
      <c r="AL284" s="93"/>
      <c r="AM284" s="93"/>
      <c r="AN284" s="93"/>
      <c r="AO284" s="93"/>
      <c r="AP284" s="93"/>
      <c r="AQ284" s="93"/>
      <c r="AR284" s="93"/>
      <c r="AS284" s="93"/>
      <c r="AT284" s="93"/>
      <c r="AU284" s="93"/>
      <c r="AV284" s="93"/>
      <c r="AW284" s="93"/>
      <c r="AX284" s="93"/>
      <c r="AY284" s="93"/>
      <c r="AZ284" s="93"/>
      <c r="BA284" s="93"/>
      <c r="BB284" s="93"/>
      <c r="BC284" s="93"/>
      <c r="BD284" s="93"/>
      <c r="BE284" s="93"/>
      <c r="BF284" s="93"/>
      <c r="BG284" s="93"/>
      <c r="BH284" s="93"/>
      <c r="BI284" s="93"/>
      <c r="BJ284" s="93"/>
      <c r="BK284" s="93"/>
      <c r="BL284" s="93"/>
      <c r="BM284" s="93"/>
      <c r="BN284" s="93"/>
      <c r="BO284" s="93"/>
      <c r="BP284" s="93"/>
      <c r="BQ284" s="93"/>
      <c r="BR284" s="93"/>
      <c r="BS284" s="93"/>
      <c r="BT284" s="93"/>
      <c r="BU284" s="93"/>
      <c r="BV284" s="93"/>
      <c r="BW284" s="93"/>
      <c r="BX284" s="93"/>
      <c r="BY284" s="93"/>
      <c r="BZ284" s="93"/>
    </row>
    <row r="285">
      <c r="B285" t="s">
        <v>1517</v>
      </c>
      <c r="C285" s="89" t="s">
        <v>1518</v>
      </c>
      <c r="D285" s="90" t="s">
        <v>1519</v>
      </c>
      <c r="E285" s="91">
        <v>2019.0</v>
      </c>
      <c r="F285" s="92">
        <v>1.0</v>
      </c>
      <c r="G285" s="93"/>
      <c r="H285" s="93"/>
      <c r="I285" s="93"/>
      <c r="J285" s="93"/>
      <c r="K285" s="93"/>
      <c r="L285" s="93"/>
      <c r="M285" s="93"/>
      <c r="N285" s="93"/>
      <c r="O285" s="93"/>
      <c r="P285" s="93"/>
      <c r="Q285" s="93"/>
      <c r="R285" s="93"/>
      <c r="S285" s="93"/>
      <c r="T285" s="93"/>
      <c r="U285" s="93"/>
      <c r="V285" s="93"/>
      <c r="W285" s="93"/>
      <c r="X285" s="93"/>
      <c r="Y285" s="93"/>
      <c r="Z285" s="93"/>
      <c r="AA285" s="93"/>
      <c r="AB285" s="93"/>
      <c r="AC285" s="93"/>
      <c r="AD285" s="93"/>
      <c r="AE285" s="93"/>
      <c r="AF285" s="93"/>
      <c r="AG285" s="93"/>
      <c r="AH285" s="94"/>
      <c r="AI285" s="93"/>
      <c r="AJ285" s="93"/>
      <c r="AK285" s="93"/>
      <c r="AL285" s="93"/>
      <c r="AM285" s="93"/>
      <c r="AN285" s="93"/>
      <c r="AO285" s="93"/>
      <c r="AP285" s="93"/>
      <c r="AQ285" s="93"/>
      <c r="AR285" s="93"/>
      <c r="AS285" s="93"/>
      <c r="AT285" s="93"/>
      <c r="AU285" s="93"/>
      <c r="AV285" s="93"/>
      <c r="AW285" s="93"/>
      <c r="AX285" s="93"/>
      <c r="AY285" s="93"/>
      <c r="AZ285" s="93"/>
      <c r="BA285" s="93"/>
      <c r="BB285" s="93"/>
      <c r="BC285" s="93"/>
      <c r="BD285" s="93"/>
      <c r="BE285" s="93"/>
      <c r="BF285" s="93"/>
      <c r="BG285" s="93"/>
      <c r="BH285" s="93"/>
      <c r="BI285" s="93"/>
      <c r="BJ285" s="93"/>
      <c r="BK285" s="93"/>
      <c r="BL285" s="93"/>
      <c r="BM285" s="93"/>
      <c r="BN285" s="93"/>
      <c r="BO285" s="93"/>
      <c r="BP285" s="93"/>
      <c r="BQ285" s="93"/>
      <c r="BR285" s="93"/>
      <c r="BS285" s="93"/>
      <c r="BT285" s="93"/>
      <c r="BU285" s="93"/>
      <c r="BV285" s="93"/>
      <c r="BW285" s="93"/>
      <c r="BX285" s="93"/>
      <c r="BY285" s="93"/>
      <c r="BZ285" s="93"/>
    </row>
    <row r="286">
      <c r="B286" t="s">
        <v>1520</v>
      </c>
      <c r="C286" s="89" t="s">
        <v>1521</v>
      </c>
      <c r="D286" s="90" t="s">
        <v>1522</v>
      </c>
      <c r="E286" s="91">
        <v>2019.0</v>
      </c>
      <c r="F286" s="92">
        <v>1.0</v>
      </c>
      <c r="G286" s="93"/>
      <c r="H286" s="93"/>
      <c r="I286" s="93"/>
      <c r="J286" s="93"/>
      <c r="K286" s="93"/>
      <c r="L286" s="93"/>
      <c r="M286" s="93"/>
      <c r="N286" s="93"/>
      <c r="O286" s="93"/>
      <c r="P286" s="93"/>
      <c r="Q286" s="93"/>
      <c r="R286" s="93"/>
      <c r="S286" s="93"/>
      <c r="T286" s="93"/>
      <c r="U286" s="93"/>
      <c r="V286" s="93"/>
      <c r="W286" s="93"/>
      <c r="X286" s="93"/>
      <c r="Y286" s="93"/>
      <c r="Z286" s="93"/>
      <c r="AA286" s="93"/>
      <c r="AB286" s="93"/>
      <c r="AC286" s="93"/>
      <c r="AD286" s="93"/>
      <c r="AE286" s="93"/>
      <c r="AF286" s="93"/>
      <c r="AG286" s="93"/>
      <c r="AH286" s="94"/>
      <c r="AI286" s="93"/>
      <c r="AJ286" s="93"/>
      <c r="AK286" s="93"/>
      <c r="AL286" s="93"/>
      <c r="AM286" s="93"/>
      <c r="AN286" s="93"/>
      <c r="AO286" s="93"/>
      <c r="AP286" s="93"/>
      <c r="AQ286" s="93"/>
      <c r="AR286" s="93"/>
      <c r="AS286" s="93"/>
      <c r="AT286" s="93"/>
      <c r="AU286" s="93"/>
      <c r="AV286" s="93"/>
      <c r="AW286" s="93"/>
      <c r="AX286" s="93"/>
      <c r="AY286" s="93"/>
      <c r="AZ286" s="93"/>
      <c r="BA286" s="93"/>
      <c r="BB286" s="93"/>
      <c r="BC286" s="93"/>
      <c r="BD286" s="93"/>
      <c r="BE286" s="93"/>
      <c r="BF286" s="93"/>
      <c r="BG286" s="93"/>
      <c r="BH286" s="93"/>
      <c r="BI286" s="93"/>
      <c r="BJ286" s="93"/>
      <c r="BK286" s="93"/>
      <c r="BL286" s="93"/>
      <c r="BM286" s="93"/>
      <c r="BN286" s="93"/>
      <c r="BO286" s="93"/>
      <c r="BP286" s="93"/>
      <c r="BQ286" s="93"/>
      <c r="BR286" s="93"/>
      <c r="BS286" s="93"/>
      <c r="BT286" s="93"/>
      <c r="BU286" s="93"/>
      <c r="BV286" s="93"/>
      <c r="BW286" s="93"/>
      <c r="BX286" s="93"/>
      <c r="BY286" s="93"/>
      <c r="BZ286" s="93"/>
    </row>
    <row r="287">
      <c r="A287" t="s">
        <v>116</v>
      </c>
      <c r="B287" t="s">
        <v>1523</v>
      </c>
      <c r="C287" s="89" t="s">
        <v>1524</v>
      </c>
      <c r="D287" s="90" t="s">
        <v>1525</v>
      </c>
      <c r="E287" s="91">
        <v>2019.0</v>
      </c>
      <c r="F287" s="92">
        <v>1.0</v>
      </c>
      <c r="G287" s="93"/>
      <c r="H287" s="93"/>
      <c r="I287" s="93"/>
      <c r="J287" s="93"/>
      <c r="K287" s="93"/>
      <c r="L287" s="93"/>
      <c r="M287" s="93"/>
      <c r="N287" s="93"/>
      <c r="O287" s="93"/>
      <c r="P287" s="93"/>
      <c r="Q287" s="93"/>
      <c r="R287" s="93"/>
      <c r="S287" s="93"/>
      <c r="T287" s="93"/>
      <c r="U287" s="93"/>
      <c r="V287" s="93"/>
      <c r="W287" s="93"/>
      <c r="X287" s="93"/>
      <c r="Y287" s="93"/>
      <c r="Z287" s="93"/>
      <c r="AA287" s="93"/>
      <c r="AB287" s="93"/>
      <c r="AC287" s="93"/>
      <c r="AD287" s="93"/>
      <c r="AE287" s="93"/>
      <c r="AF287" s="93"/>
      <c r="AG287" s="93"/>
      <c r="AH287" s="94"/>
      <c r="AI287" s="93"/>
      <c r="AJ287" s="93"/>
      <c r="AK287" s="93"/>
      <c r="AL287" s="93"/>
      <c r="AM287" s="93"/>
      <c r="AN287" s="93"/>
      <c r="AO287" s="93"/>
      <c r="AP287" s="93"/>
      <c r="AQ287" s="93"/>
      <c r="AR287" s="93"/>
      <c r="AS287" s="93"/>
      <c r="AT287" s="93"/>
      <c r="AU287" s="93"/>
      <c r="AV287" s="93"/>
      <c r="AW287" s="93"/>
      <c r="AX287" s="93"/>
      <c r="AY287" s="93"/>
      <c r="AZ287" s="93"/>
      <c r="BA287" s="93"/>
      <c r="BB287" s="93"/>
      <c r="BC287" s="93"/>
      <c r="BD287" s="93"/>
      <c r="BE287" s="93"/>
      <c r="BF287" s="93"/>
      <c r="BG287" s="93"/>
      <c r="BH287" s="93"/>
      <c r="BI287" s="93"/>
      <c r="BJ287" s="93"/>
      <c r="BK287" s="93"/>
      <c r="BL287" s="93"/>
      <c r="BM287" s="93"/>
      <c r="BN287" s="93"/>
      <c r="BO287" s="93"/>
      <c r="BP287" s="93"/>
      <c r="BQ287" s="93"/>
      <c r="BR287" s="93"/>
      <c r="BS287" s="93"/>
      <c r="BT287" s="93"/>
      <c r="BU287" s="93"/>
      <c r="BV287" s="93"/>
      <c r="BW287" s="93"/>
      <c r="BX287" s="93"/>
      <c r="BY287" s="93"/>
      <c r="BZ287" s="93"/>
    </row>
    <row r="288">
      <c r="B288" t="s">
        <v>1526</v>
      </c>
      <c r="C288" s="89" t="s">
        <v>1527</v>
      </c>
      <c r="D288" s="90" t="s">
        <v>1528</v>
      </c>
      <c r="E288" s="91">
        <v>2019.0</v>
      </c>
      <c r="F288" s="92">
        <v>1.0</v>
      </c>
      <c r="G288" s="93"/>
      <c r="H288" s="93"/>
      <c r="I288" s="93"/>
      <c r="J288" s="93"/>
      <c r="K288" s="93"/>
      <c r="L288" s="93"/>
      <c r="M288" s="93"/>
      <c r="N288" s="93"/>
      <c r="O288" s="93"/>
      <c r="P288" s="93"/>
      <c r="Q288" s="93"/>
      <c r="R288" s="93"/>
      <c r="S288" s="93"/>
      <c r="T288" s="93"/>
      <c r="U288" s="93"/>
      <c r="V288" s="93"/>
      <c r="W288" s="93"/>
      <c r="X288" s="93"/>
      <c r="Y288" s="93"/>
      <c r="Z288" s="93"/>
      <c r="AA288" s="93"/>
      <c r="AB288" s="93"/>
      <c r="AC288" s="93"/>
      <c r="AD288" s="93"/>
      <c r="AE288" s="93"/>
      <c r="AF288" s="93"/>
      <c r="AG288" s="93"/>
      <c r="AH288" s="94"/>
      <c r="AI288" s="93"/>
      <c r="AJ288" s="93"/>
      <c r="AK288" s="93"/>
      <c r="AL288" s="93"/>
      <c r="AM288" s="93"/>
      <c r="AN288" s="93"/>
      <c r="AO288" s="93"/>
      <c r="AP288" s="93"/>
      <c r="AQ288" s="93"/>
      <c r="AR288" s="93"/>
      <c r="AS288" s="93"/>
      <c r="AT288" s="93"/>
      <c r="AU288" s="93"/>
      <c r="AV288" s="93"/>
      <c r="AW288" s="93"/>
      <c r="AX288" s="93"/>
      <c r="AY288" s="93"/>
      <c r="AZ288" s="93"/>
      <c r="BA288" s="93"/>
      <c r="BB288" s="93"/>
      <c r="BC288" s="93"/>
      <c r="BD288" s="93"/>
      <c r="BE288" s="93"/>
      <c r="BF288" s="93"/>
      <c r="BG288" s="93"/>
      <c r="BH288" s="93"/>
      <c r="BI288" s="93"/>
      <c r="BJ288" s="93"/>
      <c r="BK288" s="93"/>
      <c r="BL288" s="93"/>
      <c r="BM288" s="93"/>
      <c r="BN288" s="93"/>
      <c r="BO288" s="93"/>
      <c r="BP288" s="93"/>
      <c r="BQ288" s="93"/>
      <c r="BR288" s="93"/>
      <c r="BS288" s="93"/>
      <c r="BT288" s="93"/>
      <c r="BU288" s="93"/>
      <c r="BV288" s="93"/>
      <c r="BW288" s="93"/>
      <c r="BX288" s="93"/>
      <c r="BY288" s="93"/>
      <c r="BZ288" s="93"/>
    </row>
    <row r="289">
      <c r="B289" t="s">
        <v>1529</v>
      </c>
      <c r="C289" s="89" t="s">
        <v>1530</v>
      </c>
      <c r="D289" s="90" t="s">
        <v>181</v>
      </c>
      <c r="E289" s="91">
        <v>2019.0</v>
      </c>
      <c r="F289" s="92">
        <v>1.0</v>
      </c>
      <c r="G289" s="93"/>
      <c r="H289" s="93"/>
      <c r="I289" s="93"/>
      <c r="J289" s="93"/>
      <c r="K289" s="93"/>
      <c r="L289" s="93"/>
      <c r="M289" s="93"/>
      <c r="N289" s="93"/>
      <c r="O289" s="93"/>
      <c r="P289" s="93"/>
      <c r="Q289" s="93"/>
      <c r="R289" s="93"/>
      <c r="S289" s="93"/>
      <c r="T289" s="93"/>
      <c r="U289" s="93"/>
      <c r="V289" s="93"/>
      <c r="W289" s="93"/>
      <c r="X289" s="93"/>
      <c r="Y289" s="93"/>
      <c r="Z289" s="93"/>
      <c r="AA289" s="93"/>
      <c r="AB289" s="93"/>
      <c r="AC289" s="93"/>
      <c r="AD289" s="93"/>
      <c r="AE289" s="93"/>
      <c r="AF289" s="93"/>
      <c r="AG289" s="93"/>
      <c r="AH289" s="94"/>
      <c r="AI289" s="93"/>
      <c r="AJ289" s="93"/>
      <c r="AK289" s="93"/>
      <c r="AL289" s="93"/>
      <c r="AM289" s="93"/>
      <c r="AN289" s="93"/>
      <c r="AO289" s="93"/>
      <c r="AP289" s="93"/>
      <c r="AQ289" s="93"/>
      <c r="AR289" s="93"/>
      <c r="AS289" s="93"/>
      <c r="AT289" s="93"/>
      <c r="AU289" s="93"/>
      <c r="AV289" s="93"/>
      <c r="AW289" s="93"/>
      <c r="AX289" s="93"/>
      <c r="AY289" s="93"/>
      <c r="AZ289" s="93"/>
      <c r="BA289" s="93"/>
      <c r="BB289" s="93"/>
      <c r="BC289" s="93"/>
      <c r="BD289" s="93"/>
      <c r="BE289" s="93"/>
      <c r="BF289" s="93"/>
      <c r="BG289" s="93"/>
      <c r="BH289" s="93"/>
      <c r="BI289" s="93"/>
      <c r="BJ289" s="93"/>
      <c r="BK289" s="93"/>
      <c r="BL289" s="93"/>
      <c r="BM289" s="93"/>
      <c r="BN289" s="93"/>
      <c r="BO289" s="93"/>
      <c r="BP289" s="93"/>
      <c r="BQ289" s="93"/>
      <c r="BR289" s="93"/>
      <c r="BS289" s="93"/>
      <c r="BT289" s="93"/>
      <c r="BU289" s="93"/>
      <c r="BV289" s="93"/>
      <c r="BW289" s="93"/>
      <c r="BX289" s="93"/>
      <c r="BY289" s="93"/>
      <c r="BZ289" s="93"/>
    </row>
    <row r="290">
      <c r="A290" t="s">
        <v>1331</v>
      </c>
      <c r="B290" t="s">
        <v>1531</v>
      </c>
      <c r="C290" s="89" t="s">
        <v>1532</v>
      </c>
      <c r="D290" s="90" t="s">
        <v>1533</v>
      </c>
      <c r="E290" s="91">
        <v>2018.0</v>
      </c>
      <c r="F290" s="92">
        <v>1.0</v>
      </c>
      <c r="G290" s="93"/>
      <c r="H290" s="95"/>
      <c r="I290" s="93"/>
      <c r="J290" s="93"/>
      <c r="K290" s="93"/>
      <c r="L290" s="93"/>
      <c r="M290" s="93"/>
      <c r="N290" s="93"/>
      <c r="O290" s="93"/>
      <c r="P290" s="93"/>
      <c r="Q290" s="93"/>
      <c r="R290" s="93"/>
      <c r="S290" s="93"/>
      <c r="T290" s="93"/>
      <c r="U290" s="93"/>
      <c r="V290" s="93"/>
      <c r="W290" s="93"/>
      <c r="X290" s="93"/>
      <c r="Y290" s="93"/>
      <c r="Z290" s="93"/>
      <c r="AA290" s="93"/>
      <c r="AB290" s="93"/>
      <c r="AC290" s="93"/>
      <c r="AD290" s="93"/>
      <c r="AE290" s="93"/>
      <c r="AF290" s="93"/>
      <c r="AG290" s="93"/>
      <c r="AH290" s="94"/>
      <c r="AI290" s="93"/>
      <c r="AJ290" s="93"/>
      <c r="AK290" s="93"/>
      <c r="AL290" s="93"/>
      <c r="AM290" s="93"/>
      <c r="AN290" s="93"/>
      <c r="AO290" s="93"/>
      <c r="AP290" s="93"/>
      <c r="AQ290" s="93"/>
      <c r="AR290" s="93"/>
      <c r="AS290" s="93"/>
      <c r="AT290" s="93"/>
      <c r="AU290" s="93"/>
      <c r="AV290" s="93"/>
      <c r="AW290" s="93"/>
      <c r="AX290" s="93"/>
      <c r="AY290" s="93"/>
      <c r="AZ290" s="93"/>
      <c r="BA290" s="93"/>
      <c r="BB290" s="93"/>
      <c r="BC290" s="93"/>
      <c r="BD290" s="93"/>
      <c r="BE290" s="93"/>
      <c r="BF290" s="93"/>
      <c r="BG290" s="93"/>
      <c r="BH290" s="93"/>
      <c r="BI290" s="93"/>
      <c r="BJ290" s="93"/>
      <c r="BK290" s="93"/>
      <c r="BL290" s="93"/>
      <c r="BM290" s="93"/>
      <c r="BN290" s="93"/>
      <c r="BO290" s="93"/>
      <c r="BP290" s="93"/>
      <c r="BQ290" s="93"/>
      <c r="BR290" s="93"/>
      <c r="BS290" s="93"/>
      <c r="BT290" s="93"/>
      <c r="BU290" s="93"/>
      <c r="BV290" s="93"/>
      <c r="BW290" s="93"/>
      <c r="BX290" s="93"/>
      <c r="BY290" s="93"/>
      <c r="BZ290" s="93"/>
    </row>
    <row r="291">
      <c r="B291" t="s">
        <v>1534</v>
      </c>
      <c r="C291" s="89" t="s">
        <v>1535</v>
      </c>
      <c r="D291" s="90" t="s">
        <v>1536</v>
      </c>
      <c r="E291" s="91">
        <v>2019.0</v>
      </c>
      <c r="F291" s="97" t="s">
        <v>1537</v>
      </c>
      <c r="G291" s="93"/>
      <c r="H291" s="93"/>
      <c r="I291" s="93"/>
      <c r="J291" s="93"/>
      <c r="K291" s="93"/>
      <c r="L291" s="93"/>
      <c r="M291" s="93"/>
      <c r="N291" s="93"/>
      <c r="O291" s="93"/>
      <c r="P291" s="93"/>
      <c r="Q291" s="93"/>
      <c r="R291" s="93"/>
      <c r="S291" s="93"/>
      <c r="T291" s="93"/>
      <c r="U291" s="93"/>
      <c r="V291" s="93"/>
      <c r="W291" s="93"/>
      <c r="X291" s="93"/>
      <c r="Y291" s="93"/>
      <c r="Z291" s="93"/>
      <c r="AA291" s="93"/>
      <c r="AB291" s="93"/>
      <c r="AC291" s="93"/>
      <c r="AD291" s="93"/>
      <c r="AE291" s="93"/>
      <c r="AF291" s="93"/>
      <c r="AG291" s="93"/>
      <c r="AH291" s="94"/>
      <c r="AI291" s="93"/>
      <c r="AJ291" s="93"/>
      <c r="AK291" s="93"/>
      <c r="AL291" s="93"/>
      <c r="AM291" s="93"/>
      <c r="AN291" s="93"/>
      <c r="AO291" s="93"/>
      <c r="AP291" s="93"/>
      <c r="AQ291" s="93"/>
      <c r="AR291" s="93"/>
      <c r="AS291" s="93"/>
      <c r="AT291" s="93"/>
      <c r="AU291" s="93"/>
      <c r="AV291" s="93"/>
      <c r="AW291" s="93"/>
      <c r="AX291" s="93"/>
      <c r="AY291" s="93"/>
      <c r="AZ291" s="93"/>
      <c r="BA291" s="93"/>
      <c r="BB291" s="93"/>
      <c r="BC291" s="93"/>
      <c r="BD291" s="93"/>
      <c r="BE291" s="93"/>
      <c r="BF291" s="93"/>
      <c r="BG291" s="93"/>
      <c r="BH291" s="93"/>
      <c r="BI291" s="93"/>
      <c r="BJ291" s="93"/>
      <c r="BK291" s="93"/>
      <c r="BL291" s="93"/>
      <c r="BM291" s="93"/>
      <c r="BN291" s="93"/>
      <c r="BO291" s="93"/>
      <c r="BP291" s="93"/>
      <c r="BQ291" s="93"/>
      <c r="BR291" s="93"/>
      <c r="BS291" s="93"/>
      <c r="BT291" s="93"/>
      <c r="BU291" s="93"/>
      <c r="BV291" s="93"/>
      <c r="BW291" s="93"/>
      <c r="BX291" s="93"/>
      <c r="BY291" s="93"/>
      <c r="BZ291" s="93"/>
    </row>
    <row r="292">
      <c r="B292" t="s">
        <v>1538</v>
      </c>
      <c r="C292" s="89" t="s">
        <v>1539</v>
      </c>
      <c r="D292" s="90" t="s">
        <v>1540</v>
      </c>
      <c r="E292" s="91">
        <v>2019.0</v>
      </c>
      <c r="F292" s="92">
        <v>1.0</v>
      </c>
      <c r="G292" s="93"/>
      <c r="H292" s="93"/>
      <c r="I292" s="93"/>
      <c r="J292" s="93"/>
      <c r="K292" s="93"/>
      <c r="L292" s="93"/>
      <c r="M292" s="93"/>
      <c r="N292" s="93"/>
      <c r="O292" s="93"/>
      <c r="P292" s="93"/>
      <c r="Q292" s="93"/>
      <c r="R292" s="93"/>
      <c r="S292" s="93"/>
      <c r="T292" s="93"/>
      <c r="U292" s="93"/>
      <c r="V292" s="93"/>
      <c r="W292" s="93"/>
      <c r="X292" s="93"/>
      <c r="Y292" s="93"/>
      <c r="Z292" s="93"/>
      <c r="AA292" s="93"/>
      <c r="AB292" s="93"/>
      <c r="AC292" s="93"/>
      <c r="AD292" s="93"/>
      <c r="AE292" s="93"/>
      <c r="AF292" s="93"/>
      <c r="AG292" s="93"/>
      <c r="AH292" s="94"/>
      <c r="AI292" s="93"/>
      <c r="AJ292" s="93"/>
      <c r="AK292" s="93"/>
      <c r="AL292" s="93"/>
      <c r="AM292" s="93"/>
      <c r="AN292" s="93"/>
      <c r="AO292" s="93"/>
      <c r="AP292" s="93"/>
      <c r="AQ292" s="93"/>
      <c r="AR292" s="93"/>
      <c r="AS292" s="93"/>
      <c r="AT292" s="93"/>
      <c r="AU292" s="93"/>
      <c r="AV292" s="93"/>
      <c r="AW292" s="93"/>
      <c r="AX292" s="93"/>
      <c r="AY292" s="93"/>
      <c r="AZ292" s="93"/>
      <c r="BA292" s="93"/>
      <c r="BB292" s="93"/>
      <c r="BC292" s="93"/>
      <c r="BD292" s="93"/>
      <c r="BE292" s="93"/>
      <c r="BF292" s="93"/>
      <c r="BG292" s="93"/>
      <c r="BH292" s="93"/>
      <c r="BI292" s="93"/>
      <c r="BJ292" s="93"/>
      <c r="BK292" s="93"/>
      <c r="BL292" s="93"/>
      <c r="BM292" s="93"/>
      <c r="BN292" s="93"/>
      <c r="BO292" s="93"/>
      <c r="BP292" s="93"/>
      <c r="BQ292" s="93"/>
      <c r="BR292" s="93"/>
      <c r="BS292" s="93"/>
      <c r="BT292" s="93"/>
      <c r="BU292" s="93"/>
      <c r="BV292" s="93"/>
      <c r="BW292" s="93"/>
      <c r="BX292" s="93"/>
      <c r="BY292" s="93"/>
      <c r="BZ292" s="93"/>
    </row>
    <row r="293">
      <c r="A293" t="s">
        <v>1340</v>
      </c>
      <c r="B293" t="s">
        <v>1541</v>
      </c>
      <c r="C293" s="89" t="s">
        <v>1542</v>
      </c>
      <c r="D293" s="90" t="s">
        <v>1543</v>
      </c>
      <c r="E293" s="91">
        <v>2019.0</v>
      </c>
      <c r="F293" s="92">
        <v>1.0</v>
      </c>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3"/>
      <c r="AH293" s="94"/>
      <c r="AI293" s="93"/>
      <c r="AJ293" s="93"/>
      <c r="AK293" s="93"/>
      <c r="AL293" s="93"/>
      <c r="AM293" s="93"/>
      <c r="AN293" s="93"/>
      <c r="AO293" s="93"/>
      <c r="AP293" s="93"/>
      <c r="AQ293" s="93"/>
      <c r="AR293" s="93"/>
      <c r="AS293" s="93"/>
      <c r="AT293" s="93"/>
      <c r="AU293" s="93"/>
      <c r="AV293" s="93"/>
      <c r="AW293" s="93"/>
      <c r="AX293" s="93"/>
      <c r="AY293" s="93"/>
      <c r="AZ293" s="93"/>
      <c r="BA293" s="93"/>
      <c r="BB293" s="93"/>
      <c r="BC293" s="93"/>
      <c r="BD293" s="93"/>
      <c r="BE293" s="93"/>
      <c r="BF293" s="93"/>
      <c r="BG293" s="93"/>
      <c r="BH293" s="93"/>
      <c r="BI293" s="93"/>
      <c r="BJ293" s="93"/>
      <c r="BK293" s="93"/>
      <c r="BL293" s="93"/>
      <c r="BM293" s="93"/>
      <c r="BN293" s="93"/>
      <c r="BO293" s="93"/>
      <c r="BP293" s="93"/>
      <c r="BQ293" s="93"/>
      <c r="BR293" s="93"/>
      <c r="BS293" s="93"/>
      <c r="BT293" s="93"/>
      <c r="BU293" s="93"/>
      <c r="BV293" s="93"/>
      <c r="BW293" s="93"/>
      <c r="BX293" s="93"/>
      <c r="BY293" s="93"/>
      <c r="BZ293" s="93"/>
    </row>
    <row r="294">
      <c r="B294" t="s">
        <v>1544</v>
      </c>
      <c r="C294" s="89" t="s">
        <v>1545</v>
      </c>
      <c r="D294" s="90" t="s">
        <v>1546</v>
      </c>
      <c r="E294" s="91">
        <v>2019.0</v>
      </c>
      <c r="F294" s="92">
        <v>1.0</v>
      </c>
      <c r="G294" s="93"/>
      <c r="H294" s="93"/>
      <c r="I294" s="93"/>
      <c r="J294" s="93"/>
      <c r="K294" s="93"/>
      <c r="L294" s="93"/>
      <c r="M294" s="93"/>
      <c r="N294" s="93"/>
      <c r="O294" s="93"/>
      <c r="P294" s="93"/>
      <c r="Q294" s="93"/>
      <c r="R294" s="93"/>
      <c r="S294" s="93"/>
      <c r="T294" s="93"/>
      <c r="U294" s="93"/>
      <c r="V294" s="93"/>
      <c r="W294" s="93"/>
      <c r="X294" s="93"/>
      <c r="Y294" s="93"/>
      <c r="Z294" s="93"/>
      <c r="AA294" s="93"/>
      <c r="AB294" s="93"/>
      <c r="AC294" s="93"/>
      <c r="AD294" s="93"/>
      <c r="AE294" s="93"/>
      <c r="AF294" s="93"/>
      <c r="AG294" s="93"/>
      <c r="AH294" s="94"/>
      <c r="AI294" s="93"/>
      <c r="AJ294" s="93"/>
      <c r="AK294" s="93"/>
      <c r="AL294" s="93"/>
      <c r="AM294" s="93"/>
      <c r="AN294" s="93"/>
      <c r="AO294" s="93"/>
      <c r="AP294" s="93"/>
      <c r="AQ294" s="93"/>
      <c r="AR294" s="93"/>
      <c r="AS294" s="93"/>
      <c r="AT294" s="93"/>
      <c r="AU294" s="93"/>
      <c r="AV294" s="93"/>
      <c r="AW294" s="93"/>
      <c r="AX294" s="93"/>
      <c r="AY294" s="93"/>
      <c r="AZ294" s="93"/>
      <c r="BA294" s="93"/>
      <c r="BB294" s="93"/>
      <c r="BC294" s="93"/>
      <c r="BD294" s="93"/>
      <c r="BE294" s="93"/>
      <c r="BF294" s="93"/>
      <c r="BG294" s="93"/>
      <c r="BH294" s="93"/>
      <c r="BI294" s="93"/>
      <c r="BJ294" s="93"/>
      <c r="BK294" s="93"/>
      <c r="BL294" s="93"/>
      <c r="BM294" s="93"/>
      <c r="BN294" s="93"/>
      <c r="BO294" s="93"/>
      <c r="BP294" s="93"/>
      <c r="BQ294" s="93"/>
      <c r="BR294" s="93"/>
      <c r="BS294" s="93"/>
      <c r="BT294" s="93"/>
      <c r="BU294" s="93"/>
      <c r="BV294" s="93"/>
      <c r="BW294" s="93"/>
      <c r="BX294" s="93"/>
      <c r="BY294" s="93"/>
      <c r="BZ294" s="93"/>
    </row>
    <row r="295">
      <c r="B295" t="s">
        <v>1547</v>
      </c>
      <c r="C295" s="89" t="s">
        <v>1548</v>
      </c>
      <c r="D295" s="90" t="s">
        <v>278</v>
      </c>
      <c r="E295" s="91">
        <v>2019.0</v>
      </c>
      <c r="F295" s="92">
        <v>1.0</v>
      </c>
      <c r="G295" s="93"/>
      <c r="H295" s="93"/>
      <c r="I295" s="93"/>
      <c r="J295" s="93"/>
      <c r="K295" s="93"/>
      <c r="L295" s="93"/>
      <c r="M295" s="93"/>
      <c r="N295" s="93"/>
      <c r="O295" s="93"/>
      <c r="P295" s="93"/>
      <c r="Q295" s="93"/>
      <c r="R295" s="93"/>
      <c r="S295" s="93"/>
      <c r="T295" s="93"/>
      <c r="U295" s="93"/>
      <c r="V295" s="93"/>
      <c r="W295" s="93"/>
      <c r="X295" s="93"/>
      <c r="Y295" s="93"/>
      <c r="Z295" s="93"/>
      <c r="AA295" s="93"/>
      <c r="AB295" s="93"/>
      <c r="AC295" s="93"/>
      <c r="AD295" s="93"/>
      <c r="AE295" s="93"/>
      <c r="AF295" s="93"/>
      <c r="AG295" s="93"/>
      <c r="AH295" s="94"/>
      <c r="AI295" s="93"/>
      <c r="AJ295" s="93"/>
      <c r="AK295" s="93"/>
      <c r="AL295" s="93"/>
      <c r="AM295" s="93"/>
      <c r="AN295" s="93"/>
      <c r="AO295" s="93"/>
      <c r="AP295" s="93"/>
      <c r="AQ295" s="93"/>
      <c r="AR295" s="93"/>
      <c r="AS295" s="93"/>
      <c r="AT295" s="93"/>
      <c r="AU295" s="93"/>
      <c r="AV295" s="93"/>
      <c r="AW295" s="93"/>
      <c r="AX295" s="93"/>
      <c r="AY295" s="93"/>
      <c r="AZ295" s="93"/>
      <c r="BA295" s="93"/>
      <c r="BB295" s="93"/>
      <c r="BC295" s="93"/>
      <c r="BD295" s="93"/>
      <c r="BE295" s="93"/>
      <c r="BF295" s="93"/>
      <c r="BG295" s="93"/>
      <c r="BH295" s="93"/>
      <c r="BI295" s="93"/>
      <c r="BJ295" s="93"/>
      <c r="BK295" s="93"/>
      <c r="BL295" s="93"/>
      <c r="BM295" s="93"/>
      <c r="BN295" s="93"/>
      <c r="BO295" s="93"/>
      <c r="BP295" s="93"/>
      <c r="BQ295" s="93"/>
      <c r="BR295" s="93"/>
      <c r="BS295" s="93"/>
      <c r="BT295" s="93"/>
      <c r="BU295" s="93"/>
      <c r="BV295" s="93"/>
      <c r="BW295" s="93"/>
      <c r="BX295" s="93"/>
      <c r="BY295" s="93"/>
      <c r="BZ295" s="93"/>
    </row>
    <row r="296">
      <c r="B296" t="s">
        <v>1549</v>
      </c>
      <c r="C296" s="89" t="s">
        <v>1550</v>
      </c>
      <c r="D296" s="90" t="s">
        <v>1551</v>
      </c>
      <c r="E296" s="91">
        <v>2018.0</v>
      </c>
      <c r="F296" s="92">
        <v>1.0</v>
      </c>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3"/>
      <c r="AH296" s="94"/>
      <c r="AI296" s="93"/>
      <c r="AJ296" s="93"/>
      <c r="AK296" s="93"/>
      <c r="AL296" s="93"/>
      <c r="AM296" s="93"/>
      <c r="AN296" s="93"/>
      <c r="AO296" s="93"/>
      <c r="AP296" s="93"/>
      <c r="AQ296" s="93"/>
      <c r="AR296" s="93"/>
      <c r="AS296" s="93"/>
      <c r="AT296" s="93"/>
      <c r="AU296" s="93"/>
      <c r="AV296" s="93"/>
      <c r="AW296" s="93"/>
      <c r="AX296" s="93"/>
      <c r="AY296" s="93"/>
      <c r="AZ296" s="93"/>
      <c r="BA296" s="93"/>
      <c r="BB296" s="93"/>
      <c r="BC296" s="93"/>
      <c r="BD296" s="93"/>
      <c r="BE296" s="93"/>
      <c r="BF296" s="93"/>
      <c r="BG296" s="93"/>
      <c r="BH296" s="93"/>
      <c r="BI296" s="93"/>
      <c r="BJ296" s="93"/>
      <c r="BK296" s="93"/>
      <c r="BL296" s="93"/>
      <c r="BM296" s="93"/>
      <c r="BN296" s="93"/>
      <c r="BO296" s="93"/>
      <c r="BP296" s="93"/>
      <c r="BQ296" s="93"/>
      <c r="BR296" s="93"/>
      <c r="BS296" s="93"/>
      <c r="BT296" s="93"/>
      <c r="BU296" s="93"/>
      <c r="BV296" s="93"/>
      <c r="BW296" s="93"/>
      <c r="BX296" s="93"/>
      <c r="BY296" s="93"/>
      <c r="BZ296" s="93"/>
    </row>
    <row r="297">
      <c r="B297" t="s">
        <v>1552</v>
      </c>
      <c r="C297" s="89" t="s">
        <v>1553</v>
      </c>
      <c r="D297" s="90" t="s">
        <v>1554</v>
      </c>
      <c r="E297" s="91">
        <v>2019.0</v>
      </c>
      <c r="F297" s="92">
        <v>1.0</v>
      </c>
      <c r="G297" s="93"/>
      <c r="H297" s="93"/>
      <c r="I297" s="93"/>
      <c r="J297" s="93"/>
      <c r="K297" s="93"/>
      <c r="L297" s="93"/>
      <c r="M297" s="93"/>
      <c r="N297" s="93"/>
      <c r="O297" s="93"/>
      <c r="P297" s="93"/>
      <c r="Q297" s="93"/>
      <c r="R297" s="93"/>
      <c r="S297" s="93"/>
      <c r="T297" s="93"/>
      <c r="U297" s="93"/>
      <c r="V297" s="93"/>
      <c r="W297" s="93"/>
      <c r="X297" s="93"/>
      <c r="Y297" s="93"/>
      <c r="Z297" s="93"/>
      <c r="AA297" s="93"/>
      <c r="AB297" s="93"/>
      <c r="AC297" s="93"/>
      <c r="AD297" s="93"/>
      <c r="AE297" s="93"/>
      <c r="AF297" s="93"/>
      <c r="AG297" s="93"/>
      <c r="AH297" s="94"/>
      <c r="AI297" s="93"/>
      <c r="AJ297" s="93"/>
      <c r="AK297" s="93"/>
      <c r="AL297" s="93"/>
      <c r="AM297" s="93"/>
      <c r="AN297" s="93"/>
      <c r="AO297" s="93"/>
      <c r="AP297" s="93"/>
      <c r="AQ297" s="93"/>
      <c r="AR297" s="93"/>
      <c r="AS297" s="93"/>
      <c r="AT297" s="93"/>
      <c r="AU297" s="93"/>
      <c r="AV297" s="93"/>
      <c r="AW297" s="93"/>
      <c r="AX297" s="93"/>
      <c r="AY297" s="93"/>
      <c r="AZ297" s="93"/>
      <c r="BA297" s="93"/>
      <c r="BB297" s="93"/>
      <c r="BC297" s="93"/>
      <c r="BD297" s="93"/>
      <c r="BE297" s="93"/>
      <c r="BF297" s="93"/>
      <c r="BG297" s="93"/>
      <c r="BH297" s="93"/>
      <c r="BI297" s="93"/>
      <c r="BJ297" s="93"/>
      <c r="BK297" s="93"/>
      <c r="BL297" s="93"/>
      <c r="BM297" s="93"/>
      <c r="BN297" s="93"/>
      <c r="BO297" s="93"/>
      <c r="BP297" s="93"/>
      <c r="BQ297" s="93"/>
      <c r="BR297" s="93"/>
      <c r="BS297" s="93"/>
      <c r="BT297" s="93"/>
      <c r="BU297" s="93"/>
      <c r="BV297" s="93"/>
      <c r="BW297" s="93"/>
      <c r="BX297" s="93"/>
      <c r="BY297" s="93"/>
      <c r="BZ297" s="93"/>
    </row>
    <row r="298">
      <c r="B298" t="s">
        <v>1555</v>
      </c>
      <c r="C298" s="89" t="s">
        <v>1556</v>
      </c>
      <c r="D298" s="90" t="s">
        <v>1557</v>
      </c>
      <c r="E298" s="91">
        <v>2018.0</v>
      </c>
      <c r="F298" s="92">
        <v>1.0</v>
      </c>
      <c r="G298" s="93"/>
      <c r="H298" s="93"/>
      <c r="I298" s="93"/>
      <c r="J298" s="93"/>
      <c r="K298" s="93"/>
      <c r="L298" s="93"/>
      <c r="M298" s="93"/>
      <c r="N298" s="93"/>
      <c r="O298" s="93"/>
      <c r="P298" s="93"/>
      <c r="Q298" s="93"/>
      <c r="R298" s="93"/>
      <c r="S298" s="93"/>
      <c r="T298" s="93"/>
      <c r="U298" s="93"/>
      <c r="V298" s="93"/>
      <c r="W298" s="93"/>
      <c r="X298" s="93"/>
      <c r="Y298" s="93"/>
      <c r="Z298" s="93"/>
      <c r="AA298" s="93"/>
      <c r="AB298" s="93"/>
      <c r="AC298" s="93"/>
      <c r="AD298" s="93"/>
      <c r="AE298" s="93"/>
      <c r="AF298" s="93"/>
      <c r="AG298" s="93"/>
      <c r="AH298" s="94"/>
      <c r="AI298" s="93"/>
      <c r="AJ298" s="93"/>
      <c r="AK298" s="93"/>
      <c r="AL298" s="93"/>
      <c r="AM298" s="93"/>
      <c r="AN298" s="93"/>
      <c r="AO298" s="93"/>
      <c r="AP298" s="93"/>
      <c r="AQ298" s="93"/>
      <c r="AR298" s="93"/>
      <c r="AS298" s="93"/>
      <c r="AT298" s="93"/>
      <c r="AU298" s="93"/>
      <c r="AV298" s="93"/>
      <c r="AW298" s="93"/>
      <c r="AX298" s="93"/>
      <c r="AY298" s="93"/>
      <c r="AZ298" s="93"/>
      <c r="BA298" s="93"/>
      <c r="BB298" s="93"/>
      <c r="BC298" s="93"/>
      <c r="BD298" s="93"/>
      <c r="BE298" s="93"/>
      <c r="BF298" s="93"/>
      <c r="BG298" s="93"/>
      <c r="BH298" s="93"/>
      <c r="BI298" s="93"/>
      <c r="BJ298" s="93"/>
      <c r="BK298" s="93"/>
      <c r="BL298" s="93"/>
      <c r="BM298" s="93"/>
      <c r="BN298" s="93"/>
      <c r="BO298" s="93"/>
      <c r="BP298" s="93"/>
      <c r="BQ298" s="93"/>
      <c r="BR298" s="93"/>
      <c r="BS298" s="93"/>
      <c r="BT298" s="93"/>
      <c r="BU298" s="93"/>
      <c r="BV298" s="93"/>
      <c r="BW298" s="93"/>
      <c r="BX298" s="93"/>
      <c r="BY298" s="93"/>
      <c r="BZ298" s="93"/>
    </row>
    <row r="299">
      <c r="B299" t="s">
        <v>1558</v>
      </c>
      <c r="C299" s="89" t="s">
        <v>1559</v>
      </c>
      <c r="D299" s="90" t="s">
        <v>1560</v>
      </c>
      <c r="E299" s="91">
        <v>2019.0</v>
      </c>
      <c r="F299" s="92">
        <v>1.0</v>
      </c>
      <c r="G299" s="93"/>
      <c r="H299" s="93"/>
      <c r="I299" s="93"/>
      <c r="J299" s="93"/>
      <c r="K299" s="93"/>
      <c r="L299" s="93"/>
      <c r="M299" s="93"/>
      <c r="N299" s="93"/>
      <c r="O299" s="93"/>
      <c r="P299" s="93"/>
      <c r="Q299" s="93"/>
      <c r="R299" s="93"/>
      <c r="S299" s="93"/>
      <c r="T299" s="93"/>
      <c r="U299" s="93"/>
      <c r="V299" s="93"/>
      <c r="W299" s="93"/>
      <c r="X299" s="93"/>
      <c r="Y299" s="93"/>
      <c r="Z299" s="93"/>
      <c r="AA299" s="93"/>
      <c r="AB299" s="93"/>
      <c r="AC299" s="93"/>
      <c r="AD299" s="93"/>
      <c r="AE299" s="93"/>
      <c r="AF299" s="93"/>
      <c r="AG299" s="93"/>
      <c r="AH299" s="94"/>
      <c r="AI299" s="93"/>
      <c r="AJ299" s="93"/>
      <c r="AK299" s="93"/>
      <c r="AL299" s="93"/>
      <c r="AM299" s="93"/>
      <c r="AN299" s="93"/>
      <c r="AO299" s="93"/>
      <c r="AP299" s="93"/>
      <c r="AQ299" s="93"/>
      <c r="AR299" s="93"/>
      <c r="AS299" s="93"/>
      <c r="AT299" s="93"/>
      <c r="AU299" s="93"/>
      <c r="AV299" s="93"/>
      <c r="AW299" s="93"/>
      <c r="AX299" s="93"/>
      <c r="AY299" s="93"/>
      <c r="AZ299" s="93"/>
      <c r="BA299" s="93"/>
      <c r="BB299" s="93"/>
      <c r="BC299" s="93"/>
      <c r="BD299" s="93"/>
      <c r="BE299" s="93"/>
      <c r="BF299" s="93"/>
      <c r="BG299" s="93"/>
      <c r="BH299" s="93"/>
      <c r="BI299" s="93"/>
      <c r="BJ299" s="93"/>
      <c r="BK299" s="93"/>
      <c r="BL299" s="93"/>
      <c r="BM299" s="93"/>
      <c r="BN299" s="93"/>
      <c r="BO299" s="93"/>
      <c r="BP299" s="93"/>
      <c r="BQ299" s="93"/>
      <c r="BR299" s="93"/>
      <c r="BS299" s="93"/>
      <c r="BT299" s="93"/>
      <c r="BU299" s="93"/>
      <c r="BV299" s="93"/>
      <c r="BW299" s="93"/>
      <c r="BX299" s="93"/>
      <c r="BY299" s="93"/>
      <c r="BZ299" s="93"/>
    </row>
    <row r="300">
      <c r="A300" t="s">
        <v>1354</v>
      </c>
      <c r="B300" t="s">
        <v>1561</v>
      </c>
      <c r="C300" s="89" t="s">
        <v>1562</v>
      </c>
      <c r="D300" s="90" t="s">
        <v>622</v>
      </c>
      <c r="E300" s="91">
        <v>2019.0</v>
      </c>
      <c r="F300" s="93"/>
      <c r="G300" s="93"/>
      <c r="H300" s="93"/>
      <c r="I300" s="93"/>
      <c r="J300" s="93"/>
      <c r="K300" s="93"/>
      <c r="L300" s="93"/>
      <c r="M300" s="93"/>
      <c r="N300" s="93"/>
      <c r="O300" s="93"/>
      <c r="P300" s="93"/>
      <c r="Q300" s="99">
        <v>1.0</v>
      </c>
      <c r="R300" s="93"/>
      <c r="S300" s="93"/>
      <c r="T300" s="93"/>
      <c r="U300" s="93"/>
      <c r="V300" s="93"/>
      <c r="W300" s="98" t="s">
        <v>1563</v>
      </c>
      <c r="X300" s="90" t="s">
        <v>1564</v>
      </c>
      <c r="Y300" s="98" t="s">
        <v>1565</v>
      </c>
      <c r="Z300" s="98" t="s">
        <v>1566</v>
      </c>
      <c r="AA300" s="93"/>
      <c r="AB300" s="99">
        <v>1.0</v>
      </c>
      <c r="AC300" s="93"/>
      <c r="AD300" s="99">
        <v>1.0</v>
      </c>
      <c r="AE300" s="93"/>
      <c r="AF300" s="93"/>
      <c r="AG300" s="93"/>
      <c r="AH300" s="96" t="s">
        <v>1567</v>
      </c>
      <c r="AI300" s="99">
        <v>1.0</v>
      </c>
      <c r="AJ300" s="93"/>
      <c r="AK300" s="93"/>
      <c r="AL300" s="93"/>
      <c r="AM300" s="93"/>
      <c r="AN300" s="93"/>
      <c r="AO300" s="93"/>
      <c r="AP300" s="93"/>
      <c r="AQ300" s="93"/>
      <c r="AR300" s="99">
        <v>1.0</v>
      </c>
      <c r="AS300" s="93"/>
      <c r="AT300" s="93"/>
      <c r="AU300" s="93"/>
      <c r="AV300" s="93"/>
      <c r="AW300" s="93"/>
      <c r="AX300" s="93"/>
      <c r="AY300" s="93"/>
      <c r="AZ300" s="93"/>
      <c r="BA300" s="93"/>
      <c r="BB300" s="93"/>
      <c r="BC300" s="93"/>
      <c r="BD300" s="93"/>
      <c r="BE300" s="93"/>
      <c r="BF300" s="93"/>
      <c r="BG300" s="93"/>
      <c r="BH300" s="93"/>
      <c r="BI300" s="93"/>
      <c r="BJ300" s="93"/>
      <c r="BK300" s="93"/>
      <c r="BL300" s="99">
        <v>1.0</v>
      </c>
      <c r="BM300" s="93"/>
      <c r="BN300" s="93"/>
      <c r="BO300" s="99">
        <v>1.0</v>
      </c>
      <c r="BP300" s="93"/>
      <c r="BQ300" s="99">
        <v>1.0</v>
      </c>
      <c r="BR300" s="93"/>
      <c r="BS300" s="98" t="s">
        <v>748</v>
      </c>
      <c r="BT300" s="93"/>
      <c r="BU300" s="93"/>
      <c r="BV300" s="93"/>
      <c r="BW300" s="93"/>
      <c r="BX300" s="93"/>
      <c r="BY300" s="99">
        <v>1.0</v>
      </c>
      <c r="BZ300" s="93"/>
    </row>
    <row r="301">
      <c r="B301" t="s">
        <v>1568</v>
      </c>
      <c r="C301" s="89" t="s">
        <v>1569</v>
      </c>
      <c r="D301" s="90" t="s">
        <v>1570</v>
      </c>
      <c r="E301" s="91">
        <v>2019.0</v>
      </c>
      <c r="F301" s="92">
        <v>1.0</v>
      </c>
      <c r="G301" s="93"/>
      <c r="H301" s="93"/>
      <c r="I301" s="93"/>
      <c r="J301" s="93"/>
      <c r="K301" s="93"/>
      <c r="L301" s="93"/>
      <c r="M301" s="93"/>
      <c r="N301" s="93"/>
      <c r="O301" s="93"/>
      <c r="P301" s="93"/>
      <c r="Q301" s="93"/>
      <c r="R301" s="93"/>
      <c r="S301" s="93"/>
      <c r="T301" s="93"/>
      <c r="U301" s="93"/>
      <c r="V301" s="93"/>
      <c r="W301" s="93"/>
      <c r="X301" s="93"/>
      <c r="Y301" s="93"/>
      <c r="Z301" s="93"/>
      <c r="AA301" s="93"/>
      <c r="AB301" s="93"/>
      <c r="AC301" s="93"/>
      <c r="AD301" s="93"/>
      <c r="AE301" s="93"/>
      <c r="AF301" s="93"/>
      <c r="AG301" s="93"/>
      <c r="AH301" s="94"/>
      <c r="AI301" s="93"/>
      <c r="AJ301" s="93"/>
      <c r="AK301" s="93"/>
      <c r="AL301" s="93"/>
      <c r="AM301" s="93"/>
      <c r="AN301" s="93"/>
      <c r="AO301" s="93"/>
      <c r="AP301" s="93"/>
      <c r="AQ301" s="93"/>
      <c r="AR301" s="93"/>
      <c r="AS301" s="93"/>
      <c r="AT301" s="93"/>
      <c r="AU301" s="93"/>
      <c r="AV301" s="93"/>
      <c r="AW301" s="93"/>
      <c r="AX301" s="93"/>
      <c r="AY301" s="93"/>
      <c r="AZ301" s="93"/>
      <c r="BA301" s="93"/>
      <c r="BB301" s="93"/>
      <c r="BC301" s="93"/>
      <c r="BD301" s="93"/>
      <c r="BE301" s="93"/>
      <c r="BF301" s="93"/>
      <c r="BG301" s="93"/>
      <c r="BH301" s="93"/>
      <c r="BI301" s="93"/>
      <c r="BJ301" s="93"/>
      <c r="BK301" s="93"/>
      <c r="BL301" s="93"/>
      <c r="BM301" s="93"/>
      <c r="BN301" s="93"/>
      <c r="BO301" s="93"/>
      <c r="BP301" s="93"/>
      <c r="BQ301" s="93"/>
      <c r="BR301" s="93"/>
      <c r="BS301" s="93"/>
      <c r="BT301" s="93"/>
      <c r="BU301" s="93"/>
      <c r="BV301" s="93"/>
      <c r="BW301" s="93"/>
      <c r="BX301" s="93"/>
      <c r="BY301" s="93"/>
      <c r="BZ301" s="93"/>
    </row>
    <row r="302">
      <c r="B302" t="s">
        <v>1571</v>
      </c>
      <c r="C302" s="89" t="s">
        <v>1572</v>
      </c>
      <c r="D302" s="90" t="s">
        <v>1573</v>
      </c>
      <c r="E302" s="91">
        <v>2019.0</v>
      </c>
      <c r="F302" s="92">
        <v>1.0</v>
      </c>
      <c r="G302" s="93"/>
      <c r="H302" s="93"/>
      <c r="I302" s="93"/>
      <c r="J302" s="93"/>
      <c r="K302" s="93"/>
      <c r="L302" s="93"/>
      <c r="M302" s="93"/>
      <c r="N302" s="93"/>
      <c r="O302" s="93"/>
      <c r="P302" s="93"/>
      <c r="Q302" s="93"/>
      <c r="R302" s="93"/>
      <c r="S302" s="93"/>
      <c r="T302" s="93"/>
      <c r="U302" s="93"/>
      <c r="V302" s="93"/>
      <c r="W302" s="93"/>
      <c r="X302" s="93"/>
      <c r="Y302" s="93"/>
      <c r="Z302" s="93"/>
      <c r="AA302" s="93"/>
      <c r="AB302" s="93"/>
      <c r="AC302" s="93"/>
      <c r="AD302" s="93"/>
      <c r="AE302" s="93"/>
      <c r="AF302" s="93"/>
      <c r="AG302" s="93"/>
      <c r="AH302" s="94"/>
      <c r="AI302" s="93"/>
      <c r="AJ302" s="93"/>
      <c r="AK302" s="93"/>
      <c r="AL302" s="93"/>
      <c r="AM302" s="93"/>
      <c r="AN302" s="93"/>
      <c r="AO302" s="93"/>
      <c r="AP302" s="93"/>
      <c r="AQ302" s="93"/>
      <c r="AR302" s="93"/>
      <c r="AS302" s="93"/>
      <c r="AT302" s="93"/>
      <c r="AU302" s="93"/>
      <c r="AV302" s="93"/>
      <c r="AW302" s="93"/>
      <c r="AX302" s="93"/>
      <c r="AY302" s="93"/>
      <c r="AZ302" s="93"/>
      <c r="BA302" s="93"/>
      <c r="BB302" s="93"/>
      <c r="BC302" s="93"/>
      <c r="BD302" s="93"/>
      <c r="BE302" s="93"/>
      <c r="BF302" s="93"/>
      <c r="BG302" s="93"/>
      <c r="BH302" s="93"/>
      <c r="BI302" s="93"/>
      <c r="BJ302" s="93"/>
      <c r="BK302" s="93"/>
      <c r="BL302" s="93"/>
      <c r="BM302" s="93"/>
      <c r="BN302" s="93"/>
      <c r="BO302" s="93"/>
      <c r="BP302" s="93"/>
      <c r="BQ302" s="93"/>
      <c r="BR302" s="93"/>
      <c r="BS302" s="93"/>
      <c r="BT302" s="93"/>
      <c r="BU302" s="93"/>
      <c r="BV302" s="93"/>
      <c r="BW302" s="93"/>
      <c r="BX302" s="93"/>
      <c r="BY302" s="93"/>
      <c r="BZ302" s="93"/>
    </row>
    <row r="303">
      <c r="B303" t="s">
        <v>1574</v>
      </c>
      <c r="C303" s="89" t="s">
        <v>1575</v>
      </c>
      <c r="D303" s="90" t="s">
        <v>1139</v>
      </c>
      <c r="E303" s="91">
        <v>2019.0</v>
      </c>
      <c r="F303" s="92">
        <v>1.0</v>
      </c>
      <c r="G303" s="93"/>
      <c r="H303" s="93"/>
      <c r="I303" s="93"/>
      <c r="J303" s="93"/>
      <c r="K303" s="93"/>
      <c r="L303" s="93"/>
      <c r="M303" s="93"/>
      <c r="N303" s="93"/>
      <c r="O303" s="93"/>
      <c r="P303" s="93"/>
      <c r="Q303" s="93"/>
      <c r="R303" s="93"/>
      <c r="S303" s="93"/>
      <c r="T303" s="93"/>
      <c r="U303" s="93"/>
      <c r="V303" s="93"/>
      <c r="W303" s="93"/>
      <c r="X303" s="93"/>
      <c r="Y303" s="93"/>
      <c r="Z303" s="93"/>
      <c r="AA303" s="93"/>
      <c r="AB303" s="93"/>
      <c r="AC303" s="93"/>
      <c r="AD303" s="93"/>
      <c r="AE303" s="93"/>
      <c r="AF303" s="93"/>
      <c r="AG303" s="93"/>
      <c r="AH303" s="94"/>
      <c r="AI303" s="93"/>
      <c r="AJ303" s="93"/>
      <c r="AK303" s="93"/>
      <c r="AL303" s="93"/>
      <c r="AM303" s="93"/>
      <c r="AN303" s="93"/>
      <c r="AO303" s="93"/>
      <c r="AP303" s="93"/>
      <c r="AQ303" s="93"/>
      <c r="AR303" s="93"/>
      <c r="AS303" s="93"/>
      <c r="AT303" s="93"/>
      <c r="AU303" s="93"/>
      <c r="AV303" s="93"/>
      <c r="AW303" s="93"/>
      <c r="AX303" s="93"/>
      <c r="AY303" s="93"/>
      <c r="AZ303" s="93"/>
      <c r="BA303" s="93"/>
      <c r="BB303" s="93"/>
      <c r="BC303" s="93"/>
      <c r="BD303" s="93"/>
      <c r="BE303" s="93"/>
      <c r="BF303" s="93"/>
      <c r="BG303" s="93"/>
      <c r="BH303" s="93"/>
      <c r="BI303" s="93"/>
      <c r="BJ303" s="93"/>
      <c r="BK303" s="93"/>
      <c r="BL303" s="93"/>
      <c r="BM303" s="93"/>
      <c r="BN303" s="93"/>
      <c r="BO303" s="93"/>
      <c r="BP303" s="93"/>
      <c r="BQ303" s="93"/>
      <c r="BR303" s="93"/>
      <c r="BS303" s="93"/>
      <c r="BT303" s="93"/>
      <c r="BU303" s="93"/>
      <c r="BV303" s="93"/>
      <c r="BW303" s="93"/>
      <c r="BX303" s="93"/>
      <c r="BY303" s="93"/>
      <c r="BZ303" s="93"/>
    </row>
    <row r="304">
      <c r="B304" t="s">
        <v>1576</v>
      </c>
      <c r="C304" s="89" t="s">
        <v>1577</v>
      </c>
      <c r="D304" s="90" t="s">
        <v>1139</v>
      </c>
      <c r="E304" s="91">
        <v>2019.0</v>
      </c>
      <c r="F304" s="92">
        <v>1.0</v>
      </c>
      <c r="G304" s="93"/>
      <c r="H304" s="93"/>
      <c r="I304" s="93"/>
      <c r="J304" s="93"/>
      <c r="K304" s="93"/>
      <c r="L304" s="93"/>
      <c r="M304" s="93"/>
      <c r="N304" s="93"/>
      <c r="O304" s="93"/>
      <c r="P304" s="93"/>
      <c r="Q304" s="93"/>
      <c r="R304" s="93"/>
      <c r="S304" s="93"/>
      <c r="T304" s="93"/>
      <c r="U304" s="93"/>
      <c r="V304" s="93"/>
      <c r="W304" s="93"/>
      <c r="X304" s="93"/>
      <c r="Y304" s="93"/>
      <c r="Z304" s="93"/>
      <c r="AA304" s="93"/>
      <c r="AB304" s="93"/>
      <c r="AC304" s="93"/>
      <c r="AD304" s="93"/>
      <c r="AE304" s="93"/>
      <c r="AF304" s="93"/>
      <c r="AG304" s="93"/>
      <c r="AH304" s="94"/>
      <c r="AI304" s="93"/>
      <c r="AJ304" s="93"/>
      <c r="AK304" s="93"/>
      <c r="AL304" s="93"/>
      <c r="AM304" s="93"/>
      <c r="AN304" s="93"/>
      <c r="AO304" s="93"/>
      <c r="AP304" s="93"/>
      <c r="AQ304" s="93"/>
      <c r="AR304" s="93"/>
      <c r="AS304" s="93"/>
      <c r="AT304" s="93"/>
      <c r="AU304" s="93"/>
      <c r="AV304" s="93"/>
      <c r="AW304" s="93"/>
      <c r="AX304" s="93"/>
      <c r="AY304" s="93"/>
      <c r="AZ304" s="93"/>
      <c r="BA304" s="93"/>
      <c r="BB304" s="93"/>
      <c r="BC304" s="93"/>
      <c r="BD304" s="93"/>
      <c r="BE304" s="93"/>
      <c r="BF304" s="93"/>
      <c r="BG304" s="93"/>
      <c r="BH304" s="93"/>
      <c r="BI304" s="93"/>
      <c r="BJ304" s="93"/>
      <c r="BK304" s="93"/>
      <c r="BL304" s="93"/>
      <c r="BM304" s="93"/>
      <c r="BN304" s="93"/>
      <c r="BO304" s="93"/>
      <c r="BP304" s="93"/>
      <c r="BQ304" s="93"/>
      <c r="BR304" s="93"/>
      <c r="BS304" s="93"/>
      <c r="BT304" s="93"/>
      <c r="BU304" s="93"/>
      <c r="BV304" s="93"/>
      <c r="BW304" s="93"/>
      <c r="BX304" s="93"/>
      <c r="BY304" s="93"/>
      <c r="BZ304" s="93"/>
    </row>
    <row r="305">
      <c r="B305" t="s">
        <v>1578</v>
      </c>
      <c r="C305" s="89" t="s">
        <v>1579</v>
      </c>
      <c r="D305" s="90" t="s">
        <v>1580</v>
      </c>
      <c r="E305" s="91">
        <v>2019.0</v>
      </c>
      <c r="F305" s="92">
        <v>1.0</v>
      </c>
      <c r="G305" s="93"/>
      <c r="H305" s="93"/>
      <c r="I305" s="93"/>
      <c r="J305" s="93"/>
      <c r="K305" s="93"/>
      <c r="L305" s="93"/>
      <c r="M305" s="93"/>
      <c r="N305" s="93"/>
      <c r="O305" s="93"/>
      <c r="P305" s="93"/>
      <c r="Q305" s="93"/>
      <c r="R305" s="93"/>
      <c r="S305" s="93"/>
      <c r="T305" s="93"/>
      <c r="U305" s="93"/>
      <c r="V305" s="93"/>
      <c r="W305" s="93"/>
      <c r="X305" s="93"/>
      <c r="Y305" s="93"/>
      <c r="Z305" s="93"/>
      <c r="AA305" s="93"/>
      <c r="AB305" s="93"/>
      <c r="AC305" s="93"/>
      <c r="AD305" s="93"/>
      <c r="AE305" s="93"/>
      <c r="AF305" s="93"/>
      <c r="AG305" s="93"/>
      <c r="AH305" s="94"/>
      <c r="AI305" s="93"/>
      <c r="AJ305" s="93"/>
      <c r="AK305" s="93"/>
      <c r="AL305" s="93"/>
      <c r="AM305" s="93"/>
      <c r="AN305" s="93"/>
      <c r="AO305" s="93"/>
      <c r="AP305" s="93"/>
      <c r="AQ305" s="93"/>
      <c r="AR305" s="93"/>
      <c r="AS305" s="93"/>
      <c r="AT305" s="93"/>
      <c r="AU305" s="93"/>
      <c r="AV305" s="93"/>
      <c r="AW305" s="93"/>
      <c r="AX305" s="93"/>
      <c r="AY305" s="93"/>
      <c r="AZ305" s="93"/>
      <c r="BA305" s="93"/>
      <c r="BB305" s="93"/>
      <c r="BC305" s="93"/>
      <c r="BD305" s="93"/>
      <c r="BE305" s="93"/>
      <c r="BF305" s="93"/>
      <c r="BG305" s="93"/>
      <c r="BH305" s="93"/>
      <c r="BI305" s="93"/>
      <c r="BJ305" s="93"/>
      <c r="BK305" s="93"/>
      <c r="BL305" s="93"/>
      <c r="BM305" s="93"/>
      <c r="BN305" s="93"/>
      <c r="BO305" s="93"/>
      <c r="BP305" s="93"/>
      <c r="BQ305" s="93"/>
      <c r="BR305" s="93"/>
      <c r="BS305" s="93"/>
      <c r="BT305" s="93"/>
      <c r="BU305" s="93"/>
      <c r="BV305" s="93"/>
      <c r="BW305" s="93"/>
      <c r="BX305" s="93"/>
      <c r="BY305" s="93"/>
      <c r="BZ305" s="93"/>
    </row>
    <row r="306">
      <c r="A306" t="s">
        <v>116</v>
      </c>
      <c r="B306" t="s">
        <v>1581</v>
      </c>
      <c r="C306" s="89" t="s">
        <v>1582</v>
      </c>
      <c r="D306" s="90" t="s">
        <v>1583</v>
      </c>
      <c r="E306" s="91">
        <v>2019.0</v>
      </c>
      <c r="F306" s="92">
        <v>1.0</v>
      </c>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3"/>
      <c r="AH306" s="94"/>
      <c r="AI306" s="93"/>
      <c r="AJ306" s="93"/>
      <c r="AK306" s="93"/>
      <c r="AL306" s="93"/>
      <c r="AM306" s="93"/>
      <c r="AN306" s="93"/>
      <c r="AO306" s="93"/>
      <c r="AP306" s="93"/>
      <c r="AQ306" s="93"/>
      <c r="AR306" s="93"/>
      <c r="AS306" s="93"/>
      <c r="AT306" s="93"/>
      <c r="AU306" s="93"/>
      <c r="AV306" s="93"/>
      <c r="AW306" s="93"/>
      <c r="AX306" s="93"/>
      <c r="AY306" s="93"/>
      <c r="AZ306" s="93"/>
      <c r="BA306" s="93"/>
      <c r="BB306" s="93"/>
      <c r="BC306" s="93"/>
      <c r="BD306" s="93"/>
      <c r="BE306" s="93"/>
      <c r="BF306" s="93"/>
      <c r="BG306" s="93"/>
      <c r="BH306" s="93"/>
      <c r="BI306" s="93"/>
      <c r="BJ306" s="93"/>
      <c r="BK306" s="93"/>
      <c r="BL306" s="93"/>
      <c r="BM306" s="93"/>
      <c r="BN306" s="93"/>
      <c r="BO306" s="93"/>
      <c r="BP306" s="93"/>
      <c r="BQ306" s="93"/>
      <c r="BR306" s="93"/>
      <c r="BS306" s="93"/>
      <c r="BT306" s="93"/>
      <c r="BU306" s="93"/>
      <c r="BV306" s="93"/>
      <c r="BW306" s="93"/>
      <c r="BX306" s="93"/>
      <c r="BY306" s="93"/>
      <c r="BZ306" s="93"/>
    </row>
    <row r="307">
      <c r="A307" t="s">
        <v>1331</v>
      </c>
      <c r="B307" t="s">
        <v>1584</v>
      </c>
      <c r="C307" s="89" t="s">
        <v>1585</v>
      </c>
      <c r="D307" s="90" t="s">
        <v>661</v>
      </c>
      <c r="E307" s="91">
        <v>2019.0</v>
      </c>
      <c r="F307" s="93"/>
      <c r="G307" s="93"/>
      <c r="H307" s="93"/>
      <c r="I307" s="92">
        <v>1.0</v>
      </c>
      <c r="J307" s="93"/>
      <c r="K307" s="93"/>
      <c r="L307" s="93"/>
      <c r="M307" s="93"/>
      <c r="N307" s="93"/>
      <c r="O307" s="93"/>
      <c r="P307" s="93"/>
      <c r="Q307" s="93"/>
      <c r="R307" s="93"/>
      <c r="S307" s="93"/>
      <c r="T307" s="93"/>
      <c r="U307" s="93"/>
      <c r="V307" s="95" t="s">
        <v>1586</v>
      </c>
      <c r="W307" s="95" t="s">
        <v>1587</v>
      </c>
      <c r="X307" s="95" t="s">
        <v>1588</v>
      </c>
      <c r="Y307" s="95" t="s">
        <v>1589</v>
      </c>
      <c r="Z307" s="95" t="s">
        <v>1385</v>
      </c>
      <c r="AA307" s="92">
        <v>1.0</v>
      </c>
      <c r="AB307" s="93"/>
      <c r="AC307" s="93"/>
      <c r="AD307" s="92">
        <v>1.0</v>
      </c>
      <c r="AE307" s="93"/>
      <c r="AF307" s="93"/>
      <c r="AG307" s="93"/>
      <c r="AH307" s="96" t="s">
        <v>1590</v>
      </c>
      <c r="AI307" s="92">
        <v>1.0</v>
      </c>
      <c r="AJ307" s="93"/>
      <c r="AK307" s="93"/>
      <c r="AL307" s="93"/>
      <c r="AM307" s="93"/>
      <c r="AN307" s="93"/>
      <c r="AO307" s="93"/>
      <c r="AP307" s="93"/>
      <c r="AQ307" s="93"/>
      <c r="AR307" s="93"/>
      <c r="AS307" s="93"/>
      <c r="AT307" s="93"/>
      <c r="AU307" s="93"/>
      <c r="AV307" s="93"/>
      <c r="AW307" s="93"/>
      <c r="AX307" s="93"/>
      <c r="AY307" s="93"/>
      <c r="AZ307" s="93"/>
      <c r="BA307" s="93"/>
      <c r="BB307" s="93"/>
      <c r="BC307" s="93"/>
      <c r="BD307" s="93"/>
      <c r="BE307" s="92">
        <v>1.0</v>
      </c>
      <c r="BF307" s="93"/>
      <c r="BG307" s="92">
        <v>1.0</v>
      </c>
      <c r="BH307" s="93"/>
      <c r="BI307" s="93"/>
      <c r="BJ307" s="93"/>
      <c r="BK307" s="93"/>
      <c r="BL307" s="93"/>
      <c r="BM307" s="93"/>
      <c r="BN307" s="93"/>
      <c r="BO307" s="93"/>
      <c r="BP307" s="93"/>
      <c r="BQ307" s="93"/>
      <c r="BR307" s="93"/>
      <c r="BS307" s="93"/>
      <c r="BT307" s="93"/>
      <c r="BU307" s="93"/>
      <c r="BV307" s="93"/>
      <c r="BW307" s="92">
        <v>1.0</v>
      </c>
      <c r="BX307" s="93"/>
      <c r="BY307" s="93"/>
      <c r="BZ307" s="93"/>
    </row>
    <row r="308">
      <c r="B308" t="s">
        <v>1591</v>
      </c>
      <c r="C308" s="89" t="s">
        <v>1592</v>
      </c>
      <c r="D308" s="90" t="s">
        <v>1351</v>
      </c>
      <c r="E308" s="91">
        <v>2019.0</v>
      </c>
      <c r="F308" s="92">
        <v>1.0</v>
      </c>
      <c r="G308" s="93"/>
      <c r="H308" s="93"/>
      <c r="I308" s="93"/>
      <c r="J308" s="93"/>
      <c r="K308" s="93"/>
      <c r="L308" s="93"/>
      <c r="M308" s="93"/>
      <c r="N308" s="93"/>
      <c r="O308" s="93"/>
      <c r="P308" s="93"/>
      <c r="Q308" s="93"/>
      <c r="R308" s="93"/>
      <c r="S308" s="93"/>
      <c r="T308" s="93"/>
      <c r="U308" s="93"/>
      <c r="V308" s="93"/>
      <c r="W308" s="93"/>
      <c r="X308" s="93"/>
      <c r="Y308" s="93"/>
      <c r="Z308" s="93"/>
      <c r="AA308" s="93"/>
      <c r="AB308" s="93"/>
      <c r="AC308" s="93"/>
      <c r="AD308" s="93"/>
      <c r="AE308" s="93"/>
      <c r="AF308" s="93"/>
      <c r="AG308" s="93"/>
      <c r="AH308" s="94"/>
      <c r="AI308" s="93"/>
      <c r="AJ308" s="93"/>
      <c r="AK308" s="93"/>
      <c r="AL308" s="93"/>
      <c r="AM308" s="93"/>
      <c r="AN308" s="93"/>
      <c r="AO308" s="93"/>
      <c r="AP308" s="93"/>
      <c r="AQ308" s="93"/>
      <c r="AR308" s="93"/>
      <c r="AS308" s="93"/>
      <c r="AT308" s="93"/>
      <c r="AU308" s="93"/>
      <c r="AV308" s="93"/>
      <c r="AW308" s="93"/>
      <c r="AX308" s="93"/>
      <c r="AY308" s="93"/>
      <c r="AZ308" s="93"/>
      <c r="BA308" s="93"/>
      <c r="BB308" s="93"/>
      <c r="BC308" s="93"/>
      <c r="BD308" s="93"/>
      <c r="BE308" s="93"/>
      <c r="BF308" s="93"/>
      <c r="BG308" s="93"/>
      <c r="BH308" s="93"/>
      <c r="BI308" s="93"/>
      <c r="BJ308" s="93"/>
      <c r="BK308" s="93"/>
      <c r="BL308" s="93"/>
      <c r="BM308" s="93"/>
      <c r="BN308" s="93"/>
      <c r="BO308" s="93"/>
      <c r="BP308" s="93"/>
      <c r="BQ308" s="93"/>
      <c r="BR308" s="93"/>
      <c r="BS308" s="93"/>
      <c r="BT308" s="93"/>
      <c r="BU308" s="93"/>
      <c r="BV308" s="93"/>
      <c r="BW308" s="93"/>
      <c r="BX308" s="93"/>
      <c r="BY308" s="93"/>
      <c r="BZ308" s="93"/>
    </row>
    <row r="309">
      <c r="B309" t="s">
        <v>1593</v>
      </c>
      <c r="C309" s="89" t="s">
        <v>1594</v>
      </c>
      <c r="D309" s="90" t="s">
        <v>1351</v>
      </c>
      <c r="E309" s="91">
        <v>2019.0</v>
      </c>
      <c r="F309" s="92">
        <v>1.0</v>
      </c>
      <c r="G309" s="93"/>
      <c r="H309" s="93"/>
      <c r="I309" s="93"/>
      <c r="J309" s="93"/>
      <c r="K309" s="93"/>
      <c r="L309" s="93"/>
      <c r="M309" s="93"/>
      <c r="N309" s="93"/>
      <c r="O309" s="93"/>
      <c r="P309" s="93"/>
      <c r="Q309" s="93"/>
      <c r="R309" s="93"/>
      <c r="S309" s="93"/>
      <c r="T309" s="93"/>
      <c r="U309" s="93"/>
      <c r="V309" s="93"/>
      <c r="W309" s="93"/>
      <c r="X309" s="93"/>
      <c r="Y309" s="93"/>
      <c r="Z309" s="93"/>
      <c r="AA309" s="93"/>
      <c r="AB309" s="93"/>
      <c r="AC309" s="93"/>
      <c r="AD309" s="93"/>
      <c r="AE309" s="93"/>
      <c r="AF309" s="93"/>
      <c r="AG309" s="93"/>
      <c r="AH309" s="94"/>
      <c r="AI309" s="93"/>
      <c r="AJ309" s="93"/>
      <c r="AK309" s="93"/>
      <c r="AL309" s="93"/>
      <c r="AM309" s="93"/>
      <c r="AN309" s="93"/>
      <c r="AO309" s="93"/>
      <c r="AP309" s="93"/>
      <c r="AQ309" s="93"/>
      <c r="AR309" s="93"/>
      <c r="AS309" s="93"/>
      <c r="AT309" s="93"/>
      <c r="AU309" s="93"/>
      <c r="AV309" s="93"/>
      <c r="AW309" s="93"/>
      <c r="AX309" s="93"/>
      <c r="AY309" s="93"/>
      <c r="AZ309" s="93"/>
      <c r="BA309" s="93"/>
      <c r="BB309" s="93"/>
      <c r="BC309" s="93"/>
      <c r="BD309" s="93"/>
      <c r="BE309" s="93"/>
      <c r="BF309" s="93"/>
      <c r="BG309" s="93"/>
      <c r="BH309" s="93"/>
      <c r="BI309" s="93"/>
      <c r="BJ309" s="93"/>
      <c r="BK309" s="93"/>
      <c r="BL309" s="93"/>
      <c r="BM309" s="93"/>
      <c r="BN309" s="93"/>
      <c r="BO309" s="93"/>
      <c r="BP309" s="93"/>
      <c r="BQ309" s="93"/>
      <c r="BR309" s="93"/>
      <c r="BS309" s="93"/>
      <c r="BT309" s="93"/>
      <c r="BU309" s="93"/>
      <c r="BV309" s="93"/>
      <c r="BW309" s="93"/>
      <c r="BX309" s="93"/>
      <c r="BY309" s="93"/>
      <c r="BZ309" s="93"/>
    </row>
    <row r="310">
      <c r="B310" t="s">
        <v>1595</v>
      </c>
      <c r="C310" s="89" t="s">
        <v>1596</v>
      </c>
      <c r="D310" s="90" t="s">
        <v>1597</v>
      </c>
      <c r="E310" s="91">
        <v>2019.0</v>
      </c>
      <c r="F310" s="92">
        <v>1.0</v>
      </c>
      <c r="G310" s="93"/>
      <c r="H310" s="93"/>
      <c r="I310" s="93"/>
      <c r="J310" s="93"/>
      <c r="K310" s="93"/>
      <c r="L310" s="93"/>
      <c r="M310" s="93"/>
      <c r="N310" s="93"/>
      <c r="O310" s="93"/>
      <c r="P310" s="93"/>
      <c r="Q310" s="93"/>
      <c r="R310" s="93"/>
      <c r="S310" s="93"/>
      <c r="T310" s="93"/>
      <c r="U310" s="93"/>
      <c r="V310" s="93"/>
      <c r="W310" s="93"/>
      <c r="X310" s="93"/>
      <c r="Y310" s="93"/>
      <c r="Z310" s="93"/>
      <c r="AA310" s="93"/>
      <c r="AB310" s="93"/>
      <c r="AC310" s="93"/>
      <c r="AD310" s="93"/>
      <c r="AE310" s="93"/>
      <c r="AF310" s="93"/>
      <c r="AG310" s="93"/>
      <c r="AH310" s="94"/>
      <c r="AI310" s="93"/>
      <c r="AJ310" s="93"/>
      <c r="AK310" s="93"/>
      <c r="AL310" s="93"/>
      <c r="AM310" s="93"/>
      <c r="AN310" s="93"/>
      <c r="AO310" s="93"/>
      <c r="AP310" s="93"/>
      <c r="AQ310" s="93"/>
      <c r="AR310" s="93"/>
      <c r="AS310" s="93"/>
      <c r="AT310" s="93"/>
      <c r="AU310" s="93"/>
      <c r="AV310" s="93"/>
      <c r="AW310" s="93"/>
      <c r="AX310" s="93"/>
      <c r="AY310" s="93"/>
      <c r="AZ310" s="93"/>
      <c r="BA310" s="93"/>
      <c r="BB310" s="93"/>
      <c r="BC310" s="93"/>
      <c r="BD310" s="93"/>
      <c r="BE310" s="93"/>
      <c r="BF310" s="93"/>
      <c r="BG310" s="93"/>
      <c r="BH310" s="93"/>
      <c r="BI310" s="93"/>
      <c r="BJ310" s="93"/>
      <c r="BK310" s="93"/>
      <c r="BL310" s="93"/>
      <c r="BM310" s="93"/>
      <c r="BN310" s="93"/>
      <c r="BO310" s="93"/>
      <c r="BP310" s="93"/>
      <c r="BQ310" s="93"/>
      <c r="BR310" s="93"/>
      <c r="BS310" s="93"/>
      <c r="BT310" s="93"/>
      <c r="BU310" s="93"/>
      <c r="BV310" s="93"/>
      <c r="BW310" s="93"/>
      <c r="BX310" s="93"/>
      <c r="BY310" s="93"/>
      <c r="BZ310" s="93"/>
    </row>
    <row r="311">
      <c r="A311" t="s">
        <v>1340</v>
      </c>
      <c r="B311" t="s">
        <v>1598</v>
      </c>
      <c r="C311" s="89" t="s">
        <v>1599</v>
      </c>
      <c r="D311" s="90" t="s">
        <v>1600</v>
      </c>
      <c r="E311" s="91">
        <v>2019.0</v>
      </c>
      <c r="F311" s="92">
        <v>1.0</v>
      </c>
      <c r="G311" s="93"/>
      <c r="H311" s="93"/>
      <c r="I311" s="93"/>
      <c r="J311" s="93"/>
      <c r="K311" s="93"/>
      <c r="L311" s="93"/>
      <c r="M311" s="93"/>
      <c r="N311" s="93"/>
      <c r="O311" s="93"/>
      <c r="P311" s="93"/>
      <c r="Q311" s="93"/>
      <c r="R311" s="93"/>
      <c r="S311" s="93"/>
      <c r="T311" s="93"/>
      <c r="U311" s="93"/>
      <c r="V311" s="93"/>
      <c r="W311" s="93"/>
      <c r="X311" s="93"/>
      <c r="Y311" s="93"/>
      <c r="Z311" s="93"/>
      <c r="AA311" s="93"/>
      <c r="AB311" s="93"/>
      <c r="AC311" s="93"/>
      <c r="AD311" s="93"/>
      <c r="AE311" s="93"/>
      <c r="AF311" s="93"/>
      <c r="AG311" s="93"/>
      <c r="AH311" s="94"/>
      <c r="AI311" s="93"/>
      <c r="AJ311" s="93"/>
      <c r="AK311" s="93"/>
      <c r="AL311" s="93"/>
      <c r="AM311" s="93"/>
      <c r="AN311" s="93"/>
      <c r="AO311" s="93"/>
      <c r="AP311" s="93"/>
      <c r="AQ311" s="93"/>
      <c r="AR311" s="93"/>
      <c r="AS311" s="93"/>
      <c r="AT311" s="93"/>
      <c r="AU311" s="93"/>
      <c r="AV311" s="93"/>
      <c r="AW311" s="93"/>
      <c r="AX311" s="93"/>
      <c r="AY311" s="93"/>
      <c r="AZ311" s="93"/>
      <c r="BA311" s="93"/>
      <c r="BB311" s="93"/>
      <c r="BC311" s="93"/>
      <c r="BD311" s="93"/>
      <c r="BE311" s="93"/>
      <c r="BF311" s="93"/>
      <c r="BG311" s="93"/>
      <c r="BH311" s="93"/>
      <c r="BI311" s="93"/>
      <c r="BJ311" s="93"/>
      <c r="BK311" s="93"/>
      <c r="BL311" s="93"/>
      <c r="BM311" s="93"/>
      <c r="BN311" s="93"/>
      <c r="BO311" s="93"/>
      <c r="BP311" s="93"/>
      <c r="BQ311" s="93"/>
      <c r="BR311" s="93"/>
      <c r="BS311" s="93"/>
      <c r="BT311" s="93"/>
      <c r="BU311" s="93"/>
      <c r="BV311" s="93"/>
      <c r="BW311" s="93"/>
      <c r="BX311" s="93"/>
      <c r="BY311" s="93"/>
      <c r="BZ311" s="93"/>
    </row>
    <row r="312">
      <c r="B312" t="s">
        <v>1601</v>
      </c>
      <c r="C312" s="89" t="s">
        <v>1602</v>
      </c>
      <c r="D312" s="90" t="s">
        <v>588</v>
      </c>
      <c r="E312" s="91">
        <v>2019.0</v>
      </c>
      <c r="F312" s="92">
        <v>1.0</v>
      </c>
      <c r="G312" s="93"/>
      <c r="H312" s="93"/>
      <c r="I312" s="93"/>
      <c r="J312" s="93"/>
      <c r="K312" s="93"/>
      <c r="L312" s="93"/>
      <c r="M312" s="93"/>
      <c r="N312" s="93"/>
      <c r="O312" s="93"/>
      <c r="P312" s="93"/>
      <c r="Q312" s="93"/>
      <c r="R312" s="93"/>
      <c r="S312" s="93"/>
      <c r="T312" s="93"/>
      <c r="U312" s="93"/>
      <c r="V312" s="93"/>
      <c r="W312" s="93"/>
      <c r="X312" s="93"/>
      <c r="Y312" s="93"/>
      <c r="Z312" s="93"/>
      <c r="AA312" s="93"/>
      <c r="AB312" s="93"/>
      <c r="AC312" s="93"/>
      <c r="AD312" s="93"/>
      <c r="AE312" s="93"/>
      <c r="AF312" s="93"/>
      <c r="AG312" s="93"/>
      <c r="AH312" s="94"/>
      <c r="AI312" s="93"/>
      <c r="AJ312" s="93"/>
      <c r="AK312" s="93"/>
      <c r="AL312" s="93"/>
      <c r="AM312" s="93"/>
      <c r="AN312" s="93"/>
      <c r="AO312" s="93"/>
      <c r="AP312" s="93"/>
      <c r="AQ312" s="93"/>
      <c r="AR312" s="93"/>
      <c r="AS312" s="93"/>
      <c r="AT312" s="93"/>
      <c r="AU312" s="93"/>
      <c r="AV312" s="93"/>
      <c r="AW312" s="93"/>
      <c r="AX312" s="93"/>
      <c r="AY312" s="93"/>
      <c r="AZ312" s="93"/>
      <c r="BA312" s="93"/>
      <c r="BB312" s="93"/>
      <c r="BC312" s="93"/>
      <c r="BD312" s="93"/>
      <c r="BE312" s="93"/>
      <c r="BF312" s="93"/>
      <c r="BG312" s="93"/>
      <c r="BH312" s="93"/>
      <c r="BI312" s="93"/>
      <c r="BJ312" s="93"/>
      <c r="BK312" s="93"/>
      <c r="BL312" s="93"/>
      <c r="BM312" s="93"/>
      <c r="BN312" s="93"/>
      <c r="BO312" s="93"/>
      <c r="BP312" s="93"/>
      <c r="BQ312" s="93"/>
      <c r="BR312" s="93"/>
      <c r="BS312" s="93"/>
      <c r="BT312" s="93"/>
      <c r="BU312" s="93"/>
      <c r="BV312" s="93"/>
      <c r="BW312" s="93"/>
      <c r="BX312" s="93"/>
      <c r="BY312" s="93"/>
      <c r="BZ312" s="93"/>
    </row>
    <row r="313">
      <c r="B313" t="s">
        <v>1603</v>
      </c>
      <c r="C313" s="89" t="s">
        <v>1604</v>
      </c>
      <c r="D313" s="90" t="s">
        <v>1605</v>
      </c>
      <c r="E313" s="91">
        <v>2019.0</v>
      </c>
      <c r="F313" s="92">
        <v>1.0</v>
      </c>
      <c r="G313" s="93"/>
      <c r="H313" s="93"/>
      <c r="I313" s="93"/>
      <c r="J313" s="93"/>
      <c r="K313" s="93"/>
      <c r="L313" s="93"/>
      <c r="M313" s="93"/>
      <c r="N313" s="93"/>
      <c r="O313" s="93"/>
      <c r="P313" s="93"/>
      <c r="Q313" s="93"/>
      <c r="R313" s="93"/>
      <c r="S313" s="93"/>
      <c r="T313" s="93"/>
      <c r="U313" s="93"/>
      <c r="V313" s="93"/>
      <c r="W313" s="93"/>
      <c r="X313" s="93"/>
      <c r="Y313" s="93"/>
      <c r="Z313" s="93"/>
      <c r="AA313" s="93"/>
      <c r="AB313" s="93"/>
      <c r="AC313" s="93"/>
      <c r="AD313" s="93"/>
      <c r="AE313" s="93"/>
      <c r="AF313" s="93"/>
      <c r="AG313" s="93"/>
      <c r="AH313" s="94"/>
      <c r="AI313" s="93"/>
      <c r="AJ313" s="93"/>
      <c r="AK313" s="93"/>
      <c r="AL313" s="93"/>
      <c r="AM313" s="93"/>
      <c r="AN313" s="93"/>
      <c r="AO313" s="93"/>
      <c r="AP313" s="93"/>
      <c r="AQ313" s="93"/>
      <c r="AR313" s="93"/>
      <c r="AS313" s="93"/>
      <c r="AT313" s="93"/>
      <c r="AU313" s="93"/>
      <c r="AV313" s="93"/>
      <c r="AW313" s="93"/>
      <c r="AX313" s="93"/>
      <c r="AY313" s="93"/>
      <c r="AZ313" s="93"/>
      <c r="BA313" s="93"/>
      <c r="BB313" s="93"/>
      <c r="BC313" s="93"/>
      <c r="BD313" s="93"/>
      <c r="BE313" s="93"/>
      <c r="BF313" s="93"/>
      <c r="BG313" s="93"/>
      <c r="BH313" s="93"/>
      <c r="BI313" s="93"/>
      <c r="BJ313" s="93"/>
      <c r="BK313" s="93"/>
      <c r="BL313" s="93"/>
      <c r="BM313" s="93"/>
      <c r="BN313" s="93"/>
      <c r="BO313" s="93"/>
      <c r="BP313" s="93"/>
      <c r="BQ313" s="93"/>
      <c r="BR313" s="93"/>
      <c r="BS313" s="93"/>
      <c r="BT313" s="93"/>
      <c r="BU313" s="93"/>
      <c r="BV313" s="93"/>
      <c r="BW313" s="93"/>
      <c r="BX313" s="93"/>
      <c r="BY313" s="93"/>
      <c r="BZ313" s="93"/>
    </row>
    <row r="314">
      <c r="B314" t="s">
        <v>1606</v>
      </c>
      <c r="C314" s="89" t="s">
        <v>1607</v>
      </c>
      <c r="D314" s="90" t="s">
        <v>1608</v>
      </c>
      <c r="E314" s="91">
        <v>2019.0</v>
      </c>
      <c r="F314" s="92">
        <v>1.0</v>
      </c>
      <c r="G314" s="93"/>
      <c r="H314" s="93"/>
      <c r="I314" s="93"/>
      <c r="J314" s="93"/>
      <c r="K314" s="93"/>
      <c r="L314" s="93"/>
      <c r="M314" s="93"/>
      <c r="N314" s="93"/>
      <c r="O314" s="93"/>
      <c r="P314" s="93"/>
      <c r="Q314" s="93"/>
      <c r="R314" s="93"/>
      <c r="S314" s="93"/>
      <c r="T314" s="93"/>
      <c r="U314" s="93"/>
      <c r="V314" s="93"/>
      <c r="W314" s="93"/>
      <c r="X314" s="93"/>
      <c r="Y314" s="93"/>
      <c r="Z314" s="93"/>
      <c r="AA314" s="93"/>
      <c r="AB314" s="93"/>
      <c r="AC314" s="93"/>
      <c r="AD314" s="93"/>
      <c r="AE314" s="93"/>
      <c r="AF314" s="93"/>
      <c r="AG314" s="93"/>
      <c r="AH314" s="94"/>
      <c r="AI314" s="93"/>
      <c r="AJ314" s="93"/>
      <c r="AK314" s="93"/>
      <c r="AL314" s="93"/>
      <c r="AM314" s="93"/>
      <c r="AN314" s="93"/>
      <c r="AO314" s="93"/>
      <c r="AP314" s="93"/>
      <c r="AQ314" s="93"/>
      <c r="AR314" s="93"/>
      <c r="AS314" s="93"/>
      <c r="AT314" s="93"/>
      <c r="AU314" s="93"/>
      <c r="AV314" s="93"/>
      <c r="AW314" s="93"/>
      <c r="AX314" s="93"/>
      <c r="AY314" s="93"/>
      <c r="AZ314" s="93"/>
      <c r="BA314" s="93"/>
      <c r="BB314" s="93"/>
      <c r="BC314" s="93"/>
      <c r="BD314" s="93"/>
      <c r="BE314" s="93"/>
      <c r="BF314" s="93"/>
      <c r="BG314" s="93"/>
      <c r="BH314" s="93"/>
      <c r="BI314" s="93"/>
      <c r="BJ314" s="93"/>
      <c r="BK314" s="93"/>
      <c r="BL314" s="93"/>
      <c r="BM314" s="93"/>
      <c r="BN314" s="93"/>
      <c r="BO314" s="93"/>
      <c r="BP314" s="93"/>
      <c r="BQ314" s="93"/>
      <c r="BR314" s="93"/>
      <c r="BS314" s="93"/>
      <c r="BT314" s="93"/>
      <c r="BU314" s="93"/>
      <c r="BV314" s="93"/>
      <c r="BW314" s="93"/>
      <c r="BX314" s="93"/>
      <c r="BY314" s="93"/>
      <c r="BZ314" s="93"/>
    </row>
    <row r="315">
      <c r="B315" t="s">
        <v>1609</v>
      </c>
      <c r="C315" s="89" t="s">
        <v>1610</v>
      </c>
      <c r="D315" s="90" t="s">
        <v>1611</v>
      </c>
      <c r="E315" s="91">
        <v>2018.0</v>
      </c>
      <c r="F315" s="92">
        <v>1.0</v>
      </c>
      <c r="G315" s="93"/>
      <c r="H315" s="93"/>
      <c r="I315" s="93"/>
      <c r="J315" s="93"/>
      <c r="K315" s="93"/>
      <c r="L315" s="93"/>
      <c r="M315" s="93"/>
      <c r="N315" s="93"/>
      <c r="O315" s="93"/>
      <c r="P315" s="93"/>
      <c r="Q315" s="93"/>
      <c r="R315" s="93"/>
      <c r="S315" s="93"/>
      <c r="T315" s="93"/>
      <c r="U315" s="93"/>
      <c r="V315" s="93"/>
      <c r="W315" s="93"/>
      <c r="X315" s="93"/>
      <c r="Y315" s="93"/>
      <c r="Z315" s="93"/>
      <c r="AA315" s="93"/>
      <c r="AB315" s="93"/>
      <c r="AC315" s="93"/>
      <c r="AD315" s="93"/>
      <c r="AE315" s="93"/>
      <c r="AF315" s="93"/>
      <c r="AG315" s="93"/>
      <c r="AH315" s="94"/>
      <c r="AI315" s="93"/>
      <c r="AJ315" s="93"/>
      <c r="AK315" s="93"/>
      <c r="AL315" s="93"/>
      <c r="AM315" s="93"/>
      <c r="AN315" s="93"/>
      <c r="AO315" s="93"/>
      <c r="AP315" s="93"/>
      <c r="AQ315" s="93"/>
      <c r="AR315" s="93"/>
      <c r="AS315" s="93"/>
      <c r="AT315" s="93"/>
      <c r="AU315" s="93"/>
      <c r="AV315" s="93"/>
      <c r="AW315" s="93"/>
      <c r="AX315" s="93"/>
      <c r="AY315" s="93"/>
      <c r="AZ315" s="93"/>
      <c r="BA315" s="93"/>
      <c r="BB315" s="93"/>
      <c r="BC315" s="93"/>
      <c r="BD315" s="93"/>
      <c r="BE315" s="93"/>
      <c r="BF315" s="93"/>
      <c r="BG315" s="93"/>
      <c r="BH315" s="93"/>
      <c r="BI315" s="93"/>
      <c r="BJ315" s="93"/>
      <c r="BK315" s="93"/>
      <c r="BL315" s="93"/>
      <c r="BM315" s="93"/>
      <c r="BN315" s="93"/>
      <c r="BO315" s="93"/>
      <c r="BP315" s="93"/>
      <c r="BQ315" s="93"/>
      <c r="BR315" s="93"/>
      <c r="BS315" s="93"/>
      <c r="BT315" s="93"/>
      <c r="BU315" s="93"/>
      <c r="BV315" s="93"/>
      <c r="BW315" s="93"/>
      <c r="BX315" s="93"/>
      <c r="BY315" s="93"/>
      <c r="BZ315" s="93"/>
    </row>
    <row r="316">
      <c r="B316" t="s">
        <v>1612</v>
      </c>
      <c r="C316" s="89" t="s">
        <v>1613</v>
      </c>
      <c r="D316" s="90" t="s">
        <v>1614</v>
      </c>
      <c r="E316" s="91">
        <v>2018.0</v>
      </c>
      <c r="F316" s="92">
        <v>1.0</v>
      </c>
      <c r="G316" s="93"/>
      <c r="H316" s="93"/>
      <c r="I316" s="93"/>
      <c r="J316" s="93"/>
      <c r="K316" s="93"/>
      <c r="L316" s="93"/>
      <c r="M316" s="93"/>
      <c r="N316" s="93"/>
      <c r="O316" s="93"/>
      <c r="P316" s="93"/>
      <c r="Q316" s="93"/>
      <c r="R316" s="93"/>
      <c r="S316" s="93"/>
      <c r="T316" s="93"/>
      <c r="U316" s="93"/>
      <c r="V316" s="93"/>
      <c r="W316" s="93"/>
      <c r="X316" s="93"/>
      <c r="Y316" s="93"/>
      <c r="Z316" s="93"/>
      <c r="AA316" s="93"/>
      <c r="AB316" s="93"/>
      <c r="AC316" s="93"/>
      <c r="AD316" s="93"/>
      <c r="AE316" s="93"/>
      <c r="AF316" s="93"/>
      <c r="AG316" s="93"/>
      <c r="AH316" s="94"/>
      <c r="AI316" s="93"/>
      <c r="AJ316" s="93"/>
      <c r="AK316" s="93"/>
      <c r="AL316" s="93"/>
      <c r="AM316" s="93"/>
      <c r="AN316" s="93"/>
      <c r="AO316" s="93"/>
      <c r="AP316" s="93"/>
      <c r="AQ316" s="93"/>
      <c r="AR316" s="93"/>
      <c r="AS316" s="93"/>
      <c r="AT316" s="93"/>
      <c r="AU316" s="93"/>
      <c r="AV316" s="93"/>
      <c r="AW316" s="93"/>
      <c r="AX316" s="93"/>
      <c r="AY316" s="93"/>
      <c r="AZ316" s="93"/>
      <c r="BA316" s="93"/>
      <c r="BB316" s="93"/>
      <c r="BC316" s="93"/>
      <c r="BD316" s="93"/>
      <c r="BE316" s="93"/>
      <c r="BF316" s="93"/>
      <c r="BG316" s="93"/>
      <c r="BH316" s="93"/>
      <c r="BI316" s="93"/>
      <c r="BJ316" s="93"/>
      <c r="BK316" s="93"/>
      <c r="BL316" s="93"/>
      <c r="BM316" s="93"/>
      <c r="BN316" s="93"/>
      <c r="BO316" s="93"/>
      <c r="BP316" s="93"/>
      <c r="BQ316" s="93"/>
      <c r="BR316" s="93"/>
      <c r="BS316" s="93"/>
      <c r="BT316" s="93"/>
      <c r="BU316" s="93"/>
      <c r="BV316" s="93"/>
      <c r="BW316" s="93"/>
      <c r="BX316" s="93"/>
      <c r="BY316" s="93"/>
      <c r="BZ316" s="93"/>
    </row>
    <row r="317">
      <c r="B317" t="s">
        <v>1615</v>
      </c>
      <c r="C317" s="89" t="s">
        <v>1616</v>
      </c>
      <c r="D317" s="90" t="s">
        <v>1448</v>
      </c>
      <c r="E317" s="91">
        <v>2018.0</v>
      </c>
      <c r="F317" s="92">
        <v>1.0</v>
      </c>
      <c r="G317" s="93"/>
      <c r="H317" s="93"/>
      <c r="I317" s="93"/>
      <c r="J317" s="93"/>
      <c r="K317" s="93"/>
      <c r="L317" s="93"/>
      <c r="M317" s="93"/>
      <c r="N317" s="93"/>
      <c r="O317" s="93"/>
      <c r="P317" s="93"/>
      <c r="Q317" s="93"/>
      <c r="R317" s="93"/>
      <c r="S317" s="93"/>
      <c r="T317" s="93"/>
      <c r="U317" s="93"/>
      <c r="V317" s="93"/>
      <c r="W317" s="93"/>
      <c r="X317" s="93"/>
      <c r="Y317" s="93"/>
      <c r="Z317" s="93"/>
      <c r="AA317" s="93"/>
      <c r="AB317" s="93"/>
      <c r="AC317" s="93"/>
      <c r="AD317" s="93"/>
      <c r="AE317" s="93"/>
      <c r="AF317" s="93"/>
      <c r="AG317" s="93"/>
      <c r="AH317" s="94"/>
      <c r="AI317" s="93"/>
      <c r="AJ317" s="93"/>
      <c r="AK317" s="93"/>
      <c r="AL317" s="93"/>
      <c r="AM317" s="93"/>
      <c r="AN317" s="93"/>
      <c r="AO317" s="93"/>
      <c r="AP317" s="93"/>
      <c r="AQ317" s="93"/>
      <c r="AR317" s="93"/>
      <c r="AS317" s="93"/>
      <c r="AT317" s="93"/>
      <c r="AU317" s="93"/>
      <c r="AV317" s="93"/>
      <c r="AW317" s="93"/>
      <c r="AX317" s="93"/>
      <c r="AY317" s="93"/>
      <c r="AZ317" s="93"/>
      <c r="BA317" s="93"/>
      <c r="BB317" s="93"/>
      <c r="BC317" s="93"/>
      <c r="BD317" s="93"/>
      <c r="BE317" s="93"/>
      <c r="BF317" s="93"/>
      <c r="BG317" s="93"/>
      <c r="BH317" s="93"/>
      <c r="BI317" s="93"/>
      <c r="BJ317" s="93"/>
      <c r="BK317" s="93"/>
      <c r="BL317" s="93"/>
      <c r="BM317" s="93"/>
      <c r="BN317" s="93"/>
      <c r="BO317" s="93"/>
      <c r="BP317" s="93"/>
      <c r="BQ317" s="93"/>
      <c r="BR317" s="93"/>
      <c r="BS317" s="93"/>
      <c r="BT317" s="93"/>
      <c r="BU317" s="93"/>
      <c r="BV317" s="93"/>
      <c r="BW317" s="93"/>
      <c r="BX317" s="93"/>
      <c r="BY317" s="93"/>
      <c r="BZ317" s="93"/>
    </row>
    <row r="318">
      <c r="B318" t="s">
        <v>1617</v>
      </c>
      <c r="C318" s="89" t="s">
        <v>1618</v>
      </c>
      <c r="D318" s="90" t="s">
        <v>310</v>
      </c>
      <c r="E318" s="91">
        <v>2018.0</v>
      </c>
      <c r="F318" s="95" t="s">
        <v>1488</v>
      </c>
      <c r="G318" s="93"/>
      <c r="H318" s="93"/>
      <c r="I318" s="93"/>
      <c r="J318" s="93"/>
      <c r="K318" s="93"/>
      <c r="L318" s="93"/>
      <c r="M318" s="93"/>
      <c r="N318" s="93"/>
      <c r="O318" s="93"/>
      <c r="P318" s="93"/>
      <c r="Q318" s="93"/>
      <c r="R318" s="93"/>
      <c r="S318" s="93"/>
      <c r="T318" s="93"/>
      <c r="U318" s="93"/>
      <c r="V318" s="93"/>
      <c r="W318" s="93"/>
      <c r="X318" s="93"/>
      <c r="Y318" s="93"/>
      <c r="Z318" s="93"/>
      <c r="AA318" s="93"/>
      <c r="AB318" s="93"/>
      <c r="AC318" s="93"/>
      <c r="AD318" s="93"/>
      <c r="AE318" s="93"/>
      <c r="AF318" s="93"/>
      <c r="AG318" s="93"/>
      <c r="AH318" s="94"/>
      <c r="AI318" s="93"/>
      <c r="AJ318" s="93"/>
      <c r="AK318" s="93"/>
      <c r="AL318" s="93"/>
      <c r="AM318" s="93"/>
      <c r="AN318" s="93"/>
      <c r="AO318" s="93"/>
      <c r="AP318" s="93"/>
      <c r="AQ318" s="93"/>
      <c r="AR318" s="93"/>
      <c r="AS318" s="93"/>
      <c r="AT318" s="93"/>
      <c r="AU318" s="93"/>
      <c r="AV318" s="93"/>
      <c r="AW318" s="93"/>
      <c r="AX318" s="93"/>
      <c r="AY318" s="93"/>
      <c r="AZ318" s="93"/>
      <c r="BA318" s="93"/>
      <c r="BB318" s="93"/>
      <c r="BC318" s="93"/>
      <c r="BD318" s="93"/>
      <c r="BE318" s="93"/>
      <c r="BF318" s="93"/>
      <c r="BG318" s="93"/>
      <c r="BH318" s="93"/>
      <c r="BI318" s="93"/>
      <c r="BJ318" s="93"/>
      <c r="BK318" s="93"/>
      <c r="BL318" s="93"/>
      <c r="BM318" s="93"/>
      <c r="BN318" s="93"/>
      <c r="BO318" s="93"/>
      <c r="BP318" s="93"/>
      <c r="BQ318" s="93"/>
      <c r="BR318" s="93"/>
      <c r="BS318" s="93"/>
      <c r="BT318" s="93"/>
      <c r="BU318" s="93"/>
      <c r="BV318" s="93"/>
      <c r="BW318" s="93"/>
      <c r="BX318" s="93"/>
      <c r="BY318" s="93"/>
      <c r="BZ318" s="93"/>
    </row>
    <row r="319">
      <c r="B319" t="s">
        <v>1619</v>
      </c>
      <c r="C319" s="89" t="s">
        <v>1620</v>
      </c>
      <c r="D319" s="90" t="s">
        <v>278</v>
      </c>
      <c r="E319" s="91">
        <v>2018.0</v>
      </c>
      <c r="F319" s="92">
        <v>1.0</v>
      </c>
      <c r="G319" s="93"/>
      <c r="H319" s="93"/>
      <c r="I319" s="93"/>
      <c r="J319" s="93"/>
      <c r="K319" s="93"/>
      <c r="L319" s="93"/>
      <c r="M319" s="93"/>
      <c r="N319" s="93"/>
      <c r="O319" s="93"/>
      <c r="P319" s="93"/>
      <c r="Q319" s="93"/>
      <c r="R319" s="93"/>
      <c r="S319" s="93"/>
      <c r="T319" s="93"/>
      <c r="U319" s="93"/>
      <c r="V319" s="93"/>
      <c r="W319" s="93"/>
      <c r="X319" s="93"/>
      <c r="Y319" s="93"/>
      <c r="Z319" s="93"/>
      <c r="AA319" s="93"/>
      <c r="AB319" s="93"/>
      <c r="AC319" s="93"/>
      <c r="AD319" s="93"/>
      <c r="AE319" s="93"/>
      <c r="AF319" s="93"/>
      <c r="AG319" s="93"/>
      <c r="AH319" s="94"/>
      <c r="AI319" s="93"/>
      <c r="AJ319" s="93"/>
      <c r="AK319" s="93"/>
      <c r="AL319" s="93"/>
      <c r="AM319" s="93"/>
      <c r="AN319" s="93"/>
      <c r="AO319" s="93"/>
      <c r="AP319" s="93"/>
      <c r="AQ319" s="93"/>
      <c r="AR319" s="93"/>
      <c r="AS319" s="93"/>
      <c r="AT319" s="93"/>
      <c r="AU319" s="93"/>
      <c r="AV319" s="93"/>
      <c r="AW319" s="93"/>
      <c r="AX319" s="93"/>
      <c r="AY319" s="93"/>
      <c r="AZ319" s="93"/>
      <c r="BA319" s="93"/>
      <c r="BB319" s="93"/>
      <c r="BC319" s="93"/>
      <c r="BD319" s="93"/>
      <c r="BE319" s="93"/>
      <c r="BF319" s="93"/>
      <c r="BG319" s="93"/>
      <c r="BH319" s="93"/>
      <c r="BI319" s="93"/>
      <c r="BJ319" s="93"/>
      <c r="BK319" s="93"/>
      <c r="BL319" s="93"/>
      <c r="BM319" s="93"/>
      <c r="BN319" s="93"/>
      <c r="BO319" s="93"/>
      <c r="BP319" s="93"/>
      <c r="BQ319" s="93"/>
      <c r="BR319" s="93"/>
      <c r="BS319" s="93"/>
      <c r="BT319" s="93"/>
      <c r="BU319" s="93"/>
      <c r="BV319" s="93"/>
      <c r="BW319" s="93"/>
      <c r="BX319" s="93"/>
      <c r="BY319" s="93"/>
      <c r="BZ319" s="93"/>
    </row>
    <row r="320">
      <c r="A320" t="s">
        <v>1354</v>
      </c>
      <c r="B320" t="s">
        <v>1621</v>
      </c>
      <c r="C320" s="89" t="s">
        <v>1622</v>
      </c>
      <c r="D320" s="90" t="s">
        <v>1623</v>
      </c>
      <c r="E320" s="91">
        <v>2018.0</v>
      </c>
      <c r="F320" s="95"/>
      <c r="G320" s="93"/>
      <c r="H320" s="93"/>
      <c r="I320" s="92">
        <v>1.0</v>
      </c>
      <c r="J320" s="93"/>
      <c r="K320" s="92">
        <v>1.0</v>
      </c>
      <c r="L320" s="93"/>
      <c r="M320" s="93"/>
      <c r="N320" s="93"/>
      <c r="O320" s="93"/>
      <c r="P320" s="93"/>
      <c r="Q320" s="93"/>
      <c r="R320" s="93"/>
      <c r="S320" s="93"/>
      <c r="T320" s="93"/>
      <c r="U320" s="93"/>
      <c r="V320" s="95"/>
      <c r="W320" s="95" t="s">
        <v>9</v>
      </c>
      <c r="X320" s="95" t="s">
        <v>1624</v>
      </c>
      <c r="Y320" s="95" t="s">
        <v>1625</v>
      </c>
      <c r="Z320" s="97" t="s">
        <v>100</v>
      </c>
      <c r="AA320" s="93"/>
      <c r="AB320" s="93"/>
      <c r="AC320" s="93"/>
      <c r="AD320" s="92">
        <v>1.0</v>
      </c>
      <c r="AE320" s="93"/>
      <c r="AF320" s="93"/>
      <c r="AG320" s="92">
        <v>1.0</v>
      </c>
      <c r="AH320" s="96" t="s">
        <v>1626</v>
      </c>
      <c r="AI320" s="92">
        <v>1.0</v>
      </c>
      <c r="AJ320" s="93"/>
      <c r="AK320" s="93"/>
      <c r="AL320" s="93"/>
      <c r="AM320" s="93"/>
      <c r="AN320" s="93"/>
      <c r="AO320" s="93"/>
      <c r="AP320" s="93"/>
      <c r="AQ320" s="93"/>
      <c r="AR320" s="92">
        <v>1.0</v>
      </c>
      <c r="AS320" s="93"/>
      <c r="AT320" s="93"/>
      <c r="AU320" s="93"/>
      <c r="AV320" s="93"/>
      <c r="AW320" s="93"/>
      <c r="AX320" s="93"/>
      <c r="AY320" s="93"/>
      <c r="AZ320" s="93"/>
      <c r="BA320" s="93"/>
      <c r="BB320" s="93"/>
      <c r="BC320" s="93"/>
      <c r="BD320" s="93"/>
      <c r="BE320" s="93"/>
      <c r="BF320" s="93"/>
      <c r="BG320" s="93"/>
      <c r="BH320" s="93"/>
      <c r="BI320" s="93"/>
      <c r="BJ320" s="93"/>
      <c r="BK320" s="93"/>
      <c r="BL320" s="93"/>
      <c r="BM320" s="93"/>
      <c r="BN320" s="93"/>
      <c r="BO320" s="93"/>
      <c r="BP320" s="93"/>
      <c r="BQ320" s="93"/>
      <c r="BR320" s="93"/>
      <c r="BS320" s="92">
        <v>1.0</v>
      </c>
      <c r="BT320" s="93"/>
      <c r="BU320" s="93"/>
      <c r="BV320" s="93"/>
      <c r="BW320" s="93"/>
      <c r="BX320" s="92">
        <v>1.0</v>
      </c>
      <c r="BY320" s="92">
        <v>1.0</v>
      </c>
      <c r="BZ320" s="92">
        <v>1.0</v>
      </c>
    </row>
    <row r="321">
      <c r="A321" t="s">
        <v>116</v>
      </c>
      <c r="B321" t="s">
        <v>1627</v>
      </c>
      <c r="C321" s="89" t="s">
        <v>1628</v>
      </c>
      <c r="D321" s="90" t="s">
        <v>1629</v>
      </c>
      <c r="E321" s="91">
        <v>2018.0</v>
      </c>
      <c r="F321" s="95"/>
      <c r="G321" s="93"/>
      <c r="H321" s="93"/>
      <c r="I321" s="93"/>
      <c r="J321" s="93"/>
      <c r="K321" s="93"/>
      <c r="L321" s="93"/>
      <c r="M321" s="93"/>
      <c r="N321" s="93"/>
      <c r="O321" s="92">
        <v>1.0</v>
      </c>
      <c r="P321" s="93"/>
      <c r="Q321" s="93"/>
      <c r="R321" s="93"/>
      <c r="S321" s="93"/>
      <c r="T321" s="93"/>
      <c r="U321" s="93"/>
      <c r="V321" s="93"/>
      <c r="W321" s="95" t="s">
        <v>197</v>
      </c>
      <c r="X321" s="95" t="s">
        <v>1630</v>
      </c>
      <c r="Y321" s="95" t="s">
        <v>1631</v>
      </c>
      <c r="Z321" s="95" t="s">
        <v>1632</v>
      </c>
      <c r="AA321" s="92">
        <v>1.0</v>
      </c>
      <c r="AB321" s="92">
        <v>1.0</v>
      </c>
      <c r="AC321" s="92">
        <v>1.0</v>
      </c>
      <c r="AD321" s="92">
        <v>1.0</v>
      </c>
      <c r="AE321" s="93"/>
      <c r="AF321" s="93"/>
      <c r="AG321" s="93"/>
      <c r="AH321" s="96" t="s">
        <v>1633</v>
      </c>
      <c r="AI321" s="92">
        <v>1.0</v>
      </c>
      <c r="AJ321" s="93"/>
      <c r="AK321" s="93"/>
      <c r="AL321" s="93"/>
      <c r="AM321" s="93"/>
      <c r="AN321" s="93"/>
      <c r="AO321" s="93"/>
      <c r="AP321" s="93"/>
      <c r="AQ321" s="93"/>
      <c r="AR321" s="92">
        <v>1.0</v>
      </c>
      <c r="AS321" s="93"/>
      <c r="AT321" s="93"/>
      <c r="AU321" s="93"/>
      <c r="AV321" s="93"/>
      <c r="AW321" s="93"/>
      <c r="AX321" s="93"/>
      <c r="AY321" s="93"/>
      <c r="AZ321" s="93"/>
      <c r="BA321" s="93"/>
      <c r="BB321" s="93"/>
      <c r="BC321" s="93"/>
      <c r="BD321" s="93"/>
      <c r="BE321" s="93"/>
      <c r="BF321" s="93"/>
      <c r="BG321" s="93"/>
      <c r="BH321" s="93"/>
      <c r="BI321" s="93"/>
      <c r="BJ321" s="93"/>
      <c r="BK321" s="93"/>
      <c r="BL321" s="93"/>
      <c r="BM321" s="93"/>
      <c r="BN321" s="93"/>
      <c r="BO321" s="93"/>
      <c r="BP321" s="93"/>
      <c r="BQ321" s="93"/>
      <c r="BR321" s="93"/>
      <c r="BS321" s="93"/>
      <c r="BT321" s="93"/>
      <c r="BU321" s="93"/>
      <c r="BV321" s="93"/>
      <c r="BW321" s="92">
        <v>1.0</v>
      </c>
      <c r="BX321" s="93"/>
      <c r="BY321" s="92">
        <v>1.0</v>
      </c>
      <c r="BZ321" s="93"/>
    </row>
    <row r="322">
      <c r="A322" t="s">
        <v>1331</v>
      </c>
      <c r="B322" t="s">
        <v>1634</v>
      </c>
      <c r="C322" s="89" t="s">
        <v>1635</v>
      </c>
      <c r="D322" s="90" t="s">
        <v>1636</v>
      </c>
      <c r="E322" s="91">
        <v>2018.0</v>
      </c>
      <c r="F322" s="93"/>
      <c r="G322" s="92">
        <v>1.0</v>
      </c>
      <c r="H322" s="93"/>
      <c r="I322" s="93"/>
      <c r="J322" s="93"/>
      <c r="K322" s="93"/>
      <c r="L322" s="93"/>
      <c r="M322" s="93"/>
      <c r="N322" s="93"/>
      <c r="O322" s="93"/>
      <c r="P322" s="93"/>
      <c r="Q322" s="93"/>
      <c r="R322" s="93"/>
      <c r="S322" s="93"/>
      <c r="T322" s="93"/>
      <c r="U322" s="93"/>
      <c r="V322" s="93"/>
      <c r="W322" s="95" t="s">
        <v>797</v>
      </c>
      <c r="X322" s="95" t="s">
        <v>1637</v>
      </c>
      <c r="Y322" s="95" t="s">
        <v>1638</v>
      </c>
      <c r="Z322" s="95" t="s">
        <v>1639</v>
      </c>
      <c r="AA322" s="92">
        <v>1.0</v>
      </c>
      <c r="AB322" s="93"/>
      <c r="AC322" s="93"/>
      <c r="AD322" s="92">
        <v>1.0</v>
      </c>
      <c r="AE322" s="93"/>
      <c r="AF322" s="93"/>
      <c r="AG322" s="93"/>
      <c r="AH322" s="96" t="s">
        <v>1640</v>
      </c>
      <c r="AI322" s="92">
        <v>1.0</v>
      </c>
      <c r="AJ322" s="92">
        <v>1.0</v>
      </c>
      <c r="AK322" s="93"/>
      <c r="AL322" s="93"/>
      <c r="AM322" s="93"/>
      <c r="AN322" s="95"/>
      <c r="AO322" s="92">
        <v>1.0</v>
      </c>
      <c r="AP322" s="93"/>
      <c r="AQ322" s="93"/>
      <c r="AR322" s="92">
        <v>1.0</v>
      </c>
      <c r="AS322" s="93"/>
      <c r="AT322" s="93"/>
      <c r="AU322" s="93"/>
      <c r="AV322" s="93"/>
      <c r="AW322" s="93"/>
      <c r="AX322" s="93"/>
      <c r="AY322" s="93"/>
      <c r="AZ322" s="93"/>
      <c r="BA322" s="93"/>
      <c r="BB322" s="93"/>
      <c r="BC322" s="93"/>
      <c r="BD322" s="93"/>
      <c r="BE322" s="93"/>
      <c r="BF322" s="93"/>
      <c r="BG322" s="93"/>
      <c r="BH322" s="93"/>
      <c r="BI322" s="93"/>
      <c r="BJ322" s="93"/>
      <c r="BK322" s="93"/>
      <c r="BL322" s="93"/>
      <c r="BM322" s="93"/>
      <c r="BN322" s="93"/>
      <c r="BO322" s="93"/>
      <c r="BP322" s="93"/>
      <c r="BQ322" s="93"/>
      <c r="BR322" s="93"/>
      <c r="BS322" s="93"/>
      <c r="BT322" s="93"/>
      <c r="BU322" s="93"/>
      <c r="BV322" s="93"/>
      <c r="BW322" s="92">
        <v>1.0</v>
      </c>
      <c r="BX322" s="93"/>
      <c r="BY322" s="93"/>
      <c r="BZ322" s="93"/>
    </row>
    <row r="323">
      <c r="B323" t="s">
        <v>1641</v>
      </c>
      <c r="C323" s="89" t="s">
        <v>1642</v>
      </c>
      <c r="D323" s="90" t="s">
        <v>1643</v>
      </c>
      <c r="E323" s="91">
        <v>2018.0</v>
      </c>
      <c r="F323" s="92">
        <v>1.0</v>
      </c>
      <c r="G323" s="93"/>
      <c r="H323" s="93"/>
      <c r="I323" s="93"/>
      <c r="J323" s="93"/>
      <c r="K323" s="93"/>
      <c r="L323" s="93"/>
      <c r="M323" s="93"/>
      <c r="N323" s="93"/>
      <c r="O323" s="93"/>
      <c r="P323" s="93"/>
      <c r="Q323" s="93"/>
      <c r="R323" s="93"/>
      <c r="S323" s="93"/>
      <c r="T323" s="93"/>
      <c r="U323" s="93"/>
      <c r="V323" s="93"/>
      <c r="W323" s="93"/>
      <c r="X323" s="93"/>
      <c r="Y323" s="93"/>
      <c r="Z323" s="93"/>
      <c r="AA323" s="93"/>
      <c r="AB323" s="93"/>
      <c r="AC323" s="93"/>
      <c r="AD323" s="93"/>
      <c r="AE323" s="93"/>
      <c r="AF323" s="93"/>
      <c r="AG323" s="93"/>
      <c r="AH323" s="94"/>
      <c r="AI323" s="93"/>
      <c r="AJ323" s="93"/>
      <c r="AK323" s="93"/>
      <c r="AL323" s="93"/>
      <c r="AM323" s="93"/>
      <c r="AN323" s="93"/>
      <c r="AO323" s="93"/>
      <c r="AP323" s="93"/>
      <c r="AQ323" s="93"/>
      <c r="AR323" s="93"/>
      <c r="AS323" s="93"/>
      <c r="AT323" s="93"/>
      <c r="AU323" s="93"/>
      <c r="AV323" s="93"/>
      <c r="AW323" s="93"/>
      <c r="AX323" s="93"/>
      <c r="AY323" s="93"/>
      <c r="AZ323" s="93"/>
      <c r="BA323" s="93"/>
      <c r="BB323" s="93"/>
      <c r="BC323" s="93"/>
      <c r="BD323" s="93"/>
      <c r="BE323" s="93"/>
      <c r="BF323" s="93"/>
      <c r="BG323" s="93"/>
      <c r="BH323" s="93"/>
      <c r="BI323" s="93"/>
      <c r="BJ323" s="93"/>
      <c r="BK323" s="93"/>
      <c r="BL323" s="93"/>
      <c r="BM323" s="93"/>
      <c r="BN323" s="93"/>
      <c r="BO323" s="93"/>
      <c r="BP323" s="93"/>
      <c r="BQ323" s="93"/>
      <c r="BR323" s="93"/>
      <c r="BS323" s="93"/>
      <c r="BT323" s="93"/>
      <c r="BU323" s="93"/>
      <c r="BV323" s="93"/>
      <c r="BW323" s="93"/>
      <c r="BX323" s="93"/>
      <c r="BY323" s="93"/>
      <c r="BZ323" s="93"/>
    </row>
    <row r="324">
      <c r="B324" t="s">
        <v>1644</v>
      </c>
      <c r="C324" s="89" t="s">
        <v>1645</v>
      </c>
      <c r="D324" s="90" t="s">
        <v>1646</v>
      </c>
      <c r="E324" s="91">
        <v>2018.0</v>
      </c>
      <c r="F324" s="92">
        <v>1.0</v>
      </c>
      <c r="G324" s="93"/>
      <c r="H324" s="93"/>
      <c r="I324" s="93"/>
      <c r="J324" s="93"/>
      <c r="K324" s="93"/>
      <c r="L324" s="93"/>
      <c r="M324" s="93"/>
      <c r="N324" s="93"/>
      <c r="O324" s="93"/>
      <c r="P324" s="93"/>
      <c r="Q324" s="93"/>
      <c r="R324" s="93"/>
      <c r="S324" s="93"/>
      <c r="T324" s="93"/>
      <c r="U324" s="93"/>
      <c r="V324" s="93"/>
      <c r="W324" s="93"/>
      <c r="X324" s="93"/>
      <c r="Y324" s="93"/>
      <c r="Z324" s="93"/>
      <c r="AA324" s="93"/>
      <c r="AB324" s="93"/>
      <c r="AC324" s="93"/>
      <c r="AD324" s="93"/>
      <c r="AE324" s="93"/>
      <c r="AF324" s="93"/>
      <c r="AG324" s="93"/>
      <c r="AH324" s="94"/>
      <c r="AI324" s="93"/>
      <c r="AJ324" s="93"/>
      <c r="AK324" s="93"/>
      <c r="AL324" s="93"/>
      <c r="AM324" s="93"/>
      <c r="AN324" s="93"/>
      <c r="AO324" s="93"/>
      <c r="AP324" s="93"/>
      <c r="AQ324" s="93"/>
      <c r="AR324" s="93"/>
      <c r="AS324" s="93"/>
      <c r="AT324" s="93"/>
      <c r="AU324" s="93"/>
      <c r="AV324" s="93"/>
      <c r="AW324" s="93"/>
      <c r="AX324" s="93"/>
      <c r="AY324" s="93"/>
      <c r="AZ324" s="93"/>
      <c r="BA324" s="93"/>
      <c r="BB324" s="93"/>
      <c r="BC324" s="93"/>
      <c r="BD324" s="93"/>
      <c r="BE324" s="93"/>
      <c r="BF324" s="93"/>
      <c r="BG324" s="93"/>
      <c r="BH324" s="93"/>
      <c r="BI324" s="93"/>
      <c r="BJ324" s="93"/>
      <c r="BK324" s="93"/>
      <c r="BL324" s="93"/>
      <c r="BM324" s="93"/>
      <c r="BN324" s="93"/>
      <c r="BO324" s="93"/>
      <c r="BP324" s="93"/>
      <c r="BQ324" s="93"/>
      <c r="BR324" s="93"/>
      <c r="BS324" s="93"/>
      <c r="BT324" s="93"/>
      <c r="BU324" s="93"/>
      <c r="BV324" s="93"/>
      <c r="BW324" s="93"/>
      <c r="BX324" s="93"/>
      <c r="BY324" s="93"/>
      <c r="BZ324" s="93"/>
    </row>
    <row r="325">
      <c r="A325" t="s">
        <v>1340</v>
      </c>
      <c r="B325" t="s">
        <v>1647</v>
      </c>
      <c r="C325" s="89" t="s">
        <v>1648</v>
      </c>
      <c r="D325" s="90" t="s">
        <v>1649</v>
      </c>
      <c r="E325" s="91">
        <v>2018.0</v>
      </c>
      <c r="F325" s="93"/>
      <c r="G325" s="93"/>
      <c r="H325" s="93"/>
      <c r="I325" s="93"/>
      <c r="J325" s="93"/>
      <c r="K325" s="93"/>
      <c r="L325" s="93"/>
      <c r="M325" s="93"/>
      <c r="N325" s="93"/>
      <c r="O325" s="92">
        <v>1.0</v>
      </c>
      <c r="P325" s="93"/>
      <c r="Q325" s="93"/>
      <c r="R325" s="93"/>
      <c r="S325" s="93"/>
      <c r="T325" s="93"/>
      <c r="U325" s="93"/>
      <c r="V325" s="93"/>
      <c r="W325" s="98" t="s">
        <v>1650</v>
      </c>
      <c r="X325" s="98" t="s">
        <v>1651</v>
      </c>
      <c r="Y325" s="98" t="s">
        <v>1652</v>
      </c>
      <c r="Z325" s="98" t="s">
        <v>1653</v>
      </c>
      <c r="AA325" s="92">
        <v>1.0</v>
      </c>
      <c r="AB325" s="95"/>
      <c r="AC325" s="93"/>
      <c r="AD325" s="92">
        <v>1.0</v>
      </c>
      <c r="AE325" s="93"/>
      <c r="AF325" s="93"/>
      <c r="AG325" s="93"/>
      <c r="AH325" s="96" t="s">
        <v>1654</v>
      </c>
      <c r="AI325" s="92">
        <v>1.0</v>
      </c>
      <c r="AJ325" s="93"/>
      <c r="AK325" s="93"/>
      <c r="AL325" s="93"/>
      <c r="AM325" s="93"/>
      <c r="AN325" s="93"/>
      <c r="AO325" s="93"/>
      <c r="AP325" s="93"/>
      <c r="AQ325" s="93"/>
      <c r="AR325" s="93"/>
      <c r="AS325" s="93"/>
      <c r="AT325" s="93"/>
      <c r="AU325" s="93"/>
      <c r="AV325" s="93"/>
      <c r="AW325" s="93"/>
      <c r="AX325" s="93"/>
      <c r="AY325" s="93"/>
      <c r="AZ325" s="93"/>
      <c r="BA325" s="93"/>
      <c r="BB325" s="93"/>
      <c r="BC325" s="93"/>
      <c r="BD325" s="92">
        <v>1.0</v>
      </c>
      <c r="BE325" s="93"/>
      <c r="BF325" s="93"/>
      <c r="BG325" s="93"/>
      <c r="BH325" s="93"/>
      <c r="BI325" s="93"/>
      <c r="BJ325" s="93"/>
      <c r="BK325" s="93"/>
      <c r="BL325" s="93"/>
      <c r="BM325" s="93"/>
      <c r="BN325" s="93"/>
      <c r="BO325" s="93"/>
      <c r="BP325" s="93"/>
      <c r="BQ325" s="93"/>
      <c r="BR325" s="93"/>
      <c r="BS325" s="93"/>
      <c r="BT325" s="93"/>
      <c r="BU325" s="93"/>
      <c r="BV325" s="92">
        <v>1.0</v>
      </c>
      <c r="BW325" s="93"/>
      <c r="BX325" s="93"/>
      <c r="BY325" s="93"/>
      <c r="BZ325" s="93"/>
    </row>
    <row r="326">
      <c r="B326" t="s">
        <v>1655</v>
      </c>
      <c r="C326" s="89" t="s">
        <v>1656</v>
      </c>
      <c r="D326" s="90" t="s">
        <v>1657</v>
      </c>
      <c r="E326" s="91">
        <v>2018.0</v>
      </c>
      <c r="F326" s="92">
        <v>1.0</v>
      </c>
      <c r="G326" s="93"/>
      <c r="H326" s="93"/>
      <c r="I326" s="93"/>
      <c r="J326" s="93"/>
      <c r="K326" s="93"/>
      <c r="L326" s="93"/>
      <c r="M326" s="93"/>
      <c r="N326" s="93"/>
      <c r="O326" s="93"/>
      <c r="P326" s="93"/>
      <c r="Q326" s="93"/>
      <c r="R326" s="93"/>
      <c r="S326" s="93"/>
      <c r="T326" s="93"/>
      <c r="U326" s="93"/>
      <c r="V326" s="93"/>
      <c r="W326" s="93"/>
      <c r="X326" s="93"/>
      <c r="Y326" s="93"/>
      <c r="Z326" s="93"/>
      <c r="AA326" s="93"/>
      <c r="AB326" s="93"/>
      <c r="AC326" s="93"/>
      <c r="AD326" s="93"/>
      <c r="AE326" s="93"/>
      <c r="AF326" s="93"/>
      <c r="AG326" s="93"/>
      <c r="AH326" s="94"/>
      <c r="AI326" s="93"/>
      <c r="AJ326" s="93"/>
      <c r="AK326" s="93"/>
      <c r="AL326" s="93"/>
      <c r="AM326" s="93"/>
      <c r="AN326" s="93"/>
      <c r="AO326" s="93"/>
      <c r="AP326" s="93"/>
      <c r="AQ326" s="93"/>
      <c r="AR326" s="93"/>
      <c r="AS326" s="93"/>
      <c r="AT326" s="93"/>
      <c r="AU326" s="93"/>
      <c r="AV326" s="93"/>
      <c r="AW326" s="93"/>
      <c r="AX326" s="93"/>
      <c r="AY326" s="93"/>
      <c r="AZ326" s="93"/>
      <c r="BA326" s="93"/>
      <c r="BB326" s="93"/>
      <c r="BC326" s="93"/>
      <c r="BD326" s="93"/>
      <c r="BE326" s="93"/>
      <c r="BF326" s="93"/>
      <c r="BG326" s="93"/>
      <c r="BH326" s="93"/>
      <c r="BI326" s="93"/>
      <c r="BJ326" s="93"/>
      <c r="BK326" s="93"/>
      <c r="BL326" s="93"/>
      <c r="BM326" s="93"/>
      <c r="BN326" s="93"/>
      <c r="BO326" s="93"/>
      <c r="BP326" s="93"/>
      <c r="BQ326" s="93"/>
      <c r="BR326" s="93"/>
      <c r="BS326" s="93"/>
      <c r="BT326" s="93"/>
      <c r="BU326" s="93"/>
      <c r="BV326" s="93"/>
      <c r="BW326" s="93"/>
      <c r="BX326" s="93"/>
      <c r="BY326" s="93"/>
      <c r="BZ326" s="93"/>
    </row>
    <row r="327">
      <c r="A327" t="s">
        <v>1354</v>
      </c>
      <c r="B327" t="s">
        <v>1658</v>
      </c>
      <c r="C327" s="89" t="s">
        <v>1659</v>
      </c>
      <c r="D327" s="90" t="s">
        <v>1660</v>
      </c>
      <c r="E327" s="91">
        <v>2018.0</v>
      </c>
      <c r="F327" s="93"/>
      <c r="G327" s="93"/>
      <c r="H327" s="92">
        <v>1.0</v>
      </c>
      <c r="I327" s="93"/>
      <c r="J327" s="93"/>
      <c r="K327" s="93"/>
      <c r="L327" s="93"/>
      <c r="M327" s="93"/>
      <c r="N327" s="93"/>
      <c r="O327" s="93"/>
      <c r="P327" s="93"/>
      <c r="Q327" s="93"/>
      <c r="R327" s="93"/>
      <c r="S327" s="93"/>
      <c r="T327" s="93"/>
      <c r="U327" s="93"/>
      <c r="V327" s="93"/>
      <c r="W327" s="98" t="s">
        <v>1661</v>
      </c>
      <c r="X327" s="93"/>
      <c r="Y327" s="93"/>
      <c r="Z327" s="98" t="s">
        <v>1662</v>
      </c>
      <c r="AA327" s="93"/>
      <c r="AB327" s="93"/>
      <c r="AC327" s="93"/>
      <c r="AD327" s="93"/>
      <c r="AE327" s="93"/>
      <c r="AF327" s="93"/>
      <c r="AG327" s="92">
        <v>1.0</v>
      </c>
      <c r="AH327" s="96" t="s">
        <v>1663</v>
      </c>
      <c r="AI327" s="92">
        <v>1.0</v>
      </c>
      <c r="AJ327" s="93"/>
      <c r="AK327" s="93"/>
      <c r="AL327" s="93"/>
      <c r="AM327" s="93"/>
      <c r="AN327" s="93"/>
      <c r="AO327" s="93"/>
      <c r="AP327" s="93"/>
      <c r="AQ327" s="93"/>
      <c r="AR327" s="93"/>
      <c r="AS327" s="93"/>
      <c r="AT327" s="93"/>
      <c r="AU327" s="93"/>
      <c r="AV327" s="93"/>
      <c r="AW327" s="93"/>
      <c r="AX327" s="93"/>
      <c r="AY327" s="93"/>
      <c r="AZ327" s="93"/>
      <c r="BA327" s="93"/>
      <c r="BB327" s="93"/>
      <c r="BC327" s="93"/>
      <c r="BD327" s="93"/>
      <c r="BE327" s="93"/>
      <c r="BF327" s="92">
        <v>1.0</v>
      </c>
      <c r="BG327" s="92">
        <v>1.0</v>
      </c>
      <c r="BH327" s="93"/>
      <c r="BI327" s="93"/>
      <c r="BJ327" s="93"/>
      <c r="BK327" s="92">
        <v>1.0</v>
      </c>
      <c r="BL327" s="93"/>
      <c r="BM327" s="93"/>
      <c r="BN327" s="93"/>
      <c r="BO327" s="93"/>
      <c r="BP327" s="93"/>
      <c r="BQ327" s="93"/>
      <c r="BR327" s="93"/>
      <c r="BS327" s="93"/>
      <c r="BT327" s="93"/>
      <c r="BU327" s="93"/>
      <c r="BV327" s="93"/>
      <c r="BW327" s="93"/>
      <c r="BX327" s="93"/>
      <c r="BY327" s="93"/>
      <c r="BZ327" s="93"/>
    </row>
    <row r="328">
      <c r="A328" t="s">
        <v>116</v>
      </c>
      <c r="B328" t="s">
        <v>1664</v>
      </c>
      <c r="C328" s="89" t="s">
        <v>1665</v>
      </c>
      <c r="D328" s="90" t="s">
        <v>1666</v>
      </c>
      <c r="E328" s="91">
        <v>2018.0</v>
      </c>
      <c r="F328" s="93"/>
      <c r="G328" s="93"/>
      <c r="H328" s="92">
        <v>1.0</v>
      </c>
      <c r="I328" s="93"/>
      <c r="J328" s="93"/>
      <c r="K328" s="93"/>
      <c r="L328" s="93"/>
      <c r="M328" s="93"/>
      <c r="N328" s="93"/>
      <c r="O328" s="93"/>
      <c r="P328" s="93"/>
      <c r="Q328" s="93"/>
      <c r="R328" s="93"/>
      <c r="S328" s="93"/>
      <c r="T328" s="93"/>
      <c r="U328" s="93"/>
      <c r="V328" s="93"/>
      <c r="W328" s="95" t="s">
        <v>1667</v>
      </c>
      <c r="X328" s="95" t="s">
        <v>92</v>
      </c>
      <c r="Y328" s="95" t="s">
        <v>92</v>
      </c>
      <c r="Z328" s="97" t="s">
        <v>1668</v>
      </c>
      <c r="AA328" s="93"/>
      <c r="AB328" s="93"/>
      <c r="AC328" s="93"/>
      <c r="AD328" s="93"/>
      <c r="AE328" s="93"/>
      <c r="AF328" s="92">
        <v>1.0</v>
      </c>
      <c r="AG328" s="93"/>
      <c r="AH328" s="96" t="s">
        <v>1669</v>
      </c>
      <c r="AI328" s="92">
        <v>1.0</v>
      </c>
      <c r="AJ328" s="93"/>
      <c r="AK328" s="93"/>
      <c r="AL328" s="93"/>
      <c r="AM328" s="93"/>
      <c r="AN328" s="93"/>
      <c r="AO328" s="93"/>
      <c r="AP328" s="93"/>
      <c r="AQ328" s="93"/>
      <c r="AR328" s="93"/>
      <c r="AS328" s="93"/>
      <c r="AT328" s="93"/>
      <c r="AU328" s="93"/>
      <c r="AV328" s="93"/>
      <c r="AW328" s="93"/>
      <c r="AX328" s="93"/>
      <c r="AY328" s="93"/>
      <c r="AZ328" s="93"/>
      <c r="BA328" s="93"/>
      <c r="BB328" s="93"/>
      <c r="BC328" s="93"/>
      <c r="BD328" s="93"/>
      <c r="BE328" s="93"/>
      <c r="BF328" s="93"/>
      <c r="BG328" s="92">
        <v>1.0</v>
      </c>
      <c r="BH328" s="92">
        <v>1.0</v>
      </c>
      <c r="BI328" s="93"/>
      <c r="BJ328" s="93"/>
      <c r="BK328" s="93"/>
      <c r="BL328" s="93"/>
      <c r="BM328" s="93"/>
      <c r="BN328" s="93"/>
      <c r="BO328" s="93"/>
      <c r="BP328" s="93"/>
      <c r="BQ328" s="93"/>
      <c r="BR328" s="93"/>
      <c r="BS328" s="93"/>
      <c r="BT328" s="93"/>
      <c r="BU328" s="93"/>
      <c r="BV328" s="93"/>
      <c r="BW328" s="93"/>
      <c r="BX328" s="93"/>
      <c r="BY328" s="93"/>
      <c r="BZ328" s="93"/>
    </row>
    <row r="329">
      <c r="B329" t="s">
        <v>1670</v>
      </c>
      <c r="C329" s="89" t="s">
        <v>1671</v>
      </c>
      <c r="D329" s="90" t="s">
        <v>1546</v>
      </c>
      <c r="E329" s="91">
        <v>2018.0</v>
      </c>
      <c r="F329" s="92">
        <v>1.0</v>
      </c>
      <c r="G329" s="93"/>
      <c r="H329" s="93"/>
      <c r="I329" s="93"/>
      <c r="J329" s="93"/>
      <c r="K329" s="93"/>
      <c r="L329" s="93"/>
      <c r="M329" s="93"/>
      <c r="N329" s="93"/>
      <c r="O329" s="93"/>
      <c r="P329" s="93"/>
      <c r="Q329" s="93"/>
      <c r="R329" s="93"/>
      <c r="S329" s="93"/>
      <c r="T329" s="93"/>
      <c r="U329" s="93"/>
      <c r="V329" s="93"/>
      <c r="W329" s="93"/>
      <c r="X329" s="93"/>
      <c r="Y329" s="93"/>
      <c r="Z329" s="93"/>
      <c r="AA329" s="93"/>
      <c r="AB329" s="93"/>
      <c r="AC329" s="93"/>
      <c r="AD329" s="93"/>
      <c r="AE329" s="93"/>
      <c r="AF329" s="93"/>
      <c r="AG329" s="93"/>
      <c r="AH329" s="94"/>
      <c r="AI329" s="93"/>
      <c r="AJ329" s="93"/>
      <c r="AK329" s="93"/>
      <c r="AL329" s="93"/>
      <c r="AM329" s="93"/>
      <c r="AN329" s="93"/>
      <c r="AO329" s="93"/>
      <c r="AP329" s="93"/>
      <c r="AQ329" s="93"/>
      <c r="AR329" s="93"/>
      <c r="AS329" s="93"/>
      <c r="AT329" s="93"/>
      <c r="AU329" s="93"/>
      <c r="AV329" s="93"/>
      <c r="AW329" s="93"/>
      <c r="AX329" s="93"/>
      <c r="AY329" s="93"/>
      <c r="AZ329" s="93"/>
      <c r="BA329" s="93"/>
      <c r="BB329" s="93"/>
      <c r="BC329" s="93"/>
      <c r="BD329" s="93"/>
      <c r="BE329" s="93"/>
      <c r="BF329" s="93"/>
      <c r="BG329" s="93"/>
      <c r="BH329" s="93"/>
      <c r="BI329" s="93"/>
      <c r="BJ329" s="93"/>
      <c r="BK329" s="93"/>
      <c r="BL329" s="93"/>
      <c r="BM329" s="93"/>
      <c r="BN329" s="93"/>
      <c r="BO329" s="93"/>
      <c r="BP329" s="93"/>
      <c r="BQ329" s="93"/>
      <c r="BR329" s="93"/>
      <c r="BS329" s="93"/>
      <c r="BT329" s="93"/>
      <c r="BU329" s="93"/>
      <c r="BV329" s="93"/>
      <c r="BW329" s="93"/>
      <c r="BX329" s="93"/>
      <c r="BY329" s="93"/>
      <c r="BZ329" s="93"/>
    </row>
    <row r="330">
      <c r="A330" t="s">
        <v>1331</v>
      </c>
      <c r="B330" t="s">
        <v>1672</v>
      </c>
      <c r="C330" s="89" t="s">
        <v>1673</v>
      </c>
      <c r="D330" s="90" t="s">
        <v>1674</v>
      </c>
      <c r="E330" s="91">
        <v>2018.0</v>
      </c>
      <c r="F330" s="92">
        <v>1.0</v>
      </c>
      <c r="G330" s="93"/>
      <c r="H330" s="93"/>
      <c r="I330" s="93"/>
      <c r="J330" s="93"/>
      <c r="K330" s="93"/>
      <c r="L330" s="93"/>
      <c r="M330" s="93"/>
      <c r="N330" s="93"/>
      <c r="O330" s="93"/>
      <c r="P330" s="93"/>
      <c r="Q330" s="93"/>
      <c r="R330" s="93"/>
      <c r="S330" s="93"/>
      <c r="T330" s="93"/>
      <c r="U330" s="93"/>
      <c r="V330" s="93"/>
      <c r="W330" s="93"/>
      <c r="X330" s="93"/>
      <c r="Y330" s="93"/>
      <c r="Z330" s="93"/>
      <c r="AA330" s="95"/>
      <c r="AB330" s="93"/>
      <c r="AC330" s="93"/>
      <c r="AD330" s="93"/>
      <c r="AE330" s="93"/>
      <c r="AF330" s="93"/>
      <c r="AG330" s="93"/>
      <c r="AH330" s="94"/>
      <c r="AI330" s="93"/>
      <c r="AJ330" s="93"/>
      <c r="AK330" s="93"/>
      <c r="AL330" s="93"/>
      <c r="AM330" s="93"/>
      <c r="AN330" s="93"/>
      <c r="AO330" s="93"/>
      <c r="AP330" s="93"/>
      <c r="AQ330" s="93"/>
      <c r="AR330" s="93"/>
      <c r="AS330" s="93"/>
      <c r="AT330" s="93"/>
      <c r="AU330" s="93"/>
      <c r="AV330" s="93"/>
      <c r="AW330" s="93"/>
      <c r="AX330" s="93"/>
      <c r="AY330" s="93"/>
      <c r="AZ330" s="93"/>
      <c r="BA330" s="93"/>
      <c r="BB330" s="93"/>
      <c r="BC330" s="93"/>
      <c r="BD330" s="93"/>
      <c r="BE330" s="93"/>
      <c r="BF330" s="93"/>
      <c r="BG330" s="93"/>
      <c r="BH330" s="93"/>
      <c r="BI330" s="93"/>
      <c r="BJ330" s="93"/>
      <c r="BK330" s="93"/>
      <c r="BL330" s="93"/>
      <c r="BM330" s="93"/>
      <c r="BN330" s="93"/>
      <c r="BO330" s="93"/>
      <c r="BP330" s="93"/>
      <c r="BQ330" s="93"/>
      <c r="BR330" s="93"/>
      <c r="BS330" s="93"/>
      <c r="BT330" s="93"/>
      <c r="BU330" s="93"/>
      <c r="BV330" s="93"/>
      <c r="BW330" s="93"/>
      <c r="BX330" s="93"/>
      <c r="BY330" s="93"/>
      <c r="BZ330" s="93"/>
    </row>
    <row r="331">
      <c r="A331" t="s">
        <v>1340</v>
      </c>
      <c r="B331" t="s">
        <v>1675</v>
      </c>
      <c r="C331" s="89" t="s">
        <v>1676</v>
      </c>
      <c r="D331" s="90" t="s">
        <v>1677</v>
      </c>
      <c r="E331" s="91">
        <v>2018.0</v>
      </c>
      <c r="F331" s="93"/>
      <c r="G331" s="93"/>
      <c r="H331" s="93"/>
      <c r="I331" s="93"/>
      <c r="J331" s="93"/>
      <c r="K331" s="93"/>
      <c r="L331" s="93"/>
      <c r="M331" s="93"/>
      <c r="N331" s="93"/>
      <c r="O331" s="93"/>
      <c r="P331" s="93"/>
      <c r="Q331" s="92">
        <v>1.0</v>
      </c>
      <c r="R331" s="93"/>
      <c r="S331" s="93"/>
      <c r="T331" s="93"/>
      <c r="U331" s="93"/>
      <c r="V331" s="93"/>
      <c r="W331" s="98" t="s">
        <v>1678</v>
      </c>
      <c r="X331" s="98" t="s">
        <v>1679</v>
      </c>
      <c r="Y331" s="98" t="s">
        <v>1680</v>
      </c>
      <c r="Z331" s="98" t="s">
        <v>1681</v>
      </c>
      <c r="AA331" s="93"/>
      <c r="AB331" s="92">
        <v>1.0</v>
      </c>
      <c r="AC331" s="93"/>
      <c r="AD331" s="92">
        <v>1.0</v>
      </c>
      <c r="AE331" s="93"/>
      <c r="AF331" s="93"/>
      <c r="AG331" s="93"/>
      <c r="AH331" s="96" t="s">
        <v>1682</v>
      </c>
      <c r="AI331" s="92">
        <v>1.0</v>
      </c>
      <c r="AJ331" s="92">
        <v>1.0</v>
      </c>
      <c r="AK331" s="95"/>
      <c r="AL331" s="92">
        <v>1.0</v>
      </c>
      <c r="AM331" s="93"/>
      <c r="AN331" s="92">
        <v>1.0</v>
      </c>
      <c r="AO331" s="93"/>
      <c r="AP331" s="93"/>
      <c r="AQ331" s="93"/>
      <c r="AR331" s="93"/>
      <c r="AS331" s="93"/>
      <c r="AT331" s="93"/>
      <c r="AU331" s="93"/>
      <c r="AV331" s="93"/>
      <c r="AW331" s="93"/>
      <c r="AX331" s="93"/>
      <c r="AY331" s="93"/>
      <c r="AZ331" s="93"/>
      <c r="BA331" s="93"/>
      <c r="BB331" s="93"/>
      <c r="BC331" s="93"/>
      <c r="BD331" s="93"/>
      <c r="BE331" s="93"/>
      <c r="BF331" s="93"/>
      <c r="BG331" s="93"/>
      <c r="BH331" s="93"/>
      <c r="BI331" s="93"/>
      <c r="BJ331" s="93"/>
      <c r="BK331" s="93"/>
      <c r="BL331" s="93"/>
      <c r="BM331" s="93"/>
      <c r="BN331" s="93"/>
      <c r="BO331" s="93"/>
      <c r="BP331" s="93"/>
      <c r="BQ331" s="92">
        <v>1.0</v>
      </c>
      <c r="BR331" s="93"/>
      <c r="BS331" s="93"/>
      <c r="BT331" s="93"/>
      <c r="BU331" s="93"/>
      <c r="BV331" s="92">
        <v>1.0</v>
      </c>
      <c r="BW331" s="93"/>
      <c r="BX331" s="93"/>
      <c r="BY331" s="92">
        <v>1.0</v>
      </c>
      <c r="BZ331" s="93"/>
    </row>
    <row r="332">
      <c r="A332" t="s">
        <v>1354</v>
      </c>
      <c r="B332" t="s">
        <v>1683</v>
      </c>
      <c r="C332" s="89" t="s">
        <v>1684</v>
      </c>
      <c r="D332" s="90" t="s">
        <v>1677</v>
      </c>
      <c r="E332" s="91">
        <v>2018.0</v>
      </c>
      <c r="F332" s="98"/>
      <c r="G332" s="93"/>
      <c r="H332" s="93"/>
      <c r="I332" s="93"/>
      <c r="J332" s="93"/>
      <c r="K332" s="93"/>
      <c r="L332" s="93"/>
      <c r="M332" s="93"/>
      <c r="N332" s="93"/>
      <c r="O332" s="93"/>
      <c r="P332" s="93"/>
      <c r="Q332" s="99">
        <v>1.0</v>
      </c>
      <c r="R332" s="93"/>
      <c r="S332" s="93"/>
      <c r="T332" s="93"/>
      <c r="U332" s="93"/>
      <c r="V332" s="93"/>
      <c r="W332" s="98" t="s">
        <v>1685</v>
      </c>
      <c r="X332" s="98" t="s">
        <v>1686</v>
      </c>
      <c r="Y332" s="98" t="s">
        <v>1687</v>
      </c>
      <c r="Z332" s="98" t="s">
        <v>1688</v>
      </c>
      <c r="AA332" s="93"/>
      <c r="AB332" s="99">
        <v>1.0</v>
      </c>
      <c r="AC332" s="93"/>
      <c r="AD332" s="99">
        <v>1.0</v>
      </c>
      <c r="AE332" s="93"/>
      <c r="AF332" s="93"/>
      <c r="AG332" s="93"/>
      <c r="AH332" s="96" t="s">
        <v>1689</v>
      </c>
      <c r="AI332" s="99">
        <v>1.0</v>
      </c>
      <c r="AJ332" s="99">
        <v>1.0</v>
      </c>
      <c r="AK332" s="93"/>
      <c r="AL332" s="93"/>
      <c r="AM332" s="93"/>
      <c r="AN332" s="99">
        <v>1.0</v>
      </c>
      <c r="AO332" s="93"/>
      <c r="AP332" s="93"/>
      <c r="AQ332" s="99">
        <v>1.0</v>
      </c>
      <c r="AR332" s="93"/>
      <c r="AS332" s="93"/>
      <c r="AT332" s="93"/>
      <c r="AU332" s="93"/>
      <c r="AV332" s="93"/>
      <c r="AW332" s="93"/>
      <c r="AX332" s="93"/>
      <c r="AY332" s="93"/>
      <c r="AZ332" s="93"/>
      <c r="BA332" s="93"/>
      <c r="BB332" s="93"/>
      <c r="BC332" s="93"/>
      <c r="BD332" s="93"/>
      <c r="BE332" s="93"/>
      <c r="BF332" s="93"/>
      <c r="BG332" s="93"/>
      <c r="BH332" s="93"/>
      <c r="BI332" s="93"/>
      <c r="BJ332" s="93"/>
      <c r="BK332" s="93"/>
      <c r="BL332" s="93"/>
      <c r="BM332" s="93"/>
      <c r="BN332" s="93"/>
      <c r="BO332" s="93"/>
      <c r="BP332" s="93"/>
      <c r="BQ332" s="99">
        <v>1.0</v>
      </c>
      <c r="BR332" s="93"/>
      <c r="BS332" s="93"/>
      <c r="BT332" s="93"/>
      <c r="BU332" s="93"/>
      <c r="BV332" s="93"/>
      <c r="BW332" s="93"/>
      <c r="BX332" s="93"/>
      <c r="BY332" s="99">
        <v>1.0</v>
      </c>
      <c r="BZ332" s="93"/>
    </row>
    <row r="333">
      <c r="B333" t="s">
        <v>1690</v>
      </c>
      <c r="C333" s="89" t="s">
        <v>1691</v>
      </c>
      <c r="D333" s="90" t="s">
        <v>1692</v>
      </c>
      <c r="E333" s="91">
        <v>2018.0</v>
      </c>
      <c r="F333" s="92">
        <v>1.0</v>
      </c>
      <c r="G333" s="93"/>
      <c r="H333" s="93"/>
      <c r="I333" s="93"/>
      <c r="J333" s="93"/>
      <c r="K333" s="93"/>
      <c r="L333" s="93"/>
      <c r="M333" s="93"/>
      <c r="N333" s="93"/>
      <c r="O333" s="93"/>
      <c r="P333" s="93"/>
      <c r="Q333" s="93"/>
      <c r="R333" s="93"/>
      <c r="S333" s="93"/>
      <c r="T333" s="93"/>
      <c r="U333" s="93"/>
      <c r="V333" s="93"/>
      <c r="W333" s="93"/>
      <c r="X333" s="93"/>
      <c r="Y333" s="93"/>
      <c r="Z333" s="93"/>
      <c r="AA333" s="93"/>
      <c r="AB333" s="93"/>
      <c r="AC333" s="93"/>
      <c r="AD333" s="93"/>
      <c r="AE333" s="93"/>
      <c r="AF333" s="93"/>
      <c r="AG333" s="93"/>
      <c r="AH333" s="94"/>
      <c r="AI333" s="93"/>
      <c r="AJ333" s="93"/>
      <c r="AK333" s="93"/>
      <c r="AL333" s="93"/>
      <c r="AM333" s="93"/>
      <c r="AN333" s="93"/>
      <c r="AO333" s="93"/>
      <c r="AP333" s="93"/>
      <c r="AQ333" s="93"/>
      <c r="AR333" s="93"/>
      <c r="AS333" s="93"/>
      <c r="AT333" s="93"/>
      <c r="AU333" s="93"/>
      <c r="AV333" s="93"/>
      <c r="AW333" s="93"/>
      <c r="AX333" s="93"/>
      <c r="AY333" s="93"/>
      <c r="AZ333" s="93"/>
      <c r="BA333" s="93"/>
      <c r="BB333" s="93"/>
      <c r="BC333" s="93"/>
      <c r="BD333" s="93"/>
      <c r="BE333" s="93"/>
      <c r="BF333" s="93"/>
      <c r="BG333" s="93"/>
      <c r="BH333" s="93"/>
      <c r="BI333" s="93"/>
      <c r="BJ333" s="93"/>
      <c r="BK333" s="93"/>
      <c r="BL333" s="93"/>
      <c r="BM333" s="93"/>
      <c r="BN333" s="93"/>
      <c r="BO333" s="93"/>
      <c r="BP333" s="93"/>
      <c r="BQ333" s="93"/>
      <c r="BR333" s="93"/>
      <c r="BS333" s="93"/>
      <c r="BT333" s="93"/>
      <c r="BU333" s="93"/>
      <c r="BV333" s="93"/>
      <c r="BW333" s="93"/>
      <c r="BX333" s="93"/>
      <c r="BY333" s="93"/>
      <c r="BZ333" s="93"/>
    </row>
    <row r="334">
      <c r="A334" t="s">
        <v>116</v>
      </c>
      <c r="B334" t="s">
        <v>1693</v>
      </c>
      <c r="C334" s="89" t="s">
        <v>1694</v>
      </c>
      <c r="D334" s="90" t="s">
        <v>1695</v>
      </c>
      <c r="E334" s="91">
        <v>2018.0</v>
      </c>
      <c r="F334" s="95" t="s">
        <v>1203</v>
      </c>
      <c r="G334" s="93"/>
      <c r="H334" s="93"/>
      <c r="I334" s="93"/>
      <c r="J334" s="93"/>
      <c r="K334" s="93"/>
      <c r="L334" s="93"/>
      <c r="M334" s="92">
        <v>1.0</v>
      </c>
      <c r="N334" s="93"/>
      <c r="O334" s="93"/>
      <c r="P334" s="93"/>
      <c r="Q334" s="92">
        <v>1.0</v>
      </c>
      <c r="R334" s="93"/>
      <c r="S334" s="93"/>
      <c r="T334" s="93"/>
      <c r="U334" s="93"/>
      <c r="V334" s="93"/>
      <c r="W334" s="95" t="s">
        <v>1696</v>
      </c>
      <c r="X334" s="95" t="s">
        <v>1697</v>
      </c>
      <c r="Y334" s="95" t="s">
        <v>1698</v>
      </c>
      <c r="Z334" s="95" t="s">
        <v>122</v>
      </c>
      <c r="AA334" s="92">
        <v>1.0</v>
      </c>
      <c r="AB334" s="93"/>
      <c r="AC334" s="93"/>
      <c r="AD334" s="92">
        <v>1.0</v>
      </c>
      <c r="AE334" s="93"/>
      <c r="AF334" s="93"/>
      <c r="AG334" s="93"/>
      <c r="AH334" s="96" t="s">
        <v>1699</v>
      </c>
      <c r="AI334" s="92">
        <v>1.0</v>
      </c>
      <c r="AJ334" s="93"/>
      <c r="AK334" s="93"/>
      <c r="AL334" s="93"/>
      <c r="AM334" s="93"/>
      <c r="AN334" s="93"/>
      <c r="AO334" s="93"/>
      <c r="AP334" s="93"/>
      <c r="AQ334" s="93"/>
      <c r="AR334" s="92">
        <v>1.0</v>
      </c>
      <c r="AS334" s="93"/>
      <c r="AT334" s="93"/>
      <c r="AU334" s="93"/>
      <c r="AV334" s="93"/>
      <c r="AW334" s="93"/>
      <c r="AX334" s="93"/>
      <c r="AY334" s="92">
        <v>1.0</v>
      </c>
      <c r="AZ334" s="93"/>
      <c r="BA334" s="93"/>
      <c r="BB334" s="93"/>
      <c r="BC334" s="93"/>
      <c r="BD334" s="93"/>
      <c r="BE334" s="92">
        <v>1.0</v>
      </c>
      <c r="BF334" s="93"/>
      <c r="BG334" s="93"/>
      <c r="BH334" s="93"/>
      <c r="BI334" s="93"/>
      <c r="BJ334" s="93"/>
      <c r="BK334" s="93"/>
      <c r="BL334" s="93"/>
      <c r="BM334" s="93"/>
      <c r="BN334" s="93"/>
      <c r="BO334" s="93"/>
      <c r="BP334" s="93"/>
      <c r="BQ334" s="93"/>
      <c r="BR334" s="93"/>
      <c r="BS334" s="93"/>
      <c r="BT334" s="93"/>
      <c r="BU334" s="93"/>
      <c r="BV334" s="93"/>
      <c r="BW334" s="93"/>
      <c r="BX334" s="92">
        <v>1.0</v>
      </c>
      <c r="BY334" s="92">
        <v>1.0</v>
      </c>
      <c r="BZ334" s="93"/>
    </row>
    <row r="335">
      <c r="B335" t="s">
        <v>1700</v>
      </c>
      <c r="C335" s="89" t="s">
        <v>1701</v>
      </c>
      <c r="D335" s="90" t="s">
        <v>1702</v>
      </c>
      <c r="E335" s="91">
        <v>2018.0</v>
      </c>
      <c r="F335" s="92">
        <v>1.0</v>
      </c>
      <c r="G335" s="93"/>
      <c r="H335" s="93"/>
      <c r="I335" s="93"/>
      <c r="J335" s="93"/>
      <c r="K335" s="93"/>
      <c r="L335" s="93"/>
      <c r="M335" s="93"/>
      <c r="N335" s="93"/>
      <c r="O335" s="93"/>
      <c r="P335" s="93"/>
      <c r="Q335" s="93"/>
      <c r="R335" s="93"/>
      <c r="S335" s="93"/>
      <c r="T335" s="93"/>
      <c r="U335" s="93"/>
      <c r="V335" s="93"/>
      <c r="W335" s="93"/>
      <c r="X335" s="93"/>
      <c r="Y335" s="93"/>
      <c r="Z335" s="93"/>
      <c r="AA335" s="93"/>
      <c r="AB335" s="93"/>
      <c r="AC335" s="93"/>
      <c r="AD335" s="93"/>
      <c r="AE335" s="93"/>
      <c r="AF335" s="93"/>
      <c r="AG335" s="93"/>
      <c r="AH335" s="94"/>
      <c r="AI335" s="93"/>
      <c r="AJ335" s="93"/>
      <c r="AK335" s="93"/>
      <c r="AL335" s="93"/>
      <c r="AM335" s="93"/>
      <c r="AN335" s="93"/>
      <c r="AO335" s="93"/>
      <c r="AP335" s="93"/>
      <c r="AQ335" s="93"/>
      <c r="AR335" s="93"/>
      <c r="AS335" s="93"/>
      <c r="AT335" s="93"/>
      <c r="AU335" s="93"/>
      <c r="AV335" s="93"/>
      <c r="AW335" s="93"/>
      <c r="AX335" s="93"/>
      <c r="AY335" s="93"/>
      <c r="AZ335" s="93"/>
      <c r="BA335" s="93"/>
      <c r="BB335" s="93"/>
      <c r="BC335" s="93"/>
      <c r="BD335" s="93"/>
      <c r="BE335" s="93"/>
      <c r="BF335" s="93"/>
      <c r="BG335" s="93"/>
      <c r="BH335" s="93"/>
      <c r="BI335" s="93"/>
      <c r="BJ335" s="93"/>
      <c r="BK335" s="93"/>
      <c r="BL335" s="93"/>
      <c r="BM335" s="93"/>
      <c r="BN335" s="93"/>
      <c r="BO335" s="93"/>
      <c r="BP335" s="93"/>
      <c r="BQ335" s="93"/>
      <c r="BR335" s="93"/>
      <c r="BS335" s="93"/>
      <c r="BT335" s="93"/>
      <c r="BU335" s="93"/>
      <c r="BV335" s="93"/>
      <c r="BW335" s="93"/>
      <c r="BX335" s="93"/>
      <c r="BY335" s="93"/>
      <c r="BZ335" s="93"/>
    </row>
    <row r="336">
      <c r="B336" t="s">
        <v>1703</v>
      </c>
      <c r="C336" s="89" t="s">
        <v>1704</v>
      </c>
      <c r="D336" s="90" t="s">
        <v>1705</v>
      </c>
      <c r="E336" s="91">
        <v>2018.0</v>
      </c>
      <c r="F336" s="92">
        <v>1.0</v>
      </c>
      <c r="G336" s="93"/>
      <c r="H336" s="93"/>
      <c r="I336" s="93"/>
      <c r="J336" s="93"/>
      <c r="K336" s="93"/>
      <c r="L336" s="93"/>
      <c r="M336" s="93"/>
      <c r="N336" s="93"/>
      <c r="O336" s="93"/>
      <c r="P336" s="93"/>
      <c r="Q336" s="93"/>
      <c r="R336" s="93"/>
      <c r="S336" s="93"/>
      <c r="T336" s="93"/>
      <c r="U336" s="93"/>
      <c r="V336" s="93"/>
      <c r="W336" s="93"/>
      <c r="X336" s="93"/>
      <c r="Y336" s="93"/>
      <c r="Z336" s="93"/>
      <c r="AA336" s="93"/>
      <c r="AB336" s="93"/>
      <c r="AC336" s="93"/>
      <c r="AD336" s="93"/>
      <c r="AE336" s="93"/>
      <c r="AF336" s="93"/>
      <c r="AG336" s="93"/>
      <c r="AH336" s="94"/>
      <c r="AI336" s="93"/>
      <c r="AJ336" s="93"/>
      <c r="AK336" s="93"/>
      <c r="AL336" s="93"/>
      <c r="AM336" s="93"/>
      <c r="AN336" s="93"/>
      <c r="AO336" s="93"/>
      <c r="AP336" s="93"/>
      <c r="AQ336" s="93"/>
      <c r="AR336" s="93"/>
      <c r="AS336" s="93"/>
      <c r="AT336" s="93"/>
      <c r="AU336" s="93"/>
      <c r="AV336" s="93"/>
      <c r="AW336" s="93"/>
      <c r="AX336" s="93"/>
      <c r="AY336" s="93"/>
      <c r="AZ336" s="93"/>
      <c r="BA336" s="93"/>
      <c r="BB336" s="93"/>
      <c r="BC336" s="93"/>
      <c r="BD336" s="93"/>
      <c r="BE336" s="93"/>
      <c r="BF336" s="93"/>
      <c r="BG336" s="93"/>
      <c r="BH336" s="93"/>
      <c r="BI336" s="93"/>
      <c r="BJ336" s="93"/>
      <c r="BK336" s="93"/>
      <c r="BL336" s="93"/>
      <c r="BM336" s="93"/>
      <c r="BN336" s="93"/>
      <c r="BO336" s="93"/>
      <c r="BP336" s="93"/>
      <c r="BQ336" s="93"/>
      <c r="BR336" s="93"/>
      <c r="BS336" s="93"/>
      <c r="BT336" s="93"/>
      <c r="BU336" s="93"/>
      <c r="BV336" s="93"/>
      <c r="BW336" s="93"/>
      <c r="BX336" s="93"/>
      <c r="BY336" s="93"/>
      <c r="BZ336" s="93"/>
    </row>
    <row r="337">
      <c r="A337" t="s">
        <v>1331</v>
      </c>
      <c r="B337" t="s">
        <v>1706</v>
      </c>
      <c r="C337" s="89" t="s">
        <v>1707</v>
      </c>
      <c r="D337" s="90" t="s">
        <v>1708</v>
      </c>
      <c r="E337" s="91">
        <v>2018.0</v>
      </c>
      <c r="F337" s="93"/>
      <c r="G337" s="93"/>
      <c r="H337" s="93"/>
      <c r="I337" s="93"/>
      <c r="J337" s="93"/>
      <c r="K337" s="92">
        <v>1.0</v>
      </c>
      <c r="L337" s="93"/>
      <c r="M337" s="93"/>
      <c r="N337" s="93"/>
      <c r="O337" s="93"/>
      <c r="P337" s="93"/>
      <c r="Q337" s="93"/>
      <c r="R337" s="93"/>
      <c r="S337" s="93"/>
      <c r="T337" s="93"/>
      <c r="U337" s="93"/>
      <c r="V337" s="93"/>
      <c r="W337" s="95" t="s">
        <v>1709</v>
      </c>
      <c r="X337" s="95" t="s">
        <v>1710</v>
      </c>
      <c r="Y337" s="95" t="s">
        <v>1711</v>
      </c>
      <c r="Z337" s="95" t="s">
        <v>1385</v>
      </c>
      <c r="AA337" s="92">
        <v>1.0</v>
      </c>
      <c r="AB337" s="93"/>
      <c r="AC337" s="93"/>
      <c r="AD337" s="92">
        <v>1.0</v>
      </c>
      <c r="AE337" s="93"/>
      <c r="AF337" s="93"/>
      <c r="AG337" s="93"/>
      <c r="AH337" s="96" t="s">
        <v>1712</v>
      </c>
      <c r="AI337" s="92">
        <v>1.0</v>
      </c>
      <c r="AJ337" s="93"/>
      <c r="AK337" s="93"/>
      <c r="AL337" s="93"/>
      <c r="AM337" s="93"/>
      <c r="AN337" s="93"/>
      <c r="AO337" s="93"/>
      <c r="AP337" s="93"/>
      <c r="AQ337" s="93"/>
      <c r="AR337" s="92">
        <v>1.0</v>
      </c>
      <c r="AS337" s="93"/>
      <c r="AT337" s="93"/>
      <c r="AU337" s="93"/>
      <c r="AV337" s="93"/>
      <c r="AW337" s="93"/>
      <c r="AX337" s="93"/>
      <c r="AY337" s="93"/>
      <c r="AZ337" s="93"/>
      <c r="BA337" s="93"/>
      <c r="BB337" s="93"/>
      <c r="BC337" s="93"/>
      <c r="BD337" s="93"/>
      <c r="BE337" s="93"/>
      <c r="BF337" s="93"/>
      <c r="BG337" s="93"/>
      <c r="BH337" s="93"/>
      <c r="BI337" s="93"/>
      <c r="BJ337" s="93"/>
      <c r="BK337" s="93"/>
      <c r="BL337" s="93"/>
      <c r="BM337" s="93"/>
      <c r="BN337" s="93"/>
      <c r="BO337" s="93"/>
      <c r="BP337" s="93"/>
      <c r="BQ337" s="93"/>
      <c r="BR337" s="93"/>
      <c r="BS337" s="93"/>
      <c r="BT337" s="93"/>
      <c r="BU337" s="93"/>
      <c r="BV337" s="93"/>
      <c r="BW337" s="92">
        <v>1.0</v>
      </c>
      <c r="BX337" s="92">
        <v>1.0</v>
      </c>
      <c r="BY337" s="93"/>
      <c r="BZ337" s="92">
        <v>1.0</v>
      </c>
    </row>
    <row r="338">
      <c r="A338" t="s">
        <v>1340</v>
      </c>
      <c r="B338" t="s">
        <v>1713</v>
      </c>
      <c r="C338" s="89" t="s">
        <v>1714</v>
      </c>
      <c r="D338" s="90" t="s">
        <v>1715</v>
      </c>
      <c r="E338" s="91">
        <v>2018.0</v>
      </c>
      <c r="F338" s="93"/>
      <c r="G338" s="93"/>
      <c r="H338" s="93"/>
      <c r="I338" s="92">
        <v>1.0</v>
      </c>
      <c r="J338" s="93"/>
      <c r="K338" s="93"/>
      <c r="L338" s="93"/>
      <c r="M338" s="93"/>
      <c r="N338" s="93"/>
      <c r="O338" s="93"/>
      <c r="P338" s="93"/>
      <c r="Q338" s="93"/>
      <c r="R338" s="93"/>
      <c r="S338" s="93"/>
      <c r="T338" s="93"/>
      <c r="U338" s="93"/>
      <c r="V338" s="93"/>
      <c r="W338" s="98" t="s">
        <v>1716</v>
      </c>
      <c r="X338" s="98" t="s">
        <v>1717</v>
      </c>
      <c r="Y338" s="98" t="s">
        <v>1718</v>
      </c>
      <c r="Z338" s="98" t="s">
        <v>1719</v>
      </c>
      <c r="AA338" s="93"/>
      <c r="AB338" s="92">
        <v>1.0</v>
      </c>
      <c r="AC338" s="93"/>
      <c r="AD338" s="92">
        <v>1.0</v>
      </c>
      <c r="AE338" s="93"/>
      <c r="AF338" s="93"/>
      <c r="AG338" s="93"/>
      <c r="AH338" s="96" t="s">
        <v>1720</v>
      </c>
      <c r="AI338" s="92">
        <v>1.0</v>
      </c>
      <c r="AJ338" s="92">
        <v>1.0</v>
      </c>
      <c r="AK338" s="93"/>
      <c r="AL338" s="93"/>
      <c r="AM338" s="93"/>
      <c r="AN338" s="93"/>
      <c r="AO338" s="93"/>
      <c r="AP338" s="93"/>
      <c r="AQ338" s="93"/>
      <c r="AR338" s="93"/>
      <c r="AS338" s="93"/>
      <c r="AT338" s="93"/>
      <c r="AU338" s="93"/>
      <c r="AV338" s="92">
        <v>1.0</v>
      </c>
      <c r="AW338" s="93"/>
      <c r="AX338" s="93"/>
      <c r="AY338" s="93"/>
      <c r="AZ338" s="93"/>
      <c r="BA338" s="93"/>
      <c r="BB338" s="93"/>
      <c r="BC338" s="93"/>
      <c r="BD338" s="93"/>
      <c r="BE338" s="93"/>
      <c r="BF338" s="93"/>
      <c r="BG338" s="93"/>
      <c r="BH338" s="93"/>
      <c r="BI338" s="93"/>
      <c r="BJ338" s="93"/>
      <c r="BK338" s="93"/>
      <c r="BL338" s="93"/>
      <c r="BM338" s="93"/>
      <c r="BN338" s="93"/>
      <c r="BO338" s="93"/>
      <c r="BP338" s="93"/>
      <c r="BQ338" s="93"/>
      <c r="BR338" s="93"/>
      <c r="BS338" s="93"/>
      <c r="BT338" s="93"/>
      <c r="BU338" s="93"/>
      <c r="BV338" s="92">
        <v>1.0</v>
      </c>
      <c r="BW338" s="93"/>
      <c r="BX338" s="93"/>
      <c r="BY338" s="93"/>
      <c r="BZ338" s="92">
        <v>1.0</v>
      </c>
    </row>
    <row r="339">
      <c r="A339" t="s">
        <v>1354</v>
      </c>
      <c r="B339" t="s">
        <v>1721</v>
      </c>
      <c r="C339" s="89" t="s">
        <v>1722</v>
      </c>
      <c r="D339" s="90" t="s">
        <v>1723</v>
      </c>
      <c r="E339" s="91">
        <v>2018.0</v>
      </c>
      <c r="F339" s="98" t="s">
        <v>1203</v>
      </c>
      <c r="G339" s="93"/>
      <c r="H339" s="93"/>
      <c r="I339" s="93"/>
      <c r="J339" s="93"/>
      <c r="K339" s="93"/>
      <c r="L339" s="93"/>
      <c r="M339" s="99">
        <v>1.0</v>
      </c>
      <c r="N339" s="93"/>
      <c r="O339" s="93"/>
      <c r="P339" s="93"/>
      <c r="Q339" s="93"/>
      <c r="R339" s="93"/>
      <c r="S339" s="93"/>
      <c r="T339" s="93"/>
      <c r="U339" s="93"/>
      <c r="V339" s="93"/>
      <c r="W339" s="98" t="s">
        <v>1724</v>
      </c>
      <c r="X339" s="98" t="s">
        <v>1725</v>
      </c>
      <c r="Y339" s="98" t="s">
        <v>1726</v>
      </c>
      <c r="Z339" s="98" t="s">
        <v>1727</v>
      </c>
      <c r="AA339" s="93"/>
      <c r="AB339" s="99">
        <v>1.0</v>
      </c>
      <c r="AC339" s="93"/>
      <c r="AD339" s="99">
        <v>1.0</v>
      </c>
      <c r="AE339" s="93"/>
      <c r="AF339" s="93"/>
      <c r="AG339" s="99">
        <v>1.0</v>
      </c>
      <c r="AH339" s="96" t="s">
        <v>1728</v>
      </c>
      <c r="AI339" s="99">
        <v>1.0</v>
      </c>
      <c r="AJ339" s="99">
        <v>1.0</v>
      </c>
      <c r="AK339" s="93"/>
      <c r="AL339" s="93"/>
      <c r="AM339" s="93"/>
      <c r="AN339" s="93"/>
      <c r="AO339" s="93"/>
      <c r="AP339" s="93"/>
      <c r="AQ339" s="93"/>
      <c r="AR339" s="99">
        <v>1.0</v>
      </c>
      <c r="AS339" s="93"/>
      <c r="AT339" s="93"/>
      <c r="AU339" s="93"/>
      <c r="AV339" s="93"/>
      <c r="AW339" s="93"/>
      <c r="AX339" s="93"/>
      <c r="AY339" s="99">
        <v>1.0</v>
      </c>
      <c r="AZ339" s="93"/>
      <c r="BA339" s="93"/>
      <c r="BB339" s="93"/>
      <c r="BC339" s="93"/>
      <c r="BD339" s="93"/>
      <c r="BE339" s="99">
        <v>1.0</v>
      </c>
      <c r="BF339" s="93"/>
      <c r="BG339" s="93"/>
      <c r="BH339" s="93"/>
      <c r="BI339" s="93"/>
      <c r="BJ339" s="99">
        <v>1.0</v>
      </c>
      <c r="BK339" s="93"/>
      <c r="BL339" s="93"/>
      <c r="BM339" s="93"/>
      <c r="BN339" s="93"/>
      <c r="BO339" s="93"/>
      <c r="BP339" s="93"/>
      <c r="BQ339" s="93"/>
      <c r="BR339" s="93"/>
      <c r="BS339" s="93"/>
      <c r="BT339" s="93"/>
      <c r="BU339" s="93"/>
      <c r="BV339" s="99">
        <v>1.0</v>
      </c>
      <c r="BW339" s="93"/>
      <c r="BX339" s="99">
        <v>1.0</v>
      </c>
      <c r="BY339" s="93"/>
      <c r="BZ339" s="99">
        <v>1.0</v>
      </c>
    </row>
    <row r="340">
      <c r="A340" t="s">
        <v>116</v>
      </c>
      <c r="B340" t="s">
        <v>1729</v>
      </c>
      <c r="C340" s="89" t="s">
        <v>1730</v>
      </c>
      <c r="D340" s="90" t="s">
        <v>1731</v>
      </c>
      <c r="E340" s="91">
        <v>2018.0</v>
      </c>
      <c r="F340" s="95"/>
      <c r="G340" s="93"/>
      <c r="H340" s="93"/>
      <c r="I340" s="92">
        <v>1.0</v>
      </c>
      <c r="J340" s="93"/>
      <c r="K340" s="93"/>
      <c r="L340" s="93"/>
      <c r="M340" s="93"/>
      <c r="N340" s="93"/>
      <c r="O340" s="93"/>
      <c r="P340" s="93"/>
      <c r="Q340" s="93"/>
      <c r="R340" s="93"/>
      <c r="S340" s="93"/>
      <c r="T340" s="93"/>
      <c r="U340" s="93"/>
      <c r="V340" s="93"/>
      <c r="W340" s="95" t="s">
        <v>239</v>
      </c>
      <c r="X340" s="95" t="s">
        <v>92</v>
      </c>
      <c r="Y340" s="95" t="s">
        <v>92</v>
      </c>
      <c r="Z340" s="97" t="s">
        <v>137</v>
      </c>
      <c r="AA340" s="93"/>
      <c r="AB340" s="93"/>
      <c r="AC340" s="93"/>
      <c r="AD340" s="93"/>
      <c r="AE340" s="93"/>
      <c r="AF340" s="93"/>
      <c r="AG340" s="92">
        <v>1.0</v>
      </c>
      <c r="AH340" s="96" t="s">
        <v>1732</v>
      </c>
      <c r="AI340" s="92">
        <v>1.0</v>
      </c>
      <c r="AJ340" s="92">
        <v>1.0</v>
      </c>
      <c r="AK340" s="93"/>
      <c r="AL340" s="93"/>
      <c r="AM340" s="93"/>
      <c r="AN340" s="92">
        <v>1.0</v>
      </c>
      <c r="AO340" s="93"/>
      <c r="AP340" s="93"/>
      <c r="AQ340" s="93"/>
      <c r="AR340" s="92">
        <v>1.0</v>
      </c>
      <c r="AS340" s="93"/>
      <c r="AT340" s="93"/>
      <c r="AU340" s="93"/>
      <c r="AV340" s="93"/>
      <c r="AW340" s="93"/>
      <c r="AX340" s="93"/>
      <c r="AY340" s="93"/>
      <c r="AZ340" s="93"/>
      <c r="BA340" s="93"/>
      <c r="BB340" s="93"/>
      <c r="BC340" s="93"/>
      <c r="BD340" s="93"/>
      <c r="BE340" s="93"/>
      <c r="BF340" s="93"/>
      <c r="BG340" s="93"/>
      <c r="BH340" s="93"/>
      <c r="BI340" s="92">
        <v>1.0</v>
      </c>
      <c r="BJ340" s="93"/>
      <c r="BK340" s="93"/>
      <c r="BL340" s="93"/>
      <c r="BM340" s="93"/>
      <c r="BN340" s="93"/>
      <c r="BO340" s="93"/>
      <c r="BP340" s="93"/>
      <c r="BQ340" s="93"/>
      <c r="BR340" s="93"/>
      <c r="BS340" s="93"/>
      <c r="BT340" s="93"/>
      <c r="BU340" s="93"/>
      <c r="BV340" s="93"/>
      <c r="BW340" s="93"/>
      <c r="BX340" s="93"/>
      <c r="BY340" s="93"/>
      <c r="BZ340" s="93"/>
    </row>
    <row r="341">
      <c r="A341" t="s">
        <v>1331</v>
      </c>
      <c r="B341" t="s">
        <v>1733</v>
      </c>
      <c r="C341" s="89" t="s">
        <v>1734</v>
      </c>
      <c r="D341" s="90" t="s">
        <v>1735</v>
      </c>
      <c r="E341" s="91">
        <v>2017.0</v>
      </c>
      <c r="F341" s="93"/>
      <c r="G341" s="93"/>
      <c r="H341" s="92">
        <v>1.0</v>
      </c>
      <c r="I341" s="93"/>
      <c r="J341" s="93"/>
      <c r="K341" s="93"/>
      <c r="L341" s="93"/>
      <c r="M341" s="93"/>
      <c r="N341" s="93"/>
      <c r="O341" s="93"/>
      <c r="P341" s="93"/>
      <c r="Q341" s="93"/>
      <c r="R341" s="93"/>
      <c r="S341" s="93"/>
      <c r="T341" s="93"/>
      <c r="U341" s="93"/>
      <c r="V341" s="93"/>
      <c r="W341" s="95" t="s">
        <v>1736</v>
      </c>
      <c r="X341" s="93"/>
      <c r="Y341" s="93"/>
      <c r="Z341" s="97" t="s">
        <v>1737</v>
      </c>
      <c r="AA341" s="93"/>
      <c r="AB341" s="93"/>
      <c r="AC341" s="92">
        <v>1.0</v>
      </c>
      <c r="AD341" s="93"/>
      <c r="AE341" s="93"/>
      <c r="AF341" s="93"/>
      <c r="AG341" s="93"/>
      <c r="AH341" s="96" t="s">
        <v>1738</v>
      </c>
      <c r="AI341" s="92">
        <v>1.0</v>
      </c>
      <c r="AJ341" s="93"/>
      <c r="AK341" s="93"/>
      <c r="AL341" s="93"/>
      <c r="AM341" s="93"/>
      <c r="AN341" s="93"/>
      <c r="AO341" s="93"/>
      <c r="AP341" s="93"/>
      <c r="AQ341" s="93"/>
      <c r="AR341" s="93"/>
      <c r="AS341" s="93"/>
      <c r="AT341" s="93"/>
      <c r="AU341" s="93"/>
      <c r="AV341" s="93"/>
      <c r="AW341" s="93"/>
      <c r="AX341" s="93"/>
      <c r="AY341" s="93"/>
      <c r="AZ341" s="93"/>
      <c r="BA341" s="93"/>
      <c r="BB341" s="93"/>
      <c r="BC341" s="93"/>
      <c r="BD341" s="93"/>
      <c r="BE341" s="93"/>
      <c r="BF341" s="93"/>
      <c r="BG341" s="92">
        <v>1.0</v>
      </c>
      <c r="BH341" s="93"/>
      <c r="BI341" s="93"/>
      <c r="BJ341" s="93"/>
      <c r="BK341" s="93"/>
      <c r="BL341" s="93"/>
      <c r="BM341" s="93"/>
      <c r="BN341" s="93"/>
      <c r="BO341" s="93"/>
      <c r="BP341" s="93"/>
      <c r="BQ341" s="93"/>
      <c r="BR341" s="93"/>
      <c r="BS341" s="93"/>
      <c r="BT341" s="93"/>
      <c r="BU341" s="93"/>
      <c r="BV341" s="93"/>
      <c r="BW341" s="93"/>
      <c r="BX341" s="93"/>
      <c r="BY341" s="93"/>
      <c r="BZ341" s="93"/>
    </row>
    <row r="342">
      <c r="A342" t="s">
        <v>1340</v>
      </c>
      <c r="B342" t="s">
        <v>1739</v>
      </c>
      <c r="C342" s="89" t="s">
        <v>1740</v>
      </c>
      <c r="D342" s="90" t="s">
        <v>1741</v>
      </c>
      <c r="E342" s="91">
        <v>2018.0</v>
      </c>
      <c r="F342" s="95" t="s">
        <v>1203</v>
      </c>
      <c r="G342" s="92">
        <v>1.0</v>
      </c>
      <c r="H342" s="93"/>
      <c r="I342" s="93"/>
      <c r="J342" s="93"/>
      <c r="K342" s="93"/>
      <c r="L342" s="93"/>
      <c r="M342" s="93"/>
      <c r="N342" s="93"/>
      <c r="O342" s="93"/>
      <c r="P342" s="93"/>
      <c r="Q342" s="93"/>
      <c r="R342" s="93"/>
      <c r="S342" s="93"/>
      <c r="T342" s="93"/>
      <c r="U342" s="93"/>
      <c r="V342" s="98" t="s">
        <v>1742</v>
      </c>
      <c r="W342" s="98" t="s">
        <v>1743</v>
      </c>
      <c r="X342" s="98" t="s">
        <v>1744</v>
      </c>
      <c r="Y342" s="98" t="s">
        <v>1745</v>
      </c>
      <c r="Z342" s="98" t="s">
        <v>137</v>
      </c>
      <c r="AA342" s="92">
        <v>1.0</v>
      </c>
      <c r="AB342" s="95"/>
      <c r="AC342" s="93"/>
      <c r="AD342" s="92">
        <v>1.0</v>
      </c>
      <c r="AE342" s="93"/>
      <c r="AF342" s="93"/>
      <c r="AG342" s="93"/>
      <c r="AH342" s="96" t="s">
        <v>1746</v>
      </c>
      <c r="AI342" s="92">
        <v>1.0</v>
      </c>
      <c r="AJ342" s="93"/>
      <c r="AK342" s="93"/>
      <c r="AL342" s="93"/>
      <c r="AM342" s="93"/>
      <c r="AN342" s="93"/>
      <c r="AO342" s="93"/>
      <c r="AP342" s="93"/>
      <c r="AQ342" s="93"/>
      <c r="AR342" s="93"/>
      <c r="AS342" s="93"/>
      <c r="AT342" s="93"/>
      <c r="AU342" s="93"/>
      <c r="AV342" s="93"/>
      <c r="AW342" s="93"/>
      <c r="AX342" s="93"/>
      <c r="AY342" s="93"/>
      <c r="AZ342" s="93"/>
      <c r="BA342" s="93"/>
      <c r="BB342" s="93"/>
      <c r="BC342" s="93"/>
      <c r="BD342" s="93"/>
      <c r="BE342" s="93"/>
      <c r="BF342" s="93"/>
      <c r="BG342" s="92">
        <v>1.0</v>
      </c>
      <c r="BH342" s="93"/>
      <c r="BI342" s="93"/>
      <c r="BJ342" s="93"/>
      <c r="BK342" s="93"/>
      <c r="BL342" s="93"/>
      <c r="BM342" s="93"/>
      <c r="BN342" s="93"/>
      <c r="BO342" s="93"/>
      <c r="BP342" s="93"/>
      <c r="BQ342" s="93"/>
      <c r="BR342" s="93"/>
      <c r="BS342" s="93"/>
      <c r="BT342" s="93"/>
      <c r="BU342" s="93"/>
      <c r="BV342" s="92">
        <v>1.0</v>
      </c>
      <c r="BW342" s="92">
        <v>1.0</v>
      </c>
      <c r="BX342" s="93"/>
      <c r="BY342" s="92">
        <v>1.0</v>
      </c>
      <c r="BZ342" s="93"/>
    </row>
    <row r="343">
      <c r="A343" t="s">
        <v>1354</v>
      </c>
      <c r="B343" t="s">
        <v>1747</v>
      </c>
      <c r="C343" s="89" t="s">
        <v>1748</v>
      </c>
      <c r="D343" s="90" t="s">
        <v>1741</v>
      </c>
      <c r="E343" s="91">
        <v>2018.0</v>
      </c>
      <c r="F343" s="93"/>
      <c r="G343" s="93"/>
      <c r="H343" s="93"/>
      <c r="I343" s="93"/>
      <c r="J343" s="93"/>
      <c r="K343" s="93"/>
      <c r="L343" s="93"/>
      <c r="M343" s="99">
        <v>1.0</v>
      </c>
      <c r="N343" s="93"/>
      <c r="O343" s="93"/>
      <c r="P343" s="93"/>
      <c r="Q343" s="93"/>
      <c r="R343" s="93"/>
      <c r="S343" s="93"/>
      <c r="T343" s="93"/>
      <c r="U343" s="93"/>
      <c r="V343" s="93"/>
      <c r="W343" s="98" t="s">
        <v>1749</v>
      </c>
      <c r="X343" s="98" t="s">
        <v>1750</v>
      </c>
      <c r="Y343" s="98" t="s">
        <v>1751</v>
      </c>
      <c r="Z343" s="98" t="s">
        <v>1752</v>
      </c>
      <c r="AA343" s="93"/>
      <c r="AB343" s="99">
        <v>1.0</v>
      </c>
      <c r="AC343" s="93"/>
      <c r="AD343" s="99">
        <v>1.0</v>
      </c>
      <c r="AE343" s="93"/>
      <c r="AF343" s="93"/>
      <c r="AG343" s="93"/>
      <c r="AH343" s="96" t="s">
        <v>1753</v>
      </c>
      <c r="AI343" s="99">
        <v>1.0</v>
      </c>
      <c r="AJ343" s="93"/>
      <c r="AK343" s="93"/>
      <c r="AL343" s="93"/>
      <c r="AM343" s="93"/>
      <c r="AN343" s="93"/>
      <c r="AO343" s="93"/>
      <c r="AP343" s="93"/>
      <c r="AQ343" s="93"/>
      <c r="AR343" s="93"/>
      <c r="AS343" s="93"/>
      <c r="AT343" s="93"/>
      <c r="AU343" s="93"/>
      <c r="AV343" s="93"/>
      <c r="AW343" s="93"/>
      <c r="AX343" s="93"/>
      <c r="AY343" s="93"/>
      <c r="AZ343" s="93"/>
      <c r="BA343" s="93"/>
      <c r="BB343" s="93"/>
      <c r="BC343" s="93"/>
      <c r="BD343" s="93"/>
      <c r="BE343" s="93"/>
      <c r="BF343" s="93"/>
      <c r="BG343" s="93"/>
      <c r="BH343" s="99">
        <v>1.0</v>
      </c>
      <c r="BI343" s="93"/>
      <c r="BJ343" s="93"/>
      <c r="BK343" s="93"/>
      <c r="BL343" s="93"/>
      <c r="BM343" s="99">
        <v>1.0</v>
      </c>
      <c r="BN343" s="93"/>
      <c r="BO343" s="93"/>
      <c r="BP343" s="93"/>
      <c r="BQ343" s="93"/>
      <c r="BR343" s="93"/>
      <c r="BS343" s="93"/>
      <c r="BT343" s="99">
        <v>1.0</v>
      </c>
      <c r="BU343" s="93"/>
      <c r="BV343" s="99">
        <v>1.0</v>
      </c>
      <c r="BW343" s="93"/>
      <c r="BX343" s="93"/>
      <c r="BY343" s="93"/>
      <c r="BZ343" s="93"/>
    </row>
    <row r="344">
      <c r="B344" t="s">
        <v>1754</v>
      </c>
      <c r="C344" s="89" t="s">
        <v>1755</v>
      </c>
      <c r="D344" s="90" t="s">
        <v>1756</v>
      </c>
      <c r="E344" s="91">
        <v>2018.0</v>
      </c>
      <c r="F344" s="92">
        <v>1.0</v>
      </c>
      <c r="G344" s="93"/>
      <c r="H344" s="93"/>
      <c r="I344" s="93"/>
      <c r="J344" s="93"/>
      <c r="K344" s="93"/>
      <c r="L344" s="93"/>
      <c r="M344" s="93"/>
      <c r="N344" s="93"/>
      <c r="O344" s="93"/>
      <c r="P344" s="93"/>
      <c r="Q344" s="93"/>
      <c r="R344" s="93"/>
      <c r="S344" s="93"/>
      <c r="T344" s="93"/>
      <c r="U344" s="93"/>
      <c r="V344" s="93"/>
      <c r="W344" s="93"/>
      <c r="X344" s="93"/>
      <c r="Y344" s="93"/>
      <c r="Z344" s="93"/>
      <c r="AA344" s="93"/>
      <c r="AB344" s="93"/>
      <c r="AC344" s="93"/>
      <c r="AD344" s="93"/>
      <c r="AE344" s="93"/>
      <c r="AF344" s="93"/>
      <c r="AG344" s="93"/>
      <c r="AH344" s="94"/>
      <c r="AI344" s="93"/>
      <c r="AJ344" s="93"/>
      <c r="AK344" s="93"/>
      <c r="AL344" s="93"/>
      <c r="AM344" s="93"/>
      <c r="AN344" s="93"/>
      <c r="AO344" s="93"/>
      <c r="AP344" s="93"/>
      <c r="AQ344" s="93"/>
      <c r="AR344" s="93"/>
      <c r="AS344" s="93"/>
      <c r="AT344" s="93"/>
      <c r="AU344" s="93"/>
      <c r="AV344" s="93"/>
      <c r="AW344" s="93"/>
      <c r="AX344" s="93"/>
      <c r="AY344" s="93"/>
      <c r="AZ344" s="93"/>
      <c r="BA344" s="93"/>
      <c r="BB344" s="93"/>
      <c r="BC344" s="93"/>
      <c r="BD344" s="93"/>
      <c r="BE344" s="93"/>
      <c r="BF344" s="93"/>
      <c r="BG344" s="93"/>
      <c r="BH344" s="93"/>
      <c r="BI344" s="93"/>
      <c r="BJ344" s="93"/>
      <c r="BK344" s="93"/>
      <c r="BL344" s="93"/>
      <c r="BM344" s="93"/>
      <c r="BN344" s="93"/>
      <c r="BO344" s="93"/>
      <c r="BP344" s="93"/>
      <c r="BQ344" s="93"/>
      <c r="BR344" s="93"/>
      <c r="BS344" s="93"/>
      <c r="BT344" s="93"/>
      <c r="BU344" s="93"/>
      <c r="BV344" s="93"/>
      <c r="BW344" s="93"/>
      <c r="BX344" s="93"/>
      <c r="BY344" s="93"/>
      <c r="BZ344" s="93"/>
    </row>
    <row r="345">
      <c r="B345" t="s">
        <v>1757</v>
      </c>
      <c r="C345" s="89" t="s">
        <v>1758</v>
      </c>
      <c r="D345" s="90" t="s">
        <v>1759</v>
      </c>
      <c r="E345" s="91">
        <v>2018.0</v>
      </c>
      <c r="F345" s="92">
        <v>1.0</v>
      </c>
      <c r="G345" s="93"/>
      <c r="H345" s="93"/>
      <c r="I345" s="93"/>
      <c r="J345" s="93"/>
      <c r="K345" s="93"/>
      <c r="L345" s="93"/>
      <c r="M345" s="93"/>
      <c r="N345" s="93"/>
      <c r="O345" s="93"/>
      <c r="P345" s="93"/>
      <c r="Q345" s="93"/>
      <c r="R345" s="93"/>
      <c r="S345" s="93"/>
      <c r="T345" s="93"/>
      <c r="U345" s="93"/>
      <c r="V345" s="93"/>
      <c r="W345" s="93"/>
      <c r="X345" s="93"/>
      <c r="Y345" s="93"/>
      <c r="Z345" s="93"/>
      <c r="AA345" s="93"/>
      <c r="AB345" s="93"/>
      <c r="AC345" s="93"/>
      <c r="AD345" s="93"/>
      <c r="AE345" s="93"/>
      <c r="AF345" s="93"/>
      <c r="AG345" s="93"/>
      <c r="AH345" s="94"/>
      <c r="AI345" s="93"/>
      <c r="AJ345" s="93"/>
      <c r="AK345" s="93"/>
      <c r="AL345" s="93"/>
      <c r="AM345" s="93"/>
      <c r="AN345" s="93"/>
      <c r="AO345" s="93"/>
      <c r="AP345" s="93"/>
      <c r="AQ345" s="93"/>
      <c r="AR345" s="93"/>
      <c r="AS345" s="93"/>
      <c r="AT345" s="93"/>
      <c r="AU345" s="93"/>
      <c r="AV345" s="93"/>
      <c r="AW345" s="93"/>
      <c r="AX345" s="93"/>
      <c r="AY345" s="93"/>
      <c r="AZ345" s="93"/>
      <c r="BA345" s="93"/>
      <c r="BB345" s="93"/>
      <c r="BC345" s="93"/>
      <c r="BD345" s="93"/>
      <c r="BE345" s="93"/>
      <c r="BF345" s="93"/>
      <c r="BG345" s="93"/>
      <c r="BH345" s="93"/>
      <c r="BI345" s="93"/>
      <c r="BJ345" s="93"/>
      <c r="BK345" s="93"/>
      <c r="BL345" s="93"/>
      <c r="BM345" s="93"/>
      <c r="BN345" s="93"/>
      <c r="BO345" s="93"/>
      <c r="BP345" s="93"/>
      <c r="BQ345" s="93"/>
      <c r="BR345" s="93"/>
      <c r="BS345" s="93"/>
      <c r="BT345" s="93"/>
      <c r="BU345" s="93"/>
      <c r="BV345" s="93"/>
      <c r="BW345" s="93"/>
      <c r="BX345" s="93"/>
      <c r="BY345" s="93"/>
      <c r="BZ345" s="93"/>
    </row>
    <row r="346">
      <c r="B346" t="s">
        <v>1760</v>
      </c>
      <c r="C346" s="89" t="s">
        <v>1761</v>
      </c>
      <c r="D346" s="90" t="s">
        <v>1762</v>
      </c>
      <c r="E346" s="91">
        <v>2018.0</v>
      </c>
      <c r="F346" s="92">
        <v>1.0</v>
      </c>
      <c r="G346" s="93"/>
      <c r="H346" s="93"/>
      <c r="I346" s="93"/>
      <c r="J346" s="93"/>
      <c r="K346" s="93"/>
      <c r="L346" s="93"/>
      <c r="M346" s="93"/>
      <c r="N346" s="93"/>
      <c r="O346" s="93"/>
      <c r="P346" s="93"/>
      <c r="Q346" s="93"/>
      <c r="R346" s="93"/>
      <c r="S346" s="93"/>
      <c r="T346" s="93"/>
      <c r="U346" s="93"/>
      <c r="V346" s="93"/>
      <c r="W346" s="93"/>
      <c r="X346" s="93"/>
      <c r="Y346" s="93"/>
      <c r="Z346" s="93"/>
      <c r="AA346" s="93"/>
      <c r="AB346" s="93"/>
      <c r="AC346" s="93"/>
      <c r="AD346" s="93"/>
      <c r="AE346" s="93"/>
      <c r="AF346" s="93"/>
      <c r="AG346" s="93"/>
      <c r="AH346" s="94"/>
      <c r="AI346" s="93"/>
      <c r="AJ346" s="93"/>
      <c r="AK346" s="93"/>
      <c r="AL346" s="93"/>
      <c r="AM346" s="93"/>
      <c r="AN346" s="93"/>
      <c r="AO346" s="93"/>
      <c r="AP346" s="93"/>
      <c r="AQ346" s="93"/>
      <c r="AR346" s="93"/>
      <c r="AS346" s="93"/>
      <c r="AT346" s="93"/>
      <c r="AU346" s="93"/>
      <c r="AV346" s="93"/>
      <c r="AW346" s="93"/>
      <c r="AX346" s="93"/>
      <c r="AY346" s="93"/>
      <c r="AZ346" s="93"/>
      <c r="BA346" s="93"/>
      <c r="BB346" s="93"/>
      <c r="BC346" s="93"/>
      <c r="BD346" s="93"/>
      <c r="BE346" s="93"/>
      <c r="BF346" s="93"/>
      <c r="BG346" s="93"/>
      <c r="BH346" s="93"/>
      <c r="BI346" s="93"/>
      <c r="BJ346" s="93"/>
      <c r="BK346" s="93"/>
      <c r="BL346" s="93"/>
      <c r="BM346" s="93"/>
      <c r="BN346" s="93"/>
      <c r="BO346" s="93"/>
      <c r="BP346" s="93"/>
      <c r="BQ346" s="93"/>
      <c r="BR346" s="93"/>
      <c r="BS346" s="93"/>
      <c r="BT346" s="93"/>
      <c r="BU346" s="93"/>
      <c r="BV346" s="93"/>
      <c r="BW346" s="93"/>
      <c r="BX346" s="93"/>
      <c r="BY346" s="93"/>
      <c r="BZ346" s="93"/>
    </row>
    <row r="347">
      <c r="A347" t="s">
        <v>116</v>
      </c>
      <c r="B347" t="s">
        <v>1763</v>
      </c>
      <c r="C347" s="89" t="s">
        <v>1764</v>
      </c>
      <c r="D347" s="90" t="s">
        <v>1765</v>
      </c>
      <c r="E347" s="91">
        <v>2018.0</v>
      </c>
      <c r="F347" s="93"/>
      <c r="G347" s="93"/>
      <c r="H347" s="93"/>
      <c r="I347" s="92">
        <v>1.0</v>
      </c>
      <c r="J347" s="93"/>
      <c r="K347" s="93"/>
      <c r="L347" s="93"/>
      <c r="M347" s="93"/>
      <c r="N347" s="93"/>
      <c r="O347" s="93"/>
      <c r="P347" s="93"/>
      <c r="Q347" s="93"/>
      <c r="R347" s="93"/>
      <c r="S347" s="93"/>
      <c r="T347" s="93"/>
      <c r="U347" s="93"/>
      <c r="V347" s="93"/>
      <c r="W347" s="95" t="s">
        <v>1766</v>
      </c>
      <c r="X347" s="95" t="s">
        <v>1767</v>
      </c>
      <c r="Y347" s="95" t="s">
        <v>1768</v>
      </c>
      <c r="Z347" s="95" t="s">
        <v>122</v>
      </c>
      <c r="AA347" s="92">
        <v>1.0</v>
      </c>
      <c r="AB347" s="92">
        <v>1.0</v>
      </c>
      <c r="AC347" s="93"/>
      <c r="AD347" s="92">
        <v>1.0</v>
      </c>
      <c r="AE347" s="93"/>
      <c r="AF347" s="93"/>
      <c r="AG347" s="93"/>
      <c r="AH347" s="96" t="s">
        <v>1769</v>
      </c>
      <c r="AI347" s="92">
        <v>1.0</v>
      </c>
      <c r="AJ347" s="93"/>
      <c r="AK347" s="93"/>
      <c r="AL347" s="93"/>
      <c r="AM347" s="93"/>
      <c r="AN347" s="93"/>
      <c r="AO347" s="93"/>
      <c r="AP347" s="93"/>
      <c r="AQ347" s="93"/>
      <c r="AR347" s="92">
        <v>1.0</v>
      </c>
      <c r="AS347" s="93"/>
      <c r="AT347" s="93"/>
      <c r="AU347" s="93"/>
      <c r="AV347" s="93"/>
      <c r="AW347" s="93"/>
      <c r="AX347" s="93"/>
      <c r="AY347" s="93"/>
      <c r="AZ347" s="93"/>
      <c r="BA347" s="93"/>
      <c r="BB347" s="93"/>
      <c r="BC347" s="93"/>
      <c r="BD347" s="93"/>
      <c r="BE347" s="92">
        <v>1.0</v>
      </c>
      <c r="BF347" s="93"/>
      <c r="BG347" s="93"/>
      <c r="BH347" s="93"/>
      <c r="BI347" s="92">
        <v>1.0</v>
      </c>
      <c r="BJ347" s="93"/>
      <c r="BK347" s="93"/>
      <c r="BL347" s="93"/>
      <c r="BM347" s="93"/>
      <c r="BN347" s="93"/>
      <c r="BO347" s="93"/>
      <c r="BP347" s="93"/>
      <c r="BQ347" s="93"/>
      <c r="BR347" s="93"/>
      <c r="BS347" s="93"/>
      <c r="BT347" s="92">
        <v>1.0</v>
      </c>
      <c r="BU347" s="93"/>
      <c r="BV347" s="93"/>
      <c r="BW347" s="93"/>
      <c r="BX347" s="92">
        <v>1.0</v>
      </c>
      <c r="BY347" s="92">
        <v>1.0</v>
      </c>
      <c r="BZ347" s="93"/>
    </row>
    <row r="348">
      <c r="B348" t="s">
        <v>1770</v>
      </c>
      <c r="C348" s="89" t="s">
        <v>1771</v>
      </c>
      <c r="D348" s="90" t="s">
        <v>1772</v>
      </c>
      <c r="E348" s="91">
        <v>2018.0</v>
      </c>
      <c r="F348" s="92">
        <v>1.0</v>
      </c>
      <c r="G348" s="93"/>
      <c r="H348" s="93"/>
      <c r="I348" s="93"/>
      <c r="J348" s="93"/>
      <c r="K348" s="93"/>
      <c r="L348" s="93"/>
      <c r="M348" s="93"/>
      <c r="N348" s="93"/>
      <c r="O348" s="93"/>
      <c r="P348" s="93"/>
      <c r="Q348" s="93"/>
      <c r="R348" s="93"/>
      <c r="S348" s="93"/>
      <c r="T348" s="93"/>
      <c r="U348" s="93"/>
      <c r="V348" s="93"/>
      <c r="W348" s="93"/>
      <c r="X348" s="93"/>
      <c r="Y348" s="93"/>
      <c r="Z348" s="93"/>
      <c r="AA348" s="93"/>
      <c r="AB348" s="93"/>
      <c r="AC348" s="93"/>
      <c r="AD348" s="93"/>
      <c r="AE348" s="93"/>
      <c r="AF348" s="93"/>
      <c r="AG348" s="93"/>
      <c r="AH348" s="94"/>
      <c r="AI348" s="93"/>
      <c r="AJ348" s="93"/>
      <c r="AK348" s="93"/>
      <c r="AL348" s="93"/>
      <c r="AM348" s="93"/>
      <c r="AN348" s="93"/>
      <c r="AO348" s="93"/>
      <c r="AP348" s="93"/>
      <c r="AQ348" s="93"/>
      <c r="AR348" s="93"/>
      <c r="AS348" s="93"/>
      <c r="AT348" s="93"/>
      <c r="AU348" s="93"/>
      <c r="AV348" s="93"/>
      <c r="AW348" s="93"/>
      <c r="AX348" s="93"/>
      <c r="AY348" s="93"/>
      <c r="AZ348" s="93"/>
      <c r="BA348" s="93"/>
      <c r="BB348" s="93"/>
      <c r="BC348" s="93"/>
      <c r="BD348" s="93"/>
      <c r="BE348" s="93"/>
      <c r="BF348" s="93"/>
      <c r="BG348" s="93"/>
      <c r="BH348" s="93"/>
      <c r="BI348" s="93"/>
      <c r="BJ348" s="93"/>
      <c r="BK348" s="93"/>
      <c r="BL348" s="93"/>
      <c r="BM348" s="93"/>
      <c r="BN348" s="93"/>
      <c r="BO348" s="93"/>
      <c r="BP348" s="93"/>
      <c r="BQ348" s="93"/>
      <c r="BR348" s="93"/>
      <c r="BS348" s="93"/>
      <c r="BT348" s="93"/>
      <c r="BU348" s="93"/>
      <c r="BV348" s="93"/>
      <c r="BW348" s="93"/>
      <c r="BX348" s="93"/>
      <c r="BY348" s="93"/>
      <c r="BZ348" s="93"/>
    </row>
    <row r="349">
      <c r="B349" t="s">
        <v>1773</v>
      </c>
      <c r="C349" s="89" t="s">
        <v>1774</v>
      </c>
      <c r="D349" s="90" t="s">
        <v>1775</v>
      </c>
      <c r="E349" s="91">
        <v>2018.0</v>
      </c>
      <c r="F349" s="92">
        <v>1.0</v>
      </c>
      <c r="G349" s="93"/>
      <c r="H349" s="93"/>
      <c r="I349" s="93"/>
      <c r="J349" s="93"/>
      <c r="K349" s="93"/>
      <c r="L349" s="93"/>
      <c r="M349" s="93"/>
      <c r="N349" s="93"/>
      <c r="O349" s="93"/>
      <c r="P349" s="93"/>
      <c r="Q349" s="93"/>
      <c r="R349" s="93"/>
      <c r="S349" s="93"/>
      <c r="T349" s="93"/>
      <c r="U349" s="93"/>
      <c r="V349" s="93"/>
      <c r="W349" s="93"/>
      <c r="X349" s="93"/>
      <c r="Y349" s="93"/>
      <c r="Z349" s="93"/>
      <c r="AA349" s="93"/>
      <c r="AB349" s="93"/>
      <c r="AC349" s="93"/>
      <c r="AD349" s="93"/>
      <c r="AE349" s="93"/>
      <c r="AF349" s="93"/>
      <c r="AG349" s="93"/>
      <c r="AH349" s="94"/>
      <c r="AI349" s="93"/>
      <c r="AJ349" s="93"/>
      <c r="AK349" s="93"/>
      <c r="AL349" s="93"/>
      <c r="AM349" s="93"/>
      <c r="AN349" s="93"/>
      <c r="AO349" s="93"/>
      <c r="AP349" s="93"/>
      <c r="AQ349" s="93"/>
      <c r="AR349" s="93"/>
      <c r="AS349" s="93"/>
      <c r="AT349" s="93"/>
      <c r="AU349" s="93"/>
      <c r="AV349" s="93"/>
      <c r="AW349" s="93"/>
      <c r="AX349" s="93"/>
      <c r="AY349" s="93"/>
      <c r="AZ349" s="93"/>
      <c r="BA349" s="93"/>
      <c r="BB349" s="93"/>
      <c r="BC349" s="93"/>
      <c r="BD349" s="93"/>
      <c r="BE349" s="93"/>
      <c r="BF349" s="93"/>
      <c r="BG349" s="93"/>
      <c r="BH349" s="93"/>
      <c r="BI349" s="93"/>
      <c r="BJ349" s="93"/>
      <c r="BK349" s="93"/>
      <c r="BL349" s="93"/>
      <c r="BM349" s="93"/>
      <c r="BN349" s="93"/>
      <c r="BO349" s="93"/>
      <c r="BP349" s="93"/>
      <c r="BQ349" s="93"/>
      <c r="BR349" s="93"/>
      <c r="BS349" s="93"/>
      <c r="BT349" s="93"/>
      <c r="BU349" s="93"/>
      <c r="BV349" s="93"/>
      <c r="BW349" s="93"/>
      <c r="BX349" s="93"/>
      <c r="BY349" s="93"/>
      <c r="BZ349" s="93"/>
    </row>
    <row r="350">
      <c r="B350" t="s">
        <v>1776</v>
      </c>
      <c r="C350" s="89" t="s">
        <v>1079</v>
      </c>
      <c r="D350" s="90" t="s">
        <v>1080</v>
      </c>
      <c r="E350" s="91">
        <v>2016.0</v>
      </c>
      <c r="F350" s="97" t="s">
        <v>1777</v>
      </c>
      <c r="G350" s="93"/>
      <c r="H350" s="93"/>
      <c r="I350" s="93"/>
      <c r="J350" s="93"/>
      <c r="K350" s="93"/>
      <c r="L350" s="93"/>
      <c r="M350" s="93"/>
      <c r="N350" s="93"/>
      <c r="O350" s="93"/>
      <c r="P350" s="93"/>
      <c r="Q350" s="93"/>
      <c r="R350" s="93"/>
      <c r="S350" s="93"/>
      <c r="T350" s="93"/>
      <c r="U350" s="93"/>
      <c r="V350" s="93"/>
      <c r="W350" s="93"/>
      <c r="X350" s="93"/>
      <c r="Y350" s="93"/>
      <c r="Z350" s="93"/>
      <c r="AA350" s="93"/>
      <c r="AB350" s="93"/>
      <c r="AC350" s="93"/>
      <c r="AD350" s="93"/>
      <c r="AE350" s="93"/>
      <c r="AF350" s="93"/>
      <c r="AG350" s="93"/>
      <c r="AH350" s="94"/>
      <c r="AI350" s="93"/>
      <c r="AJ350" s="93"/>
      <c r="AK350" s="93"/>
      <c r="AL350" s="93"/>
      <c r="AM350" s="93"/>
      <c r="AN350" s="93"/>
      <c r="AO350" s="93"/>
      <c r="AP350" s="93"/>
      <c r="AQ350" s="93"/>
      <c r="AR350" s="93"/>
      <c r="AS350" s="93"/>
      <c r="AT350" s="93"/>
      <c r="AU350" s="93"/>
      <c r="AV350" s="93"/>
      <c r="AW350" s="93"/>
      <c r="AX350" s="93"/>
      <c r="AY350" s="93"/>
      <c r="AZ350" s="93"/>
      <c r="BA350" s="93"/>
      <c r="BB350" s="93"/>
      <c r="BC350" s="93"/>
      <c r="BD350" s="93"/>
      <c r="BE350" s="93"/>
      <c r="BF350" s="93"/>
      <c r="BG350" s="93"/>
      <c r="BH350" s="93"/>
      <c r="BI350" s="93"/>
      <c r="BJ350" s="93"/>
      <c r="BK350" s="93"/>
      <c r="BL350" s="93"/>
      <c r="BM350" s="93"/>
      <c r="BN350" s="93"/>
      <c r="BO350" s="93"/>
      <c r="BP350" s="93"/>
      <c r="BQ350" s="93"/>
      <c r="BR350" s="93"/>
      <c r="BS350" s="93"/>
      <c r="BT350" s="93"/>
      <c r="BU350" s="93"/>
      <c r="BV350" s="93"/>
      <c r="BW350" s="93"/>
      <c r="BX350" s="93"/>
      <c r="BY350" s="93"/>
      <c r="BZ350" s="93"/>
    </row>
    <row r="351">
      <c r="B351" t="s">
        <v>1778</v>
      </c>
      <c r="C351" s="89" t="s">
        <v>1779</v>
      </c>
      <c r="D351" s="90" t="s">
        <v>503</v>
      </c>
      <c r="E351" s="91">
        <v>2018.0</v>
      </c>
      <c r="F351" s="95" t="s">
        <v>1488</v>
      </c>
      <c r="G351" s="93"/>
      <c r="H351" s="93"/>
      <c r="I351" s="93"/>
      <c r="J351" s="93"/>
      <c r="K351" s="93"/>
      <c r="L351" s="93"/>
      <c r="M351" s="93"/>
      <c r="N351" s="93"/>
      <c r="O351" s="93"/>
      <c r="P351" s="93"/>
      <c r="Q351" s="93"/>
      <c r="R351" s="93"/>
      <c r="S351" s="93"/>
      <c r="T351" s="93"/>
      <c r="U351" s="93"/>
      <c r="V351" s="93"/>
      <c r="W351" s="93"/>
      <c r="X351" s="93"/>
      <c r="Y351" s="93"/>
      <c r="Z351" s="93"/>
      <c r="AA351" s="93"/>
      <c r="AB351" s="93"/>
      <c r="AC351" s="93"/>
      <c r="AD351" s="93"/>
      <c r="AE351" s="93"/>
      <c r="AF351" s="93"/>
      <c r="AG351" s="93"/>
      <c r="AH351" s="94"/>
      <c r="AI351" s="93"/>
      <c r="AJ351" s="93"/>
      <c r="AK351" s="93"/>
      <c r="AL351" s="93"/>
      <c r="AM351" s="93"/>
      <c r="AN351" s="93"/>
      <c r="AO351" s="93"/>
      <c r="AP351" s="93"/>
      <c r="AQ351" s="93"/>
      <c r="AR351" s="93"/>
      <c r="AS351" s="93"/>
      <c r="AT351" s="93"/>
      <c r="AU351" s="93"/>
      <c r="AV351" s="93"/>
      <c r="AW351" s="93"/>
      <c r="AX351" s="93"/>
      <c r="AY351" s="93"/>
      <c r="AZ351" s="93"/>
      <c r="BA351" s="93"/>
      <c r="BB351" s="93"/>
      <c r="BC351" s="93"/>
      <c r="BD351" s="93"/>
      <c r="BE351" s="93"/>
      <c r="BF351" s="93"/>
      <c r="BG351" s="93"/>
      <c r="BH351" s="93"/>
      <c r="BI351" s="93"/>
      <c r="BJ351" s="93"/>
      <c r="BK351" s="93"/>
      <c r="BL351" s="93"/>
      <c r="BM351" s="93"/>
      <c r="BN351" s="93"/>
      <c r="BO351" s="93"/>
      <c r="BP351" s="93"/>
      <c r="BQ351" s="93"/>
      <c r="BR351" s="93"/>
      <c r="BS351" s="93"/>
      <c r="BT351" s="93"/>
      <c r="BU351" s="93"/>
      <c r="BV351" s="93"/>
      <c r="BW351" s="93"/>
      <c r="BX351" s="93"/>
      <c r="BY351" s="93"/>
      <c r="BZ351" s="93"/>
    </row>
    <row r="352">
      <c r="B352" t="s">
        <v>1780</v>
      </c>
      <c r="C352" s="89" t="s">
        <v>1781</v>
      </c>
      <c r="D352" s="90" t="s">
        <v>588</v>
      </c>
      <c r="E352" s="91">
        <v>2018.0</v>
      </c>
      <c r="F352" s="92">
        <v>1.0</v>
      </c>
      <c r="G352" s="93"/>
      <c r="H352" s="93"/>
      <c r="I352" s="93"/>
      <c r="J352" s="93"/>
      <c r="K352" s="93"/>
      <c r="L352" s="93"/>
      <c r="M352" s="93"/>
      <c r="N352" s="93"/>
      <c r="O352" s="93"/>
      <c r="P352" s="93"/>
      <c r="Q352" s="93"/>
      <c r="R352" s="93"/>
      <c r="S352" s="93"/>
      <c r="T352" s="93"/>
      <c r="U352" s="93"/>
      <c r="V352" s="93"/>
      <c r="W352" s="93"/>
      <c r="X352" s="93"/>
      <c r="Y352" s="93"/>
      <c r="Z352" s="93"/>
      <c r="AA352" s="93"/>
      <c r="AB352" s="93"/>
      <c r="AC352" s="93"/>
      <c r="AD352" s="93"/>
      <c r="AE352" s="93"/>
      <c r="AF352" s="93"/>
      <c r="AG352" s="93"/>
      <c r="AH352" s="94"/>
      <c r="AI352" s="93"/>
      <c r="AJ352" s="93"/>
      <c r="AK352" s="93"/>
      <c r="AL352" s="93"/>
      <c r="AM352" s="93"/>
      <c r="AN352" s="93"/>
      <c r="AO352" s="93"/>
      <c r="AP352" s="93"/>
      <c r="AQ352" s="93"/>
      <c r="AR352" s="93"/>
      <c r="AS352" s="93"/>
      <c r="AT352" s="93"/>
      <c r="AU352" s="93"/>
      <c r="AV352" s="93"/>
      <c r="AW352" s="93"/>
      <c r="AX352" s="93"/>
      <c r="AY352" s="93"/>
      <c r="AZ352" s="93"/>
      <c r="BA352" s="93"/>
      <c r="BB352" s="93"/>
      <c r="BC352" s="93"/>
      <c r="BD352" s="93"/>
      <c r="BE352" s="93"/>
      <c r="BF352" s="93"/>
      <c r="BG352" s="93"/>
      <c r="BH352" s="93"/>
      <c r="BI352" s="93"/>
      <c r="BJ352" s="93"/>
      <c r="BK352" s="93"/>
      <c r="BL352" s="93"/>
      <c r="BM352" s="93"/>
      <c r="BN352" s="93"/>
      <c r="BO352" s="93"/>
      <c r="BP352" s="93"/>
      <c r="BQ352" s="93"/>
      <c r="BR352" s="93"/>
      <c r="BS352" s="93"/>
      <c r="BT352" s="93"/>
      <c r="BU352" s="93"/>
      <c r="BV352" s="93"/>
      <c r="BW352" s="93"/>
      <c r="BX352" s="93"/>
      <c r="BY352" s="93"/>
      <c r="BZ352" s="93"/>
    </row>
    <row r="353">
      <c r="A353" t="s">
        <v>1331</v>
      </c>
      <c r="B353" t="s">
        <v>1782</v>
      </c>
      <c r="C353" s="89" t="s">
        <v>1783</v>
      </c>
      <c r="D353" s="90" t="s">
        <v>1784</v>
      </c>
      <c r="E353" s="91">
        <v>2018.0</v>
      </c>
      <c r="F353" s="92">
        <v>1.0</v>
      </c>
      <c r="G353" s="93"/>
      <c r="H353" s="93"/>
      <c r="I353" s="93"/>
      <c r="J353" s="93"/>
      <c r="K353" s="93"/>
      <c r="L353" s="93"/>
      <c r="M353" s="93"/>
      <c r="N353" s="93"/>
      <c r="O353" s="93"/>
      <c r="P353" s="93"/>
      <c r="Q353" s="93"/>
      <c r="R353" s="93"/>
      <c r="S353" s="93"/>
      <c r="T353" s="93"/>
      <c r="U353" s="93"/>
      <c r="V353" s="93"/>
      <c r="W353" s="93"/>
      <c r="X353" s="93"/>
      <c r="Y353" s="93"/>
      <c r="Z353" s="93"/>
      <c r="AA353" s="93"/>
      <c r="AB353" s="93"/>
      <c r="AC353" s="93"/>
      <c r="AD353" s="93"/>
      <c r="AE353" s="93"/>
      <c r="AF353" s="93"/>
      <c r="AG353" s="93"/>
      <c r="AH353" s="94"/>
      <c r="AI353" s="93"/>
      <c r="AJ353" s="93"/>
      <c r="AK353" s="93"/>
      <c r="AL353" s="93"/>
      <c r="AM353" s="93"/>
      <c r="AN353" s="93"/>
      <c r="AO353" s="93"/>
      <c r="AP353" s="93"/>
      <c r="AQ353" s="93"/>
      <c r="AR353" s="93"/>
      <c r="AS353" s="93"/>
      <c r="AT353" s="93"/>
      <c r="AU353" s="93"/>
      <c r="AV353" s="93"/>
      <c r="AW353" s="93"/>
      <c r="AX353" s="93"/>
      <c r="AY353" s="93"/>
      <c r="AZ353" s="93"/>
      <c r="BA353" s="93"/>
      <c r="BB353" s="93"/>
      <c r="BC353" s="93"/>
      <c r="BD353" s="93"/>
      <c r="BE353" s="93"/>
      <c r="BF353" s="93"/>
      <c r="BG353" s="93"/>
      <c r="BH353" s="93"/>
      <c r="BI353" s="93"/>
      <c r="BJ353" s="93"/>
      <c r="BK353" s="93"/>
      <c r="BL353" s="93"/>
      <c r="BM353" s="93"/>
      <c r="BN353" s="93"/>
      <c r="BO353" s="93"/>
      <c r="BP353" s="93"/>
      <c r="BQ353" s="93"/>
      <c r="BR353" s="93"/>
      <c r="BS353" s="93"/>
      <c r="BT353" s="93"/>
      <c r="BU353" s="93"/>
      <c r="BV353" s="93"/>
      <c r="BW353" s="93"/>
      <c r="BX353" s="93"/>
      <c r="BY353" s="93"/>
      <c r="BZ353" s="93"/>
    </row>
    <row r="354">
      <c r="A354" t="s">
        <v>1340</v>
      </c>
      <c r="B354" t="s">
        <v>1785</v>
      </c>
      <c r="C354" s="89" t="s">
        <v>1786</v>
      </c>
      <c r="D354" s="90" t="s">
        <v>1787</v>
      </c>
      <c r="E354" s="91">
        <v>2018.0</v>
      </c>
      <c r="F354" s="92">
        <v>1.0</v>
      </c>
      <c r="G354" s="93"/>
      <c r="H354" s="93"/>
      <c r="I354" s="93"/>
      <c r="J354" s="93"/>
      <c r="K354" s="93"/>
      <c r="L354" s="93"/>
      <c r="M354" s="93"/>
      <c r="N354" s="93"/>
      <c r="O354" s="92">
        <v>1.0</v>
      </c>
      <c r="P354" s="93"/>
      <c r="Q354" s="93"/>
      <c r="R354" s="93"/>
      <c r="S354" s="93"/>
      <c r="T354" s="93"/>
      <c r="U354" s="93"/>
      <c r="V354" s="93"/>
      <c r="W354" s="93"/>
      <c r="X354" s="93"/>
      <c r="Y354" s="93"/>
      <c r="Z354" s="93"/>
      <c r="AA354" s="93"/>
      <c r="AB354" s="93"/>
      <c r="AC354" s="93"/>
      <c r="AD354" s="93"/>
      <c r="AE354" s="93"/>
      <c r="AF354" s="93"/>
      <c r="AG354" s="93"/>
      <c r="AH354" s="94"/>
      <c r="AI354" s="93"/>
      <c r="AJ354" s="93"/>
      <c r="AK354" s="93"/>
      <c r="AL354" s="93"/>
      <c r="AM354" s="93"/>
      <c r="AN354" s="93"/>
      <c r="AO354" s="93"/>
      <c r="AP354" s="93"/>
      <c r="AQ354" s="93"/>
      <c r="AR354" s="93"/>
      <c r="AS354" s="93"/>
      <c r="AT354" s="93"/>
      <c r="AU354" s="93"/>
      <c r="AV354" s="93"/>
      <c r="AW354" s="93"/>
      <c r="AX354" s="93"/>
      <c r="AY354" s="93"/>
      <c r="AZ354" s="93"/>
      <c r="BA354" s="93"/>
      <c r="BB354" s="93"/>
      <c r="BC354" s="93"/>
      <c r="BD354" s="93"/>
      <c r="BE354" s="93"/>
      <c r="BF354" s="93"/>
      <c r="BG354" s="93"/>
      <c r="BH354" s="93"/>
      <c r="BI354" s="93"/>
      <c r="BJ354" s="93"/>
      <c r="BK354" s="93"/>
      <c r="BL354" s="93"/>
      <c r="BM354" s="93"/>
      <c r="BN354" s="93"/>
      <c r="BO354" s="93"/>
      <c r="BP354" s="93"/>
      <c r="BQ354" s="93"/>
      <c r="BR354" s="93"/>
      <c r="BS354" s="93"/>
      <c r="BT354" s="93"/>
      <c r="BU354" s="93"/>
      <c r="BV354" s="93"/>
      <c r="BW354" s="93"/>
      <c r="BX354" s="93"/>
      <c r="BY354" s="93"/>
      <c r="BZ354" s="93"/>
    </row>
    <row r="355">
      <c r="A355" t="s">
        <v>1354</v>
      </c>
      <c r="B355" t="s">
        <v>1788</v>
      </c>
      <c r="C355" s="89" t="s">
        <v>1789</v>
      </c>
      <c r="D355" s="90" t="s">
        <v>1790</v>
      </c>
      <c r="E355" s="91">
        <v>2018.0</v>
      </c>
      <c r="F355" s="98"/>
      <c r="G355" s="93"/>
      <c r="H355" s="99">
        <v>1.0</v>
      </c>
      <c r="I355" s="93"/>
      <c r="J355" s="93"/>
      <c r="K355" s="93"/>
      <c r="L355" s="93"/>
      <c r="M355" s="93"/>
      <c r="N355" s="93"/>
      <c r="O355" s="93"/>
      <c r="P355" s="93"/>
      <c r="Q355" s="93"/>
      <c r="R355" s="93"/>
      <c r="S355" s="93"/>
      <c r="T355" s="93"/>
      <c r="U355" s="93"/>
      <c r="V355" s="98" t="s">
        <v>1791</v>
      </c>
      <c r="W355" s="98" t="s">
        <v>1792</v>
      </c>
      <c r="X355" s="90" t="s">
        <v>1793</v>
      </c>
      <c r="Y355" s="98" t="s">
        <v>1794</v>
      </c>
      <c r="Z355" s="98" t="s">
        <v>1795</v>
      </c>
      <c r="AA355" s="99">
        <v>1.0</v>
      </c>
      <c r="AB355" s="98" t="s">
        <v>748</v>
      </c>
      <c r="AC355" s="99">
        <v>1.0</v>
      </c>
      <c r="AD355" s="93"/>
      <c r="AE355" s="93"/>
      <c r="AF355" s="93"/>
      <c r="AG355" s="99">
        <v>1.0</v>
      </c>
      <c r="AH355" s="96" t="s">
        <v>1796</v>
      </c>
      <c r="AI355" s="99">
        <v>1.0</v>
      </c>
      <c r="AJ355" s="93"/>
      <c r="AK355" s="93"/>
      <c r="AL355" s="93"/>
      <c r="AM355" s="93"/>
      <c r="AN355" s="93"/>
      <c r="AO355" s="93"/>
      <c r="AP355" s="93"/>
      <c r="AQ355" s="93"/>
      <c r="AR355" s="93"/>
      <c r="AS355" s="93"/>
      <c r="AT355" s="93"/>
      <c r="AU355" s="93"/>
      <c r="AV355" s="93"/>
      <c r="AW355" s="93"/>
      <c r="AX355" s="93"/>
      <c r="AY355" s="93"/>
      <c r="AZ355" s="93"/>
      <c r="BA355" s="93"/>
      <c r="BB355" s="93"/>
      <c r="BC355" s="93"/>
      <c r="BD355" s="93"/>
      <c r="BE355" s="93"/>
      <c r="BF355" s="93"/>
      <c r="BG355" s="99">
        <v>1.0</v>
      </c>
      <c r="BH355" s="93"/>
      <c r="BI355" s="93"/>
      <c r="BJ355" s="93"/>
      <c r="BK355" s="99">
        <v>1.0</v>
      </c>
      <c r="BL355" s="93"/>
      <c r="BM355" s="93"/>
      <c r="BN355" s="93"/>
      <c r="BO355" s="93"/>
      <c r="BP355" s="93"/>
      <c r="BQ355" s="93"/>
      <c r="BR355" s="93"/>
      <c r="BS355" s="93"/>
      <c r="BT355" s="93"/>
      <c r="BU355" s="93"/>
      <c r="BV355" s="93"/>
      <c r="BW355" s="93"/>
      <c r="BX355" s="93"/>
      <c r="BY355" s="93"/>
      <c r="BZ355" s="93"/>
    </row>
    <row r="356">
      <c r="A356" t="s">
        <v>116</v>
      </c>
      <c r="B356" t="s">
        <v>1797</v>
      </c>
      <c r="C356" s="89" t="s">
        <v>1798</v>
      </c>
      <c r="D356" s="90" t="s">
        <v>661</v>
      </c>
      <c r="E356" s="91">
        <v>2018.0</v>
      </c>
      <c r="F356" s="92">
        <v>1.0</v>
      </c>
      <c r="G356" s="93"/>
      <c r="H356" s="93"/>
      <c r="I356" s="93"/>
      <c r="J356" s="93"/>
      <c r="K356" s="93"/>
      <c r="L356" s="93"/>
      <c r="M356" s="93"/>
      <c r="N356" s="93"/>
      <c r="O356" s="93"/>
      <c r="P356" s="93"/>
      <c r="Q356" s="93"/>
      <c r="R356" s="93"/>
      <c r="S356" s="93"/>
      <c r="T356" s="93"/>
      <c r="U356" s="93"/>
      <c r="V356" s="93"/>
      <c r="W356" s="93"/>
      <c r="X356" s="93"/>
      <c r="Y356" s="93"/>
      <c r="Z356" s="93"/>
      <c r="AA356" s="93"/>
      <c r="AB356" s="93"/>
      <c r="AC356" s="93"/>
      <c r="AD356" s="93"/>
      <c r="AE356" s="93"/>
      <c r="AF356" s="93"/>
      <c r="AG356" s="93"/>
      <c r="AH356" s="94"/>
      <c r="AI356" s="93"/>
      <c r="AJ356" s="93"/>
      <c r="AK356" s="93"/>
      <c r="AL356" s="93"/>
      <c r="AM356" s="93"/>
      <c r="AN356" s="93"/>
      <c r="AO356" s="93"/>
      <c r="AP356" s="93"/>
      <c r="AQ356" s="93"/>
      <c r="AR356" s="93"/>
      <c r="AS356" s="93"/>
      <c r="AT356" s="93"/>
      <c r="AU356" s="93"/>
      <c r="AV356" s="93"/>
      <c r="AW356" s="93"/>
      <c r="AX356" s="93"/>
      <c r="AY356" s="93"/>
      <c r="AZ356" s="93"/>
      <c r="BA356" s="93"/>
      <c r="BB356" s="93"/>
      <c r="BC356" s="93"/>
      <c r="BD356" s="93"/>
      <c r="BE356" s="93"/>
      <c r="BF356" s="93"/>
      <c r="BG356" s="93"/>
      <c r="BH356" s="93"/>
      <c r="BI356" s="93"/>
      <c r="BJ356" s="93"/>
      <c r="BK356" s="93"/>
      <c r="BL356" s="93"/>
      <c r="BM356" s="93"/>
      <c r="BN356" s="93"/>
      <c r="BO356" s="93"/>
      <c r="BP356" s="93"/>
      <c r="BQ356" s="93"/>
      <c r="BR356" s="93"/>
      <c r="BS356" s="93"/>
      <c r="BT356" s="93"/>
      <c r="BU356" s="93"/>
      <c r="BV356" s="93"/>
      <c r="BW356" s="93"/>
      <c r="BX356" s="93"/>
      <c r="BY356" s="93"/>
      <c r="BZ356" s="93"/>
    </row>
    <row r="357">
      <c r="B357" t="s">
        <v>1799</v>
      </c>
      <c r="C357" s="89" t="s">
        <v>1800</v>
      </c>
      <c r="D357" s="90" t="s">
        <v>1801</v>
      </c>
      <c r="E357" s="91">
        <v>2018.0</v>
      </c>
      <c r="F357" s="92">
        <v>1.0</v>
      </c>
      <c r="G357" s="93"/>
      <c r="H357" s="93"/>
      <c r="I357" s="93"/>
      <c r="J357" s="93"/>
      <c r="K357" s="93"/>
      <c r="L357" s="93"/>
      <c r="M357" s="93"/>
      <c r="N357" s="93"/>
      <c r="O357" s="93"/>
      <c r="P357" s="93"/>
      <c r="Q357" s="93"/>
      <c r="R357" s="93"/>
      <c r="S357" s="93"/>
      <c r="T357" s="93"/>
      <c r="U357" s="93"/>
      <c r="V357" s="93"/>
      <c r="W357" s="93"/>
      <c r="X357" s="93"/>
      <c r="Y357" s="93"/>
      <c r="Z357" s="93"/>
      <c r="AA357" s="93"/>
      <c r="AB357" s="93"/>
      <c r="AC357" s="93"/>
      <c r="AD357" s="93"/>
      <c r="AE357" s="93"/>
      <c r="AF357" s="93"/>
      <c r="AG357" s="93"/>
      <c r="AH357" s="94"/>
      <c r="AI357" s="93"/>
      <c r="AJ357" s="93"/>
      <c r="AK357" s="93"/>
      <c r="AL357" s="93"/>
      <c r="AM357" s="93"/>
      <c r="AN357" s="93"/>
      <c r="AO357" s="93"/>
      <c r="AP357" s="93"/>
      <c r="AQ357" s="93"/>
      <c r="AR357" s="93"/>
      <c r="AS357" s="93"/>
      <c r="AT357" s="93"/>
      <c r="AU357" s="93"/>
      <c r="AV357" s="93"/>
      <c r="AW357" s="93"/>
      <c r="AX357" s="93"/>
      <c r="AY357" s="93"/>
      <c r="AZ357" s="93"/>
      <c r="BA357" s="93"/>
      <c r="BB357" s="93"/>
      <c r="BC357" s="93"/>
      <c r="BD357" s="93"/>
      <c r="BE357" s="93"/>
      <c r="BF357" s="93"/>
      <c r="BG357" s="93"/>
      <c r="BH357" s="93"/>
      <c r="BI357" s="93"/>
      <c r="BJ357" s="93"/>
      <c r="BK357" s="93"/>
      <c r="BL357" s="93"/>
      <c r="BM357" s="93"/>
      <c r="BN357" s="93"/>
      <c r="BO357" s="93"/>
      <c r="BP357" s="93"/>
      <c r="BQ357" s="93"/>
      <c r="BR357" s="93"/>
      <c r="BS357" s="93"/>
      <c r="BT357" s="93"/>
      <c r="BU357" s="93"/>
      <c r="BV357" s="93"/>
      <c r="BW357" s="93"/>
      <c r="BX357" s="93"/>
      <c r="BY357" s="93"/>
      <c r="BZ357" s="93"/>
    </row>
    <row r="358">
      <c r="B358" t="s">
        <v>1802</v>
      </c>
      <c r="C358" s="89" t="s">
        <v>1803</v>
      </c>
      <c r="D358" s="90" t="s">
        <v>1804</v>
      </c>
      <c r="E358" s="91">
        <v>2018.0</v>
      </c>
      <c r="F358" s="92">
        <v>1.0</v>
      </c>
      <c r="G358" s="93"/>
      <c r="H358" s="93"/>
      <c r="I358" s="93"/>
      <c r="J358" s="93"/>
      <c r="K358" s="93"/>
      <c r="L358" s="93"/>
      <c r="M358" s="93"/>
      <c r="N358" s="93"/>
      <c r="O358" s="93"/>
      <c r="P358" s="93"/>
      <c r="Q358" s="93"/>
      <c r="R358" s="93"/>
      <c r="S358" s="93"/>
      <c r="T358" s="93"/>
      <c r="U358" s="93"/>
      <c r="V358" s="93"/>
      <c r="W358" s="93"/>
      <c r="X358" s="93"/>
      <c r="Y358" s="93"/>
      <c r="Z358" s="93"/>
      <c r="AA358" s="93"/>
      <c r="AB358" s="93"/>
      <c r="AC358" s="93"/>
      <c r="AD358" s="93"/>
      <c r="AE358" s="93"/>
      <c r="AF358" s="93"/>
      <c r="AG358" s="93"/>
      <c r="AH358" s="94"/>
      <c r="AI358" s="93"/>
      <c r="AJ358" s="93"/>
      <c r="AK358" s="93"/>
      <c r="AL358" s="93"/>
      <c r="AM358" s="93"/>
      <c r="AN358" s="93"/>
      <c r="AO358" s="93"/>
      <c r="AP358" s="93"/>
      <c r="AQ358" s="93"/>
      <c r="AR358" s="93"/>
      <c r="AS358" s="93"/>
      <c r="AT358" s="93"/>
      <c r="AU358" s="93"/>
      <c r="AV358" s="93"/>
      <c r="AW358" s="93"/>
      <c r="AX358" s="93"/>
      <c r="AY358" s="93"/>
      <c r="AZ358" s="93"/>
      <c r="BA358" s="93"/>
      <c r="BB358" s="93"/>
      <c r="BC358" s="93"/>
      <c r="BD358" s="93"/>
      <c r="BE358" s="93"/>
      <c r="BF358" s="93"/>
      <c r="BG358" s="93"/>
      <c r="BH358" s="93"/>
      <c r="BI358" s="93"/>
      <c r="BJ358" s="93"/>
      <c r="BK358" s="93"/>
      <c r="BL358" s="93"/>
      <c r="BM358" s="93"/>
      <c r="BN358" s="93"/>
      <c r="BO358" s="93"/>
      <c r="BP358" s="93"/>
      <c r="BQ358" s="93"/>
      <c r="BR358" s="93"/>
      <c r="BS358" s="93"/>
      <c r="BT358" s="93"/>
      <c r="BU358" s="93"/>
      <c r="BV358" s="93"/>
      <c r="BW358" s="93"/>
      <c r="BX358" s="93"/>
      <c r="BY358" s="93"/>
      <c r="BZ358" s="93"/>
    </row>
    <row r="359">
      <c r="A359" t="s">
        <v>1331</v>
      </c>
      <c r="B359" t="s">
        <v>1805</v>
      </c>
      <c r="C359" s="89" t="s">
        <v>1806</v>
      </c>
      <c r="D359" s="90" t="s">
        <v>126</v>
      </c>
      <c r="E359" s="91">
        <v>2018.0</v>
      </c>
      <c r="F359" s="93"/>
      <c r="G359" s="93"/>
      <c r="H359" s="92">
        <v>1.0</v>
      </c>
      <c r="I359" s="93"/>
      <c r="J359" s="93"/>
      <c r="K359" s="93"/>
      <c r="L359" s="93"/>
      <c r="M359" s="93"/>
      <c r="N359" s="93"/>
      <c r="O359" s="93"/>
      <c r="P359" s="93"/>
      <c r="Q359" s="93"/>
      <c r="R359" s="93"/>
      <c r="S359" s="93"/>
      <c r="T359" s="93"/>
      <c r="U359" s="93"/>
      <c r="V359" s="93"/>
      <c r="W359" s="95" t="s">
        <v>197</v>
      </c>
      <c r="X359" s="95" t="s">
        <v>1807</v>
      </c>
      <c r="Y359" s="95" t="s">
        <v>1808</v>
      </c>
      <c r="Z359" s="95" t="s">
        <v>1385</v>
      </c>
      <c r="AA359" s="93"/>
      <c r="AB359" s="92">
        <v>1.0</v>
      </c>
      <c r="AC359" s="93"/>
      <c r="AD359" s="92">
        <v>1.0</v>
      </c>
      <c r="AE359" s="93"/>
      <c r="AF359" s="93"/>
      <c r="AG359" s="93"/>
      <c r="AH359" s="96" t="s">
        <v>1809</v>
      </c>
      <c r="AI359" s="92">
        <v>1.0</v>
      </c>
      <c r="AJ359" s="93"/>
      <c r="AK359" s="93"/>
      <c r="AL359" s="93"/>
      <c r="AM359" s="93"/>
      <c r="AN359" s="93"/>
      <c r="AO359" s="93"/>
      <c r="AP359" s="93"/>
      <c r="AQ359" s="93"/>
      <c r="AR359" s="92">
        <v>1.0</v>
      </c>
      <c r="AS359" s="93"/>
      <c r="AT359" s="93"/>
      <c r="AU359" s="95"/>
      <c r="AV359" s="93"/>
      <c r="AW359" s="93"/>
      <c r="AX359" s="93"/>
      <c r="AY359" s="93"/>
      <c r="AZ359" s="93"/>
      <c r="BA359" s="93"/>
      <c r="BB359" s="93"/>
      <c r="BC359" s="93"/>
      <c r="BD359" s="93"/>
      <c r="BE359" s="93"/>
      <c r="BF359" s="93"/>
      <c r="BG359" s="93"/>
      <c r="BH359" s="93"/>
      <c r="BI359" s="93"/>
      <c r="BJ359" s="93"/>
      <c r="BK359" s="93"/>
      <c r="BL359" s="93"/>
      <c r="BM359" s="93"/>
      <c r="BN359" s="93"/>
      <c r="BO359" s="93"/>
      <c r="BP359" s="93"/>
      <c r="BQ359" s="93"/>
      <c r="BR359" s="93"/>
      <c r="BS359" s="92">
        <v>1.0</v>
      </c>
      <c r="BT359" s="93"/>
      <c r="BU359" s="93"/>
      <c r="BV359" s="93"/>
      <c r="BW359" s="92">
        <v>1.0</v>
      </c>
      <c r="BX359" s="92">
        <v>1.0</v>
      </c>
      <c r="BY359" s="92">
        <v>1.0</v>
      </c>
      <c r="BZ359" s="93"/>
    </row>
    <row r="360">
      <c r="A360" t="s">
        <v>1340</v>
      </c>
      <c r="B360" t="s">
        <v>1810</v>
      </c>
      <c r="C360" s="89" t="s">
        <v>1811</v>
      </c>
      <c r="D360" s="90" t="s">
        <v>661</v>
      </c>
      <c r="E360" s="91">
        <v>2018.0</v>
      </c>
      <c r="F360" s="92">
        <v>1.0</v>
      </c>
      <c r="G360" s="93"/>
      <c r="H360" s="93"/>
      <c r="I360" s="93"/>
      <c r="J360" s="93"/>
      <c r="K360" s="93"/>
      <c r="L360" s="93"/>
      <c r="M360" s="93"/>
      <c r="N360" s="93"/>
      <c r="O360" s="93"/>
      <c r="P360" s="93"/>
      <c r="Q360" s="93"/>
      <c r="R360" s="93"/>
      <c r="S360" s="93"/>
      <c r="T360" s="93"/>
      <c r="U360" s="93"/>
      <c r="V360" s="93"/>
      <c r="W360" s="93"/>
      <c r="X360" s="93"/>
      <c r="Y360" s="93"/>
      <c r="Z360" s="93"/>
      <c r="AA360" s="93"/>
      <c r="AB360" s="93"/>
      <c r="AC360" s="93"/>
      <c r="AD360" s="93"/>
      <c r="AE360" s="93"/>
      <c r="AF360" s="93"/>
      <c r="AG360" s="93"/>
      <c r="AH360" s="94"/>
      <c r="AI360" s="93"/>
      <c r="AJ360" s="93"/>
      <c r="AK360" s="93"/>
      <c r="AL360" s="93"/>
      <c r="AM360" s="93"/>
      <c r="AN360" s="93"/>
      <c r="AO360" s="93"/>
      <c r="AP360" s="93"/>
      <c r="AQ360" s="93"/>
      <c r="AR360" s="93"/>
      <c r="AS360" s="93"/>
      <c r="AT360" s="93"/>
      <c r="AU360" s="93"/>
      <c r="AV360" s="93"/>
      <c r="AW360" s="93"/>
      <c r="AX360" s="93"/>
      <c r="AY360" s="93"/>
      <c r="AZ360" s="93"/>
      <c r="BA360" s="93"/>
      <c r="BB360" s="93"/>
      <c r="BC360" s="93"/>
      <c r="BD360" s="93"/>
      <c r="BE360" s="93"/>
      <c r="BF360" s="93"/>
      <c r="BG360" s="93"/>
      <c r="BH360" s="93"/>
      <c r="BI360" s="93"/>
      <c r="BJ360" s="93"/>
      <c r="BK360" s="93"/>
      <c r="BL360" s="93"/>
      <c r="BM360" s="93"/>
      <c r="BN360" s="93"/>
      <c r="BO360" s="93"/>
      <c r="BP360" s="93"/>
      <c r="BQ360" s="93"/>
      <c r="BR360" s="93"/>
      <c r="BS360" s="93"/>
      <c r="BT360" s="93"/>
      <c r="BU360" s="93"/>
      <c r="BV360" s="93"/>
      <c r="BW360" s="93"/>
      <c r="BX360" s="93"/>
      <c r="BY360" s="93"/>
      <c r="BZ360" s="93"/>
    </row>
    <row r="361">
      <c r="A361" t="s">
        <v>1354</v>
      </c>
      <c r="B361" t="s">
        <v>1812</v>
      </c>
      <c r="C361" s="89" t="s">
        <v>1813</v>
      </c>
      <c r="D361" s="90" t="s">
        <v>1814</v>
      </c>
      <c r="E361" s="91">
        <v>2018.0</v>
      </c>
      <c r="F361" s="93"/>
      <c r="G361" s="102" t="s">
        <v>748</v>
      </c>
      <c r="H361" s="93"/>
      <c r="I361" s="103">
        <v>1.0</v>
      </c>
      <c r="J361" s="93"/>
      <c r="K361" s="93"/>
      <c r="L361" s="93"/>
      <c r="M361" s="93"/>
      <c r="N361" s="93"/>
      <c r="O361" s="93"/>
      <c r="P361" s="93"/>
      <c r="Q361" s="93"/>
      <c r="R361" s="93"/>
      <c r="S361" s="93"/>
      <c r="T361" s="93"/>
      <c r="U361" s="93"/>
      <c r="V361" s="93"/>
      <c r="W361" s="90" t="s">
        <v>1815</v>
      </c>
      <c r="X361" s="90" t="s">
        <v>1816</v>
      </c>
      <c r="Y361" s="90" t="s">
        <v>1817</v>
      </c>
      <c r="Z361" s="90" t="s">
        <v>1818</v>
      </c>
      <c r="AA361" s="103">
        <v>1.0</v>
      </c>
      <c r="AB361" s="93"/>
      <c r="AC361" s="103">
        <v>1.0</v>
      </c>
      <c r="AD361" s="93"/>
      <c r="AE361" s="93"/>
      <c r="AF361" s="93"/>
      <c r="AG361" s="93"/>
      <c r="AH361" s="90" t="s">
        <v>1819</v>
      </c>
      <c r="AI361" s="103">
        <v>1.0</v>
      </c>
      <c r="AJ361" s="93"/>
      <c r="AK361" s="93"/>
      <c r="AL361" s="93"/>
      <c r="AM361" s="93"/>
      <c r="AN361" s="93"/>
      <c r="AO361" s="93"/>
      <c r="AP361" s="93"/>
      <c r="AQ361" s="93"/>
      <c r="AR361" s="103">
        <v>1.0</v>
      </c>
      <c r="AS361" s="93"/>
      <c r="AT361" s="93"/>
      <c r="AU361" s="93"/>
      <c r="AV361" s="93"/>
      <c r="AW361" s="93"/>
      <c r="AX361" s="93"/>
      <c r="AY361" s="93"/>
      <c r="AZ361" s="93"/>
      <c r="BA361" s="93"/>
      <c r="BB361" s="93"/>
      <c r="BC361" s="93"/>
      <c r="BD361" s="93"/>
      <c r="BE361" s="93"/>
      <c r="BF361" s="93"/>
      <c r="BG361" s="93"/>
      <c r="BH361" s="93"/>
      <c r="BI361" s="93"/>
      <c r="BJ361" s="103" t="s">
        <v>748</v>
      </c>
      <c r="BK361" s="93"/>
      <c r="BL361" s="93"/>
      <c r="BM361" s="93"/>
      <c r="BN361" s="93"/>
      <c r="BO361" s="93"/>
      <c r="BP361" s="93"/>
      <c r="BQ361" s="93"/>
      <c r="BR361" s="93"/>
      <c r="BS361" s="93"/>
      <c r="BT361" s="93"/>
      <c r="BU361" s="93"/>
      <c r="BV361" s="103">
        <v>1.0</v>
      </c>
      <c r="BW361" s="103">
        <v>1.0</v>
      </c>
      <c r="BX361" s="93"/>
      <c r="BY361" s="93"/>
      <c r="BZ361" s="93"/>
    </row>
    <row r="362">
      <c r="A362" t="s">
        <v>116</v>
      </c>
      <c r="B362" t="s">
        <v>1820</v>
      </c>
      <c r="C362" s="89" t="s">
        <v>1821</v>
      </c>
      <c r="D362" s="90" t="s">
        <v>1822</v>
      </c>
      <c r="E362" s="91">
        <v>2018.0</v>
      </c>
      <c r="F362" s="92">
        <v>1.0</v>
      </c>
      <c r="G362" s="93"/>
      <c r="H362" s="93"/>
      <c r="I362" s="93"/>
      <c r="J362" s="93"/>
      <c r="K362" s="93"/>
      <c r="L362" s="93"/>
      <c r="M362" s="93"/>
      <c r="N362" s="93"/>
      <c r="O362" s="93"/>
      <c r="P362" s="93"/>
      <c r="Q362" s="93"/>
      <c r="R362" s="93"/>
      <c r="S362" s="93"/>
      <c r="T362" s="93"/>
      <c r="U362" s="93"/>
      <c r="V362" s="93"/>
      <c r="W362" s="93"/>
      <c r="X362" s="93"/>
      <c r="Y362" s="93"/>
      <c r="Z362" s="93"/>
      <c r="AA362" s="93"/>
      <c r="AB362" s="93"/>
      <c r="AC362" s="93"/>
      <c r="AD362" s="93"/>
      <c r="AE362" s="93"/>
      <c r="AF362" s="93"/>
      <c r="AG362" s="93"/>
      <c r="AH362" s="94"/>
      <c r="AI362" s="93"/>
      <c r="AJ362" s="93"/>
      <c r="AK362" s="93"/>
      <c r="AL362" s="93"/>
      <c r="AM362" s="93"/>
      <c r="AN362" s="93"/>
      <c r="AO362" s="93"/>
      <c r="AP362" s="93"/>
      <c r="AQ362" s="93"/>
      <c r="AR362" s="93"/>
      <c r="AS362" s="93"/>
      <c r="AT362" s="93"/>
      <c r="AU362" s="93"/>
      <c r="AV362" s="93"/>
      <c r="AW362" s="93"/>
      <c r="AX362" s="93"/>
      <c r="AY362" s="93"/>
      <c r="AZ362" s="93"/>
      <c r="BA362" s="93"/>
      <c r="BB362" s="93"/>
      <c r="BC362" s="93"/>
      <c r="BD362" s="93"/>
      <c r="BE362" s="93"/>
      <c r="BF362" s="93"/>
      <c r="BG362" s="93"/>
      <c r="BH362" s="93"/>
      <c r="BI362" s="93"/>
      <c r="BJ362" s="93"/>
      <c r="BK362" s="93"/>
      <c r="BL362" s="93"/>
      <c r="BM362" s="93"/>
      <c r="BN362" s="93"/>
      <c r="BO362" s="93"/>
      <c r="BP362" s="93"/>
      <c r="BQ362" s="93"/>
      <c r="BR362" s="93"/>
      <c r="BS362" s="93"/>
      <c r="BT362" s="93"/>
      <c r="BU362" s="93"/>
      <c r="BV362" s="93"/>
      <c r="BW362" s="93"/>
      <c r="BX362" s="93"/>
      <c r="BY362" s="93"/>
      <c r="BZ362" s="93"/>
    </row>
    <row r="363">
      <c r="B363" t="s">
        <v>1823</v>
      </c>
      <c r="C363" s="89" t="s">
        <v>1824</v>
      </c>
      <c r="D363" s="90" t="s">
        <v>1825</v>
      </c>
      <c r="E363" s="91">
        <v>2018.0</v>
      </c>
      <c r="F363" s="92">
        <v>1.0</v>
      </c>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94"/>
      <c r="AI363" s="93"/>
      <c r="AJ363" s="93"/>
      <c r="AK363" s="93"/>
      <c r="AL363" s="93"/>
      <c r="AM363" s="93"/>
      <c r="AN363" s="93"/>
      <c r="AO363" s="93"/>
      <c r="AP363" s="93"/>
      <c r="AQ363" s="93"/>
      <c r="AR363" s="93"/>
      <c r="AS363" s="93"/>
      <c r="AT363" s="93"/>
      <c r="AU363" s="93"/>
      <c r="AV363" s="93"/>
      <c r="AW363" s="93"/>
      <c r="AX363" s="93"/>
      <c r="AY363" s="93"/>
      <c r="AZ363" s="93"/>
      <c r="BA363" s="93"/>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3"/>
      <c r="BX363" s="93"/>
      <c r="BY363" s="93"/>
      <c r="BZ363" s="93"/>
    </row>
    <row r="364">
      <c r="B364" t="s">
        <v>1826</v>
      </c>
      <c r="C364" s="89" t="s">
        <v>1827</v>
      </c>
      <c r="D364" s="90" t="s">
        <v>1828</v>
      </c>
      <c r="E364" s="91">
        <v>2018.0</v>
      </c>
      <c r="F364" s="92">
        <v>1.0</v>
      </c>
      <c r="G364" s="93"/>
      <c r="H364" s="93"/>
      <c r="I364" s="93"/>
      <c r="J364" s="93"/>
      <c r="K364" s="93"/>
      <c r="L364" s="93"/>
      <c r="M364" s="93"/>
      <c r="N364" s="93"/>
      <c r="O364" s="93"/>
      <c r="P364" s="93"/>
      <c r="Q364" s="93"/>
      <c r="R364" s="93"/>
      <c r="S364" s="93"/>
      <c r="T364" s="93"/>
      <c r="U364" s="93"/>
      <c r="V364" s="93"/>
      <c r="W364" s="93"/>
      <c r="X364" s="93"/>
      <c r="Y364" s="93"/>
      <c r="Z364" s="93"/>
      <c r="AA364" s="93"/>
      <c r="AB364" s="93"/>
      <c r="AC364" s="93"/>
      <c r="AD364" s="93"/>
      <c r="AE364" s="93"/>
      <c r="AF364" s="93"/>
      <c r="AG364" s="93"/>
      <c r="AH364" s="94"/>
      <c r="AI364" s="93"/>
      <c r="AJ364" s="93"/>
      <c r="AK364" s="93"/>
      <c r="AL364" s="93"/>
      <c r="AM364" s="93"/>
      <c r="AN364" s="93"/>
      <c r="AO364" s="93"/>
      <c r="AP364" s="93"/>
      <c r="AQ364" s="93"/>
      <c r="AR364" s="93"/>
      <c r="AS364" s="93"/>
      <c r="AT364" s="93"/>
      <c r="AU364" s="93"/>
      <c r="AV364" s="93"/>
      <c r="AW364" s="93"/>
      <c r="AX364" s="93"/>
      <c r="AY364" s="93"/>
      <c r="AZ364" s="93"/>
      <c r="BA364" s="93"/>
      <c r="BB364" s="93"/>
      <c r="BC364" s="93"/>
      <c r="BD364" s="93"/>
      <c r="BE364" s="93"/>
      <c r="BF364" s="93"/>
      <c r="BG364" s="93"/>
      <c r="BH364" s="93"/>
      <c r="BI364" s="93"/>
      <c r="BJ364" s="93"/>
      <c r="BK364" s="93"/>
      <c r="BL364" s="93"/>
      <c r="BM364" s="93"/>
      <c r="BN364" s="93"/>
      <c r="BO364" s="93"/>
      <c r="BP364" s="93"/>
      <c r="BQ364" s="93"/>
      <c r="BR364" s="93"/>
      <c r="BS364" s="93"/>
      <c r="BT364" s="93"/>
      <c r="BU364" s="93"/>
      <c r="BV364" s="93"/>
      <c r="BW364" s="93"/>
      <c r="BX364" s="93"/>
      <c r="BY364" s="93"/>
      <c r="BZ364" s="93"/>
    </row>
    <row r="365">
      <c r="B365" t="s">
        <v>1829</v>
      </c>
      <c r="C365" s="89" t="s">
        <v>1830</v>
      </c>
      <c r="D365" s="90" t="s">
        <v>1448</v>
      </c>
      <c r="E365" s="91">
        <v>2018.0</v>
      </c>
      <c r="F365" s="92">
        <v>1.0</v>
      </c>
      <c r="G365" s="93"/>
      <c r="H365" s="93"/>
      <c r="I365" s="93"/>
      <c r="J365" s="93"/>
      <c r="K365" s="93"/>
      <c r="L365" s="93"/>
      <c r="M365" s="93"/>
      <c r="N365" s="93"/>
      <c r="O365" s="93"/>
      <c r="P365" s="93"/>
      <c r="Q365" s="93"/>
      <c r="R365" s="93"/>
      <c r="S365" s="93"/>
      <c r="T365" s="93"/>
      <c r="U365" s="93"/>
      <c r="V365" s="93"/>
      <c r="W365" s="93"/>
      <c r="X365" s="93"/>
      <c r="Y365" s="93"/>
      <c r="Z365" s="93"/>
      <c r="AA365" s="93"/>
      <c r="AB365" s="93"/>
      <c r="AC365" s="93"/>
      <c r="AD365" s="93"/>
      <c r="AE365" s="93"/>
      <c r="AF365" s="93"/>
      <c r="AG365" s="93"/>
      <c r="AH365" s="94"/>
      <c r="AI365" s="93"/>
      <c r="AJ365" s="93"/>
      <c r="AK365" s="93"/>
      <c r="AL365" s="93"/>
      <c r="AM365" s="93"/>
      <c r="AN365" s="93"/>
      <c r="AO365" s="93"/>
      <c r="AP365" s="93"/>
      <c r="AQ365" s="93"/>
      <c r="AR365" s="93"/>
      <c r="AS365" s="93"/>
      <c r="AT365" s="93"/>
      <c r="AU365" s="93"/>
      <c r="AV365" s="93"/>
      <c r="AW365" s="93"/>
      <c r="AX365" s="93"/>
      <c r="AY365" s="93"/>
      <c r="AZ365" s="93"/>
      <c r="BA365" s="93"/>
      <c r="BB365" s="93"/>
      <c r="BC365" s="93"/>
      <c r="BD365" s="93"/>
      <c r="BE365" s="93"/>
      <c r="BF365" s="93"/>
      <c r="BG365" s="93"/>
      <c r="BH365" s="93"/>
      <c r="BI365" s="93"/>
      <c r="BJ365" s="93"/>
      <c r="BK365" s="93"/>
      <c r="BL365" s="93"/>
      <c r="BM365" s="93"/>
      <c r="BN365" s="93"/>
      <c r="BO365" s="93"/>
      <c r="BP365" s="93"/>
      <c r="BQ365" s="93"/>
      <c r="BR365" s="93"/>
      <c r="BS365" s="93"/>
      <c r="BT365" s="93"/>
      <c r="BU365" s="93"/>
      <c r="BV365" s="93"/>
      <c r="BW365" s="93"/>
      <c r="BX365" s="93"/>
      <c r="BY365" s="93"/>
      <c r="BZ365" s="93"/>
    </row>
    <row r="366">
      <c r="A366" t="s">
        <v>1331</v>
      </c>
      <c r="B366" t="s">
        <v>1831</v>
      </c>
      <c r="C366" s="89" t="s">
        <v>1832</v>
      </c>
      <c r="D366" s="90" t="s">
        <v>1833</v>
      </c>
      <c r="E366" s="91">
        <v>2017.0</v>
      </c>
      <c r="F366" s="93"/>
      <c r="G366" s="93"/>
      <c r="H366" s="93"/>
      <c r="I366" s="93"/>
      <c r="J366" s="93"/>
      <c r="K366" s="93"/>
      <c r="L366" s="93"/>
      <c r="M366" s="92">
        <v>1.0</v>
      </c>
      <c r="N366" s="93"/>
      <c r="O366" s="93"/>
      <c r="P366" s="92">
        <v>1.0</v>
      </c>
      <c r="Q366" s="93"/>
      <c r="R366" s="93"/>
      <c r="S366" s="93"/>
      <c r="T366" s="93"/>
      <c r="U366" s="93"/>
      <c r="V366" s="93"/>
      <c r="W366" s="95" t="s">
        <v>1834</v>
      </c>
      <c r="X366" s="95" t="s">
        <v>1835</v>
      </c>
      <c r="Y366" s="95" t="s">
        <v>1836</v>
      </c>
      <c r="Z366" s="95" t="s">
        <v>1385</v>
      </c>
      <c r="AA366" s="95"/>
      <c r="AB366" s="92">
        <v>1.0</v>
      </c>
      <c r="AC366" s="93"/>
      <c r="AD366" s="92">
        <v>1.0</v>
      </c>
      <c r="AE366" s="93"/>
      <c r="AF366" s="93"/>
      <c r="AG366" s="93"/>
      <c r="AH366" s="96" t="s">
        <v>1837</v>
      </c>
      <c r="AI366" s="92">
        <v>1.0</v>
      </c>
      <c r="AJ366" s="92">
        <v>1.0</v>
      </c>
      <c r="AK366" s="93"/>
      <c r="AL366" s="93"/>
      <c r="AM366" s="93"/>
      <c r="AN366" s="92">
        <v>1.0</v>
      </c>
      <c r="AO366" s="93"/>
      <c r="AP366" s="93"/>
      <c r="AQ366" s="93"/>
      <c r="AR366" s="93"/>
      <c r="AS366" s="93"/>
      <c r="AT366" s="93"/>
      <c r="AU366" s="93"/>
      <c r="AV366" s="93"/>
      <c r="AW366" s="93"/>
      <c r="AX366" s="93"/>
      <c r="AY366" s="93"/>
      <c r="AZ366" s="93"/>
      <c r="BA366" s="93"/>
      <c r="BB366" s="93"/>
      <c r="BC366" s="93"/>
      <c r="BD366" s="93"/>
      <c r="BE366" s="93"/>
      <c r="BF366" s="93"/>
      <c r="BG366" s="93"/>
      <c r="BH366" s="93"/>
      <c r="BI366" s="93"/>
      <c r="BJ366" s="93"/>
      <c r="BK366" s="93"/>
      <c r="BL366" s="93"/>
      <c r="BM366" s="93"/>
      <c r="BN366" s="93"/>
      <c r="BO366" s="93"/>
      <c r="BP366" s="93"/>
      <c r="BQ366" s="93"/>
      <c r="BR366" s="93"/>
      <c r="BS366" s="95"/>
      <c r="BT366" s="93"/>
      <c r="BU366" s="93"/>
      <c r="BV366" s="93"/>
      <c r="BW366" s="92">
        <v>1.0</v>
      </c>
      <c r="BX366" s="93"/>
      <c r="BY366" s="92">
        <v>1.0</v>
      </c>
      <c r="BZ366" s="93"/>
    </row>
    <row r="367">
      <c r="B367" t="s">
        <v>1838</v>
      </c>
      <c r="C367" s="89" t="s">
        <v>1839</v>
      </c>
      <c r="D367" s="90" t="s">
        <v>1840</v>
      </c>
      <c r="E367" s="91">
        <v>2017.0</v>
      </c>
      <c r="F367" s="92">
        <v>1.0</v>
      </c>
      <c r="G367" s="93"/>
      <c r="H367" s="93"/>
      <c r="I367" s="93"/>
      <c r="J367" s="93"/>
      <c r="K367" s="93"/>
      <c r="L367" s="93"/>
      <c r="M367" s="93"/>
      <c r="N367" s="93"/>
      <c r="O367" s="93"/>
      <c r="P367" s="93"/>
      <c r="Q367" s="93"/>
      <c r="R367" s="93"/>
      <c r="S367" s="93"/>
      <c r="T367" s="93"/>
      <c r="U367" s="93"/>
      <c r="V367" s="93"/>
      <c r="W367" s="93"/>
      <c r="X367" s="93"/>
      <c r="Y367" s="93"/>
      <c r="Z367" s="93"/>
      <c r="AA367" s="93"/>
      <c r="AB367" s="93"/>
      <c r="AC367" s="93"/>
      <c r="AD367" s="93"/>
      <c r="AE367" s="93"/>
      <c r="AF367" s="93"/>
      <c r="AG367" s="93"/>
      <c r="AH367" s="94"/>
      <c r="AI367" s="93"/>
      <c r="AJ367" s="93"/>
      <c r="AK367" s="93"/>
      <c r="AL367" s="93"/>
      <c r="AM367" s="93"/>
      <c r="AN367" s="93"/>
      <c r="AO367" s="93"/>
      <c r="AP367" s="93"/>
      <c r="AQ367" s="93"/>
      <c r="AR367" s="93"/>
      <c r="AS367" s="93"/>
      <c r="AT367" s="93"/>
      <c r="AU367" s="93"/>
      <c r="AV367" s="93"/>
      <c r="AW367" s="93"/>
      <c r="AX367" s="93"/>
      <c r="AY367" s="93"/>
      <c r="AZ367" s="93"/>
      <c r="BA367" s="93"/>
      <c r="BB367" s="93"/>
      <c r="BC367" s="93"/>
      <c r="BD367" s="93"/>
      <c r="BE367" s="93"/>
      <c r="BF367" s="93"/>
      <c r="BG367" s="93"/>
      <c r="BH367" s="93"/>
      <c r="BI367" s="93"/>
      <c r="BJ367" s="93"/>
      <c r="BK367" s="93"/>
      <c r="BL367" s="93"/>
      <c r="BM367" s="93"/>
      <c r="BN367" s="93"/>
      <c r="BO367" s="93"/>
      <c r="BP367" s="93"/>
      <c r="BQ367" s="93"/>
      <c r="BR367" s="93"/>
      <c r="BS367" s="93"/>
      <c r="BT367" s="93"/>
      <c r="BU367" s="93"/>
      <c r="BV367" s="93"/>
      <c r="BW367" s="93"/>
      <c r="BX367" s="93"/>
      <c r="BY367" s="93"/>
      <c r="BZ367" s="93"/>
    </row>
    <row r="368">
      <c r="A368" t="s">
        <v>1340</v>
      </c>
      <c r="B368" t="s">
        <v>1841</v>
      </c>
      <c r="C368" s="89" t="s">
        <v>1842</v>
      </c>
      <c r="D368" s="90" t="s">
        <v>1843</v>
      </c>
      <c r="E368" s="91">
        <v>2017.0</v>
      </c>
      <c r="F368" s="93"/>
      <c r="G368" s="93"/>
      <c r="H368" s="93"/>
      <c r="I368" s="92">
        <v>1.0</v>
      </c>
      <c r="J368" s="93"/>
      <c r="K368" s="93"/>
      <c r="L368" s="93"/>
      <c r="M368" s="93"/>
      <c r="N368" s="93"/>
      <c r="O368" s="93"/>
      <c r="P368" s="93"/>
      <c r="Q368" s="93"/>
      <c r="R368" s="93"/>
      <c r="S368" s="93"/>
      <c r="T368" s="93"/>
      <c r="U368" s="93"/>
      <c r="V368" s="93"/>
      <c r="W368" s="98" t="s">
        <v>1844</v>
      </c>
      <c r="X368" s="98" t="s">
        <v>1845</v>
      </c>
      <c r="Y368" s="98" t="s">
        <v>1846</v>
      </c>
      <c r="Z368" s="98" t="s">
        <v>137</v>
      </c>
      <c r="AA368" s="93"/>
      <c r="AB368" s="92">
        <v>1.0</v>
      </c>
      <c r="AC368" s="93"/>
      <c r="AD368" s="92">
        <v>1.0</v>
      </c>
      <c r="AE368" s="93"/>
      <c r="AF368" s="93"/>
      <c r="AG368" s="93"/>
      <c r="AH368" s="96" t="s">
        <v>1847</v>
      </c>
      <c r="AI368" s="92">
        <v>1.0</v>
      </c>
      <c r="AJ368" s="93"/>
      <c r="AK368" s="93"/>
      <c r="AL368" s="93"/>
      <c r="AM368" s="93"/>
      <c r="AN368" s="93"/>
      <c r="AO368" s="93"/>
      <c r="AP368" s="93"/>
      <c r="AQ368" s="93"/>
      <c r="AR368" s="93"/>
      <c r="AS368" s="93"/>
      <c r="AT368" s="93"/>
      <c r="AU368" s="93"/>
      <c r="AV368" s="93"/>
      <c r="AW368" s="93"/>
      <c r="AX368" s="93"/>
      <c r="AY368" s="93"/>
      <c r="AZ368" s="93"/>
      <c r="BA368" s="93"/>
      <c r="BB368" s="93"/>
      <c r="BC368" s="93"/>
      <c r="BD368" s="93"/>
      <c r="BE368" s="93"/>
      <c r="BF368" s="93"/>
      <c r="BG368" s="93"/>
      <c r="BH368" s="93"/>
      <c r="BI368" s="92">
        <v>1.0</v>
      </c>
      <c r="BJ368" s="93"/>
      <c r="BK368" s="93"/>
      <c r="BL368" s="93"/>
      <c r="BM368" s="93"/>
      <c r="BN368" s="93"/>
      <c r="BO368" s="93"/>
      <c r="BP368" s="93"/>
      <c r="BQ368" s="93"/>
      <c r="BR368" s="93"/>
      <c r="BS368" s="93"/>
      <c r="BT368" s="93"/>
      <c r="BU368" s="93"/>
      <c r="BV368" s="92">
        <v>1.0</v>
      </c>
      <c r="BW368" s="92">
        <v>1.0</v>
      </c>
      <c r="BX368" s="93"/>
      <c r="BY368" s="93"/>
      <c r="BZ368" s="93"/>
    </row>
    <row r="369">
      <c r="B369" t="s">
        <v>1848</v>
      </c>
      <c r="C369" s="89" t="s">
        <v>1849</v>
      </c>
      <c r="D369" s="90" t="s">
        <v>1850</v>
      </c>
      <c r="E369" s="91">
        <v>2017.0</v>
      </c>
      <c r="F369" s="92">
        <v>1.0</v>
      </c>
      <c r="G369" s="93"/>
      <c r="H369" s="93"/>
      <c r="I369" s="93"/>
      <c r="J369" s="93"/>
      <c r="K369" s="93"/>
      <c r="L369" s="93"/>
      <c r="M369" s="93"/>
      <c r="N369" s="93"/>
      <c r="O369" s="93"/>
      <c r="P369" s="93"/>
      <c r="Q369" s="93"/>
      <c r="R369" s="93"/>
      <c r="S369" s="93"/>
      <c r="T369" s="93"/>
      <c r="U369" s="93"/>
      <c r="V369" s="93"/>
      <c r="W369" s="93"/>
      <c r="X369" s="93"/>
      <c r="Y369" s="93"/>
      <c r="Z369" s="93"/>
      <c r="AA369" s="93"/>
      <c r="AB369" s="93"/>
      <c r="AC369" s="93"/>
      <c r="AD369" s="93"/>
      <c r="AE369" s="93"/>
      <c r="AF369" s="93"/>
      <c r="AG369" s="93"/>
      <c r="AH369" s="94"/>
      <c r="AI369" s="93"/>
      <c r="AJ369" s="93"/>
      <c r="AK369" s="93"/>
      <c r="AL369" s="93"/>
      <c r="AM369" s="93"/>
      <c r="AN369" s="93"/>
      <c r="AO369" s="93"/>
      <c r="AP369" s="93"/>
      <c r="AQ369" s="93"/>
      <c r="AR369" s="93"/>
      <c r="AS369" s="93"/>
      <c r="AT369" s="93"/>
      <c r="AU369" s="93"/>
      <c r="AV369" s="93"/>
      <c r="AW369" s="93"/>
      <c r="AX369" s="93"/>
      <c r="AY369" s="93"/>
      <c r="AZ369" s="93"/>
      <c r="BA369" s="93"/>
      <c r="BB369" s="93"/>
      <c r="BC369" s="93"/>
      <c r="BD369" s="93"/>
      <c r="BE369" s="93"/>
      <c r="BF369" s="93"/>
      <c r="BG369" s="93"/>
      <c r="BH369" s="93"/>
      <c r="BI369" s="93"/>
      <c r="BJ369" s="93"/>
      <c r="BK369" s="93"/>
      <c r="BL369" s="93"/>
      <c r="BM369" s="93"/>
      <c r="BN369" s="93"/>
      <c r="BO369" s="93"/>
      <c r="BP369" s="93"/>
      <c r="BQ369" s="93"/>
      <c r="BR369" s="93"/>
      <c r="BS369" s="93"/>
      <c r="BT369" s="93"/>
      <c r="BU369" s="93"/>
      <c r="BV369" s="93"/>
      <c r="BW369" s="93"/>
      <c r="BX369" s="93"/>
      <c r="BY369" s="93"/>
      <c r="BZ369" s="93"/>
    </row>
    <row r="370">
      <c r="B370" t="s">
        <v>1851</v>
      </c>
      <c r="C370" s="89" t="s">
        <v>1852</v>
      </c>
      <c r="D370" s="90" t="s">
        <v>1853</v>
      </c>
      <c r="E370" s="91">
        <v>2017.0</v>
      </c>
      <c r="F370" s="92">
        <v>1.0</v>
      </c>
      <c r="G370" s="93"/>
      <c r="H370" s="93"/>
      <c r="I370" s="93"/>
      <c r="J370" s="93"/>
      <c r="K370" s="93"/>
      <c r="L370" s="93"/>
      <c r="M370" s="93"/>
      <c r="N370" s="93"/>
      <c r="O370" s="93"/>
      <c r="P370" s="93"/>
      <c r="Q370" s="93"/>
      <c r="R370" s="93"/>
      <c r="S370" s="93"/>
      <c r="T370" s="93"/>
      <c r="U370" s="93"/>
      <c r="V370" s="93"/>
      <c r="W370" s="93"/>
      <c r="X370" s="93"/>
      <c r="Y370" s="93"/>
      <c r="Z370" s="93"/>
      <c r="AA370" s="93"/>
      <c r="AB370" s="93"/>
      <c r="AC370" s="93"/>
      <c r="AD370" s="93"/>
      <c r="AE370" s="93"/>
      <c r="AF370" s="93"/>
      <c r="AG370" s="93"/>
      <c r="AH370" s="94"/>
      <c r="AI370" s="93"/>
      <c r="AJ370" s="93"/>
      <c r="AK370" s="93"/>
      <c r="AL370" s="93"/>
      <c r="AM370" s="93"/>
      <c r="AN370" s="93"/>
      <c r="AO370" s="93"/>
      <c r="AP370" s="93"/>
      <c r="AQ370" s="93"/>
      <c r="AR370" s="93"/>
      <c r="AS370" s="93"/>
      <c r="AT370" s="93"/>
      <c r="AU370" s="93"/>
      <c r="AV370" s="93"/>
      <c r="AW370" s="93"/>
      <c r="AX370" s="93"/>
      <c r="AY370" s="93"/>
      <c r="AZ370" s="93"/>
      <c r="BA370" s="93"/>
      <c r="BB370" s="93"/>
      <c r="BC370" s="93"/>
      <c r="BD370" s="93"/>
      <c r="BE370" s="93"/>
      <c r="BF370" s="93"/>
      <c r="BG370" s="93"/>
      <c r="BH370" s="93"/>
      <c r="BI370" s="93"/>
      <c r="BJ370" s="93"/>
      <c r="BK370" s="93"/>
      <c r="BL370" s="93"/>
      <c r="BM370" s="93"/>
      <c r="BN370" s="93"/>
      <c r="BO370" s="93"/>
      <c r="BP370" s="93"/>
      <c r="BQ370" s="93"/>
      <c r="BR370" s="93"/>
      <c r="BS370" s="93"/>
      <c r="BT370" s="93"/>
      <c r="BU370" s="93"/>
      <c r="BV370" s="93"/>
      <c r="BW370" s="93"/>
      <c r="BX370" s="93"/>
      <c r="BY370" s="93"/>
      <c r="BZ370" s="93"/>
    </row>
    <row r="371">
      <c r="B371" t="s">
        <v>1854</v>
      </c>
      <c r="C371" s="89" t="s">
        <v>1855</v>
      </c>
      <c r="D371" s="90" t="s">
        <v>1856</v>
      </c>
      <c r="E371" s="91">
        <v>2017.0</v>
      </c>
      <c r="F371" s="92">
        <v>1.0</v>
      </c>
      <c r="G371" s="93"/>
      <c r="H371" s="93"/>
      <c r="I371" s="93"/>
      <c r="J371" s="93"/>
      <c r="K371" s="93"/>
      <c r="L371" s="93"/>
      <c r="M371" s="93"/>
      <c r="N371" s="93"/>
      <c r="O371" s="93"/>
      <c r="P371" s="93"/>
      <c r="Q371" s="93"/>
      <c r="R371" s="93"/>
      <c r="S371" s="93"/>
      <c r="T371" s="93"/>
      <c r="U371" s="93"/>
      <c r="V371" s="93"/>
      <c r="W371" s="93"/>
      <c r="X371" s="93"/>
      <c r="Y371" s="93"/>
      <c r="Z371" s="93"/>
      <c r="AA371" s="93"/>
      <c r="AB371" s="93"/>
      <c r="AC371" s="93"/>
      <c r="AD371" s="93"/>
      <c r="AE371" s="93"/>
      <c r="AF371" s="93"/>
      <c r="AG371" s="93"/>
      <c r="AH371" s="94"/>
      <c r="AI371" s="93"/>
      <c r="AJ371" s="93"/>
      <c r="AK371" s="93"/>
      <c r="AL371" s="93"/>
      <c r="AM371" s="93"/>
      <c r="AN371" s="93"/>
      <c r="AO371" s="93"/>
      <c r="AP371" s="93"/>
      <c r="AQ371" s="93"/>
      <c r="AR371" s="93"/>
      <c r="AS371" s="93"/>
      <c r="AT371" s="93"/>
      <c r="AU371" s="93"/>
      <c r="AV371" s="93"/>
      <c r="AW371" s="93"/>
      <c r="AX371" s="93"/>
      <c r="AY371" s="93"/>
      <c r="AZ371" s="93"/>
      <c r="BA371" s="93"/>
      <c r="BB371" s="93"/>
      <c r="BC371" s="93"/>
      <c r="BD371" s="93"/>
      <c r="BE371" s="93"/>
      <c r="BF371" s="93"/>
      <c r="BG371" s="93"/>
      <c r="BH371" s="93"/>
      <c r="BI371" s="93"/>
      <c r="BJ371" s="93"/>
      <c r="BK371" s="93"/>
      <c r="BL371" s="93"/>
      <c r="BM371" s="93"/>
      <c r="BN371" s="93"/>
      <c r="BO371" s="93"/>
      <c r="BP371" s="93"/>
      <c r="BQ371" s="93"/>
      <c r="BR371" s="93"/>
      <c r="BS371" s="93"/>
      <c r="BT371" s="93"/>
      <c r="BU371" s="93"/>
      <c r="BV371" s="93"/>
      <c r="BW371" s="93"/>
      <c r="BX371" s="93"/>
      <c r="BY371" s="93"/>
      <c r="BZ371" s="93"/>
    </row>
    <row r="372">
      <c r="B372" t="s">
        <v>1857</v>
      </c>
      <c r="C372" s="89" t="s">
        <v>1858</v>
      </c>
      <c r="D372" s="90" t="s">
        <v>1825</v>
      </c>
      <c r="E372" s="91">
        <v>2017.0</v>
      </c>
      <c r="F372" s="92">
        <v>1.0</v>
      </c>
      <c r="G372" s="93"/>
      <c r="H372" s="93"/>
      <c r="I372" s="93"/>
      <c r="J372" s="93"/>
      <c r="K372" s="93"/>
      <c r="L372" s="93"/>
      <c r="M372" s="93"/>
      <c r="N372" s="93"/>
      <c r="O372" s="93"/>
      <c r="P372" s="93"/>
      <c r="Q372" s="93"/>
      <c r="R372" s="93"/>
      <c r="S372" s="93"/>
      <c r="T372" s="93"/>
      <c r="U372" s="93"/>
      <c r="V372" s="93"/>
      <c r="W372" s="93"/>
      <c r="X372" s="93"/>
      <c r="Y372" s="93"/>
      <c r="Z372" s="93"/>
      <c r="AA372" s="93"/>
      <c r="AB372" s="93"/>
      <c r="AC372" s="93"/>
      <c r="AD372" s="93"/>
      <c r="AE372" s="93"/>
      <c r="AF372" s="93"/>
      <c r="AG372" s="93"/>
      <c r="AH372" s="94"/>
      <c r="AI372" s="93"/>
      <c r="AJ372" s="93"/>
      <c r="AK372" s="93"/>
      <c r="AL372" s="93"/>
      <c r="AM372" s="93"/>
      <c r="AN372" s="93"/>
      <c r="AO372" s="93"/>
      <c r="AP372" s="93"/>
      <c r="AQ372" s="93"/>
      <c r="AR372" s="93"/>
      <c r="AS372" s="93"/>
      <c r="AT372" s="93"/>
      <c r="AU372" s="93"/>
      <c r="AV372" s="93"/>
      <c r="AW372" s="93"/>
      <c r="AX372" s="93"/>
      <c r="AY372" s="93"/>
      <c r="AZ372" s="93"/>
      <c r="BA372" s="93"/>
      <c r="BB372" s="93"/>
      <c r="BC372" s="93"/>
      <c r="BD372" s="93"/>
      <c r="BE372" s="93"/>
      <c r="BF372" s="93"/>
      <c r="BG372" s="93"/>
      <c r="BH372" s="93"/>
      <c r="BI372" s="93"/>
      <c r="BJ372" s="93"/>
      <c r="BK372" s="93"/>
      <c r="BL372" s="93"/>
      <c r="BM372" s="93"/>
      <c r="BN372" s="93"/>
      <c r="BO372" s="93"/>
      <c r="BP372" s="93"/>
      <c r="BQ372" s="93"/>
      <c r="BR372" s="93"/>
      <c r="BS372" s="93"/>
      <c r="BT372" s="93"/>
      <c r="BU372" s="93"/>
      <c r="BV372" s="93"/>
      <c r="BW372" s="93"/>
      <c r="BX372" s="93"/>
      <c r="BY372" s="93"/>
      <c r="BZ372" s="93"/>
    </row>
    <row r="373">
      <c r="B373" t="s">
        <v>1859</v>
      </c>
      <c r="C373" s="89" t="s">
        <v>1860</v>
      </c>
      <c r="D373" s="90" t="s">
        <v>1861</v>
      </c>
      <c r="E373" s="91">
        <v>2017.0</v>
      </c>
      <c r="F373" s="92">
        <v>1.0</v>
      </c>
      <c r="G373" s="93"/>
      <c r="H373" s="93"/>
      <c r="I373" s="93"/>
      <c r="J373" s="93"/>
      <c r="K373" s="93"/>
      <c r="L373" s="93"/>
      <c r="M373" s="93"/>
      <c r="N373" s="93"/>
      <c r="O373" s="93"/>
      <c r="P373" s="93"/>
      <c r="Q373" s="93"/>
      <c r="R373" s="93"/>
      <c r="S373" s="93"/>
      <c r="T373" s="93"/>
      <c r="U373" s="93"/>
      <c r="V373" s="93"/>
      <c r="W373" s="93"/>
      <c r="X373" s="93"/>
      <c r="Y373" s="93"/>
      <c r="Z373" s="93"/>
      <c r="AA373" s="93"/>
      <c r="AB373" s="93"/>
      <c r="AC373" s="93"/>
      <c r="AD373" s="93"/>
      <c r="AE373" s="93"/>
      <c r="AF373" s="93"/>
      <c r="AG373" s="93"/>
      <c r="AH373" s="94"/>
      <c r="AI373" s="93"/>
      <c r="AJ373" s="93"/>
      <c r="AK373" s="93"/>
      <c r="AL373" s="93"/>
      <c r="AM373" s="93"/>
      <c r="AN373" s="93"/>
      <c r="AO373" s="93"/>
      <c r="AP373" s="93"/>
      <c r="AQ373" s="93"/>
      <c r="AR373" s="93"/>
      <c r="AS373" s="93"/>
      <c r="AT373" s="93"/>
      <c r="AU373" s="93"/>
      <c r="AV373" s="93"/>
      <c r="AW373" s="93"/>
      <c r="AX373" s="93"/>
      <c r="AY373" s="93"/>
      <c r="AZ373" s="93"/>
      <c r="BA373" s="93"/>
      <c r="BB373" s="93"/>
      <c r="BC373" s="93"/>
      <c r="BD373" s="93"/>
      <c r="BE373" s="93"/>
      <c r="BF373" s="93"/>
      <c r="BG373" s="93"/>
      <c r="BH373" s="93"/>
      <c r="BI373" s="93"/>
      <c r="BJ373" s="93"/>
      <c r="BK373" s="93"/>
      <c r="BL373" s="93"/>
      <c r="BM373" s="93"/>
      <c r="BN373" s="93"/>
      <c r="BO373" s="93"/>
      <c r="BP373" s="93"/>
      <c r="BQ373" s="93"/>
      <c r="BR373" s="93"/>
      <c r="BS373" s="93"/>
      <c r="BT373" s="93"/>
      <c r="BU373" s="93"/>
      <c r="BV373" s="93"/>
      <c r="BW373" s="93"/>
      <c r="BX373" s="93"/>
      <c r="BY373" s="93"/>
      <c r="BZ373" s="93"/>
    </row>
    <row r="374">
      <c r="A374" t="s">
        <v>1354</v>
      </c>
      <c r="B374" t="s">
        <v>1862</v>
      </c>
      <c r="C374" s="89" t="s">
        <v>1863</v>
      </c>
      <c r="D374" s="90" t="s">
        <v>1864</v>
      </c>
      <c r="E374" s="91">
        <v>2017.0</v>
      </c>
      <c r="F374" s="99">
        <v>1.0</v>
      </c>
      <c r="G374" s="98" t="s">
        <v>748</v>
      </c>
      <c r="H374" s="93"/>
      <c r="I374" s="98" t="s">
        <v>748</v>
      </c>
      <c r="J374" s="93"/>
      <c r="K374" s="93"/>
      <c r="L374" s="93"/>
      <c r="M374" s="93"/>
      <c r="N374" s="98" t="s">
        <v>748</v>
      </c>
      <c r="O374" s="93"/>
      <c r="P374" s="93"/>
      <c r="Q374" s="93"/>
      <c r="R374" s="93"/>
      <c r="S374" s="93"/>
      <c r="T374" s="93"/>
      <c r="U374" s="93"/>
      <c r="V374" s="93"/>
      <c r="W374" s="98" t="s">
        <v>748</v>
      </c>
      <c r="X374" s="98" t="s">
        <v>748</v>
      </c>
      <c r="Y374" s="98" t="s">
        <v>748</v>
      </c>
      <c r="Z374" s="98" t="s">
        <v>748</v>
      </c>
      <c r="AA374" s="93"/>
      <c r="AB374" s="98" t="s">
        <v>748</v>
      </c>
      <c r="AC374" s="98" t="s">
        <v>748</v>
      </c>
      <c r="AD374" s="93"/>
      <c r="AE374" s="93"/>
      <c r="AF374" s="93"/>
      <c r="AG374" s="98" t="s">
        <v>748</v>
      </c>
      <c r="AH374" s="96" t="s">
        <v>748</v>
      </c>
      <c r="AI374" s="98" t="s">
        <v>748</v>
      </c>
      <c r="AJ374" s="93"/>
      <c r="AK374" s="93"/>
      <c r="AL374" s="93"/>
      <c r="AM374" s="93"/>
      <c r="AN374" s="93"/>
      <c r="AO374" s="93"/>
      <c r="AP374" s="93"/>
      <c r="AQ374" s="93"/>
      <c r="AR374" s="93"/>
      <c r="AS374" s="93"/>
      <c r="AT374" s="93"/>
      <c r="AU374" s="93"/>
      <c r="AV374" s="93"/>
      <c r="AW374" s="93"/>
      <c r="AX374" s="93"/>
      <c r="AY374" s="93"/>
      <c r="AZ374" s="93"/>
      <c r="BA374" s="93"/>
      <c r="BB374" s="93"/>
      <c r="BC374" s="93"/>
      <c r="BD374" s="93"/>
      <c r="BE374" s="93"/>
      <c r="BF374" s="93"/>
      <c r="BG374" s="93"/>
      <c r="BH374" s="93"/>
      <c r="BI374" s="98" t="s">
        <v>748</v>
      </c>
      <c r="BJ374" s="93"/>
      <c r="BK374" s="93"/>
      <c r="BL374" s="93"/>
      <c r="BM374" s="93"/>
      <c r="BN374" s="93"/>
      <c r="BO374" s="93"/>
      <c r="BP374" s="93"/>
      <c r="BQ374" s="93"/>
      <c r="BR374" s="93"/>
      <c r="BS374" s="93"/>
      <c r="BT374" s="93"/>
      <c r="BU374" s="93"/>
      <c r="BV374" s="93"/>
      <c r="BW374" s="93"/>
      <c r="BX374" s="93"/>
      <c r="BY374" s="93"/>
      <c r="BZ374" s="93"/>
    </row>
    <row r="375">
      <c r="B375" t="s">
        <v>1865</v>
      </c>
      <c r="C375" s="89" t="s">
        <v>1866</v>
      </c>
      <c r="D375" s="90" t="s">
        <v>1867</v>
      </c>
      <c r="E375" s="91">
        <v>2017.0</v>
      </c>
      <c r="F375" s="92">
        <v>1.0</v>
      </c>
      <c r="G375" s="93"/>
      <c r="H375" s="93"/>
      <c r="I375" s="93"/>
      <c r="J375" s="93"/>
      <c r="K375" s="93"/>
      <c r="L375" s="93"/>
      <c r="M375" s="93"/>
      <c r="N375" s="93"/>
      <c r="O375" s="93"/>
      <c r="P375" s="93"/>
      <c r="Q375" s="93"/>
      <c r="R375" s="93"/>
      <c r="S375" s="93"/>
      <c r="T375" s="93"/>
      <c r="U375" s="93"/>
      <c r="V375" s="93"/>
      <c r="W375" s="93"/>
      <c r="X375" s="93"/>
      <c r="Y375" s="93"/>
      <c r="Z375" s="93"/>
      <c r="AA375" s="93"/>
      <c r="AB375" s="93"/>
      <c r="AC375" s="93"/>
      <c r="AD375" s="93"/>
      <c r="AE375" s="93"/>
      <c r="AF375" s="93"/>
      <c r="AG375" s="93"/>
      <c r="AH375" s="94"/>
      <c r="AI375" s="93"/>
      <c r="AJ375" s="93"/>
      <c r="AK375" s="93"/>
      <c r="AL375" s="93"/>
      <c r="AM375" s="93"/>
      <c r="AN375" s="93"/>
      <c r="AO375" s="93"/>
      <c r="AP375" s="93"/>
      <c r="AQ375" s="93"/>
      <c r="AR375" s="93"/>
      <c r="AS375" s="93"/>
      <c r="AT375" s="93"/>
      <c r="AU375" s="93"/>
      <c r="AV375" s="93"/>
      <c r="AW375" s="93"/>
      <c r="AX375" s="93"/>
      <c r="AY375" s="93"/>
      <c r="AZ375" s="93"/>
      <c r="BA375" s="93"/>
      <c r="BB375" s="93"/>
      <c r="BC375" s="93"/>
      <c r="BD375" s="93"/>
      <c r="BE375" s="93"/>
      <c r="BF375" s="93"/>
      <c r="BG375" s="93"/>
      <c r="BH375" s="93"/>
      <c r="BI375" s="93"/>
      <c r="BJ375" s="93"/>
      <c r="BK375" s="93"/>
      <c r="BL375" s="93"/>
      <c r="BM375" s="93"/>
      <c r="BN375" s="93"/>
      <c r="BO375" s="93"/>
      <c r="BP375" s="93"/>
      <c r="BQ375" s="93"/>
      <c r="BR375" s="93"/>
      <c r="BS375" s="93"/>
      <c r="BT375" s="93"/>
      <c r="BU375" s="93"/>
      <c r="BV375" s="93"/>
      <c r="BW375" s="93"/>
      <c r="BX375" s="93"/>
      <c r="BY375" s="93"/>
      <c r="BZ375" s="93"/>
    </row>
    <row r="376">
      <c r="A376" t="s">
        <v>116</v>
      </c>
      <c r="B376" t="s">
        <v>1868</v>
      </c>
      <c r="C376" s="89" t="s">
        <v>1869</v>
      </c>
      <c r="D376" s="90" t="s">
        <v>1870</v>
      </c>
      <c r="E376" s="91">
        <v>2017.0</v>
      </c>
      <c r="F376" s="92">
        <v>1.0</v>
      </c>
      <c r="G376" s="95"/>
      <c r="H376" s="93"/>
      <c r="I376" s="93"/>
      <c r="J376" s="95"/>
      <c r="K376" s="93"/>
      <c r="L376" s="93"/>
      <c r="M376" s="93"/>
      <c r="N376" s="93"/>
      <c r="O376" s="93"/>
      <c r="P376" s="93"/>
      <c r="Q376" s="93"/>
      <c r="R376" s="93"/>
      <c r="S376" s="93"/>
      <c r="T376" s="93"/>
      <c r="U376" s="93"/>
      <c r="V376" s="93"/>
      <c r="W376" s="93"/>
      <c r="X376" s="93"/>
      <c r="Y376" s="93"/>
      <c r="Z376" s="93"/>
      <c r="AA376" s="93"/>
      <c r="AB376" s="93"/>
      <c r="AC376" s="93"/>
      <c r="AD376" s="93"/>
      <c r="AE376" s="93"/>
      <c r="AF376" s="93"/>
      <c r="AG376" s="93"/>
      <c r="AH376" s="94"/>
      <c r="AI376" s="93"/>
      <c r="AJ376" s="93"/>
      <c r="AK376" s="93"/>
      <c r="AL376" s="93"/>
      <c r="AM376" s="93"/>
      <c r="AN376" s="93"/>
      <c r="AO376" s="93"/>
      <c r="AP376" s="93"/>
      <c r="AQ376" s="93"/>
      <c r="AR376" s="93"/>
      <c r="AS376" s="93"/>
      <c r="AT376" s="93"/>
      <c r="AU376" s="93"/>
      <c r="AV376" s="93"/>
      <c r="AW376" s="93"/>
      <c r="AX376" s="93"/>
      <c r="AY376" s="93"/>
      <c r="AZ376" s="93"/>
      <c r="BA376" s="93"/>
      <c r="BB376" s="93"/>
      <c r="BC376" s="93"/>
      <c r="BD376" s="93"/>
      <c r="BE376" s="93"/>
      <c r="BF376" s="93"/>
      <c r="BG376" s="93"/>
      <c r="BH376" s="93"/>
      <c r="BI376" s="93"/>
      <c r="BJ376" s="93"/>
      <c r="BK376" s="93"/>
      <c r="BL376" s="93"/>
      <c r="BM376" s="93"/>
      <c r="BN376" s="93"/>
      <c r="BO376" s="93"/>
      <c r="BP376" s="93"/>
      <c r="BQ376" s="93"/>
      <c r="BR376" s="93"/>
      <c r="BS376" s="93"/>
      <c r="BT376" s="93"/>
      <c r="BU376" s="93"/>
      <c r="BV376" s="93"/>
      <c r="BW376" s="93"/>
      <c r="BX376" s="93"/>
      <c r="BY376" s="93"/>
      <c r="BZ376" s="93"/>
    </row>
    <row r="377">
      <c r="A377" t="s">
        <v>1331</v>
      </c>
      <c r="B377" t="s">
        <v>1871</v>
      </c>
      <c r="C377" s="89" t="s">
        <v>1872</v>
      </c>
      <c r="D377" s="90" t="s">
        <v>1873</v>
      </c>
      <c r="E377" s="91">
        <v>2017.0</v>
      </c>
      <c r="F377" s="92">
        <v>1.0</v>
      </c>
      <c r="G377" s="93"/>
      <c r="H377" s="93"/>
      <c r="I377" s="93"/>
      <c r="J377" s="93"/>
      <c r="K377" s="93"/>
      <c r="L377" s="93"/>
      <c r="M377" s="95"/>
      <c r="N377" s="95"/>
      <c r="O377" s="93"/>
      <c r="P377" s="93"/>
      <c r="Q377" s="93"/>
      <c r="R377" s="93"/>
      <c r="S377" s="93"/>
      <c r="T377" s="93"/>
      <c r="U377" s="93"/>
      <c r="V377" s="93"/>
      <c r="W377" s="93"/>
      <c r="X377" s="93"/>
      <c r="Y377" s="95"/>
      <c r="Z377" s="93"/>
      <c r="AA377" s="95"/>
      <c r="AB377" s="95"/>
      <c r="AC377" s="93"/>
      <c r="AD377" s="93"/>
      <c r="AE377" s="93"/>
      <c r="AF377" s="93"/>
      <c r="AG377" s="93"/>
      <c r="AH377" s="94"/>
      <c r="AI377" s="93"/>
      <c r="AJ377" s="93"/>
      <c r="AK377" s="93"/>
      <c r="AL377" s="93"/>
      <c r="AM377" s="93"/>
      <c r="AN377" s="93"/>
      <c r="AO377" s="93"/>
      <c r="AP377" s="93"/>
      <c r="AQ377" s="93"/>
      <c r="AR377" s="93"/>
      <c r="AS377" s="93"/>
      <c r="AT377" s="93"/>
      <c r="AU377" s="93"/>
      <c r="AV377" s="93"/>
      <c r="AW377" s="93"/>
      <c r="AX377" s="93"/>
      <c r="AY377" s="93"/>
      <c r="AZ377" s="93"/>
      <c r="BA377" s="93"/>
      <c r="BB377" s="93"/>
      <c r="BC377" s="93"/>
      <c r="BD377" s="93"/>
      <c r="BE377" s="93"/>
      <c r="BF377" s="93"/>
      <c r="BG377" s="93"/>
      <c r="BH377" s="93"/>
      <c r="BI377" s="93"/>
      <c r="BJ377" s="93"/>
      <c r="BK377" s="93"/>
      <c r="BL377" s="93"/>
      <c r="BM377" s="93"/>
      <c r="BN377" s="93"/>
      <c r="BO377" s="93"/>
      <c r="BP377" s="93"/>
      <c r="BQ377" s="93"/>
      <c r="BR377" s="93"/>
      <c r="BS377" s="95"/>
      <c r="BT377" s="95"/>
      <c r="BU377" s="93"/>
      <c r="BV377" s="93"/>
      <c r="BW377" s="93"/>
      <c r="BX377" s="93"/>
      <c r="BY377" s="93"/>
      <c r="BZ377" s="93"/>
    </row>
    <row r="378">
      <c r="A378" t="s">
        <v>1340</v>
      </c>
      <c r="B378" t="s">
        <v>1874</v>
      </c>
      <c r="C378" s="89" t="s">
        <v>1875</v>
      </c>
      <c r="D378" s="90" t="s">
        <v>1876</v>
      </c>
      <c r="E378" s="91">
        <v>2017.0</v>
      </c>
      <c r="F378" s="93"/>
      <c r="G378" s="92">
        <v>1.0</v>
      </c>
      <c r="H378" s="93"/>
      <c r="I378" s="93"/>
      <c r="J378" s="93"/>
      <c r="K378" s="93"/>
      <c r="L378" s="93"/>
      <c r="M378" s="93"/>
      <c r="N378" s="93"/>
      <c r="O378" s="93"/>
      <c r="P378" s="93"/>
      <c r="Q378" s="93"/>
      <c r="R378" s="93"/>
      <c r="S378" s="93"/>
      <c r="T378" s="93"/>
      <c r="U378" s="93"/>
      <c r="V378" s="98" t="s">
        <v>1877</v>
      </c>
      <c r="W378" s="98" t="s">
        <v>1878</v>
      </c>
      <c r="X378" s="98" t="s">
        <v>1879</v>
      </c>
      <c r="Y378" s="98" t="s">
        <v>1880</v>
      </c>
      <c r="Z378" s="98" t="s">
        <v>1881</v>
      </c>
      <c r="AA378" s="93"/>
      <c r="AB378" s="92">
        <v>1.0</v>
      </c>
      <c r="AC378" s="93"/>
      <c r="AD378" s="92">
        <v>1.0</v>
      </c>
      <c r="AE378" s="93"/>
      <c r="AF378" s="93"/>
      <c r="AG378" s="93"/>
      <c r="AH378" s="96" t="s">
        <v>1882</v>
      </c>
      <c r="AI378" s="92">
        <v>1.0</v>
      </c>
      <c r="AJ378" s="92">
        <v>1.0</v>
      </c>
      <c r="AK378" s="93"/>
      <c r="AL378" s="92">
        <v>1.0</v>
      </c>
      <c r="AM378" s="93"/>
      <c r="AN378" s="93"/>
      <c r="AO378" s="93"/>
      <c r="AP378" s="93"/>
      <c r="AQ378" s="93"/>
      <c r="AR378" s="93"/>
      <c r="AS378" s="93"/>
      <c r="AT378" s="93"/>
      <c r="AU378" s="93"/>
      <c r="AV378" s="93"/>
      <c r="AW378" s="93"/>
      <c r="AX378" s="93"/>
      <c r="AY378" s="93"/>
      <c r="AZ378" s="93"/>
      <c r="BA378" s="93"/>
      <c r="BB378" s="93"/>
      <c r="BC378" s="93"/>
      <c r="BD378" s="93"/>
      <c r="BE378" s="93"/>
      <c r="BF378" s="93"/>
      <c r="BG378" s="93"/>
      <c r="BH378" s="93"/>
      <c r="BI378" s="93"/>
      <c r="BJ378" s="93"/>
      <c r="BK378" s="93"/>
      <c r="BL378" s="93"/>
      <c r="BM378" s="93"/>
      <c r="BN378" s="93"/>
      <c r="BO378" s="93"/>
      <c r="BP378" s="93"/>
      <c r="BQ378" s="92">
        <v>1.0</v>
      </c>
      <c r="BR378" s="93"/>
      <c r="BS378" s="93"/>
      <c r="BT378" s="93"/>
      <c r="BU378" s="93"/>
      <c r="BV378" s="92">
        <v>1.0</v>
      </c>
      <c r="BW378" s="93"/>
      <c r="BX378" s="93"/>
      <c r="BY378" s="92">
        <v>1.0</v>
      </c>
      <c r="BZ378" s="93"/>
    </row>
    <row r="379">
      <c r="A379" t="s">
        <v>1354</v>
      </c>
      <c r="B379" t="s">
        <v>1883</v>
      </c>
      <c r="C379" s="89" t="s">
        <v>1884</v>
      </c>
      <c r="D379" s="90" t="s">
        <v>1876</v>
      </c>
      <c r="E379" s="91">
        <v>2017.0</v>
      </c>
      <c r="F379" s="93"/>
      <c r="G379" s="99">
        <v>1.0</v>
      </c>
      <c r="H379" s="93"/>
      <c r="I379" s="93"/>
      <c r="J379" s="93"/>
      <c r="K379" s="93"/>
      <c r="L379" s="93"/>
      <c r="M379" s="93"/>
      <c r="N379" s="93"/>
      <c r="O379" s="93"/>
      <c r="P379" s="93"/>
      <c r="Q379" s="93"/>
      <c r="R379" s="93"/>
      <c r="S379" s="93"/>
      <c r="T379" s="93"/>
      <c r="U379" s="93"/>
      <c r="V379" s="93"/>
      <c r="W379" s="98" t="s">
        <v>1885</v>
      </c>
      <c r="X379" s="98" t="s">
        <v>1886</v>
      </c>
      <c r="Y379" s="98" t="s">
        <v>1887</v>
      </c>
      <c r="Z379" s="98" t="s">
        <v>1888</v>
      </c>
      <c r="AA379" s="93"/>
      <c r="AB379" s="99">
        <v>1.0</v>
      </c>
      <c r="AC379" s="99">
        <v>1.0</v>
      </c>
      <c r="AD379" s="99">
        <v>1.0</v>
      </c>
      <c r="AE379" s="93"/>
      <c r="AF379" s="93"/>
      <c r="AG379" s="93"/>
      <c r="AH379" s="96" t="s">
        <v>1889</v>
      </c>
      <c r="AI379" s="99">
        <v>1.0</v>
      </c>
      <c r="AJ379" s="99">
        <v>1.0</v>
      </c>
      <c r="AK379" s="93"/>
      <c r="AL379" s="93"/>
      <c r="AM379" s="93"/>
      <c r="AN379" s="99">
        <v>1.0</v>
      </c>
      <c r="AO379" s="93"/>
      <c r="AP379" s="93"/>
      <c r="AQ379" s="93"/>
      <c r="AR379" s="99">
        <v>1.0</v>
      </c>
      <c r="AS379" s="93"/>
      <c r="AT379" s="93"/>
      <c r="AU379" s="93"/>
      <c r="AV379" s="93"/>
      <c r="AW379" s="93"/>
      <c r="AX379" s="93"/>
      <c r="AY379" s="93"/>
      <c r="AZ379" s="93"/>
      <c r="BA379" s="93"/>
      <c r="BB379" s="93"/>
      <c r="BC379" s="93"/>
      <c r="BD379" s="93"/>
      <c r="BE379" s="93"/>
      <c r="BF379" s="99">
        <v>1.0</v>
      </c>
      <c r="BG379" s="99">
        <v>1.0</v>
      </c>
      <c r="BH379" s="93"/>
      <c r="BI379" s="93"/>
      <c r="BJ379" s="93"/>
      <c r="BK379" s="93"/>
      <c r="BL379" s="93"/>
      <c r="BM379" s="93"/>
      <c r="BN379" s="93"/>
      <c r="BO379" s="93"/>
      <c r="BP379" s="93"/>
      <c r="BQ379" s="99">
        <v>1.0</v>
      </c>
      <c r="BR379" s="93"/>
      <c r="BS379" s="93"/>
      <c r="BT379" s="93"/>
      <c r="BU379" s="93"/>
      <c r="BV379" s="98" t="s">
        <v>748</v>
      </c>
      <c r="BW379" s="93"/>
      <c r="BX379" s="93"/>
      <c r="BY379" s="99">
        <v>1.0</v>
      </c>
      <c r="BZ379" s="93"/>
    </row>
    <row r="380">
      <c r="A380" t="s">
        <v>116</v>
      </c>
      <c r="B380" t="s">
        <v>1890</v>
      </c>
      <c r="C380" s="89" t="s">
        <v>1891</v>
      </c>
      <c r="D380" s="90" t="s">
        <v>1876</v>
      </c>
      <c r="E380" s="91">
        <v>2017.0</v>
      </c>
      <c r="F380" s="95"/>
      <c r="G380" s="92">
        <v>1.0</v>
      </c>
      <c r="H380" s="93"/>
      <c r="I380" s="93"/>
      <c r="J380" s="93"/>
      <c r="K380" s="93"/>
      <c r="L380" s="93"/>
      <c r="M380" s="93"/>
      <c r="N380" s="93"/>
      <c r="O380" s="93"/>
      <c r="P380" s="93"/>
      <c r="Q380" s="93"/>
      <c r="R380" s="93"/>
      <c r="S380" s="93"/>
      <c r="T380" s="93"/>
      <c r="U380" s="93"/>
      <c r="V380" s="93"/>
      <c r="W380" s="95" t="s">
        <v>1892</v>
      </c>
      <c r="X380" s="95" t="s">
        <v>1893</v>
      </c>
      <c r="Y380" s="95" t="s">
        <v>1894</v>
      </c>
      <c r="Z380" s="95" t="s">
        <v>1895</v>
      </c>
      <c r="AA380" s="92">
        <v>1.0</v>
      </c>
      <c r="AB380" s="93"/>
      <c r="AC380" s="93"/>
      <c r="AD380" s="92">
        <v>1.0</v>
      </c>
      <c r="AE380" s="93"/>
      <c r="AF380" s="93"/>
      <c r="AG380" s="93"/>
      <c r="AH380" s="96" t="s">
        <v>1896</v>
      </c>
      <c r="AI380" s="92">
        <v>1.0</v>
      </c>
      <c r="AJ380" s="92">
        <v>1.0</v>
      </c>
      <c r="AK380" s="93"/>
      <c r="AL380" s="93"/>
      <c r="AM380" s="93"/>
      <c r="AN380" s="92">
        <v>1.0</v>
      </c>
      <c r="AO380" s="93"/>
      <c r="AP380" s="93"/>
      <c r="AQ380" s="93"/>
      <c r="AR380" s="93"/>
      <c r="AS380" s="93"/>
      <c r="AT380" s="93"/>
      <c r="AU380" s="93"/>
      <c r="AV380" s="93"/>
      <c r="AW380" s="93"/>
      <c r="AX380" s="93"/>
      <c r="AY380" s="93"/>
      <c r="AZ380" s="93"/>
      <c r="BA380" s="93"/>
      <c r="BB380" s="93"/>
      <c r="BC380" s="93"/>
      <c r="BD380" s="93"/>
      <c r="BE380" s="93"/>
      <c r="BF380" s="93"/>
      <c r="BG380" s="93"/>
      <c r="BH380" s="93"/>
      <c r="BI380" s="92">
        <v>1.0</v>
      </c>
      <c r="BJ380" s="92">
        <v>1.0</v>
      </c>
      <c r="BK380" s="92">
        <v>1.0</v>
      </c>
      <c r="BL380" s="93"/>
      <c r="BM380" s="93"/>
      <c r="BN380" s="93"/>
      <c r="BO380" s="93"/>
      <c r="BP380" s="93"/>
      <c r="BQ380" s="93"/>
      <c r="BR380" s="93"/>
      <c r="BS380" s="93"/>
      <c r="BT380" s="93"/>
      <c r="BU380" s="93"/>
      <c r="BV380" s="93"/>
      <c r="BW380" s="92">
        <v>1.0</v>
      </c>
      <c r="BX380" s="93"/>
      <c r="BY380" s="92">
        <v>1.0</v>
      </c>
      <c r="BZ380" s="93"/>
    </row>
    <row r="381">
      <c r="A381" t="s">
        <v>1331</v>
      </c>
      <c r="B381" t="s">
        <v>1897</v>
      </c>
      <c r="C381" s="89" t="s">
        <v>1026</v>
      </c>
      <c r="D381" s="90" t="s">
        <v>211</v>
      </c>
      <c r="E381" s="91">
        <v>2017.0</v>
      </c>
      <c r="F381" s="97" t="s">
        <v>1777</v>
      </c>
      <c r="G381" s="93"/>
      <c r="H381" s="93"/>
      <c r="I381" s="93"/>
      <c r="J381" s="93"/>
      <c r="K381" s="93"/>
      <c r="L381" s="93"/>
      <c r="M381" s="93"/>
      <c r="N381" s="93"/>
      <c r="O381" s="93"/>
      <c r="P381" s="93"/>
      <c r="Q381" s="93"/>
      <c r="R381" s="93"/>
      <c r="S381" s="93"/>
      <c r="T381" s="93"/>
      <c r="U381" s="93"/>
      <c r="V381" s="93"/>
      <c r="W381" s="93"/>
      <c r="X381" s="93"/>
      <c r="Y381" s="93"/>
      <c r="Z381" s="93"/>
      <c r="AA381" s="93"/>
      <c r="AB381" s="93"/>
      <c r="AC381" s="93"/>
      <c r="AD381" s="93"/>
      <c r="AE381" s="93"/>
      <c r="AF381" s="93"/>
      <c r="AG381" s="93"/>
      <c r="AH381" s="94"/>
      <c r="AI381" s="93"/>
      <c r="AJ381" s="93"/>
      <c r="AK381" s="93"/>
      <c r="AL381" s="93"/>
      <c r="AM381" s="93"/>
      <c r="AN381" s="93"/>
      <c r="AO381" s="93"/>
      <c r="AP381" s="93"/>
      <c r="AQ381" s="93"/>
      <c r="AR381" s="93"/>
      <c r="AS381" s="93"/>
      <c r="AT381" s="93"/>
      <c r="AU381" s="93"/>
      <c r="AV381" s="93"/>
      <c r="AW381" s="93"/>
      <c r="AX381" s="93"/>
      <c r="AY381" s="93"/>
      <c r="AZ381" s="93"/>
      <c r="BA381" s="93"/>
      <c r="BB381" s="93"/>
      <c r="BC381" s="93"/>
      <c r="BD381" s="93"/>
      <c r="BE381" s="93"/>
      <c r="BF381" s="93"/>
      <c r="BG381" s="93"/>
      <c r="BH381" s="93"/>
      <c r="BI381" s="93"/>
      <c r="BJ381" s="93"/>
      <c r="BK381" s="93"/>
      <c r="BL381" s="93"/>
      <c r="BM381" s="93"/>
      <c r="BN381" s="93"/>
      <c r="BO381" s="93"/>
      <c r="BP381" s="93"/>
      <c r="BQ381" s="93"/>
      <c r="BR381" s="93"/>
      <c r="BS381" s="93"/>
      <c r="BT381" s="93"/>
      <c r="BU381" s="93"/>
      <c r="BV381" s="93"/>
      <c r="BW381" s="93"/>
      <c r="BX381" s="93"/>
      <c r="BY381" s="93"/>
      <c r="BZ381" s="93"/>
    </row>
    <row r="382">
      <c r="A382" t="s">
        <v>1340</v>
      </c>
      <c r="B382" t="s">
        <v>1898</v>
      </c>
      <c r="C382" s="89" t="s">
        <v>1899</v>
      </c>
      <c r="D382" s="90" t="s">
        <v>1580</v>
      </c>
      <c r="E382" s="91">
        <v>2017.0</v>
      </c>
      <c r="F382" s="92">
        <v>1.0</v>
      </c>
      <c r="G382" s="93"/>
      <c r="H382" s="93"/>
      <c r="I382" s="93"/>
      <c r="J382" s="93"/>
      <c r="K382" s="93"/>
      <c r="L382" s="93"/>
      <c r="M382" s="93"/>
      <c r="N382" s="93"/>
      <c r="O382" s="93"/>
      <c r="P382" s="93"/>
      <c r="Q382" s="93"/>
      <c r="R382" s="93"/>
      <c r="S382" s="93"/>
      <c r="T382" s="93"/>
      <c r="U382" s="93"/>
      <c r="V382" s="93"/>
      <c r="W382" s="93"/>
      <c r="X382" s="93"/>
      <c r="Y382" s="93"/>
      <c r="Z382" s="93"/>
      <c r="AA382" s="93"/>
      <c r="AB382" s="93"/>
      <c r="AC382" s="93"/>
      <c r="AD382" s="93"/>
      <c r="AE382" s="93"/>
      <c r="AF382" s="93"/>
      <c r="AG382" s="93"/>
      <c r="AH382" s="94"/>
      <c r="AI382" s="93"/>
      <c r="AJ382" s="93"/>
      <c r="AK382" s="93"/>
      <c r="AL382" s="93"/>
      <c r="AM382" s="93"/>
      <c r="AN382" s="93"/>
      <c r="AO382" s="93"/>
      <c r="AP382" s="93"/>
      <c r="AQ382" s="93"/>
      <c r="AR382" s="93"/>
      <c r="AS382" s="93"/>
      <c r="AT382" s="93"/>
      <c r="AU382" s="93"/>
      <c r="AV382" s="93"/>
      <c r="AW382" s="93"/>
      <c r="AX382" s="93"/>
      <c r="AY382" s="93"/>
      <c r="AZ382" s="93"/>
      <c r="BA382" s="93"/>
      <c r="BB382" s="93"/>
      <c r="BC382" s="93"/>
      <c r="BD382" s="93"/>
      <c r="BE382" s="93"/>
      <c r="BF382" s="93"/>
      <c r="BG382" s="93"/>
      <c r="BH382" s="93"/>
      <c r="BI382" s="93"/>
      <c r="BJ382" s="93"/>
      <c r="BK382" s="93"/>
      <c r="BL382" s="93"/>
      <c r="BM382" s="93"/>
      <c r="BN382" s="93"/>
      <c r="BO382" s="93"/>
      <c r="BP382" s="93"/>
      <c r="BQ382" s="93"/>
      <c r="BR382" s="93"/>
      <c r="BS382" s="93"/>
      <c r="BT382" s="93"/>
      <c r="BU382" s="93"/>
      <c r="BV382" s="93"/>
      <c r="BW382" s="93"/>
      <c r="BX382" s="93"/>
      <c r="BY382" s="93"/>
      <c r="BZ382" s="93"/>
    </row>
    <row r="383">
      <c r="A383" t="s">
        <v>1354</v>
      </c>
      <c r="B383" t="s">
        <v>1900</v>
      </c>
      <c r="C383" s="89" t="s">
        <v>1901</v>
      </c>
      <c r="D383" s="90" t="s">
        <v>310</v>
      </c>
      <c r="E383" s="91">
        <v>2017.0</v>
      </c>
      <c r="F383" s="93"/>
      <c r="G383" s="93"/>
      <c r="H383" s="93"/>
      <c r="I383" s="93"/>
      <c r="J383" s="93"/>
      <c r="K383" s="93"/>
      <c r="L383" s="93"/>
      <c r="M383" s="99">
        <v>1.0</v>
      </c>
      <c r="N383" s="93"/>
      <c r="O383" s="93"/>
      <c r="P383" s="93"/>
      <c r="Q383" s="93"/>
      <c r="R383" s="93"/>
      <c r="S383" s="93"/>
      <c r="T383" s="93"/>
      <c r="U383" s="93"/>
      <c r="V383" s="93"/>
      <c r="W383" s="98" t="s">
        <v>1902</v>
      </c>
      <c r="X383" s="98" t="s">
        <v>1903</v>
      </c>
      <c r="Y383" s="98" t="s">
        <v>1904</v>
      </c>
      <c r="Z383" s="98" t="s">
        <v>1905</v>
      </c>
      <c r="AA383" s="93"/>
      <c r="AB383" s="99">
        <v>1.0</v>
      </c>
      <c r="AC383" s="93"/>
      <c r="AD383" s="99">
        <v>1.0</v>
      </c>
      <c r="AE383" s="93"/>
      <c r="AF383" s="99">
        <v>1.0</v>
      </c>
      <c r="AG383" s="93"/>
      <c r="AH383" s="94"/>
      <c r="AI383" s="99">
        <v>1.0</v>
      </c>
      <c r="AJ383" s="93"/>
      <c r="AK383" s="93"/>
      <c r="AL383" s="93"/>
      <c r="AM383" s="93"/>
      <c r="AN383" s="93"/>
      <c r="AO383" s="93"/>
      <c r="AP383" s="93"/>
      <c r="AQ383" s="93"/>
      <c r="AR383" s="93"/>
      <c r="AS383" s="93"/>
      <c r="AT383" s="93"/>
      <c r="AU383" s="93"/>
      <c r="AV383" s="99">
        <v>1.0</v>
      </c>
      <c r="AW383" s="93"/>
      <c r="AX383" s="93"/>
      <c r="AY383" s="93"/>
      <c r="AZ383" s="93"/>
      <c r="BA383" s="93"/>
      <c r="BB383" s="93"/>
      <c r="BC383" s="93"/>
      <c r="BD383" s="93"/>
      <c r="BE383" s="93"/>
      <c r="BF383" s="93"/>
      <c r="BG383" s="93"/>
      <c r="BH383" s="93"/>
      <c r="BI383" s="99">
        <v>1.0</v>
      </c>
      <c r="BJ383" s="93"/>
      <c r="BK383" s="99">
        <v>1.0</v>
      </c>
      <c r="BL383" s="93"/>
      <c r="BM383" s="93"/>
      <c r="BN383" s="93"/>
      <c r="BO383" s="93"/>
      <c r="BP383" s="93"/>
      <c r="BQ383" s="99">
        <v>1.0</v>
      </c>
      <c r="BR383" s="93"/>
      <c r="BS383" s="99">
        <v>1.0</v>
      </c>
      <c r="BT383" s="93"/>
      <c r="BU383" s="98" t="s">
        <v>748</v>
      </c>
      <c r="BV383" s="93"/>
      <c r="BW383" s="93"/>
      <c r="BX383" s="93"/>
      <c r="BY383" s="93"/>
      <c r="BZ383" s="93"/>
    </row>
    <row r="384">
      <c r="B384" t="s">
        <v>1906</v>
      </c>
      <c r="C384" s="89" t="s">
        <v>1907</v>
      </c>
      <c r="D384" s="90" t="s">
        <v>1908</v>
      </c>
      <c r="E384" s="91">
        <v>2017.0</v>
      </c>
      <c r="F384" s="92">
        <v>1.0</v>
      </c>
      <c r="G384" s="93"/>
      <c r="H384" s="93"/>
      <c r="I384" s="93"/>
      <c r="J384" s="93"/>
      <c r="K384" s="93"/>
      <c r="L384" s="93"/>
      <c r="M384" s="93"/>
      <c r="N384" s="93"/>
      <c r="O384" s="93"/>
      <c r="P384" s="93"/>
      <c r="Q384" s="93"/>
      <c r="R384" s="93"/>
      <c r="S384" s="93"/>
      <c r="T384" s="93"/>
      <c r="U384" s="93"/>
      <c r="V384" s="93"/>
      <c r="W384" s="93"/>
      <c r="X384" s="93"/>
      <c r="Y384" s="93"/>
      <c r="Z384" s="93"/>
      <c r="AA384" s="93"/>
      <c r="AB384" s="93"/>
      <c r="AC384" s="93"/>
      <c r="AD384" s="93"/>
      <c r="AE384" s="93"/>
      <c r="AF384" s="93"/>
      <c r="AG384" s="93"/>
      <c r="AH384" s="94"/>
      <c r="AI384" s="93"/>
      <c r="AJ384" s="93"/>
      <c r="AK384" s="93"/>
      <c r="AL384" s="93"/>
      <c r="AM384" s="93"/>
      <c r="AN384" s="93"/>
      <c r="AO384" s="93"/>
      <c r="AP384" s="93"/>
      <c r="AQ384" s="93"/>
      <c r="AR384" s="93"/>
      <c r="AS384" s="93"/>
      <c r="AT384" s="93"/>
      <c r="AU384" s="93"/>
      <c r="AV384" s="93"/>
      <c r="AW384" s="93"/>
      <c r="AX384" s="93"/>
      <c r="AY384" s="93"/>
      <c r="AZ384" s="93"/>
      <c r="BA384" s="93"/>
      <c r="BB384" s="93"/>
      <c r="BC384" s="93"/>
      <c r="BD384" s="93"/>
      <c r="BE384" s="93"/>
      <c r="BF384" s="93"/>
      <c r="BG384" s="93"/>
      <c r="BH384" s="93"/>
      <c r="BI384" s="93"/>
      <c r="BJ384" s="93"/>
      <c r="BK384" s="93"/>
      <c r="BL384" s="93"/>
      <c r="BM384" s="93"/>
      <c r="BN384" s="93"/>
      <c r="BO384" s="93"/>
      <c r="BP384" s="93"/>
      <c r="BQ384" s="93"/>
      <c r="BR384" s="93"/>
      <c r="BS384" s="93"/>
      <c r="BT384" s="93"/>
      <c r="BU384" s="93"/>
      <c r="BV384" s="93"/>
      <c r="BW384" s="93"/>
      <c r="BX384" s="93"/>
      <c r="BY384" s="93"/>
      <c r="BZ384" s="93"/>
    </row>
    <row r="385">
      <c r="A385" t="s">
        <v>116</v>
      </c>
      <c r="B385" t="s">
        <v>1909</v>
      </c>
      <c r="C385" s="89" t="s">
        <v>1910</v>
      </c>
      <c r="D385" s="90" t="s">
        <v>1911</v>
      </c>
      <c r="E385" s="91">
        <v>2017.0</v>
      </c>
      <c r="F385" s="92">
        <v>1.0</v>
      </c>
      <c r="G385" s="93"/>
      <c r="H385" s="93"/>
      <c r="I385" s="93"/>
      <c r="J385" s="93"/>
      <c r="K385" s="93"/>
      <c r="L385" s="93"/>
      <c r="M385" s="93"/>
      <c r="N385" s="93"/>
      <c r="O385" s="93"/>
      <c r="P385" s="93"/>
      <c r="Q385" s="93"/>
      <c r="R385" s="93"/>
      <c r="S385" s="93"/>
      <c r="T385" s="93"/>
      <c r="U385" s="93"/>
      <c r="V385" s="93"/>
      <c r="W385" s="93"/>
      <c r="X385" s="93"/>
      <c r="Y385" s="93"/>
      <c r="Z385" s="93"/>
      <c r="AA385" s="93"/>
      <c r="AB385" s="93"/>
      <c r="AC385" s="93"/>
      <c r="AD385" s="93"/>
      <c r="AE385" s="93"/>
      <c r="AF385" s="93"/>
      <c r="AG385" s="93"/>
      <c r="AH385" s="94"/>
      <c r="AI385" s="93"/>
      <c r="AJ385" s="95"/>
      <c r="AK385" s="93"/>
      <c r="AL385" s="93"/>
      <c r="AM385" s="93"/>
      <c r="AN385" s="93"/>
      <c r="AO385" s="95"/>
      <c r="AP385" s="93"/>
      <c r="AQ385" s="93"/>
      <c r="AR385" s="95"/>
      <c r="AS385" s="93"/>
      <c r="AT385" s="93"/>
      <c r="AU385" s="93"/>
      <c r="AV385" s="95"/>
      <c r="AW385" s="93"/>
      <c r="AX385" s="93"/>
      <c r="AY385" s="93"/>
      <c r="AZ385" s="93"/>
      <c r="BA385" s="93"/>
      <c r="BB385" s="93"/>
      <c r="BC385" s="93"/>
      <c r="BD385" s="93"/>
      <c r="BE385" s="93"/>
      <c r="BF385" s="93"/>
      <c r="BG385" s="93"/>
      <c r="BH385" s="93"/>
      <c r="BI385" s="93"/>
      <c r="BJ385" s="93"/>
      <c r="BK385" s="93"/>
      <c r="BL385" s="93"/>
      <c r="BM385" s="93"/>
      <c r="BN385" s="93"/>
      <c r="BO385" s="93"/>
      <c r="BP385" s="93"/>
      <c r="BQ385" s="93"/>
      <c r="BR385" s="93"/>
      <c r="BS385" s="93"/>
      <c r="BT385" s="93"/>
      <c r="BU385" s="93"/>
      <c r="BV385" s="95"/>
      <c r="BW385" s="93"/>
      <c r="BX385" s="93"/>
      <c r="BY385" s="95"/>
      <c r="BZ385" s="95"/>
    </row>
    <row r="386">
      <c r="B386" t="s">
        <v>1912</v>
      </c>
      <c r="C386" s="89" t="s">
        <v>1913</v>
      </c>
      <c r="D386" s="90" t="s">
        <v>1914</v>
      </c>
      <c r="E386" s="91">
        <v>2017.0</v>
      </c>
      <c r="F386" s="92">
        <v>1.0</v>
      </c>
      <c r="G386" s="93"/>
      <c r="H386" s="93"/>
      <c r="I386" s="93"/>
      <c r="J386" s="93"/>
      <c r="K386" s="93"/>
      <c r="L386" s="93"/>
      <c r="M386" s="93"/>
      <c r="N386" s="93"/>
      <c r="O386" s="93"/>
      <c r="P386" s="93"/>
      <c r="Q386" s="93"/>
      <c r="R386" s="93"/>
      <c r="S386" s="93"/>
      <c r="T386" s="93"/>
      <c r="U386" s="93"/>
      <c r="V386" s="93"/>
      <c r="W386" s="93"/>
      <c r="X386" s="93"/>
      <c r="Y386" s="93"/>
      <c r="Z386" s="93"/>
      <c r="AA386" s="93"/>
      <c r="AB386" s="93"/>
      <c r="AC386" s="93"/>
      <c r="AD386" s="93"/>
      <c r="AE386" s="93"/>
      <c r="AF386" s="93"/>
      <c r="AG386" s="93"/>
      <c r="AH386" s="94"/>
      <c r="AI386" s="93"/>
      <c r="AJ386" s="93"/>
      <c r="AK386" s="93"/>
      <c r="AL386" s="93"/>
      <c r="AM386" s="93"/>
      <c r="AN386" s="93"/>
      <c r="AO386" s="93"/>
      <c r="AP386" s="93"/>
      <c r="AQ386" s="93"/>
      <c r="AR386" s="93"/>
      <c r="AS386" s="93"/>
      <c r="AT386" s="93"/>
      <c r="AU386" s="93"/>
      <c r="AV386" s="93"/>
      <c r="AW386" s="93"/>
      <c r="AX386" s="93"/>
      <c r="AY386" s="93"/>
      <c r="AZ386" s="93"/>
      <c r="BA386" s="93"/>
      <c r="BB386" s="93"/>
      <c r="BC386" s="93"/>
      <c r="BD386" s="93"/>
      <c r="BE386" s="93"/>
      <c r="BF386" s="93"/>
      <c r="BG386" s="93"/>
      <c r="BH386" s="93"/>
      <c r="BI386" s="93"/>
      <c r="BJ386" s="93"/>
      <c r="BK386" s="93"/>
      <c r="BL386" s="93"/>
      <c r="BM386" s="93"/>
      <c r="BN386" s="93"/>
      <c r="BO386" s="93"/>
      <c r="BP386" s="93"/>
      <c r="BQ386" s="93"/>
      <c r="BR386" s="93"/>
      <c r="BS386" s="93"/>
      <c r="BT386" s="93"/>
      <c r="BU386" s="93"/>
      <c r="BV386" s="93"/>
      <c r="BW386" s="93"/>
      <c r="BX386" s="93"/>
      <c r="BY386" s="93"/>
      <c r="BZ386" s="93"/>
    </row>
    <row r="387">
      <c r="A387" t="s">
        <v>1331</v>
      </c>
      <c r="B387" t="s">
        <v>1915</v>
      </c>
      <c r="C387" s="89" t="s">
        <v>1916</v>
      </c>
      <c r="D387" s="90" t="s">
        <v>310</v>
      </c>
      <c r="E387" s="91">
        <v>2017.0</v>
      </c>
      <c r="F387" s="92">
        <v>1.0</v>
      </c>
      <c r="G387" s="93"/>
      <c r="H387" s="93"/>
      <c r="I387" s="93"/>
      <c r="J387" s="93"/>
      <c r="K387" s="93"/>
      <c r="L387" s="93"/>
      <c r="M387" s="93"/>
      <c r="N387" s="93"/>
      <c r="O387" s="93"/>
      <c r="P387" s="93"/>
      <c r="Q387" s="93"/>
      <c r="R387" s="93"/>
      <c r="S387" s="93"/>
      <c r="T387" s="93"/>
      <c r="U387" s="93"/>
      <c r="V387" s="93"/>
      <c r="W387" s="93"/>
      <c r="X387" s="93"/>
      <c r="Y387" s="93"/>
      <c r="Z387" s="93"/>
      <c r="AA387" s="93"/>
      <c r="AB387" s="93"/>
      <c r="AC387" s="93"/>
      <c r="AD387" s="93"/>
      <c r="AE387" s="93"/>
      <c r="AF387" s="93"/>
      <c r="AG387" s="93"/>
      <c r="AH387" s="94"/>
      <c r="AI387" s="93"/>
      <c r="AJ387" s="93"/>
      <c r="AK387" s="93"/>
      <c r="AL387" s="93"/>
      <c r="AM387" s="93"/>
      <c r="AN387" s="93"/>
      <c r="AO387" s="93"/>
      <c r="AP387" s="93"/>
      <c r="AQ387" s="93"/>
      <c r="AR387" s="93"/>
      <c r="AS387" s="93"/>
      <c r="AT387" s="93"/>
      <c r="AU387" s="93"/>
      <c r="AV387" s="93"/>
      <c r="AW387" s="93"/>
      <c r="AX387" s="93"/>
      <c r="AY387" s="93"/>
      <c r="AZ387" s="93"/>
      <c r="BA387" s="93"/>
      <c r="BB387" s="93"/>
      <c r="BC387" s="93"/>
      <c r="BD387" s="93"/>
      <c r="BE387" s="93"/>
      <c r="BF387" s="93"/>
      <c r="BG387" s="93"/>
      <c r="BH387" s="93"/>
      <c r="BI387" s="93"/>
      <c r="BJ387" s="93"/>
      <c r="BK387" s="93"/>
      <c r="BL387" s="93"/>
      <c r="BM387" s="93"/>
      <c r="BN387" s="93"/>
      <c r="BO387" s="93"/>
      <c r="BP387" s="93"/>
      <c r="BQ387" s="93"/>
      <c r="BR387" s="93"/>
      <c r="BS387" s="93"/>
      <c r="BT387" s="93"/>
      <c r="BU387" s="93"/>
      <c r="BV387" s="93"/>
      <c r="BW387" s="93"/>
      <c r="BX387" s="93"/>
      <c r="BY387" s="93"/>
      <c r="BZ387" s="93"/>
    </row>
    <row r="388">
      <c r="A388" t="s">
        <v>1340</v>
      </c>
      <c r="B388" t="s">
        <v>1917</v>
      </c>
      <c r="C388" s="89" t="s">
        <v>1918</v>
      </c>
      <c r="D388" s="90" t="s">
        <v>1919</v>
      </c>
      <c r="E388" s="91">
        <v>2017.0</v>
      </c>
      <c r="F388" s="92">
        <v>1.0</v>
      </c>
      <c r="G388" s="93"/>
      <c r="H388" s="93"/>
      <c r="I388" s="93"/>
      <c r="J388" s="93"/>
      <c r="K388" s="93"/>
      <c r="L388" s="93"/>
      <c r="M388" s="93"/>
      <c r="N388" s="93"/>
      <c r="O388" s="93"/>
      <c r="P388" s="93"/>
      <c r="Q388" s="93"/>
      <c r="R388" s="93"/>
      <c r="S388" s="93"/>
      <c r="T388" s="93"/>
      <c r="U388" s="93"/>
      <c r="V388" s="93"/>
      <c r="W388" s="93"/>
      <c r="X388" s="93"/>
      <c r="Y388" s="93"/>
      <c r="Z388" s="93"/>
      <c r="AA388" s="93"/>
      <c r="AB388" s="93"/>
      <c r="AC388" s="93"/>
      <c r="AD388" s="93"/>
      <c r="AE388" s="93"/>
      <c r="AF388" s="93"/>
      <c r="AG388" s="93"/>
      <c r="AH388" s="94"/>
      <c r="AI388" s="93"/>
      <c r="AJ388" s="93"/>
      <c r="AK388" s="93"/>
      <c r="AL388" s="93"/>
      <c r="AM388" s="93"/>
      <c r="AN388" s="93"/>
      <c r="AO388" s="93"/>
      <c r="AP388" s="93"/>
      <c r="AQ388" s="93"/>
      <c r="AR388" s="93"/>
      <c r="AS388" s="93"/>
      <c r="AT388" s="93"/>
      <c r="AU388" s="93"/>
      <c r="AV388" s="93"/>
      <c r="AW388" s="93"/>
      <c r="AX388" s="93"/>
      <c r="AY388" s="93"/>
      <c r="AZ388" s="93"/>
      <c r="BA388" s="93"/>
      <c r="BB388" s="93"/>
      <c r="BC388" s="93"/>
      <c r="BD388" s="93"/>
      <c r="BE388" s="93"/>
      <c r="BF388" s="93"/>
      <c r="BG388" s="93"/>
      <c r="BH388" s="93"/>
      <c r="BI388" s="93"/>
      <c r="BJ388" s="93"/>
      <c r="BK388" s="93"/>
      <c r="BL388" s="93"/>
      <c r="BM388" s="93"/>
      <c r="BN388" s="93"/>
      <c r="BO388" s="93"/>
      <c r="BP388" s="93"/>
      <c r="BQ388" s="93"/>
      <c r="BR388" s="93"/>
      <c r="BS388" s="93"/>
      <c r="BT388" s="93"/>
      <c r="BU388" s="93"/>
      <c r="BV388" s="93"/>
      <c r="BW388" s="93"/>
      <c r="BX388" s="93"/>
      <c r="BY388" s="93"/>
      <c r="BZ388" s="93"/>
    </row>
    <row r="389">
      <c r="A389" t="s">
        <v>1354</v>
      </c>
      <c r="B389" t="s">
        <v>1920</v>
      </c>
      <c r="C389" s="89" t="s">
        <v>1921</v>
      </c>
      <c r="D389" s="90" t="s">
        <v>1922</v>
      </c>
      <c r="E389" s="91">
        <v>2017.0</v>
      </c>
      <c r="F389" s="93"/>
      <c r="G389" s="93"/>
      <c r="H389" s="99">
        <v>1.0</v>
      </c>
      <c r="I389" s="93"/>
      <c r="J389" s="93"/>
      <c r="K389" s="93"/>
      <c r="L389" s="93"/>
      <c r="M389" s="93"/>
      <c r="N389" s="93"/>
      <c r="O389" s="93"/>
      <c r="P389" s="98" t="s">
        <v>748</v>
      </c>
      <c r="Q389" s="99">
        <v>1.0</v>
      </c>
      <c r="R389" s="93"/>
      <c r="S389" s="93"/>
      <c r="T389" s="93"/>
      <c r="U389" s="93"/>
      <c r="V389" s="98" t="s">
        <v>1923</v>
      </c>
      <c r="W389" s="98" t="s">
        <v>1924</v>
      </c>
      <c r="X389" s="98" t="s">
        <v>1925</v>
      </c>
      <c r="Y389" s="98" t="s">
        <v>1926</v>
      </c>
      <c r="Z389" s="98" t="s">
        <v>1927</v>
      </c>
      <c r="AA389" s="93"/>
      <c r="AB389" s="93"/>
      <c r="AC389" s="99">
        <v>1.0</v>
      </c>
      <c r="AD389" s="98" t="s">
        <v>748</v>
      </c>
      <c r="AE389" s="93"/>
      <c r="AF389" s="93"/>
      <c r="AG389" s="93"/>
      <c r="AH389" s="96" t="s">
        <v>1928</v>
      </c>
      <c r="AI389" s="99">
        <v>1.0</v>
      </c>
      <c r="AJ389" s="93"/>
      <c r="AK389" s="93"/>
      <c r="AL389" s="93"/>
      <c r="AM389" s="93"/>
      <c r="AN389" s="98"/>
      <c r="AO389" s="99">
        <v>1.0</v>
      </c>
      <c r="AP389" s="93"/>
      <c r="AQ389" s="93"/>
      <c r="AR389" s="99">
        <v>1.0</v>
      </c>
      <c r="AS389" s="93"/>
      <c r="AT389" s="93"/>
      <c r="AU389" s="99">
        <v>1.0</v>
      </c>
      <c r="AV389" s="93"/>
      <c r="AW389" s="93"/>
      <c r="AX389" s="93"/>
      <c r="AY389" s="99">
        <v>1.0</v>
      </c>
      <c r="AZ389" s="93"/>
      <c r="BA389" s="93"/>
      <c r="BB389" s="93"/>
      <c r="BC389" s="93"/>
      <c r="BD389" s="93"/>
      <c r="BE389" s="93"/>
      <c r="BF389" s="93"/>
      <c r="BG389" s="93"/>
      <c r="BH389" s="93"/>
      <c r="BI389" s="93"/>
      <c r="BJ389" s="93"/>
      <c r="BK389" s="93"/>
      <c r="BL389" s="93"/>
      <c r="BM389" s="93"/>
      <c r="BN389" s="93"/>
      <c r="BO389" s="93"/>
      <c r="BP389" s="93"/>
      <c r="BQ389" s="93"/>
      <c r="BR389" s="93"/>
      <c r="BS389" s="93"/>
      <c r="BT389" s="93"/>
      <c r="BU389" s="93"/>
      <c r="BV389" s="93"/>
      <c r="BW389" s="93"/>
      <c r="BX389" s="99">
        <v>1.0</v>
      </c>
      <c r="BY389" s="99">
        <v>1.0</v>
      </c>
      <c r="BZ389" s="93"/>
    </row>
    <row r="390">
      <c r="A390" t="s">
        <v>116</v>
      </c>
      <c r="B390" t="s">
        <v>1929</v>
      </c>
      <c r="C390" s="89" t="s">
        <v>1930</v>
      </c>
      <c r="D390" s="90" t="s">
        <v>1922</v>
      </c>
      <c r="E390" s="91">
        <v>2017.0</v>
      </c>
      <c r="F390" s="93"/>
      <c r="G390" s="93"/>
      <c r="H390" s="93"/>
      <c r="I390" s="92">
        <v>1.0</v>
      </c>
      <c r="J390" s="93"/>
      <c r="K390" s="93"/>
      <c r="L390" s="93"/>
      <c r="M390" s="93"/>
      <c r="N390" s="93"/>
      <c r="O390" s="93"/>
      <c r="P390" s="93"/>
      <c r="Q390" s="93"/>
      <c r="R390" s="93"/>
      <c r="S390" s="93"/>
      <c r="T390" s="93"/>
      <c r="U390" s="93"/>
      <c r="V390" s="93"/>
      <c r="W390" s="95" t="s">
        <v>1931</v>
      </c>
      <c r="X390" s="95" t="s">
        <v>1932</v>
      </c>
      <c r="Y390" s="95" t="s">
        <v>1933</v>
      </c>
      <c r="Z390" s="97" t="s">
        <v>122</v>
      </c>
      <c r="AA390" s="93"/>
      <c r="AB390" s="92">
        <v>1.0</v>
      </c>
      <c r="AC390" s="93"/>
      <c r="AD390" s="92">
        <v>1.0</v>
      </c>
      <c r="AE390" s="93"/>
      <c r="AF390" s="93"/>
      <c r="AG390" s="93"/>
      <c r="AH390" s="96" t="s">
        <v>1934</v>
      </c>
      <c r="AI390" s="92">
        <v>1.0</v>
      </c>
      <c r="AJ390" s="92">
        <v>1.0</v>
      </c>
      <c r="AK390" s="93"/>
      <c r="AL390" s="93"/>
      <c r="AM390" s="93"/>
      <c r="AN390" s="93"/>
      <c r="AO390" s="92">
        <v>1.0</v>
      </c>
      <c r="AP390" s="93"/>
      <c r="AQ390" s="93"/>
      <c r="AR390" s="92">
        <v>1.0</v>
      </c>
      <c r="AS390" s="93"/>
      <c r="AT390" s="93"/>
      <c r="AU390" s="93"/>
      <c r="AV390" s="92">
        <v>1.0</v>
      </c>
      <c r="AW390" s="93"/>
      <c r="AX390" s="93"/>
      <c r="AY390" s="93"/>
      <c r="AZ390" s="93"/>
      <c r="BA390" s="93"/>
      <c r="BB390" s="93"/>
      <c r="BC390" s="93"/>
      <c r="BD390" s="93"/>
      <c r="BE390" s="93"/>
      <c r="BF390" s="93"/>
      <c r="BG390" s="93"/>
      <c r="BH390" s="93"/>
      <c r="BI390" s="93"/>
      <c r="BJ390" s="93"/>
      <c r="BK390" s="93"/>
      <c r="BL390" s="93"/>
      <c r="BM390" s="93"/>
      <c r="BN390" s="93"/>
      <c r="BO390" s="93"/>
      <c r="BP390" s="93"/>
      <c r="BQ390" s="93"/>
      <c r="BR390" s="93"/>
      <c r="BS390" s="93"/>
      <c r="BT390" s="93"/>
      <c r="BU390" s="93"/>
      <c r="BV390" s="92">
        <v>1.0</v>
      </c>
      <c r="BW390" s="93"/>
      <c r="BX390" s="93"/>
      <c r="BY390" s="92">
        <v>1.0</v>
      </c>
      <c r="BZ390" s="92">
        <v>1.0</v>
      </c>
    </row>
    <row r="391">
      <c r="B391" t="s">
        <v>1935</v>
      </c>
      <c r="C391" s="89" t="s">
        <v>1936</v>
      </c>
      <c r="D391" s="90" t="s">
        <v>1937</v>
      </c>
      <c r="E391" s="91">
        <v>2017.0</v>
      </c>
      <c r="F391" s="92">
        <v>1.0</v>
      </c>
      <c r="G391" s="93"/>
      <c r="H391" s="93"/>
      <c r="I391" s="93"/>
      <c r="J391" s="93"/>
      <c r="K391" s="93"/>
      <c r="L391" s="93"/>
      <c r="M391" s="93"/>
      <c r="N391" s="93"/>
      <c r="O391" s="93"/>
      <c r="P391" s="93"/>
      <c r="Q391" s="93"/>
      <c r="R391" s="93"/>
      <c r="S391" s="93"/>
      <c r="T391" s="93"/>
      <c r="U391" s="93"/>
      <c r="V391" s="93"/>
      <c r="W391" s="93"/>
      <c r="X391" s="93"/>
      <c r="Y391" s="93"/>
      <c r="Z391" s="93"/>
      <c r="AA391" s="93"/>
      <c r="AB391" s="93"/>
      <c r="AC391" s="93"/>
      <c r="AD391" s="93"/>
      <c r="AE391" s="93"/>
      <c r="AF391" s="93"/>
      <c r="AG391" s="93"/>
      <c r="AH391" s="94"/>
      <c r="AI391" s="93"/>
      <c r="AJ391" s="93"/>
      <c r="AK391" s="93"/>
      <c r="AL391" s="93"/>
      <c r="AM391" s="93"/>
      <c r="AN391" s="93"/>
      <c r="AO391" s="93"/>
      <c r="AP391" s="93"/>
      <c r="AQ391" s="93"/>
      <c r="AR391" s="93"/>
      <c r="AS391" s="93"/>
      <c r="AT391" s="93"/>
      <c r="AU391" s="93"/>
      <c r="AV391" s="93"/>
      <c r="AW391" s="93"/>
      <c r="AX391" s="93"/>
      <c r="AY391" s="93"/>
      <c r="AZ391" s="93"/>
      <c r="BA391" s="93"/>
      <c r="BB391" s="93"/>
      <c r="BC391" s="93"/>
      <c r="BD391" s="93"/>
      <c r="BE391" s="93"/>
      <c r="BF391" s="93"/>
      <c r="BG391" s="93"/>
      <c r="BH391" s="93"/>
      <c r="BI391" s="93"/>
      <c r="BJ391" s="93"/>
      <c r="BK391" s="93"/>
      <c r="BL391" s="93"/>
      <c r="BM391" s="93"/>
      <c r="BN391" s="93"/>
      <c r="BO391" s="93"/>
      <c r="BP391" s="93"/>
      <c r="BQ391" s="93"/>
      <c r="BR391" s="93"/>
      <c r="BS391" s="93"/>
      <c r="BT391" s="93"/>
      <c r="BU391" s="93"/>
      <c r="BV391" s="93"/>
      <c r="BW391" s="93"/>
      <c r="BX391" s="93"/>
      <c r="BY391" s="93"/>
      <c r="BZ391" s="93"/>
    </row>
    <row r="392">
      <c r="B392" t="s">
        <v>1938</v>
      </c>
      <c r="C392" s="89" t="s">
        <v>1939</v>
      </c>
      <c r="D392" s="90" t="s">
        <v>1756</v>
      </c>
      <c r="E392" s="91">
        <v>2017.0</v>
      </c>
      <c r="F392" s="92">
        <v>1.0</v>
      </c>
      <c r="G392" s="93"/>
      <c r="H392" s="93"/>
      <c r="I392" s="93"/>
      <c r="J392" s="93"/>
      <c r="K392" s="93"/>
      <c r="L392" s="93"/>
      <c r="M392" s="93"/>
      <c r="N392" s="93"/>
      <c r="O392" s="93"/>
      <c r="P392" s="93"/>
      <c r="Q392" s="93"/>
      <c r="R392" s="93"/>
      <c r="S392" s="93"/>
      <c r="T392" s="93"/>
      <c r="U392" s="93"/>
      <c r="V392" s="93"/>
      <c r="W392" s="93"/>
      <c r="X392" s="93"/>
      <c r="Y392" s="93"/>
      <c r="Z392" s="93"/>
      <c r="AA392" s="93"/>
      <c r="AB392" s="93"/>
      <c r="AC392" s="93"/>
      <c r="AD392" s="93"/>
      <c r="AE392" s="93"/>
      <c r="AF392" s="93"/>
      <c r="AG392" s="93"/>
      <c r="AH392" s="94"/>
      <c r="AI392" s="93"/>
      <c r="AJ392" s="93"/>
      <c r="AK392" s="93"/>
      <c r="AL392" s="93"/>
      <c r="AM392" s="93"/>
      <c r="AN392" s="93"/>
      <c r="AO392" s="93"/>
      <c r="AP392" s="93"/>
      <c r="AQ392" s="93"/>
      <c r="AR392" s="93"/>
      <c r="AS392" s="93"/>
      <c r="AT392" s="93"/>
      <c r="AU392" s="93"/>
      <c r="AV392" s="93"/>
      <c r="AW392" s="93"/>
      <c r="AX392" s="93"/>
      <c r="AY392" s="93"/>
      <c r="AZ392" s="93"/>
      <c r="BA392" s="93"/>
      <c r="BB392" s="93"/>
      <c r="BC392" s="93"/>
      <c r="BD392" s="93"/>
      <c r="BE392" s="93"/>
      <c r="BF392" s="93"/>
      <c r="BG392" s="93"/>
      <c r="BH392" s="93"/>
      <c r="BI392" s="93"/>
      <c r="BJ392" s="93"/>
      <c r="BK392" s="93"/>
      <c r="BL392" s="93"/>
      <c r="BM392" s="93"/>
      <c r="BN392" s="93"/>
      <c r="BO392" s="93"/>
      <c r="BP392" s="93"/>
      <c r="BQ392" s="93"/>
      <c r="BR392" s="93"/>
      <c r="BS392" s="93"/>
      <c r="BT392" s="93"/>
      <c r="BU392" s="93"/>
      <c r="BV392" s="93"/>
      <c r="BW392" s="93"/>
      <c r="BX392" s="93"/>
      <c r="BY392" s="93"/>
      <c r="BZ392" s="93"/>
    </row>
    <row r="393">
      <c r="A393" t="s">
        <v>1331</v>
      </c>
      <c r="B393" t="s">
        <v>1940</v>
      </c>
      <c r="C393" s="89" t="s">
        <v>1941</v>
      </c>
      <c r="D393" s="90" t="s">
        <v>1942</v>
      </c>
      <c r="E393" s="91">
        <v>2017.0</v>
      </c>
      <c r="F393" s="98"/>
      <c r="G393" s="93"/>
      <c r="H393" s="99">
        <v>1.0</v>
      </c>
      <c r="I393" s="99">
        <v>1.0</v>
      </c>
      <c r="J393" s="93"/>
      <c r="K393" s="93"/>
      <c r="L393" s="93"/>
      <c r="M393" s="93"/>
      <c r="N393" s="93"/>
      <c r="O393" s="93"/>
      <c r="P393" s="93"/>
      <c r="Q393" s="93"/>
      <c r="R393" s="93"/>
      <c r="S393" s="93"/>
      <c r="T393" s="93"/>
      <c r="U393" s="93"/>
      <c r="V393" s="93"/>
      <c r="W393" s="95" t="s">
        <v>1943</v>
      </c>
      <c r="X393" s="95" t="s">
        <v>1944</v>
      </c>
      <c r="Y393" s="95" t="s">
        <v>1945</v>
      </c>
      <c r="Z393" s="97" t="s">
        <v>1946</v>
      </c>
      <c r="AA393" s="93"/>
      <c r="AB393" s="99">
        <v>1.0</v>
      </c>
      <c r="AC393" s="98"/>
      <c r="AD393" s="99">
        <v>1.0</v>
      </c>
      <c r="AE393" s="93"/>
      <c r="AF393" s="93"/>
      <c r="AG393" s="93"/>
      <c r="AH393" s="96" t="s">
        <v>1947</v>
      </c>
      <c r="AI393" s="99">
        <v>1.0</v>
      </c>
      <c r="AJ393" s="93"/>
      <c r="AK393" s="93"/>
      <c r="AL393" s="93"/>
      <c r="AM393" s="93"/>
      <c r="AN393" s="93"/>
      <c r="AO393" s="93"/>
      <c r="AP393" s="93"/>
      <c r="AQ393" s="93"/>
      <c r="AR393" s="99">
        <v>1.0</v>
      </c>
      <c r="AS393" s="93"/>
      <c r="AT393" s="93"/>
      <c r="AU393" s="93"/>
      <c r="AV393" s="93"/>
      <c r="AW393" s="93"/>
      <c r="AX393" s="93"/>
      <c r="AY393" s="93"/>
      <c r="AZ393" s="93"/>
      <c r="BA393" s="93"/>
      <c r="BB393" s="93"/>
      <c r="BC393" s="93"/>
      <c r="BD393" s="93"/>
      <c r="BE393" s="93"/>
      <c r="BF393" s="93"/>
      <c r="BG393" s="93"/>
      <c r="BH393" s="93"/>
      <c r="BI393" s="99">
        <v>1.0</v>
      </c>
      <c r="BJ393" s="93"/>
      <c r="BK393" s="93"/>
      <c r="BL393" s="93"/>
      <c r="BM393" s="93"/>
      <c r="BN393" s="93"/>
      <c r="BO393" s="93"/>
      <c r="BP393" s="93"/>
      <c r="BQ393" s="93"/>
      <c r="BR393" s="93"/>
      <c r="BS393" s="93"/>
      <c r="BT393" s="99">
        <v>1.0</v>
      </c>
      <c r="BU393" s="93"/>
      <c r="BV393" s="93"/>
      <c r="BW393" s="99">
        <v>1.0</v>
      </c>
      <c r="BX393" s="93"/>
      <c r="BY393" s="93"/>
      <c r="BZ393" s="99">
        <v>1.0</v>
      </c>
    </row>
    <row r="394">
      <c r="B394" t="s">
        <v>1948</v>
      </c>
      <c r="C394" s="89" t="s">
        <v>1949</v>
      </c>
      <c r="D394" s="90" t="s">
        <v>1950</v>
      </c>
      <c r="E394" s="91">
        <v>2017.0</v>
      </c>
      <c r="F394" s="92">
        <v>1.0</v>
      </c>
      <c r="G394" s="93"/>
      <c r="H394" s="93"/>
      <c r="I394" s="93"/>
      <c r="J394" s="93"/>
      <c r="K394" s="93"/>
      <c r="L394" s="93"/>
      <c r="M394" s="93"/>
      <c r="N394" s="93"/>
      <c r="O394" s="93"/>
      <c r="P394" s="93"/>
      <c r="Q394" s="93"/>
      <c r="R394" s="93"/>
      <c r="S394" s="93"/>
      <c r="T394" s="93"/>
      <c r="U394" s="93"/>
      <c r="V394" s="93"/>
      <c r="W394" s="93"/>
      <c r="X394" s="93"/>
      <c r="Y394" s="93"/>
      <c r="Z394" s="93"/>
      <c r="AA394" s="93"/>
      <c r="AB394" s="93"/>
      <c r="AC394" s="93"/>
      <c r="AD394" s="93"/>
      <c r="AE394" s="93"/>
      <c r="AF394" s="93"/>
      <c r="AG394" s="93"/>
      <c r="AH394" s="94"/>
      <c r="AI394" s="93"/>
      <c r="AJ394" s="93"/>
      <c r="AK394" s="93"/>
      <c r="AL394" s="93"/>
      <c r="AM394" s="93"/>
      <c r="AN394" s="93"/>
      <c r="AO394" s="93"/>
      <c r="AP394" s="93"/>
      <c r="AQ394" s="93"/>
      <c r="AR394" s="93"/>
      <c r="AS394" s="93"/>
      <c r="AT394" s="93"/>
      <c r="AU394" s="93"/>
      <c r="AV394" s="93"/>
      <c r="AW394" s="93"/>
      <c r="AX394" s="93"/>
      <c r="AY394" s="93"/>
      <c r="AZ394" s="93"/>
      <c r="BA394" s="93"/>
      <c r="BB394" s="93"/>
      <c r="BC394" s="93"/>
      <c r="BD394" s="93"/>
      <c r="BE394" s="93"/>
      <c r="BF394" s="93"/>
      <c r="BG394" s="93"/>
      <c r="BH394" s="93"/>
      <c r="BI394" s="93"/>
      <c r="BJ394" s="93"/>
      <c r="BK394" s="93"/>
      <c r="BL394" s="93"/>
      <c r="BM394" s="93"/>
      <c r="BN394" s="93"/>
      <c r="BO394" s="93"/>
      <c r="BP394" s="93"/>
      <c r="BQ394" s="93"/>
      <c r="BR394" s="93"/>
      <c r="BS394" s="93"/>
      <c r="BT394" s="93"/>
      <c r="BU394" s="93"/>
      <c r="BV394" s="93"/>
      <c r="BW394" s="93"/>
      <c r="BX394" s="93"/>
      <c r="BY394" s="93"/>
      <c r="BZ394" s="93"/>
    </row>
    <row r="395">
      <c r="A395" t="s">
        <v>1340</v>
      </c>
      <c r="B395" t="s">
        <v>1951</v>
      </c>
      <c r="C395" s="89" t="s">
        <v>1952</v>
      </c>
      <c r="D395" s="90" t="s">
        <v>1546</v>
      </c>
      <c r="E395" s="91">
        <v>2017.0</v>
      </c>
      <c r="F395" s="92">
        <v>1.0</v>
      </c>
      <c r="G395" s="93"/>
      <c r="H395" s="93"/>
      <c r="I395" s="93"/>
      <c r="J395" s="93"/>
      <c r="K395" s="93"/>
      <c r="L395" s="93"/>
      <c r="M395" s="93"/>
      <c r="N395" s="93"/>
      <c r="O395" s="93"/>
      <c r="P395" s="93"/>
      <c r="Q395" s="93"/>
      <c r="R395" s="93"/>
      <c r="S395" s="93"/>
      <c r="T395" s="93"/>
      <c r="U395" s="93"/>
      <c r="V395" s="93"/>
      <c r="W395" s="93"/>
      <c r="X395" s="93"/>
      <c r="Y395" s="93"/>
      <c r="Z395" s="93"/>
      <c r="AA395" s="93"/>
      <c r="AB395" s="93"/>
      <c r="AC395" s="93"/>
      <c r="AD395" s="93"/>
      <c r="AE395" s="93"/>
      <c r="AF395" s="93"/>
      <c r="AG395" s="93"/>
      <c r="AH395" s="94"/>
      <c r="AI395" s="93"/>
      <c r="AJ395" s="93"/>
      <c r="AK395" s="93"/>
      <c r="AL395" s="93"/>
      <c r="AM395" s="93"/>
      <c r="AN395" s="93"/>
      <c r="AO395" s="93"/>
      <c r="AP395" s="93"/>
      <c r="AQ395" s="93"/>
      <c r="AR395" s="93"/>
      <c r="AS395" s="93"/>
      <c r="AT395" s="93"/>
      <c r="AU395" s="93"/>
      <c r="AV395" s="93"/>
      <c r="AW395" s="93"/>
      <c r="AX395" s="93"/>
      <c r="AY395" s="93"/>
      <c r="AZ395" s="93"/>
      <c r="BA395" s="93"/>
      <c r="BB395" s="93"/>
      <c r="BC395" s="93"/>
      <c r="BD395" s="93"/>
      <c r="BE395" s="93"/>
      <c r="BF395" s="93"/>
      <c r="BG395" s="93"/>
      <c r="BH395" s="93"/>
      <c r="BI395" s="93"/>
      <c r="BJ395" s="93"/>
      <c r="BK395" s="93"/>
      <c r="BL395" s="93"/>
      <c r="BM395" s="93"/>
      <c r="BN395" s="93"/>
      <c r="BO395" s="93"/>
      <c r="BP395" s="93"/>
      <c r="BQ395" s="93"/>
      <c r="BR395" s="93"/>
      <c r="BS395" s="93"/>
      <c r="BT395" s="93"/>
      <c r="BU395" s="93"/>
      <c r="BV395" s="93"/>
      <c r="BW395" s="93"/>
      <c r="BX395" s="93"/>
      <c r="BY395" s="93"/>
      <c r="BZ395" s="93"/>
    </row>
    <row r="396">
      <c r="B396" t="s">
        <v>1953</v>
      </c>
      <c r="C396" s="89" t="s">
        <v>1954</v>
      </c>
      <c r="D396" s="90" t="s">
        <v>1955</v>
      </c>
      <c r="E396" s="91">
        <v>2017.0</v>
      </c>
      <c r="F396" s="97" t="s">
        <v>1537</v>
      </c>
      <c r="G396" s="93"/>
      <c r="H396" s="93"/>
      <c r="I396" s="93"/>
      <c r="J396" s="93"/>
      <c r="K396" s="93"/>
      <c r="L396" s="93"/>
      <c r="M396" s="93"/>
      <c r="N396" s="93"/>
      <c r="O396" s="93"/>
      <c r="P396" s="93"/>
      <c r="Q396" s="93"/>
      <c r="R396" s="93"/>
      <c r="S396" s="93"/>
      <c r="T396" s="93"/>
      <c r="U396" s="93"/>
      <c r="V396" s="93"/>
      <c r="W396" s="93"/>
      <c r="X396" s="93"/>
      <c r="Y396" s="93"/>
      <c r="Z396" s="93"/>
      <c r="AA396" s="93"/>
      <c r="AB396" s="93"/>
      <c r="AC396" s="93"/>
      <c r="AD396" s="93"/>
      <c r="AE396" s="93"/>
      <c r="AF396" s="93"/>
      <c r="AG396" s="93"/>
      <c r="AH396" s="94"/>
      <c r="AI396" s="93"/>
      <c r="AJ396" s="93"/>
      <c r="AK396" s="93"/>
      <c r="AL396" s="93"/>
      <c r="AM396" s="93"/>
      <c r="AN396" s="93"/>
      <c r="AO396" s="93"/>
      <c r="AP396" s="93"/>
      <c r="AQ396" s="93"/>
      <c r="AR396" s="93"/>
      <c r="AS396" s="93"/>
      <c r="AT396" s="93"/>
      <c r="AU396" s="93"/>
      <c r="AV396" s="93"/>
      <c r="AW396" s="93"/>
      <c r="AX396" s="93"/>
      <c r="AY396" s="93"/>
      <c r="AZ396" s="93"/>
      <c r="BA396" s="93"/>
      <c r="BB396" s="93"/>
      <c r="BC396" s="93"/>
      <c r="BD396" s="93"/>
      <c r="BE396" s="93"/>
      <c r="BF396" s="93"/>
      <c r="BG396" s="93"/>
      <c r="BH396" s="93"/>
      <c r="BI396" s="93"/>
      <c r="BJ396" s="93"/>
      <c r="BK396" s="93"/>
      <c r="BL396" s="93"/>
      <c r="BM396" s="93"/>
      <c r="BN396" s="93"/>
      <c r="BO396" s="93"/>
      <c r="BP396" s="93"/>
      <c r="BQ396" s="93"/>
      <c r="BR396" s="93"/>
      <c r="BS396" s="93"/>
      <c r="BT396" s="93"/>
      <c r="BU396" s="93"/>
      <c r="BV396" s="93"/>
      <c r="BW396" s="93"/>
      <c r="BX396" s="93"/>
      <c r="BY396" s="93"/>
      <c r="BZ396" s="93"/>
    </row>
    <row r="397">
      <c r="A397" t="s">
        <v>1354</v>
      </c>
      <c r="B397" t="s">
        <v>1956</v>
      </c>
      <c r="C397" s="89" t="s">
        <v>1957</v>
      </c>
      <c r="D397" s="90" t="s">
        <v>613</v>
      </c>
      <c r="E397" s="91">
        <v>2017.0</v>
      </c>
      <c r="F397" s="98"/>
      <c r="G397" s="98" t="s">
        <v>748</v>
      </c>
      <c r="H397" s="93"/>
      <c r="I397" s="93"/>
      <c r="J397" s="93"/>
      <c r="K397" s="93"/>
      <c r="L397" s="93"/>
      <c r="M397" s="93"/>
      <c r="N397" s="99">
        <v>1.0</v>
      </c>
      <c r="O397" s="93"/>
      <c r="P397" s="93"/>
      <c r="Q397" s="93"/>
      <c r="R397" s="93"/>
      <c r="S397" s="93"/>
      <c r="T397" s="93"/>
      <c r="U397" s="93"/>
      <c r="V397" s="98" t="s">
        <v>1958</v>
      </c>
      <c r="W397" s="98" t="s">
        <v>1959</v>
      </c>
      <c r="X397" s="98" t="s">
        <v>1960</v>
      </c>
      <c r="Y397" s="98" t="s">
        <v>1960</v>
      </c>
      <c r="Z397" s="98" t="s">
        <v>1961</v>
      </c>
      <c r="AA397" s="93"/>
      <c r="AB397" s="93"/>
      <c r="AC397" s="99">
        <v>1.0</v>
      </c>
      <c r="AD397" s="93"/>
      <c r="AE397" s="93"/>
      <c r="AF397" s="93"/>
      <c r="AG397" s="93"/>
      <c r="AH397" s="96" t="s">
        <v>1962</v>
      </c>
      <c r="AI397" s="99">
        <v>1.0</v>
      </c>
      <c r="AJ397" s="93"/>
      <c r="AK397" s="93"/>
      <c r="AL397" s="93"/>
      <c r="AM397" s="93"/>
      <c r="AN397" s="93"/>
      <c r="AO397" s="93"/>
      <c r="AP397" s="93"/>
      <c r="AQ397" s="93"/>
      <c r="AR397" s="99">
        <v>1.0</v>
      </c>
      <c r="AS397" s="93"/>
      <c r="AT397" s="98" t="s">
        <v>748</v>
      </c>
      <c r="AU397" s="93"/>
      <c r="AV397" s="93"/>
      <c r="AW397" s="93"/>
      <c r="AX397" s="93"/>
      <c r="AY397" s="93"/>
      <c r="AZ397" s="93"/>
      <c r="BA397" s="93"/>
      <c r="BB397" s="93"/>
      <c r="BC397" s="93"/>
      <c r="BD397" s="93"/>
      <c r="BE397" s="93"/>
      <c r="BF397" s="93"/>
      <c r="BG397" s="93"/>
      <c r="BH397" s="93"/>
      <c r="BI397" s="99">
        <v>1.0</v>
      </c>
      <c r="BJ397" s="93"/>
      <c r="BK397" s="93"/>
      <c r="BL397" s="93"/>
      <c r="BM397" s="93"/>
      <c r="BN397" s="93"/>
      <c r="BO397" s="93"/>
      <c r="BP397" s="93"/>
      <c r="BQ397" s="93"/>
      <c r="BR397" s="93"/>
      <c r="BS397" s="93"/>
      <c r="BT397" s="93"/>
      <c r="BU397" s="93"/>
      <c r="BV397" s="93"/>
      <c r="BW397" s="93"/>
      <c r="BX397" s="93"/>
      <c r="BY397" s="93"/>
      <c r="BZ397" s="93"/>
    </row>
    <row r="398">
      <c r="B398" t="s">
        <v>1963</v>
      </c>
      <c r="C398" s="89" t="s">
        <v>1964</v>
      </c>
      <c r="D398" s="90" t="s">
        <v>1965</v>
      </c>
      <c r="E398" s="91">
        <v>2017.0</v>
      </c>
      <c r="F398" s="92">
        <v>1.0</v>
      </c>
      <c r="G398" s="93"/>
      <c r="H398" s="93"/>
      <c r="I398" s="93"/>
      <c r="J398" s="93"/>
      <c r="K398" s="93"/>
      <c r="L398" s="93"/>
      <c r="M398" s="93"/>
      <c r="N398" s="93"/>
      <c r="O398" s="93"/>
      <c r="P398" s="93"/>
      <c r="Q398" s="93"/>
      <c r="R398" s="93"/>
      <c r="S398" s="93"/>
      <c r="T398" s="93"/>
      <c r="U398" s="93"/>
      <c r="V398" s="93"/>
      <c r="W398" s="93"/>
      <c r="X398" s="93"/>
      <c r="Y398" s="93"/>
      <c r="Z398" s="93"/>
      <c r="AA398" s="93"/>
      <c r="AB398" s="93"/>
      <c r="AC398" s="93"/>
      <c r="AD398" s="93"/>
      <c r="AE398" s="93"/>
      <c r="AF398" s="93"/>
      <c r="AG398" s="93"/>
      <c r="AH398" s="94"/>
      <c r="AI398" s="93"/>
      <c r="AJ398" s="93"/>
      <c r="AK398" s="93"/>
      <c r="AL398" s="93"/>
      <c r="AM398" s="93"/>
      <c r="AN398" s="93"/>
      <c r="AO398" s="93"/>
      <c r="AP398" s="93"/>
      <c r="AQ398" s="93"/>
      <c r="AR398" s="93"/>
      <c r="AS398" s="93"/>
      <c r="AT398" s="93"/>
      <c r="AU398" s="93"/>
      <c r="AV398" s="93"/>
      <c r="AW398" s="93"/>
      <c r="AX398" s="93"/>
      <c r="AY398" s="93"/>
      <c r="AZ398" s="93"/>
      <c r="BA398" s="93"/>
      <c r="BB398" s="93"/>
      <c r="BC398" s="93"/>
      <c r="BD398" s="93"/>
      <c r="BE398" s="93"/>
      <c r="BF398" s="93"/>
      <c r="BG398" s="93"/>
      <c r="BH398" s="93"/>
      <c r="BI398" s="93"/>
      <c r="BJ398" s="93"/>
      <c r="BK398" s="93"/>
      <c r="BL398" s="93"/>
      <c r="BM398" s="93"/>
      <c r="BN398" s="93"/>
      <c r="BO398" s="93"/>
      <c r="BP398" s="93"/>
      <c r="BQ398" s="93"/>
      <c r="BR398" s="93"/>
      <c r="BS398" s="93"/>
      <c r="BT398" s="93"/>
      <c r="BU398" s="93"/>
      <c r="BV398" s="93"/>
      <c r="BW398" s="93"/>
      <c r="BX398" s="93"/>
      <c r="BY398" s="93"/>
      <c r="BZ398" s="93"/>
    </row>
    <row r="399">
      <c r="B399" t="s">
        <v>1966</v>
      </c>
      <c r="C399" s="89" t="s">
        <v>1967</v>
      </c>
      <c r="D399" s="90" t="s">
        <v>1968</v>
      </c>
      <c r="E399" s="91">
        <v>2016.0</v>
      </c>
      <c r="F399" s="95" t="s">
        <v>1488</v>
      </c>
      <c r="G399" s="93"/>
      <c r="H399" s="93"/>
      <c r="I399" s="93"/>
      <c r="J399" s="93"/>
      <c r="K399" s="93"/>
      <c r="L399" s="93"/>
      <c r="M399" s="93"/>
      <c r="N399" s="93"/>
      <c r="O399" s="93"/>
      <c r="P399" s="93"/>
      <c r="Q399" s="93"/>
      <c r="R399" s="93"/>
      <c r="S399" s="93"/>
      <c r="T399" s="93"/>
      <c r="U399" s="93"/>
      <c r="V399" s="93"/>
      <c r="W399" s="93"/>
      <c r="X399" s="93"/>
      <c r="Y399" s="93"/>
      <c r="Z399" s="93"/>
      <c r="AA399" s="93"/>
      <c r="AB399" s="93"/>
      <c r="AC399" s="93"/>
      <c r="AD399" s="93"/>
      <c r="AE399" s="93"/>
      <c r="AF399" s="93"/>
      <c r="AG399" s="93"/>
      <c r="AH399" s="94"/>
      <c r="AI399" s="93"/>
      <c r="AJ399" s="93"/>
      <c r="AK399" s="93"/>
      <c r="AL399" s="93"/>
      <c r="AM399" s="93"/>
      <c r="AN399" s="93"/>
      <c r="AO399" s="93"/>
      <c r="AP399" s="93"/>
      <c r="AQ399" s="93"/>
      <c r="AR399" s="93"/>
      <c r="AS399" s="93"/>
      <c r="AT399" s="93"/>
      <c r="AU399" s="93"/>
      <c r="AV399" s="93"/>
      <c r="AW399" s="93"/>
      <c r="AX399" s="93"/>
      <c r="AY399" s="93"/>
      <c r="AZ399" s="93"/>
      <c r="BA399" s="93"/>
      <c r="BB399" s="93"/>
      <c r="BC399" s="93"/>
      <c r="BD399" s="93"/>
      <c r="BE399" s="93"/>
      <c r="BF399" s="93"/>
      <c r="BG399" s="93"/>
      <c r="BH399" s="93"/>
      <c r="BI399" s="93"/>
      <c r="BJ399" s="93"/>
      <c r="BK399" s="93"/>
      <c r="BL399" s="93"/>
      <c r="BM399" s="93"/>
      <c r="BN399" s="93"/>
      <c r="BO399" s="93"/>
      <c r="BP399" s="93"/>
      <c r="BQ399" s="93"/>
      <c r="BR399" s="93"/>
      <c r="BS399" s="93"/>
      <c r="BT399" s="93"/>
      <c r="BU399" s="93"/>
      <c r="BV399" s="93"/>
      <c r="BW399" s="93"/>
      <c r="BX399" s="93"/>
      <c r="BY399" s="93"/>
      <c r="BZ399" s="93"/>
    </row>
    <row r="400">
      <c r="A400" t="s">
        <v>116</v>
      </c>
      <c r="B400" t="s">
        <v>1969</v>
      </c>
      <c r="C400" s="89" t="s">
        <v>1970</v>
      </c>
      <c r="D400" s="90" t="s">
        <v>588</v>
      </c>
      <c r="E400" s="91">
        <v>2017.0</v>
      </c>
      <c r="F400" s="95"/>
      <c r="G400" s="93"/>
      <c r="H400" s="92">
        <v>1.0</v>
      </c>
      <c r="I400" s="92">
        <v>1.0</v>
      </c>
      <c r="J400" s="93"/>
      <c r="K400" s="93"/>
      <c r="L400" s="93"/>
      <c r="M400" s="93"/>
      <c r="N400" s="93"/>
      <c r="O400" s="93"/>
      <c r="P400" s="93"/>
      <c r="Q400" s="93"/>
      <c r="R400" s="93"/>
      <c r="S400" s="93"/>
      <c r="T400" s="93"/>
      <c r="U400" s="93"/>
      <c r="V400" s="93"/>
      <c r="W400" s="95" t="s">
        <v>1971</v>
      </c>
      <c r="X400" s="95" t="s">
        <v>1972</v>
      </c>
      <c r="Y400" s="95" t="s">
        <v>1973</v>
      </c>
      <c r="Z400" s="97" t="s">
        <v>122</v>
      </c>
      <c r="AA400" s="95"/>
      <c r="AB400" s="93"/>
      <c r="AC400" s="93"/>
      <c r="AD400" s="95"/>
      <c r="AE400" s="93"/>
      <c r="AF400" s="93"/>
      <c r="AG400" s="92">
        <v>1.0</v>
      </c>
      <c r="AH400" s="96" t="s">
        <v>1974</v>
      </c>
      <c r="AI400" s="92">
        <v>1.0</v>
      </c>
      <c r="AJ400" s="93"/>
      <c r="AK400" s="93"/>
      <c r="AL400" s="93"/>
      <c r="AM400" s="93"/>
      <c r="AN400" s="93"/>
      <c r="AO400" s="93"/>
      <c r="AP400" s="93"/>
      <c r="AQ400" s="93"/>
      <c r="AR400" s="92">
        <v>1.0</v>
      </c>
      <c r="AS400" s="93"/>
      <c r="AT400" s="93"/>
      <c r="AU400" s="93"/>
      <c r="AV400" s="93"/>
      <c r="AW400" s="93"/>
      <c r="AX400" s="93"/>
      <c r="AY400" s="93"/>
      <c r="AZ400" s="93"/>
      <c r="BA400" s="93"/>
      <c r="BB400" s="92">
        <v>1.0</v>
      </c>
      <c r="BC400" s="93"/>
      <c r="BD400" s="93"/>
      <c r="BE400" s="92">
        <v>1.0</v>
      </c>
      <c r="BF400" s="93"/>
      <c r="BG400" s="93"/>
      <c r="BH400" s="93"/>
      <c r="BI400" s="93"/>
      <c r="BJ400" s="93"/>
      <c r="BK400" s="93"/>
      <c r="BL400" s="93"/>
      <c r="BM400" s="93"/>
      <c r="BN400" s="93"/>
      <c r="BO400" s="93"/>
      <c r="BP400" s="93"/>
      <c r="BQ400" s="93"/>
      <c r="BR400" s="93"/>
      <c r="BS400" s="93"/>
      <c r="BT400" s="93"/>
      <c r="BU400" s="93"/>
      <c r="BV400" s="93"/>
      <c r="BW400" s="93"/>
      <c r="BX400" s="93"/>
      <c r="BY400" s="93"/>
      <c r="BZ400" s="93"/>
    </row>
    <row r="401">
      <c r="A401" t="s">
        <v>1331</v>
      </c>
      <c r="B401" t="s">
        <v>1975</v>
      </c>
      <c r="C401" s="89" t="s">
        <v>1976</v>
      </c>
      <c r="D401" s="90" t="s">
        <v>588</v>
      </c>
      <c r="E401" s="91">
        <v>2017.0</v>
      </c>
      <c r="F401" s="93"/>
      <c r="G401" s="92">
        <v>1.0</v>
      </c>
      <c r="H401" s="93"/>
      <c r="I401" s="93"/>
      <c r="J401" s="93"/>
      <c r="K401" s="93"/>
      <c r="L401" s="93"/>
      <c r="M401" s="93"/>
      <c r="N401" s="93"/>
      <c r="O401" s="93"/>
      <c r="P401" s="93"/>
      <c r="Q401" s="93"/>
      <c r="R401" s="93"/>
      <c r="S401" s="93"/>
      <c r="T401" s="93"/>
      <c r="U401" s="93"/>
      <c r="V401" s="93"/>
      <c r="W401" s="98" t="s">
        <v>1977</v>
      </c>
      <c r="X401" s="98" t="s">
        <v>1978</v>
      </c>
      <c r="Y401" s="98" t="s">
        <v>1979</v>
      </c>
      <c r="Z401" s="98" t="s">
        <v>1385</v>
      </c>
      <c r="AA401" s="92">
        <v>1.0</v>
      </c>
      <c r="AB401" s="93"/>
      <c r="AC401" s="93"/>
      <c r="AD401" s="92">
        <v>1.0</v>
      </c>
      <c r="AE401" s="93"/>
      <c r="AF401" s="93"/>
      <c r="AG401" s="93"/>
      <c r="AH401" s="96" t="s">
        <v>1980</v>
      </c>
      <c r="AI401" s="92">
        <v>1.0</v>
      </c>
      <c r="AJ401" s="93"/>
      <c r="AK401" s="93"/>
      <c r="AL401" s="93"/>
      <c r="AM401" s="93"/>
      <c r="AN401" s="93"/>
      <c r="AO401" s="93"/>
      <c r="AP401" s="93"/>
      <c r="AQ401" s="93"/>
      <c r="AR401" s="93"/>
      <c r="AS401" s="93"/>
      <c r="AT401" s="93"/>
      <c r="AU401" s="93"/>
      <c r="AV401" s="93"/>
      <c r="AW401" s="93"/>
      <c r="AX401" s="93"/>
      <c r="AY401" s="93"/>
      <c r="AZ401" s="93"/>
      <c r="BA401" s="93"/>
      <c r="BB401" s="93"/>
      <c r="BC401" s="93"/>
      <c r="BD401" s="93"/>
      <c r="BE401" s="92">
        <v>1.0</v>
      </c>
      <c r="BF401" s="93"/>
      <c r="BG401" s="93"/>
      <c r="BH401" s="93"/>
      <c r="BI401" s="92">
        <v>1.0</v>
      </c>
      <c r="BJ401" s="93"/>
      <c r="BK401" s="93"/>
      <c r="BL401" s="93"/>
      <c r="BM401" s="93"/>
      <c r="BN401" s="93"/>
      <c r="BO401" s="93"/>
      <c r="BP401" s="93"/>
      <c r="BQ401" s="93"/>
      <c r="BR401" s="93"/>
      <c r="BS401" s="93"/>
      <c r="BT401" s="93"/>
      <c r="BU401" s="93"/>
      <c r="BV401" s="92">
        <v>1.0</v>
      </c>
      <c r="BW401" s="92">
        <v>1.0</v>
      </c>
      <c r="BX401" s="93"/>
      <c r="BY401" s="93"/>
      <c r="BZ401" s="93"/>
    </row>
    <row r="402">
      <c r="A402" t="s">
        <v>1340</v>
      </c>
      <c r="B402" t="s">
        <v>1981</v>
      </c>
      <c r="C402" s="89" t="s">
        <v>1982</v>
      </c>
      <c r="D402" s="90" t="s">
        <v>588</v>
      </c>
      <c r="E402" s="91">
        <v>2017.0</v>
      </c>
      <c r="F402" s="93"/>
      <c r="G402" s="92">
        <v>1.0</v>
      </c>
      <c r="H402" s="93"/>
      <c r="I402" s="93"/>
      <c r="J402" s="93"/>
      <c r="K402" s="93"/>
      <c r="L402" s="93"/>
      <c r="M402" s="93"/>
      <c r="N402" s="93"/>
      <c r="O402" s="93"/>
      <c r="P402" s="93"/>
      <c r="Q402" s="93"/>
      <c r="R402" s="93"/>
      <c r="S402" s="93"/>
      <c r="T402" s="93"/>
      <c r="U402" s="93"/>
      <c r="V402" s="98" t="s">
        <v>1983</v>
      </c>
      <c r="W402" s="98" t="s">
        <v>1984</v>
      </c>
      <c r="X402" s="98" t="s">
        <v>1985</v>
      </c>
      <c r="Y402" s="98" t="s">
        <v>1986</v>
      </c>
      <c r="Z402" s="98" t="s">
        <v>137</v>
      </c>
      <c r="AA402" s="93"/>
      <c r="AB402" s="92">
        <v>1.0</v>
      </c>
      <c r="AC402" s="93"/>
      <c r="AD402" s="92">
        <v>1.0</v>
      </c>
      <c r="AE402" s="93"/>
      <c r="AF402" s="93"/>
      <c r="AG402" s="93"/>
      <c r="AH402" s="96" t="s">
        <v>1987</v>
      </c>
      <c r="AI402" s="92">
        <v>1.0</v>
      </c>
      <c r="AJ402" s="93"/>
      <c r="AK402" s="93"/>
      <c r="AL402" s="93"/>
      <c r="AM402" s="93"/>
      <c r="AN402" s="92">
        <v>1.0</v>
      </c>
      <c r="AO402" s="93"/>
      <c r="AP402" s="93"/>
      <c r="AQ402" s="93"/>
      <c r="AR402" s="93"/>
      <c r="AS402" s="93"/>
      <c r="AT402" s="93"/>
      <c r="AU402" s="93"/>
      <c r="AV402" s="93"/>
      <c r="AW402" s="93"/>
      <c r="AX402" s="93"/>
      <c r="AY402" s="93"/>
      <c r="AZ402" s="93"/>
      <c r="BA402" s="93"/>
      <c r="BB402" s="93"/>
      <c r="BC402" s="93"/>
      <c r="BD402" s="93"/>
      <c r="BE402" s="93"/>
      <c r="BF402" s="93"/>
      <c r="BG402" s="93"/>
      <c r="BH402" s="93"/>
      <c r="BI402" s="93"/>
      <c r="BJ402" s="93"/>
      <c r="BK402" s="93"/>
      <c r="BL402" s="93"/>
      <c r="BM402" s="93"/>
      <c r="BN402" s="93"/>
      <c r="BO402" s="93"/>
      <c r="BP402" s="93"/>
      <c r="BQ402" s="95" t="s">
        <v>1203</v>
      </c>
      <c r="BR402" s="93"/>
      <c r="BS402" s="93"/>
      <c r="BT402" s="93"/>
      <c r="BU402" s="93"/>
      <c r="BV402" s="92">
        <v>1.0</v>
      </c>
      <c r="BW402" s="92">
        <v>1.0</v>
      </c>
      <c r="BX402" s="93"/>
      <c r="BY402" s="92">
        <v>1.0</v>
      </c>
      <c r="BZ402" s="93"/>
    </row>
    <row r="403">
      <c r="A403" t="s">
        <v>1354</v>
      </c>
      <c r="B403" t="s">
        <v>1988</v>
      </c>
      <c r="C403" s="89" t="s">
        <v>1989</v>
      </c>
      <c r="D403" s="90" t="s">
        <v>588</v>
      </c>
      <c r="E403" s="91">
        <v>2017.0</v>
      </c>
      <c r="F403" s="99">
        <v>1.0</v>
      </c>
      <c r="G403" s="98" t="s">
        <v>748</v>
      </c>
      <c r="H403" s="93"/>
      <c r="I403" s="93"/>
      <c r="J403" s="98" t="s">
        <v>748</v>
      </c>
      <c r="K403" s="93"/>
      <c r="L403" s="93"/>
      <c r="M403" s="93"/>
      <c r="N403" s="93"/>
      <c r="O403" s="93"/>
      <c r="P403" s="93"/>
      <c r="Q403" s="93"/>
      <c r="R403" s="93"/>
      <c r="S403" s="93"/>
      <c r="T403" s="93"/>
      <c r="U403" s="93"/>
      <c r="V403" s="93"/>
      <c r="W403" s="98" t="s">
        <v>748</v>
      </c>
      <c r="X403" s="93"/>
      <c r="Y403" s="93"/>
      <c r="Z403" s="93"/>
      <c r="AA403" s="98" t="s">
        <v>748</v>
      </c>
      <c r="AB403" s="93"/>
      <c r="AC403" s="93"/>
      <c r="AD403" s="93"/>
      <c r="AE403" s="93"/>
      <c r="AF403" s="93"/>
      <c r="AG403" s="93"/>
      <c r="AH403" s="94"/>
      <c r="AI403" s="93"/>
      <c r="AJ403" s="93"/>
      <c r="AK403" s="93"/>
      <c r="AL403" s="93"/>
      <c r="AM403" s="93"/>
      <c r="AN403" s="93"/>
      <c r="AO403" s="93"/>
      <c r="AP403" s="93"/>
      <c r="AQ403" s="93"/>
      <c r="AR403" s="93"/>
      <c r="AS403" s="93"/>
      <c r="AT403" s="93"/>
      <c r="AU403" s="93"/>
      <c r="AV403" s="93"/>
      <c r="AW403" s="93"/>
      <c r="AX403" s="93"/>
      <c r="AY403" s="93"/>
      <c r="AZ403" s="93"/>
      <c r="BA403" s="93"/>
      <c r="BB403" s="93"/>
      <c r="BC403" s="93"/>
      <c r="BD403" s="93"/>
      <c r="BE403" s="93"/>
      <c r="BF403" s="93"/>
      <c r="BG403" s="93"/>
      <c r="BH403" s="93"/>
      <c r="BI403" s="93"/>
      <c r="BJ403" s="93"/>
      <c r="BK403" s="93"/>
      <c r="BL403" s="93"/>
      <c r="BM403" s="93"/>
      <c r="BN403" s="93"/>
      <c r="BO403" s="93"/>
      <c r="BP403" s="93"/>
      <c r="BQ403" s="93"/>
      <c r="BR403" s="93"/>
      <c r="BS403" s="93"/>
      <c r="BT403" s="93"/>
      <c r="BU403" s="93"/>
      <c r="BV403" s="93"/>
      <c r="BW403" s="93"/>
      <c r="BX403" s="93"/>
      <c r="BY403" s="93"/>
      <c r="BZ403" s="93"/>
    </row>
    <row r="404">
      <c r="A404" t="s">
        <v>116</v>
      </c>
      <c r="B404" t="s">
        <v>1990</v>
      </c>
      <c r="C404" s="89" t="s">
        <v>1991</v>
      </c>
      <c r="D404" s="90" t="s">
        <v>588</v>
      </c>
      <c r="E404" s="91">
        <v>2017.0</v>
      </c>
      <c r="F404" s="95"/>
      <c r="G404" s="93"/>
      <c r="H404" s="92">
        <v>1.0</v>
      </c>
      <c r="I404" s="93"/>
      <c r="J404" s="93"/>
      <c r="K404" s="93"/>
      <c r="L404" s="93"/>
      <c r="M404" s="93"/>
      <c r="N404" s="93"/>
      <c r="O404" s="93"/>
      <c r="P404" s="93"/>
      <c r="Q404" s="93"/>
      <c r="R404" s="93"/>
      <c r="S404" s="93"/>
      <c r="T404" s="93"/>
      <c r="U404" s="93"/>
      <c r="V404" s="93"/>
      <c r="W404" s="95" t="s">
        <v>70</v>
      </c>
      <c r="X404" s="95" t="s">
        <v>1992</v>
      </c>
      <c r="Y404" s="95" t="s">
        <v>1993</v>
      </c>
      <c r="Z404" s="97" t="s">
        <v>122</v>
      </c>
      <c r="AA404" s="93"/>
      <c r="AB404" s="92">
        <v>1.0</v>
      </c>
      <c r="AC404" s="93"/>
      <c r="AD404" s="92">
        <v>1.0</v>
      </c>
      <c r="AE404" s="93"/>
      <c r="AF404" s="93"/>
      <c r="AG404" s="93"/>
      <c r="AH404" s="96" t="s">
        <v>1994</v>
      </c>
      <c r="AI404" s="92">
        <v>1.0</v>
      </c>
      <c r="AJ404" s="93"/>
      <c r="AK404" s="93"/>
      <c r="AL404" s="93"/>
      <c r="AM404" s="93"/>
      <c r="AN404" s="93"/>
      <c r="AO404" s="93"/>
      <c r="AP404" s="93"/>
      <c r="AQ404" s="93"/>
      <c r="AR404" s="93"/>
      <c r="AS404" s="93"/>
      <c r="AT404" s="93"/>
      <c r="AU404" s="93"/>
      <c r="AV404" s="93"/>
      <c r="AW404" s="93"/>
      <c r="AX404" s="93"/>
      <c r="AY404" s="93"/>
      <c r="AZ404" s="93"/>
      <c r="BA404" s="93"/>
      <c r="BB404" s="93"/>
      <c r="BC404" s="93"/>
      <c r="BD404" s="93"/>
      <c r="BE404" s="92">
        <v>1.0</v>
      </c>
      <c r="BF404" s="93"/>
      <c r="BG404" s="92">
        <v>1.0</v>
      </c>
      <c r="BH404" s="92">
        <v>1.0</v>
      </c>
      <c r="BI404" s="93"/>
      <c r="BJ404" s="93"/>
      <c r="BK404" s="93"/>
      <c r="BL404" s="93"/>
      <c r="BM404" s="93"/>
      <c r="BN404" s="93"/>
      <c r="BO404" s="93"/>
      <c r="BP404" s="93"/>
      <c r="BQ404" s="93"/>
      <c r="BR404" s="93"/>
      <c r="BS404" s="92">
        <v>1.0</v>
      </c>
      <c r="BT404" s="93"/>
      <c r="BU404" s="93"/>
      <c r="BV404" s="93"/>
      <c r="BW404" s="93"/>
      <c r="BX404" s="93"/>
      <c r="BY404" s="92">
        <v>1.0</v>
      </c>
      <c r="BZ404" s="93"/>
    </row>
    <row r="405">
      <c r="B405" t="s">
        <v>1995</v>
      </c>
      <c r="C405" s="89" t="s">
        <v>1996</v>
      </c>
      <c r="D405" s="90" t="s">
        <v>1608</v>
      </c>
      <c r="E405" s="91">
        <v>2017.0</v>
      </c>
      <c r="F405" s="92">
        <v>1.0</v>
      </c>
      <c r="G405" s="93"/>
      <c r="H405" s="93"/>
      <c r="I405" s="93"/>
      <c r="J405" s="93"/>
      <c r="K405" s="93"/>
      <c r="L405" s="93"/>
      <c r="M405" s="93"/>
      <c r="N405" s="93"/>
      <c r="O405" s="93"/>
      <c r="P405" s="93"/>
      <c r="Q405" s="93"/>
      <c r="R405" s="93"/>
      <c r="S405" s="93"/>
      <c r="T405" s="93"/>
      <c r="U405" s="93"/>
      <c r="V405" s="93"/>
      <c r="W405" s="93"/>
      <c r="X405" s="93"/>
      <c r="Y405" s="93"/>
      <c r="Z405" s="93"/>
      <c r="AA405" s="93"/>
      <c r="AB405" s="93"/>
      <c r="AC405" s="93"/>
      <c r="AD405" s="93"/>
      <c r="AE405" s="93"/>
      <c r="AF405" s="93"/>
      <c r="AG405" s="93"/>
      <c r="AH405" s="94"/>
      <c r="AI405" s="93"/>
      <c r="AJ405" s="93"/>
      <c r="AK405" s="93"/>
      <c r="AL405" s="93"/>
      <c r="AM405" s="93"/>
      <c r="AN405" s="93"/>
      <c r="AO405" s="93"/>
      <c r="AP405" s="93"/>
      <c r="AQ405" s="93"/>
      <c r="AR405" s="93"/>
      <c r="AS405" s="93"/>
      <c r="AT405" s="93"/>
      <c r="AU405" s="93"/>
      <c r="AV405" s="93"/>
      <c r="AW405" s="93"/>
      <c r="AX405" s="93"/>
      <c r="AY405" s="93"/>
      <c r="AZ405" s="93"/>
      <c r="BA405" s="93"/>
      <c r="BB405" s="93"/>
      <c r="BC405" s="93"/>
      <c r="BD405" s="93"/>
      <c r="BE405" s="93"/>
      <c r="BF405" s="93"/>
      <c r="BG405" s="93"/>
      <c r="BH405" s="93"/>
      <c r="BI405" s="93"/>
      <c r="BJ405" s="93"/>
      <c r="BK405" s="93"/>
      <c r="BL405" s="93"/>
      <c r="BM405" s="93"/>
      <c r="BN405" s="93"/>
      <c r="BO405" s="93"/>
      <c r="BP405" s="93"/>
      <c r="BQ405" s="93"/>
      <c r="BR405" s="93"/>
      <c r="BS405" s="93"/>
      <c r="BT405" s="93"/>
      <c r="BU405" s="93"/>
      <c r="BV405" s="93"/>
      <c r="BW405" s="93"/>
      <c r="BX405" s="93"/>
      <c r="BY405" s="93"/>
      <c r="BZ405" s="93"/>
    </row>
    <row r="406">
      <c r="A406" t="s">
        <v>1331</v>
      </c>
      <c r="B406" t="s">
        <v>1997</v>
      </c>
      <c r="C406" s="89" t="s">
        <v>1998</v>
      </c>
      <c r="D406" s="90" t="s">
        <v>588</v>
      </c>
      <c r="E406" s="91">
        <v>2017.0</v>
      </c>
      <c r="F406" s="92">
        <v>1.0</v>
      </c>
      <c r="G406" s="93"/>
      <c r="H406" s="93"/>
      <c r="I406" s="93"/>
      <c r="J406" s="93"/>
      <c r="K406" s="93"/>
      <c r="L406" s="93"/>
      <c r="M406" s="93"/>
      <c r="N406" s="93"/>
      <c r="O406" s="93"/>
      <c r="P406" s="93"/>
      <c r="Q406" s="93"/>
      <c r="R406" s="93"/>
      <c r="S406" s="93"/>
      <c r="T406" s="93"/>
      <c r="U406" s="93"/>
      <c r="V406" s="93"/>
      <c r="W406" s="95"/>
      <c r="X406" s="93"/>
      <c r="Y406" s="93"/>
      <c r="Z406" s="93"/>
      <c r="AA406" s="95"/>
      <c r="AB406" s="93"/>
      <c r="AC406" s="93"/>
      <c r="AD406" s="95"/>
      <c r="AE406" s="93"/>
      <c r="AF406" s="93"/>
      <c r="AG406" s="93"/>
      <c r="AH406" s="94"/>
      <c r="AI406" s="95"/>
      <c r="AJ406" s="93"/>
      <c r="AK406" s="93"/>
      <c r="AL406" s="93"/>
      <c r="AM406" s="93"/>
      <c r="AN406" s="93"/>
      <c r="AO406" s="93"/>
      <c r="AP406" s="93"/>
      <c r="AQ406" s="93"/>
      <c r="AR406" s="93"/>
      <c r="AS406" s="93"/>
      <c r="AT406" s="93"/>
      <c r="AU406" s="93"/>
      <c r="AV406" s="93"/>
      <c r="AW406" s="93"/>
      <c r="AX406" s="93"/>
      <c r="AY406" s="93"/>
      <c r="AZ406" s="93"/>
      <c r="BA406" s="93"/>
      <c r="BB406" s="93"/>
      <c r="BC406" s="93"/>
      <c r="BD406" s="93"/>
      <c r="BE406" s="93"/>
      <c r="BF406" s="93"/>
      <c r="BG406" s="93"/>
      <c r="BH406" s="95"/>
      <c r="BI406" s="93"/>
      <c r="BJ406" s="93"/>
      <c r="BK406" s="93"/>
      <c r="BL406" s="93"/>
      <c r="BM406" s="93"/>
      <c r="BN406" s="93"/>
      <c r="BO406" s="93"/>
      <c r="BP406" s="93"/>
      <c r="BQ406" s="93"/>
      <c r="BR406" s="93"/>
      <c r="BS406" s="95"/>
      <c r="BT406" s="95"/>
      <c r="BU406" s="93"/>
      <c r="BV406" s="93"/>
      <c r="BW406" s="95"/>
      <c r="BX406" s="93"/>
      <c r="BY406" s="95"/>
      <c r="BZ406" s="93"/>
    </row>
    <row r="407">
      <c r="A407" t="s">
        <v>1340</v>
      </c>
      <c r="B407" t="s">
        <v>1999</v>
      </c>
      <c r="C407" s="89" t="s">
        <v>2000</v>
      </c>
      <c r="D407" s="90" t="s">
        <v>2001</v>
      </c>
      <c r="E407" s="91">
        <v>2017.0</v>
      </c>
      <c r="F407" s="93"/>
      <c r="G407" s="93"/>
      <c r="H407" s="93"/>
      <c r="I407" s="93"/>
      <c r="J407" s="93"/>
      <c r="K407" s="93"/>
      <c r="L407" s="93"/>
      <c r="M407" s="93"/>
      <c r="N407" s="93"/>
      <c r="O407" s="92">
        <v>1.0</v>
      </c>
      <c r="P407" s="93"/>
      <c r="Q407" s="93"/>
      <c r="R407" s="93"/>
      <c r="S407" s="93"/>
      <c r="T407" s="93"/>
      <c r="U407" s="93"/>
      <c r="V407" s="93"/>
      <c r="W407" s="98" t="s">
        <v>2002</v>
      </c>
      <c r="X407" s="98" t="s">
        <v>2003</v>
      </c>
      <c r="Y407" s="98" t="s">
        <v>2003</v>
      </c>
      <c r="Z407" s="98" t="s">
        <v>137</v>
      </c>
      <c r="AA407" s="93"/>
      <c r="AB407" s="93"/>
      <c r="AC407" s="95" t="s">
        <v>1203</v>
      </c>
      <c r="AD407" s="93"/>
      <c r="AE407" s="93"/>
      <c r="AF407" s="93"/>
      <c r="AG407" s="92">
        <v>1.0</v>
      </c>
      <c r="AH407" s="96" t="s">
        <v>2004</v>
      </c>
      <c r="AI407" s="92">
        <v>1.0</v>
      </c>
      <c r="AJ407" s="93"/>
      <c r="AK407" s="93"/>
      <c r="AL407" s="93"/>
      <c r="AM407" s="93"/>
      <c r="AN407" s="93"/>
      <c r="AO407" s="93"/>
      <c r="AP407" s="93"/>
      <c r="AQ407" s="93"/>
      <c r="AR407" s="93"/>
      <c r="AS407" s="93"/>
      <c r="AT407" s="93"/>
      <c r="AU407" s="93"/>
      <c r="AV407" s="93"/>
      <c r="AW407" s="93"/>
      <c r="AX407" s="93"/>
      <c r="AY407" s="93"/>
      <c r="AZ407" s="93"/>
      <c r="BA407" s="93"/>
      <c r="BB407" s="93"/>
      <c r="BC407" s="93"/>
      <c r="BD407" s="92">
        <v>1.0</v>
      </c>
      <c r="BE407" s="93"/>
      <c r="BF407" s="93"/>
      <c r="BG407" s="93"/>
      <c r="BH407" s="93"/>
      <c r="BI407" s="92">
        <v>1.0</v>
      </c>
      <c r="BJ407" s="93"/>
      <c r="BK407" s="93"/>
      <c r="BL407" s="93"/>
      <c r="BM407" s="93"/>
      <c r="BN407" s="93"/>
      <c r="BO407" s="93"/>
      <c r="BP407" s="93"/>
      <c r="BQ407" s="93"/>
      <c r="BR407" s="93"/>
      <c r="BS407" s="93"/>
      <c r="BT407" s="93"/>
      <c r="BU407" s="93"/>
      <c r="BV407" s="93"/>
      <c r="BW407" s="93"/>
      <c r="BX407" s="93"/>
      <c r="BY407" s="93"/>
      <c r="BZ407" s="93"/>
    </row>
    <row r="408">
      <c r="B408" t="s">
        <v>2005</v>
      </c>
      <c r="C408" s="89" t="s">
        <v>2006</v>
      </c>
      <c r="D408" s="90" t="s">
        <v>2007</v>
      </c>
      <c r="E408" s="91">
        <v>2017.0</v>
      </c>
      <c r="F408" s="92">
        <v>1.0</v>
      </c>
      <c r="G408" s="93"/>
      <c r="H408" s="93"/>
      <c r="I408" s="93"/>
      <c r="J408" s="93"/>
      <c r="K408" s="93"/>
      <c r="L408" s="93"/>
      <c r="M408" s="93"/>
      <c r="N408" s="93"/>
      <c r="O408" s="93"/>
      <c r="P408" s="93"/>
      <c r="Q408" s="93"/>
      <c r="R408" s="93"/>
      <c r="S408" s="93"/>
      <c r="T408" s="93"/>
      <c r="U408" s="93"/>
      <c r="V408" s="93"/>
      <c r="W408" s="93"/>
      <c r="X408" s="93"/>
      <c r="Y408" s="93"/>
      <c r="Z408" s="93"/>
      <c r="AA408" s="93"/>
      <c r="AB408" s="93"/>
      <c r="AC408" s="93"/>
      <c r="AD408" s="93"/>
      <c r="AE408" s="93"/>
      <c r="AF408" s="93"/>
      <c r="AG408" s="93"/>
      <c r="AH408" s="94"/>
      <c r="AI408" s="93"/>
      <c r="AJ408" s="93"/>
      <c r="AK408" s="93"/>
      <c r="AL408" s="93"/>
      <c r="AM408" s="93"/>
      <c r="AN408" s="93"/>
      <c r="AO408" s="93"/>
      <c r="AP408" s="93"/>
      <c r="AQ408" s="93"/>
      <c r="AR408" s="93"/>
      <c r="AS408" s="93"/>
      <c r="AT408" s="93"/>
      <c r="AU408" s="93"/>
      <c r="AV408" s="93"/>
      <c r="AW408" s="93"/>
      <c r="AX408" s="93"/>
      <c r="AY408" s="93"/>
      <c r="AZ408" s="93"/>
      <c r="BA408" s="93"/>
      <c r="BB408" s="93"/>
      <c r="BC408" s="93"/>
      <c r="BD408" s="93"/>
      <c r="BE408" s="93"/>
      <c r="BF408" s="93"/>
      <c r="BG408" s="93"/>
      <c r="BH408" s="93"/>
      <c r="BI408" s="93"/>
      <c r="BJ408" s="93"/>
      <c r="BK408" s="93"/>
      <c r="BL408" s="93"/>
      <c r="BM408" s="93"/>
      <c r="BN408" s="93"/>
      <c r="BO408" s="93"/>
      <c r="BP408" s="93"/>
      <c r="BQ408" s="93"/>
      <c r="BR408" s="93"/>
      <c r="BS408" s="93"/>
      <c r="BT408" s="93"/>
      <c r="BU408" s="93"/>
      <c r="BV408" s="93"/>
      <c r="BW408" s="93"/>
      <c r="BX408" s="93"/>
      <c r="BY408" s="93"/>
      <c r="BZ408" s="93"/>
    </row>
    <row r="409">
      <c r="A409" t="s">
        <v>1354</v>
      </c>
      <c r="B409" t="s">
        <v>2008</v>
      </c>
      <c r="C409" s="89" t="s">
        <v>2009</v>
      </c>
      <c r="D409" s="90" t="s">
        <v>588</v>
      </c>
      <c r="E409" s="91">
        <v>2017.0</v>
      </c>
      <c r="F409" s="98"/>
      <c r="G409" s="99">
        <v>1.0</v>
      </c>
      <c r="H409" s="93"/>
      <c r="I409" s="93"/>
      <c r="J409" s="93"/>
      <c r="K409" s="93"/>
      <c r="L409" s="93"/>
      <c r="M409" s="93"/>
      <c r="N409" s="93"/>
      <c r="O409" s="93"/>
      <c r="P409" s="93"/>
      <c r="Q409" s="93"/>
      <c r="R409" s="93"/>
      <c r="S409" s="93"/>
      <c r="T409" s="93"/>
      <c r="U409" s="93"/>
      <c r="V409" s="98" t="s">
        <v>2010</v>
      </c>
      <c r="W409" s="98" t="s">
        <v>2011</v>
      </c>
      <c r="X409" s="98" t="s">
        <v>92</v>
      </c>
      <c r="Y409" s="98" t="s">
        <v>92</v>
      </c>
      <c r="Z409" s="98" t="s">
        <v>122</v>
      </c>
      <c r="AA409" s="93"/>
      <c r="AB409" s="99">
        <v>1.0</v>
      </c>
      <c r="AC409" s="93"/>
      <c r="AD409" s="93"/>
      <c r="AE409" s="99">
        <v>1.0</v>
      </c>
      <c r="AF409" s="98" t="s">
        <v>748</v>
      </c>
      <c r="AG409" s="99">
        <v>1.0</v>
      </c>
      <c r="AH409" s="96" t="s">
        <v>2012</v>
      </c>
      <c r="AI409" s="99">
        <v>1.0</v>
      </c>
      <c r="AJ409" s="93"/>
      <c r="AK409" s="93"/>
      <c r="AL409" s="93"/>
      <c r="AM409" s="93"/>
      <c r="AN409" s="93"/>
      <c r="AO409" s="93"/>
      <c r="AP409" s="93"/>
      <c r="AQ409" s="93"/>
      <c r="AR409" s="99">
        <v>1.0</v>
      </c>
      <c r="AS409" s="93"/>
      <c r="AT409" s="93"/>
      <c r="AU409" s="93"/>
      <c r="AV409" s="93"/>
      <c r="AW409" s="93"/>
      <c r="AX409" s="93"/>
      <c r="AY409" s="93"/>
      <c r="AZ409" s="93"/>
      <c r="BA409" s="93"/>
      <c r="BB409" s="93"/>
      <c r="BC409" s="93"/>
      <c r="BD409" s="93"/>
      <c r="BE409" s="93"/>
      <c r="BF409" s="93"/>
      <c r="BG409" s="93"/>
      <c r="BH409" s="93"/>
      <c r="BI409" s="93"/>
      <c r="BJ409" s="93"/>
      <c r="BK409" s="93"/>
      <c r="BL409" s="93"/>
      <c r="BM409" s="93"/>
      <c r="BN409" s="93"/>
      <c r="BO409" s="93"/>
      <c r="BP409" s="93"/>
      <c r="BQ409" s="93"/>
      <c r="BR409" s="93"/>
      <c r="BS409" s="93"/>
      <c r="BT409" s="93"/>
      <c r="BU409" s="93"/>
      <c r="BV409" s="93"/>
      <c r="BW409" s="93"/>
      <c r="BX409" s="93"/>
      <c r="BY409" s="93"/>
      <c r="BZ409" s="93"/>
    </row>
    <row r="410">
      <c r="A410" t="s">
        <v>116</v>
      </c>
      <c r="B410" t="s">
        <v>2013</v>
      </c>
      <c r="C410" s="89" t="s">
        <v>2014</v>
      </c>
      <c r="D410" s="90" t="s">
        <v>2015</v>
      </c>
      <c r="E410" s="91">
        <v>2017.0</v>
      </c>
      <c r="F410" s="95"/>
      <c r="G410" s="93"/>
      <c r="H410" s="92">
        <v>1.0</v>
      </c>
      <c r="I410" s="93"/>
      <c r="J410" s="93"/>
      <c r="K410" s="93"/>
      <c r="L410" s="93"/>
      <c r="M410" s="93"/>
      <c r="N410" s="93"/>
      <c r="O410" s="93"/>
      <c r="P410" s="93"/>
      <c r="Q410" s="93"/>
      <c r="R410" s="93"/>
      <c r="S410" s="93"/>
      <c r="T410" s="93"/>
      <c r="U410" s="93"/>
      <c r="V410" s="93"/>
      <c r="W410" s="95" t="s">
        <v>2016</v>
      </c>
      <c r="X410" s="95" t="s">
        <v>9</v>
      </c>
      <c r="Y410" s="95" t="s">
        <v>2017</v>
      </c>
      <c r="Z410" s="95" t="s">
        <v>122</v>
      </c>
      <c r="AA410" s="92">
        <v>1.0</v>
      </c>
      <c r="AB410" s="93"/>
      <c r="AC410" s="93"/>
      <c r="AD410" s="93"/>
      <c r="AE410" s="93"/>
      <c r="AF410" s="93"/>
      <c r="AG410" s="92">
        <v>1.0</v>
      </c>
      <c r="AH410" s="96" t="s">
        <v>2018</v>
      </c>
      <c r="AI410" s="92">
        <v>1.0</v>
      </c>
      <c r="AJ410" s="93"/>
      <c r="AK410" s="93"/>
      <c r="AL410" s="93"/>
      <c r="AM410" s="93"/>
      <c r="AN410" s="93"/>
      <c r="AO410" s="93"/>
      <c r="AP410" s="93"/>
      <c r="AQ410" s="93"/>
      <c r="AR410" s="92">
        <v>1.0</v>
      </c>
      <c r="AS410" s="93"/>
      <c r="AT410" s="93"/>
      <c r="AU410" s="93"/>
      <c r="AV410" s="93"/>
      <c r="AW410" s="93"/>
      <c r="AX410" s="93"/>
      <c r="AY410" s="93"/>
      <c r="AZ410" s="93"/>
      <c r="BA410" s="93"/>
      <c r="BB410" s="93"/>
      <c r="BC410" s="93"/>
      <c r="BD410" s="93"/>
      <c r="BE410" s="93"/>
      <c r="BF410" s="93"/>
      <c r="BG410" s="93"/>
      <c r="BH410" s="93"/>
      <c r="BI410" s="93"/>
      <c r="BJ410" s="93"/>
      <c r="BK410" s="93"/>
      <c r="BL410" s="93"/>
      <c r="BM410" s="93"/>
      <c r="BN410" s="93"/>
      <c r="BO410" s="93"/>
      <c r="BP410" s="93"/>
      <c r="BQ410" s="93"/>
      <c r="BR410" s="93"/>
      <c r="BS410" s="93"/>
      <c r="BT410" s="93"/>
      <c r="BU410" s="93"/>
      <c r="BV410" s="93"/>
      <c r="BW410" s="93"/>
      <c r="BX410" s="92">
        <v>1.0</v>
      </c>
      <c r="BY410" s="93"/>
      <c r="BZ410" s="92">
        <v>1.0</v>
      </c>
    </row>
    <row r="411">
      <c r="A411" t="s">
        <v>1331</v>
      </c>
      <c r="B411" t="s">
        <v>2019</v>
      </c>
      <c r="C411" s="89" t="s">
        <v>2020</v>
      </c>
      <c r="D411" s="90" t="s">
        <v>2021</v>
      </c>
      <c r="E411" s="91">
        <v>2017.0</v>
      </c>
      <c r="F411" s="93"/>
      <c r="G411" s="93"/>
      <c r="H411" s="93"/>
      <c r="I411" s="95"/>
      <c r="J411" s="93"/>
      <c r="K411" s="93"/>
      <c r="L411" s="93"/>
      <c r="M411" s="92">
        <v>1.0</v>
      </c>
      <c r="N411" s="93"/>
      <c r="O411" s="93"/>
      <c r="P411" s="93"/>
      <c r="Q411" s="93"/>
      <c r="R411" s="93"/>
      <c r="S411" s="93"/>
      <c r="T411" s="93"/>
      <c r="U411" s="93"/>
      <c r="V411" s="93"/>
      <c r="W411" s="95" t="s">
        <v>2022</v>
      </c>
      <c r="X411" s="95" t="s">
        <v>2023</v>
      </c>
      <c r="Y411" s="97" t="s">
        <v>2024</v>
      </c>
      <c r="Z411" s="93"/>
      <c r="AA411" s="93"/>
      <c r="AB411" s="92">
        <v>1.0</v>
      </c>
      <c r="AC411" s="93"/>
      <c r="AD411" s="93"/>
      <c r="AE411" s="92">
        <v>1.0</v>
      </c>
      <c r="AF411" s="93"/>
      <c r="AG411" s="93"/>
      <c r="AH411" s="96" t="s">
        <v>2025</v>
      </c>
      <c r="AI411" s="92">
        <v>1.0</v>
      </c>
      <c r="AJ411" s="93"/>
      <c r="AK411" s="93"/>
      <c r="AL411" s="93"/>
      <c r="AM411" s="93"/>
      <c r="AN411" s="93"/>
      <c r="AO411" s="93"/>
      <c r="AP411" s="93"/>
      <c r="AQ411" s="93"/>
      <c r="AR411" s="93"/>
      <c r="AS411" s="93"/>
      <c r="AT411" s="93"/>
      <c r="AU411" s="93"/>
      <c r="AV411" s="93"/>
      <c r="AW411" s="93"/>
      <c r="AX411" s="93"/>
      <c r="AY411" s="93"/>
      <c r="AZ411" s="93"/>
      <c r="BA411" s="93"/>
      <c r="BB411" s="93"/>
      <c r="BC411" s="93"/>
      <c r="BD411" s="93"/>
      <c r="BE411" s="92">
        <v>1.0</v>
      </c>
      <c r="BF411" s="93"/>
      <c r="BG411" s="93"/>
      <c r="BH411" s="93"/>
      <c r="BI411" s="92">
        <v>1.0</v>
      </c>
      <c r="BJ411" s="93"/>
      <c r="BK411" s="93"/>
      <c r="BL411" s="93"/>
      <c r="BM411" s="93"/>
      <c r="BN411" s="93"/>
      <c r="BO411" s="93"/>
      <c r="BP411" s="93"/>
      <c r="BQ411" s="93"/>
      <c r="BR411" s="93"/>
      <c r="BS411" s="93"/>
      <c r="BT411" s="93"/>
      <c r="BU411" s="93"/>
      <c r="BV411" s="93"/>
      <c r="BW411" s="93"/>
      <c r="BX411" s="93"/>
      <c r="BY411" s="92">
        <v>1.0</v>
      </c>
      <c r="BZ411" s="93"/>
    </row>
    <row r="412">
      <c r="B412" t="s">
        <v>2026</v>
      </c>
      <c r="C412" s="89" t="s">
        <v>2027</v>
      </c>
      <c r="D412" s="90" t="s">
        <v>588</v>
      </c>
      <c r="E412" s="91">
        <v>2017.0</v>
      </c>
      <c r="F412" s="92">
        <v>1.0</v>
      </c>
      <c r="G412" s="93"/>
      <c r="H412" s="93"/>
      <c r="I412" s="93"/>
      <c r="J412" s="93"/>
      <c r="K412" s="93"/>
      <c r="L412" s="93"/>
      <c r="M412" s="93"/>
      <c r="N412" s="93"/>
      <c r="O412" s="93"/>
      <c r="P412" s="93"/>
      <c r="Q412" s="93"/>
      <c r="R412" s="93"/>
      <c r="S412" s="93"/>
      <c r="T412" s="93"/>
      <c r="U412" s="93"/>
      <c r="V412" s="93"/>
      <c r="W412" s="93"/>
      <c r="X412" s="93"/>
      <c r="Y412" s="93"/>
      <c r="Z412" s="93"/>
      <c r="AA412" s="93"/>
      <c r="AB412" s="93"/>
      <c r="AC412" s="93"/>
      <c r="AD412" s="93"/>
      <c r="AE412" s="93"/>
      <c r="AF412" s="93"/>
      <c r="AG412" s="93"/>
      <c r="AH412" s="94"/>
      <c r="AI412" s="93"/>
      <c r="AJ412" s="93"/>
      <c r="AK412" s="93"/>
      <c r="AL412" s="93"/>
      <c r="AM412" s="93"/>
      <c r="AN412" s="93"/>
      <c r="AO412" s="93"/>
      <c r="AP412" s="93"/>
      <c r="AQ412" s="93"/>
      <c r="AR412" s="93"/>
      <c r="AS412" s="93"/>
      <c r="AT412" s="93"/>
      <c r="AU412" s="93"/>
      <c r="AV412" s="93"/>
      <c r="AW412" s="93"/>
      <c r="AX412" s="93"/>
      <c r="AY412" s="93"/>
      <c r="AZ412" s="93"/>
      <c r="BA412" s="93"/>
      <c r="BB412" s="93"/>
      <c r="BC412" s="93"/>
      <c r="BD412" s="93"/>
      <c r="BE412" s="93"/>
      <c r="BF412" s="93"/>
      <c r="BG412" s="93"/>
      <c r="BH412" s="93"/>
      <c r="BI412" s="93"/>
      <c r="BJ412" s="93"/>
      <c r="BK412" s="93"/>
      <c r="BL412" s="93"/>
      <c r="BM412" s="93"/>
      <c r="BN412" s="93"/>
      <c r="BO412" s="93"/>
      <c r="BP412" s="93"/>
      <c r="BQ412" s="93"/>
      <c r="BR412" s="93"/>
      <c r="BS412" s="93"/>
      <c r="BT412" s="93"/>
      <c r="BU412" s="93"/>
      <c r="BV412" s="93"/>
      <c r="BW412" s="93"/>
      <c r="BX412" s="93"/>
      <c r="BY412" s="93"/>
      <c r="BZ412" s="93"/>
    </row>
    <row r="413">
      <c r="B413" t="s">
        <v>2028</v>
      </c>
      <c r="C413" s="89" t="s">
        <v>2029</v>
      </c>
      <c r="D413" s="90" t="s">
        <v>588</v>
      </c>
      <c r="E413" s="91">
        <v>2017.0</v>
      </c>
      <c r="F413" s="92">
        <v>1.0</v>
      </c>
      <c r="G413" s="93"/>
      <c r="H413" s="93"/>
      <c r="I413" s="93"/>
      <c r="J413" s="93"/>
      <c r="K413" s="93"/>
      <c r="L413" s="93"/>
      <c r="M413" s="93"/>
      <c r="N413" s="93"/>
      <c r="O413" s="93"/>
      <c r="P413" s="93"/>
      <c r="Q413" s="93"/>
      <c r="R413" s="93"/>
      <c r="S413" s="93"/>
      <c r="T413" s="93"/>
      <c r="U413" s="93"/>
      <c r="V413" s="93"/>
      <c r="W413" s="93"/>
      <c r="X413" s="93"/>
      <c r="Y413" s="93"/>
      <c r="Z413" s="93"/>
      <c r="AA413" s="93"/>
      <c r="AB413" s="93"/>
      <c r="AC413" s="93"/>
      <c r="AD413" s="93"/>
      <c r="AE413" s="93"/>
      <c r="AF413" s="93"/>
      <c r="AG413" s="93"/>
      <c r="AH413" s="94"/>
      <c r="AI413" s="93"/>
      <c r="AJ413" s="93"/>
      <c r="AK413" s="93"/>
      <c r="AL413" s="93"/>
      <c r="AM413" s="93"/>
      <c r="AN413" s="93"/>
      <c r="AO413" s="93"/>
      <c r="AP413" s="93"/>
      <c r="AQ413" s="93"/>
      <c r="AR413" s="93"/>
      <c r="AS413" s="93"/>
      <c r="AT413" s="93"/>
      <c r="AU413" s="93"/>
      <c r="AV413" s="93"/>
      <c r="AW413" s="93"/>
      <c r="AX413" s="93"/>
      <c r="AY413" s="93"/>
      <c r="AZ413" s="93"/>
      <c r="BA413" s="93"/>
      <c r="BB413" s="93"/>
      <c r="BC413" s="93"/>
      <c r="BD413" s="93"/>
      <c r="BE413" s="93"/>
      <c r="BF413" s="93"/>
      <c r="BG413" s="93"/>
      <c r="BH413" s="93"/>
      <c r="BI413" s="93"/>
      <c r="BJ413" s="93"/>
      <c r="BK413" s="93"/>
      <c r="BL413" s="93"/>
      <c r="BM413" s="93"/>
      <c r="BN413" s="93"/>
      <c r="BO413" s="93"/>
      <c r="BP413" s="93"/>
      <c r="BQ413" s="93"/>
      <c r="BR413" s="93"/>
      <c r="BS413" s="93"/>
      <c r="BT413" s="93"/>
      <c r="BU413" s="93"/>
      <c r="BV413" s="93"/>
      <c r="BW413" s="93"/>
      <c r="BX413" s="93"/>
      <c r="BY413" s="93"/>
      <c r="BZ413" s="93"/>
    </row>
    <row r="414">
      <c r="B414" t="s">
        <v>2030</v>
      </c>
      <c r="C414" s="89" t="s">
        <v>2031</v>
      </c>
      <c r="D414" s="90" t="s">
        <v>1608</v>
      </c>
      <c r="E414" s="91">
        <v>2017.0</v>
      </c>
      <c r="F414" s="92">
        <v>1.0</v>
      </c>
      <c r="G414" s="93"/>
      <c r="H414" s="93"/>
      <c r="I414" s="93"/>
      <c r="J414" s="93"/>
      <c r="K414" s="93"/>
      <c r="L414" s="93"/>
      <c r="M414" s="93"/>
      <c r="N414" s="93"/>
      <c r="O414" s="93"/>
      <c r="P414" s="93"/>
      <c r="Q414" s="93"/>
      <c r="R414" s="93"/>
      <c r="S414" s="93"/>
      <c r="T414" s="93"/>
      <c r="U414" s="93"/>
      <c r="V414" s="93"/>
      <c r="W414" s="93"/>
      <c r="X414" s="93"/>
      <c r="Y414" s="93"/>
      <c r="Z414" s="93"/>
      <c r="AA414" s="93"/>
      <c r="AB414" s="93"/>
      <c r="AC414" s="93"/>
      <c r="AD414" s="93"/>
      <c r="AE414" s="93"/>
      <c r="AF414" s="93"/>
      <c r="AG414" s="93"/>
      <c r="AH414" s="94"/>
      <c r="AI414" s="93"/>
      <c r="AJ414" s="93"/>
      <c r="AK414" s="93"/>
      <c r="AL414" s="93"/>
      <c r="AM414" s="93"/>
      <c r="AN414" s="93"/>
      <c r="AO414" s="93"/>
      <c r="AP414" s="93"/>
      <c r="AQ414" s="93"/>
      <c r="AR414" s="93"/>
      <c r="AS414" s="93"/>
      <c r="AT414" s="93"/>
      <c r="AU414" s="93"/>
      <c r="AV414" s="93"/>
      <c r="AW414" s="93"/>
      <c r="AX414" s="93"/>
      <c r="AY414" s="93"/>
      <c r="AZ414" s="93"/>
      <c r="BA414" s="93"/>
      <c r="BB414" s="93"/>
      <c r="BC414" s="93"/>
      <c r="BD414" s="93"/>
      <c r="BE414" s="93"/>
      <c r="BF414" s="93"/>
      <c r="BG414" s="93"/>
      <c r="BH414" s="93"/>
      <c r="BI414" s="93"/>
      <c r="BJ414" s="93"/>
      <c r="BK414" s="93"/>
      <c r="BL414" s="93"/>
      <c r="BM414" s="93"/>
      <c r="BN414" s="93"/>
      <c r="BO414" s="93"/>
      <c r="BP414" s="93"/>
      <c r="BQ414" s="93"/>
      <c r="BR414" s="93"/>
      <c r="BS414" s="93"/>
      <c r="BT414" s="93"/>
      <c r="BU414" s="93"/>
      <c r="BV414" s="93"/>
      <c r="BW414" s="93"/>
      <c r="BX414" s="93"/>
      <c r="BY414" s="93"/>
      <c r="BZ414" s="93"/>
    </row>
    <row r="415">
      <c r="B415" t="s">
        <v>2032</v>
      </c>
      <c r="C415" s="89" t="s">
        <v>2033</v>
      </c>
      <c r="D415" s="90" t="s">
        <v>1351</v>
      </c>
      <c r="E415" s="91">
        <v>2017.0</v>
      </c>
      <c r="F415" s="92">
        <v>1.0</v>
      </c>
      <c r="G415" s="93"/>
      <c r="H415" s="93"/>
      <c r="I415" s="93"/>
      <c r="J415" s="93"/>
      <c r="K415" s="93"/>
      <c r="L415" s="93"/>
      <c r="M415" s="93"/>
      <c r="N415" s="93"/>
      <c r="O415" s="93"/>
      <c r="P415" s="93"/>
      <c r="Q415" s="93"/>
      <c r="R415" s="93"/>
      <c r="S415" s="93"/>
      <c r="T415" s="93"/>
      <c r="U415" s="93"/>
      <c r="V415" s="93"/>
      <c r="W415" s="93"/>
      <c r="X415" s="93"/>
      <c r="Y415" s="93"/>
      <c r="Z415" s="93"/>
      <c r="AA415" s="93"/>
      <c r="AB415" s="93"/>
      <c r="AC415" s="93"/>
      <c r="AD415" s="93"/>
      <c r="AE415" s="93"/>
      <c r="AF415" s="93"/>
      <c r="AG415" s="93"/>
      <c r="AH415" s="94"/>
      <c r="AI415" s="93"/>
      <c r="AJ415" s="93"/>
      <c r="AK415" s="93"/>
      <c r="AL415" s="93"/>
      <c r="AM415" s="93"/>
      <c r="AN415" s="93"/>
      <c r="AO415" s="93"/>
      <c r="AP415" s="93"/>
      <c r="AQ415" s="93"/>
      <c r="AR415" s="93"/>
      <c r="AS415" s="93"/>
      <c r="AT415" s="93"/>
      <c r="AU415" s="93"/>
      <c r="AV415" s="93"/>
      <c r="AW415" s="93"/>
      <c r="AX415" s="93"/>
      <c r="AY415" s="93"/>
      <c r="AZ415" s="93"/>
      <c r="BA415" s="93"/>
      <c r="BB415" s="93"/>
      <c r="BC415" s="93"/>
      <c r="BD415" s="93"/>
      <c r="BE415" s="93"/>
      <c r="BF415" s="93"/>
      <c r="BG415" s="93"/>
      <c r="BH415" s="93"/>
      <c r="BI415" s="93"/>
      <c r="BJ415" s="93"/>
      <c r="BK415" s="93"/>
      <c r="BL415" s="93"/>
      <c r="BM415" s="93"/>
      <c r="BN415" s="93"/>
      <c r="BO415" s="93"/>
      <c r="BP415" s="93"/>
      <c r="BQ415" s="93"/>
      <c r="BR415" s="93"/>
      <c r="BS415" s="93"/>
      <c r="BT415" s="93"/>
      <c r="BU415" s="93"/>
      <c r="BV415" s="93"/>
      <c r="BW415" s="93"/>
      <c r="BX415" s="93"/>
      <c r="BY415" s="93"/>
      <c r="BZ415" s="93"/>
    </row>
    <row r="416">
      <c r="B416" t="s">
        <v>2034</v>
      </c>
      <c r="C416" s="89" t="s">
        <v>2035</v>
      </c>
      <c r="D416" s="90" t="s">
        <v>2036</v>
      </c>
      <c r="E416" s="91">
        <v>2017.0</v>
      </c>
      <c r="F416" s="92">
        <v>1.0</v>
      </c>
      <c r="G416" s="93"/>
      <c r="H416" s="93"/>
      <c r="I416" s="93"/>
      <c r="J416" s="93"/>
      <c r="K416" s="93"/>
      <c r="L416" s="93"/>
      <c r="M416" s="93"/>
      <c r="N416" s="93"/>
      <c r="O416" s="93"/>
      <c r="P416" s="93"/>
      <c r="Q416" s="93"/>
      <c r="R416" s="93"/>
      <c r="S416" s="93"/>
      <c r="T416" s="93"/>
      <c r="U416" s="93"/>
      <c r="V416" s="93"/>
      <c r="W416" s="93"/>
      <c r="X416" s="93"/>
      <c r="Y416" s="93"/>
      <c r="Z416" s="93"/>
      <c r="AA416" s="93"/>
      <c r="AB416" s="93"/>
      <c r="AC416" s="93"/>
      <c r="AD416" s="93"/>
      <c r="AE416" s="93"/>
      <c r="AF416" s="93"/>
      <c r="AG416" s="93"/>
      <c r="AH416" s="94"/>
      <c r="AI416" s="93"/>
      <c r="AJ416" s="93"/>
      <c r="AK416" s="93"/>
      <c r="AL416" s="93"/>
      <c r="AM416" s="93"/>
      <c r="AN416" s="93"/>
      <c r="AO416" s="93"/>
      <c r="AP416" s="93"/>
      <c r="AQ416" s="93"/>
      <c r="AR416" s="93"/>
      <c r="AS416" s="93"/>
      <c r="AT416" s="93"/>
      <c r="AU416" s="93"/>
      <c r="AV416" s="93"/>
      <c r="AW416" s="93"/>
      <c r="AX416" s="93"/>
      <c r="AY416" s="93"/>
      <c r="AZ416" s="93"/>
      <c r="BA416" s="93"/>
      <c r="BB416" s="93"/>
      <c r="BC416" s="93"/>
      <c r="BD416" s="93"/>
      <c r="BE416" s="93"/>
      <c r="BF416" s="93"/>
      <c r="BG416" s="93"/>
      <c r="BH416" s="93"/>
      <c r="BI416" s="93"/>
      <c r="BJ416" s="93"/>
      <c r="BK416" s="93"/>
      <c r="BL416" s="93"/>
      <c r="BM416" s="93"/>
      <c r="BN416" s="93"/>
      <c r="BO416" s="93"/>
      <c r="BP416" s="93"/>
      <c r="BQ416" s="93"/>
      <c r="BR416" s="93"/>
      <c r="BS416" s="93"/>
      <c r="BT416" s="93"/>
      <c r="BU416" s="93"/>
      <c r="BV416" s="93"/>
      <c r="BW416" s="93"/>
      <c r="BX416" s="93"/>
      <c r="BY416" s="93"/>
      <c r="BZ416" s="93"/>
    </row>
    <row r="417">
      <c r="A417" t="s">
        <v>1340</v>
      </c>
      <c r="B417" t="s">
        <v>2037</v>
      </c>
      <c r="C417" s="89" t="s">
        <v>2038</v>
      </c>
      <c r="D417" s="90" t="s">
        <v>2039</v>
      </c>
      <c r="E417" s="91">
        <v>2016.0</v>
      </c>
      <c r="F417" s="93"/>
      <c r="G417" s="93"/>
      <c r="H417" s="93"/>
      <c r="I417" s="93"/>
      <c r="J417" s="92">
        <v>1.0</v>
      </c>
      <c r="K417" s="93"/>
      <c r="L417" s="93"/>
      <c r="M417" s="93"/>
      <c r="N417" s="93"/>
      <c r="O417" s="93"/>
      <c r="P417" s="93"/>
      <c r="Q417" s="93"/>
      <c r="R417" s="93"/>
      <c r="S417" s="93"/>
      <c r="T417" s="93"/>
      <c r="U417" s="93"/>
      <c r="V417" s="93"/>
      <c r="W417" s="98" t="s">
        <v>2040</v>
      </c>
      <c r="X417" s="98" t="s">
        <v>2003</v>
      </c>
      <c r="Y417" s="98" t="s">
        <v>2003</v>
      </c>
      <c r="Z417" s="98" t="s">
        <v>2041</v>
      </c>
      <c r="AA417" s="93"/>
      <c r="AB417" s="93"/>
      <c r="AC417" s="93"/>
      <c r="AD417" s="93"/>
      <c r="AE417" s="93"/>
      <c r="AF417" s="92">
        <v>1.0</v>
      </c>
      <c r="AG417" s="93"/>
      <c r="AH417" s="96" t="s">
        <v>2042</v>
      </c>
      <c r="AI417" s="92">
        <v>1.0</v>
      </c>
      <c r="AJ417" s="93"/>
      <c r="AK417" s="93"/>
      <c r="AL417" s="93"/>
      <c r="AM417" s="93"/>
      <c r="AN417" s="93"/>
      <c r="AO417" s="93"/>
      <c r="AP417" s="93"/>
      <c r="AQ417" s="93"/>
      <c r="AR417" s="93"/>
      <c r="AS417" s="93"/>
      <c r="AT417" s="93"/>
      <c r="AU417" s="93"/>
      <c r="AV417" s="93"/>
      <c r="AW417" s="93"/>
      <c r="AX417" s="93"/>
      <c r="AY417" s="93"/>
      <c r="AZ417" s="93"/>
      <c r="BA417" s="93"/>
      <c r="BB417" s="93"/>
      <c r="BC417" s="93"/>
      <c r="BD417" s="92">
        <v>1.0</v>
      </c>
      <c r="BE417" s="93"/>
      <c r="BF417" s="93"/>
      <c r="BG417" s="93"/>
      <c r="BH417" s="93"/>
      <c r="BI417" s="95"/>
      <c r="BJ417" s="93"/>
      <c r="BK417" s="93"/>
      <c r="BL417" s="93"/>
      <c r="BM417" s="93"/>
      <c r="BN417" s="93"/>
      <c r="BO417" s="93"/>
      <c r="BP417" s="93"/>
      <c r="BQ417" s="93"/>
      <c r="BR417" s="93"/>
      <c r="BS417" s="93"/>
      <c r="BT417" s="93"/>
      <c r="BU417" s="93"/>
      <c r="BV417" s="93"/>
      <c r="BW417" s="93"/>
      <c r="BX417" s="93"/>
      <c r="BY417" s="93"/>
      <c r="BZ417" s="93"/>
    </row>
    <row r="418">
      <c r="A418" t="s">
        <v>1354</v>
      </c>
      <c r="B418" t="s">
        <v>2043</v>
      </c>
      <c r="C418" s="89" t="s">
        <v>2044</v>
      </c>
      <c r="D418" s="90" t="s">
        <v>2045</v>
      </c>
      <c r="E418" s="91">
        <v>2016.0</v>
      </c>
      <c r="F418" s="93"/>
      <c r="G418" s="93"/>
      <c r="H418" s="93"/>
      <c r="I418" s="93"/>
      <c r="J418" s="93"/>
      <c r="K418" s="93"/>
      <c r="L418" s="93"/>
      <c r="M418" s="93"/>
      <c r="N418" s="93"/>
      <c r="O418" s="93"/>
      <c r="P418" s="99">
        <v>1.0</v>
      </c>
      <c r="Q418" s="93"/>
      <c r="R418" s="93"/>
      <c r="S418" s="93"/>
      <c r="T418" s="93"/>
      <c r="U418" s="93"/>
      <c r="V418" s="93"/>
      <c r="W418" s="98" t="s">
        <v>2046</v>
      </c>
      <c r="X418" s="98" t="s">
        <v>2047</v>
      </c>
      <c r="Y418" s="98" t="s">
        <v>2048</v>
      </c>
      <c r="Z418" s="98" t="s">
        <v>2049</v>
      </c>
      <c r="AA418" s="93"/>
      <c r="AB418" s="99">
        <v>1.0</v>
      </c>
      <c r="AC418" s="93"/>
      <c r="AD418" s="99">
        <v>1.0</v>
      </c>
      <c r="AE418" s="93"/>
      <c r="AF418" s="93"/>
      <c r="AG418" s="93"/>
      <c r="AH418" s="96" t="s">
        <v>2050</v>
      </c>
      <c r="AI418" s="99">
        <v>1.0</v>
      </c>
      <c r="AJ418" s="93"/>
      <c r="AK418" s="93"/>
      <c r="AL418" s="93"/>
      <c r="AM418" s="93"/>
      <c r="AN418" s="93"/>
      <c r="AO418" s="93"/>
      <c r="AP418" s="93"/>
      <c r="AQ418" s="93"/>
      <c r="AR418" s="99">
        <v>1.0</v>
      </c>
      <c r="AS418" s="93"/>
      <c r="AT418" s="93"/>
      <c r="AU418" s="93"/>
      <c r="AV418" s="93"/>
      <c r="AW418" s="93"/>
      <c r="AX418" s="93"/>
      <c r="AY418" s="93"/>
      <c r="AZ418" s="93"/>
      <c r="BA418" s="93"/>
      <c r="BB418" s="93"/>
      <c r="BC418" s="93"/>
      <c r="BD418" s="93"/>
      <c r="BE418" s="99">
        <v>1.0</v>
      </c>
      <c r="BF418" s="93"/>
      <c r="BG418" s="93"/>
      <c r="BH418" s="93"/>
      <c r="BI418" s="93"/>
      <c r="BJ418" s="93"/>
      <c r="BK418" s="93"/>
      <c r="BL418" s="93"/>
      <c r="BM418" s="93"/>
      <c r="BN418" s="93"/>
      <c r="BO418" s="93"/>
      <c r="BP418" s="93"/>
      <c r="BQ418" s="93"/>
      <c r="BR418" s="93"/>
      <c r="BS418" s="93"/>
      <c r="BT418" s="93"/>
      <c r="BU418" s="93"/>
      <c r="BV418" s="93"/>
      <c r="BW418" s="93"/>
      <c r="BX418" s="93"/>
      <c r="BY418" s="93"/>
      <c r="BZ418" s="99">
        <v>1.0</v>
      </c>
    </row>
    <row r="419">
      <c r="A419" t="s">
        <v>116</v>
      </c>
      <c r="B419" t="s">
        <v>2051</v>
      </c>
      <c r="C419" s="89" t="s">
        <v>2052</v>
      </c>
      <c r="D419" s="90" t="s">
        <v>2045</v>
      </c>
      <c r="E419" s="91">
        <v>2016.0</v>
      </c>
      <c r="F419" s="93"/>
      <c r="G419" s="92">
        <v>1.0</v>
      </c>
      <c r="H419" s="93"/>
      <c r="I419" s="93"/>
      <c r="J419" s="95"/>
      <c r="K419" s="93"/>
      <c r="L419" s="93"/>
      <c r="M419" s="93"/>
      <c r="N419" s="93"/>
      <c r="O419" s="93"/>
      <c r="P419" s="93"/>
      <c r="Q419" s="93"/>
      <c r="R419" s="93"/>
      <c r="S419" s="93"/>
      <c r="T419" s="93"/>
      <c r="U419" s="93"/>
      <c r="V419" s="93"/>
      <c r="W419" s="95" t="s">
        <v>2053</v>
      </c>
      <c r="X419" s="93" t="s">
        <v>2054</v>
      </c>
      <c r="Y419" s="95" t="s">
        <v>2055</v>
      </c>
      <c r="Z419" s="95" t="s">
        <v>122</v>
      </c>
      <c r="AA419" s="92">
        <v>1.0</v>
      </c>
      <c r="AB419" s="93"/>
      <c r="AC419" s="93"/>
      <c r="AD419" s="92">
        <v>1.0</v>
      </c>
      <c r="AE419" s="93"/>
      <c r="AF419" s="93"/>
      <c r="AG419" s="93"/>
      <c r="AH419" s="96" t="s">
        <v>2056</v>
      </c>
      <c r="AI419" s="92">
        <v>1.0</v>
      </c>
      <c r="AJ419" s="93"/>
      <c r="AK419" s="93"/>
      <c r="AL419" s="93"/>
      <c r="AM419" s="93"/>
      <c r="AN419" s="93"/>
      <c r="AO419" s="93"/>
      <c r="AP419" s="93"/>
      <c r="AQ419" s="93"/>
      <c r="AR419" s="93"/>
      <c r="AS419" s="93"/>
      <c r="AT419" s="93"/>
      <c r="AU419" s="93"/>
      <c r="AV419" s="93"/>
      <c r="AW419" s="93"/>
      <c r="AX419" s="93"/>
      <c r="AY419" s="93"/>
      <c r="AZ419" s="93"/>
      <c r="BA419" s="93"/>
      <c r="BB419" s="93"/>
      <c r="BC419" s="93"/>
      <c r="BD419" s="93"/>
      <c r="BE419" s="93"/>
      <c r="BF419" s="93"/>
      <c r="BG419" s="93"/>
      <c r="BH419" s="95" t="s">
        <v>1203</v>
      </c>
      <c r="BI419" s="93"/>
      <c r="BJ419" s="93"/>
      <c r="BK419" s="93"/>
      <c r="BL419" s="93"/>
      <c r="BM419" s="93"/>
      <c r="BN419" s="93"/>
      <c r="BO419" s="93"/>
      <c r="BP419" s="93"/>
      <c r="BQ419" s="93"/>
      <c r="BR419" s="93"/>
      <c r="BS419" s="93"/>
      <c r="BT419" s="93"/>
      <c r="BU419" s="93"/>
      <c r="BV419" s="93"/>
      <c r="BW419" s="92">
        <v>1.0</v>
      </c>
      <c r="BX419" s="93"/>
      <c r="BY419" s="92">
        <v>1.0</v>
      </c>
      <c r="BZ419" s="93"/>
    </row>
    <row r="420">
      <c r="B420" t="s">
        <v>2057</v>
      </c>
      <c r="C420" s="89" t="s">
        <v>2058</v>
      </c>
      <c r="D420" s="90" t="s">
        <v>2059</v>
      </c>
      <c r="E420" s="91">
        <v>2016.0</v>
      </c>
      <c r="F420" s="92">
        <v>1.0</v>
      </c>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3"/>
      <c r="AH420" s="94"/>
      <c r="AI420" s="93"/>
      <c r="AJ420" s="93"/>
      <c r="AK420" s="93"/>
      <c r="AL420" s="93"/>
      <c r="AM420" s="93"/>
      <c r="AN420" s="93"/>
      <c r="AO420" s="93"/>
      <c r="AP420" s="93"/>
      <c r="AQ420" s="93"/>
      <c r="AR420" s="93"/>
      <c r="AS420" s="93"/>
      <c r="AT420" s="93"/>
      <c r="AU420" s="93"/>
      <c r="AV420" s="93"/>
      <c r="AW420" s="93"/>
      <c r="AX420" s="93"/>
      <c r="AY420" s="93"/>
      <c r="AZ420" s="93"/>
      <c r="BA420" s="93"/>
      <c r="BB420" s="93"/>
      <c r="BC420" s="93"/>
      <c r="BD420" s="93"/>
      <c r="BE420" s="93"/>
      <c r="BF420" s="93"/>
      <c r="BG420" s="93"/>
      <c r="BH420" s="93"/>
      <c r="BI420" s="93"/>
      <c r="BJ420" s="93"/>
      <c r="BK420" s="93"/>
      <c r="BL420" s="93"/>
      <c r="BM420" s="93"/>
      <c r="BN420" s="93"/>
      <c r="BO420" s="93"/>
      <c r="BP420" s="93"/>
      <c r="BQ420" s="93"/>
      <c r="BR420" s="93"/>
      <c r="BS420" s="93"/>
      <c r="BT420" s="93"/>
      <c r="BU420" s="93"/>
      <c r="BV420" s="93"/>
      <c r="BW420" s="93"/>
      <c r="BX420" s="93"/>
      <c r="BY420" s="93"/>
      <c r="BZ420" s="93"/>
    </row>
    <row r="421">
      <c r="A421" t="s">
        <v>1331</v>
      </c>
      <c r="B421" t="s">
        <v>2060</v>
      </c>
      <c r="C421" s="89" t="s">
        <v>2061</v>
      </c>
      <c r="D421" s="90" t="s">
        <v>2062</v>
      </c>
      <c r="E421" s="91">
        <v>2016.0</v>
      </c>
      <c r="F421" s="92">
        <v>1.0</v>
      </c>
      <c r="G421" s="93"/>
      <c r="H421" s="93"/>
      <c r="I421" s="93"/>
      <c r="J421" s="93"/>
      <c r="K421" s="93"/>
      <c r="L421" s="93"/>
      <c r="M421" s="93"/>
      <c r="N421" s="93"/>
      <c r="O421" s="93"/>
      <c r="P421" s="93"/>
      <c r="Q421" s="93"/>
      <c r="R421" s="93"/>
      <c r="S421" s="93"/>
      <c r="T421" s="93"/>
      <c r="U421" s="93"/>
      <c r="V421" s="93"/>
      <c r="W421" s="95"/>
      <c r="X421" s="93"/>
      <c r="Y421" s="93"/>
      <c r="Z421" s="93"/>
      <c r="AA421" s="93"/>
      <c r="AB421" s="93"/>
      <c r="AC421" s="93"/>
      <c r="AD421" s="93"/>
      <c r="AE421" s="93"/>
      <c r="AF421" s="93"/>
      <c r="AG421" s="93"/>
      <c r="AH421" s="94"/>
      <c r="AI421" s="93"/>
      <c r="AJ421" s="93"/>
      <c r="AK421" s="93"/>
      <c r="AL421" s="93"/>
      <c r="AM421" s="93"/>
      <c r="AN421" s="93"/>
      <c r="AO421" s="95"/>
      <c r="AP421" s="93"/>
      <c r="AQ421" s="93"/>
      <c r="AR421" s="93"/>
      <c r="AS421" s="93"/>
      <c r="AT421" s="93"/>
      <c r="AU421" s="93"/>
      <c r="AV421" s="93"/>
      <c r="AW421" s="93"/>
      <c r="AX421" s="93"/>
      <c r="AY421" s="93"/>
      <c r="AZ421" s="93"/>
      <c r="BA421" s="93"/>
      <c r="BB421" s="93"/>
      <c r="BC421" s="93"/>
      <c r="BD421" s="93"/>
      <c r="BE421" s="93"/>
      <c r="BF421" s="93"/>
      <c r="BG421" s="93"/>
      <c r="BH421" s="93"/>
      <c r="BI421" s="93"/>
      <c r="BJ421" s="93"/>
      <c r="BK421" s="93"/>
      <c r="BL421" s="93"/>
      <c r="BM421" s="93"/>
      <c r="BN421" s="93"/>
      <c r="BO421" s="93"/>
      <c r="BP421" s="93"/>
      <c r="BQ421" s="93"/>
      <c r="BR421" s="93"/>
      <c r="BS421" s="93"/>
      <c r="BT421" s="93"/>
      <c r="BU421" s="93"/>
      <c r="BV421" s="93"/>
      <c r="BW421" s="93"/>
      <c r="BX421" s="93"/>
      <c r="BY421" s="93"/>
      <c r="BZ421" s="93"/>
    </row>
    <row r="422">
      <c r="B422" t="s">
        <v>2063</v>
      </c>
      <c r="C422" s="89" t="s">
        <v>2064</v>
      </c>
      <c r="D422" s="90" t="s">
        <v>278</v>
      </c>
      <c r="E422" s="91">
        <v>2016.0</v>
      </c>
      <c r="F422" s="92">
        <v>1.0</v>
      </c>
      <c r="G422" s="93"/>
      <c r="H422" s="93"/>
      <c r="I422" s="93"/>
      <c r="J422" s="93"/>
      <c r="K422" s="93"/>
      <c r="L422" s="93"/>
      <c r="M422" s="93"/>
      <c r="N422" s="93"/>
      <c r="O422" s="93"/>
      <c r="P422" s="93"/>
      <c r="Q422" s="93"/>
      <c r="R422" s="93"/>
      <c r="S422" s="93"/>
      <c r="T422" s="93"/>
      <c r="U422" s="93"/>
      <c r="V422" s="93"/>
      <c r="W422" s="93"/>
      <c r="X422" s="93"/>
      <c r="Y422" s="93"/>
      <c r="Z422" s="93"/>
      <c r="AA422" s="93"/>
      <c r="AB422" s="93"/>
      <c r="AC422" s="93"/>
      <c r="AD422" s="93"/>
      <c r="AE422" s="93"/>
      <c r="AF422" s="93"/>
      <c r="AG422" s="93"/>
      <c r="AH422" s="94"/>
      <c r="AI422" s="93"/>
      <c r="AJ422" s="93"/>
      <c r="AK422" s="93"/>
      <c r="AL422" s="93"/>
      <c r="AM422" s="93"/>
      <c r="AN422" s="93"/>
      <c r="AO422" s="93"/>
      <c r="AP422" s="93"/>
      <c r="AQ422" s="93"/>
      <c r="AR422" s="93"/>
      <c r="AS422" s="93"/>
      <c r="AT422" s="93"/>
      <c r="AU422" s="93"/>
      <c r="AV422" s="93"/>
      <c r="AW422" s="93"/>
      <c r="AX422" s="93"/>
      <c r="AY422" s="93"/>
      <c r="AZ422" s="93"/>
      <c r="BA422" s="93"/>
      <c r="BB422" s="93"/>
      <c r="BC422" s="93"/>
      <c r="BD422" s="93"/>
      <c r="BE422" s="93"/>
      <c r="BF422" s="93"/>
      <c r="BG422" s="93"/>
      <c r="BH422" s="93"/>
      <c r="BI422" s="93"/>
      <c r="BJ422" s="93"/>
      <c r="BK422" s="93"/>
      <c r="BL422" s="93"/>
      <c r="BM422" s="93"/>
      <c r="BN422" s="93"/>
      <c r="BO422" s="93"/>
      <c r="BP422" s="93"/>
      <c r="BQ422" s="93"/>
      <c r="BR422" s="93"/>
      <c r="BS422" s="93"/>
      <c r="BT422" s="93"/>
      <c r="BU422" s="93"/>
      <c r="BV422" s="93"/>
      <c r="BW422" s="93"/>
      <c r="BX422" s="93"/>
      <c r="BY422" s="93"/>
      <c r="BZ422" s="93"/>
    </row>
    <row r="423">
      <c r="B423" t="s">
        <v>2065</v>
      </c>
      <c r="C423" s="89" t="s">
        <v>2066</v>
      </c>
      <c r="D423" s="90" t="s">
        <v>2067</v>
      </c>
      <c r="E423" s="91">
        <v>2016.0</v>
      </c>
      <c r="F423" s="92">
        <v>1.0</v>
      </c>
      <c r="G423" s="93"/>
      <c r="H423" s="93"/>
      <c r="I423" s="93"/>
      <c r="J423" s="93"/>
      <c r="K423" s="93"/>
      <c r="L423" s="93"/>
      <c r="M423" s="93"/>
      <c r="N423" s="93"/>
      <c r="O423" s="93"/>
      <c r="P423" s="93"/>
      <c r="Q423" s="93"/>
      <c r="R423" s="93"/>
      <c r="S423" s="93"/>
      <c r="T423" s="93"/>
      <c r="U423" s="93"/>
      <c r="V423" s="93"/>
      <c r="W423" s="93"/>
      <c r="X423" s="93"/>
      <c r="Y423" s="93"/>
      <c r="Z423" s="93"/>
      <c r="AA423" s="93"/>
      <c r="AB423" s="93"/>
      <c r="AC423" s="93"/>
      <c r="AD423" s="93"/>
      <c r="AE423" s="93"/>
      <c r="AF423" s="93"/>
      <c r="AG423" s="93"/>
      <c r="AH423" s="94"/>
      <c r="AI423" s="93"/>
      <c r="AJ423" s="93"/>
      <c r="AK423" s="93"/>
      <c r="AL423" s="93"/>
      <c r="AM423" s="93"/>
      <c r="AN423" s="93"/>
      <c r="AO423" s="93"/>
      <c r="AP423" s="93"/>
      <c r="AQ423" s="93"/>
      <c r="AR423" s="93"/>
      <c r="AS423" s="93"/>
      <c r="AT423" s="93"/>
      <c r="AU423" s="93"/>
      <c r="AV423" s="93"/>
      <c r="AW423" s="93"/>
      <c r="AX423" s="93"/>
      <c r="AY423" s="93"/>
      <c r="AZ423" s="93"/>
      <c r="BA423" s="93"/>
      <c r="BB423" s="93"/>
      <c r="BC423" s="93"/>
      <c r="BD423" s="93"/>
      <c r="BE423" s="93"/>
      <c r="BF423" s="93"/>
      <c r="BG423" s="93"/>
      <c r="BH423" s="93"/>
      <c r="BI423" s="93"/>
      <c r="BJ423" s="93"/>
      <c r="BK423" s="93"/>
      <c r="BL423" s="93"/>
      <c r="BM423" s="93"/>
      <c r="BN423" s="93"/>
      <c r="BO423" s="93"/>
      <c r="BP423" s="93"/>
      <c r="BQ423" s="93"/>
      <c r="BR423" s="93"/>
      <c r="BS423" s="93"/>
      <c r="BT423" s="93"/>
      <c r="BU423" s="93"/>
      <c r="BV423" s="93"/>
      <c r="BW423" s="93"/>
      <c r="BX423" s="93"/>
      <c r="BY423" s="93"/>
      <c r="BZ423" s="93"/>
    </row>
    <row r="424">
      <c r="B424" t="s">
        <v>2068</v>
      </c>
      <c r="C424" s="89" t="s">
        <v>2069</v>
      </c>
      <c r="D424" s="90" t="s">
        <v>2070</v>
      </c>
      <c r="E424" s="91">
        <v>2016.0</v>
      </c>
      <c r="F424" s="97" t="s">
        <v>1777</v>
      </c>
      <c r="G424" s="93"/>
      <c r="H424" s="93"/>
      <c r="I424" s="93"/>
      <c r="J424" s="93"/>
      <c r="K424" s="93"/>
      <c r="L424" s="93"/>
      <c r="M424" s="93"/>
      <c r="N424" s="93"/>
      <c r="O424" s="93"/>
      <c r="P424" s="93"/>
      <c r="Q424" s="93"/>
      <c r="R424" s="93"/>
      <c r="S424" s="93"/>
      <c r="T424" s="93"/>
      <c r="U424" s="93"/>
      <c r="V424" s="93"/>
      <c r="W424" s="93"/>
      <c r="X424" s="93"/>
      <c r="Y424" s="93"/>
      <c r="Z424" s="93"/>
      <c r="AA424" s="93"/>
      <c r="AB424" s="93"/>
      <c r="AC424" s="93"/>
      <c r="AD424" s="93"/>
      <c r="AE424" s="93"/>
      <c r="AF424" s="93"/>
      <c r="AG424" s="93"/>
      <c r="AH424" s="94"/>
      <c r="AI424" s="93"/>
      <c r="AJ424" s="93"/>
      <c r="AK424" s="93"/>
      <c r="AL424" s="93"/>
      <c r="AM424" s="93"/>
      <c r="AN424" s="93"/>
      <c r="AO424" s="93"/>
      <c r="AP424" s="93"/>
      <c r="AQ424" s="93"/>
      <c r="AR424" s="93"/>
      <c r="AS424" s="93"/>
      <c r="AT424" s="93"/>
      <c r="AU424" s="93"/>
      <c r="AV424" s="93"/>
      <c r="AW424" s="93"/>
      <c r="AX424" s="93"/>
      <c r="AY424" s="93"/>
      <c r="AZ424" s="93"/>
      <c r="BA424" s="93"/>
      <c r="BB424" s="93"/>
      <c r="BC424" s="93"/>
      <c r="BD424" s="93"/>
      <c r="BE424" s="93"/>
      <c r="BF424" s="93"/>
      <c r="BG424" s="93"/>
      <c r="BH424" s="93"/>
      <c r="BI424" s="93"/>
      <c r="BJ424" s="93"/>
      <c r="BK424" s="93"/>
      <c r="BL424" s="93"/>
      <c r="BM424" s="93"/>
      <c r="BN424" s="93"/>
      <c r="BO424" s="93"/>
      <c r="BP424" s="93"/>
      <c r="BQ424" s="93"/>
      <c r="BR424" s="93"/>
      <c r="BS424" s="93"/>
      <c r="BT424" s="93"/>
      <c r="BU424" s="93"/>
      <c r="BV424" s="93"/>
      <c r="BW424" s="93"/>
      <c r="BX424" s="93"/>
      <c r="BY424" s="93"/>
      <c r="BZ424" s="93"/>
    </row>
    <row r="425">
      <c r="B425" t="s">
        <v>2071</v>
      </c>
      <c r="C425" s="89" t="s">
        <v>2072</v>
      </c>
      <c r="D425" s="90" t="s">
        <v>2073</v>
      </c>
      <c r="E425" s="91">
        <v>2016.0</v>
      </c>
      <c r="F425" s="92">
        <v>1.0</v>
      </c>
      <c r="G425" s="93"/>
      <c r="H425" s="93"/>
      <c r="I425" s="93"/>
      <c r="J425" s="93"/>
      <c r="K425" s="93"/>
      <c r="L425" s="93"/>
      <c r="M425" s="93"/>
      <c r="N425" s="93"/>
      <c r="O425" s="93"/>
      <c r="P425" s="93"/>
      <c r="Q425" s="93"/>
      <c r="R425" s="93"/>
      <c r="S425" s="93"/>
      <c r="T425" s="93"/>
      <c r="U425" s="93"/>
      <c r="V425" s="93"/>
      <c r="W425" s="93"/>
      <c r="X425" s="93"/>
      <c r="Y425" s="93"/>
      <c r="Z425" s="93"/>
      <c r="AA425" s="93"/>
      <c r="AB425" s="93"/>
      <c r="AC425" s="93"/>
      <c r="AD425" s="93"/>
      <c r="AE425" s="93"/>
      <c r="AF425" s="93"/>
      <c r="AG425" s="93"/>
      <c r="AH425" s="94"/>
      <c r="AI425" s="93"/>
      <c r="AJ425" s="93"/>
      <c r="AK425" s="93"/>
      <c r="AL425" s="93"/>
      <c r="AM425" s="93"/>
      <c r="AN425" s="93"/>
      <c r="AO425" s="93"/>
      <c r="AP425" s="93"/>
      <c r="AQ425" s="93"/>
      <c r="AR425" s="93"/>
      <c r="AS425" s="93"/>
      <c r="AT425" s="93"/>
      <c r="AU425" s="93"/>
      <c r="AV425" s="93"/>
      <c r="AW425" s="93"/>
      <c r="AX425" s="93"/>
      <c r="AY425" s="93"/>
      <c r="AZ425" s="93"/>
      <c r="BA425" s="93"/>
      <c r="BB425" s="93"/>
      <c r="BC425" s="93"/>
      <c r="BD425" s="93"/>
      <c r="BE425" s="93"/>
      <c r="BF425" s="93"/>
      <c r="BG425" s="93"/>
      <c r="BH425" s="93"/>
      <c r="BI425" s="93"/>
      <c r="BJ425" s="93"/>
      <c r="BK425" s="93"/>
      <c r="BL425" s="93"/>
      <c r="BM425" s="93"/>
      <c r="BN425" s="93"/>
      <c r="BO425" s="93"/>
      <c r="BP425" s="93"/>
      <c r="BQ425" s="93"/>
      <c r="BR425" s="93"/>
      <c r="BS425" s="93"/>
      <c r="BT425" s="93"/>
      <c r="BU425" s="93"/>
      <c r="BV425" s="93"/>
      <c r="BW425" s="93"/>
      <c r="BX425" s="93"/>
      <c r="BY425" s="93"/>
      <c r="BZ425" s="93"/>
    </row>
    <row r="426">
      <c r="A426" t="s">
        <v>1340</v>
      </c>
      <c r="B426" t="s">
        <v>2074</v>
      </c>
      <c r="C426" s="89" t="s">
        <v>2075</v>
      </c>
      <c r="D426" s="90" t="s">
        <v>2076</v>
      </c>
      <c r="E426" s="91">
        <v>2016.0</v>
      </c>
      <c r="F426" s="92">
        <v>1.0</v>
      </c>
      <c r="G426" s="93"/>
      <c r="H426" s="93"/>
      <c r="I426" s="93"/>
      <c r="J426" s="93"/>
      <c r="K426" s="93"/>
      <c r="L426" s="93"/>
      <c r="M426" s="93"/>
      <c r="N426" s="93"/>
      <c r="O426" s="93"/>
      <c r="P426" s="93"/>
      <c r="Q426" s="93"/>
      <c r="R426" s="93"/>
      <c r="S426" s="93"/>
      <c r="T426" s="93"/>
      <c r="U426" s="93"/>
      <c r="V426" s="98" t="s">
        <v>2077</v>
      </c>
      <c r="W426" s="98" t="s">
        <v>1467</v>
      </c>
      <c r="X426" s="93"/>
      <c r="Y426" s="93"/>
      <c r="Z426" s="93"/>
      <c r="AA426" s="93"/>
      <c r="AB426" s="93"/>
      <c r="AC426" s="93"/>
      <c r="AD426" s="93"/>
      <c r="AE426" s="93"/>
      <c r="AF426" s="93"/>
      <c r="AG426" s="93"/>
      <c r="AH426" s="94"/>
      <c r="AI426" s="93"/>
      <c r="AJ426" s="93"/>
      <c r="AK426" s="93"/>
      <c r="AL426" s="93"/>
      <c r="AM426" s="93"/>
      <c r="AN426" s="93"/>
      <c r="AO426" s="93"/>
      <c r="AP426" s="93"/>
      <c r="AQ426" s="93"/>
      <c r="AR426" s="93"/>
      <c r="AS426" s="93"/>
      <c r="AT426" s="93"/>
      <c r="AU426" s="93"/>
      <c r="AV426" s="93"/>
      <c r="AW426" s="93"/>
      <c r="AX426" s="93"/>
      <c r="AY426" s="93"/>
      <c r="AZ426" s="93"/>
      <c r="BA426" s="93"/>
      <c r="BB426" s="93"/>
      <c r="BC426" s="93"/>
      <c r="BD426" s="93"/>
      <c r="BE426" s="93"/>
      <c r="BF426" s="93"/>
      <c r="BG426" s="93"/>
      <c r="BH426" s="93"/>
      <c r="BI426" s="93"/>
      <c r="BJ426" s="93"/>
      <c r="BK426" s="93"/>
      <c r="BL426" s="93"/>
      <c r="BM426" s="93"/>
      <c r="BN426" s="93"/>
      <c r="BO426" s="93"/>
      <c r="BP426" s="93"/>
      <c r="BQ426" s="93"/>
      <c r="BR426" s="93"/>
      <c r="BS426" s="93"/>
      <c r="BT426" s="93"/>
      <c r="BU426" s="93"/>
      <c r="BV426" s="93"/>
      <c r="BW426" s="93"/>
      <c r="BX426" s="93"/>
      <c r="BY426" s="93"/>
      <c r="BZ426" s="93"/>
    </row>
    <row r="427">
      <c r="A427" t="s">
        <v>1354</v>
      </c>
      <c r="B427" t="s">
        <v>2078</v>
      </c>
      <c r="C427" s="89" t="s">
        <v>2079</v>
      </c>
      <c r="D427" s="90" t="s">
        <v>310</v>
      </c>
      <c r="E427" s="91">
        <v>2016.0</v>
      </c>
      <c r="F427" s="93"/>
      <c r="G427" s="93"/>
      <c r="H427" s="93"/>
      <c r="I427" s="98" t="s">
        <v>748</v>
      </c>
      <c r="J427" s="93"/>
      <c r="K427" s="93"/>
      <c r="L427" s="93"/>
      <c r="M427" s="93"/>
      <c r="N427" s="93"/>
      <c r="O427" s="99">
        <v>1.0</v>
      </c>
      <c r="P427" s="93"/>
      <c r="Q427" s="93"/>
      <c r="R427" s="93"/>
      <c r="S427" s="93"/>
      <c r="T427" s="93"/>
      <c r="U427" s="93"/>
      <c r="V427" s="93"/>
      <c r="W427" s="98" t="s">
        <v>2080</v>
      </c>
      <c r="X427" s="98" t="s">
        <v>2081</v>
      </c>
      <c r="Y427" s="98" t="s">
        <v>2082</v>
      </c>
      <c r="Z427" s="98" t="s">
        <v>2083</v>
      </c>
      <c r="AA427" s="99">
        <v>1.0</v>
      </c>
      <c r="AB427" s="99">
        <v>1.0</v>
      </c>
      <c r="AC427" s="99">
        <v>1.0</v>
      </c>
      <c r="AD427" s="99">
        <v>1.0</v>
      </c>
      <c r="AE427" s="93"/>
      <c r="AF427" s="93"/>
      <c r="AG427" s="93"/>
      <c r="AH427" s="96" t="s">
        <v>2084</v>
      </c>
      <c r="AI427" s="99">
        <v>1.0</v>
      </c>
      <c r="AJ427" s="93"/>
      <c r="AK427" s="93"/>
      <c r="AL427" s="93"/>
      <c r="AM427" s="93"/>
      <c r="AN427" s="93"/>
      <c r="AO427" s="93"/>
      <c r="AP427" s="93"/>
      <c r="AQ427" s="93"/>
      <c r="AR427" s="99">
        <v>1.0</v>
      </c>
      <c r="AS427" s="93"/>
      <c r="AT427" s="93"/>
      <c r="AU427" s="93"/>
      <c r="AV427" s="93"/>
      <c r="AW427" s="93"/>
      <c r="AX427" s="93"/>
      <c r="AY427" s="93"/>
      <c r="AZ427" s="93"/>
      <c r="BA427" s="93"/>
      <c r="BB427" s="93"/>
      <c r="BC427" s="93"/>
      <c r="BD427" s="93"/>
      <c r="BE427" s="93"/>
      <c r="BF427" s="93"/>
      <c r="BG427" s="93"/>
      <c r="BH427" s="93"/>
      <c r="BI427" s="93"/>
      <c r="BJ427" s="93"/>
      <c r="BK427" s="93"/>
      <c r="BL427" s="93"/>
      <c r="BM427" s="93"/>
      <c r="BN427" s="93"/>
      <c r="BO427" s="93"/>
      <c r="BP427" s="93"/>
      <c r="BQ427" s="99">
        <v>1.0</v>
      </c>
      <c r="BR427" s="93"/>
      <c r="BS427" s="99">
        <v>1.0</v>
      </c>
      <c r="BT427" s="99">
        <v>1.0</v>
      </c>
      <c r="BU427" s="93"/>
      <c r="BV427" s="99">
        <v>1.0</v>
      </c>
      <c r="BW427" s="93"/>
      <c r="BX427" s="93"/>
      <c r="BY427" s="99">
        <v>1.0</v>
      </c>
      <c r="BZ427" s="93"/>
    </row>
    <row r="428">
      <c r="B428" t="s">
        <v>2085</v>
      </c>
      <c r="C428" s="89" t="s">
        <v>2086</v>
      </c>
      <c r="D428" s="90" t="s">
        <v>2087</v>
      </c>
      <c r="E428" s="91">
        <v>2016.0</v>
      </c>
      <c r="F428" s="92">
        <v>1.0</v>
      </c>
      <c r="G428" s="93"/>
      <c r="H428" s="93"/>
      <c r="I428" s="93"/>
      <c r="J428" s="93"/>
      <c r="K428" s="93"/>
      <c r="L428" s="93"/>
      <c r="M428" s="93"/>
      <c r="N428" s="93"/>
      <c r="O428" s="93"/>
      <c r="P428" s="93"/>
      <c r="Q428" s="93"/>
      <c r="R428" s="93"/>
      <c r="S428" s="93"/>
      <c r="T428" s="93"/>
      <c r="U428" s="93"/>
      <c r="V428" s="93"/>
      <c r="W428" s="93"/>
      <c r="X428" s="93"/>
      <c r="Y428" s="93"/>
      <c r="Z428" s="93"/>
      <c r="AA428" s="93"/>
      <c r="AB428" s="93"/>
      <c r="AC428" s="93"/>
      <c r="AD428" s="93"/>
      <c r="AE428" s="93"/>
      <c r="AF428" s="93"/>
      <c r="AG428" s="93"/>
      <c r="AH428" s="94"/>
      <c r="AI428" s="93"/>
      <c r="AJ428" s="93"/>
      <c r="AK428" s="93"/>
      <c r="AL428" s="93"/>
      <c r="AM428" s="93"/>
      <c r="AN428" s="93"/>
      <c r="AO428" s="93"/>
      <c r="AP428" s="93"/>
      <c r="AQ428" s="93"/>
      <c r="AR428" s="93"/>
      <c r="AS428" s="93"/>
      <c r="AT428" s="93"/>
      <c r="AU428" s="93"/>
      <c r="AV428" s="93"/>
      <c r="AW428" s="93"/>
      <c r="AX428" s="93"/>
      <c r="AY428" s="93"/>
      <c r="AZ428" s="93"/>
      <c r="BA428" s="93"/>
      <c r="BB428" s="93"/>
      <c r="BC428" s="93"/>
      <c r="BD428" s="93"/>
      <c r="BE428" s="93"/>
      <c r="BF428" s="93"/>
      <c r="BG428" s="93"/>
      <c r="BH428" s="93"/>
      <c r="BI428" s="93"/>
      <c r="BJ428" s="93"/>
      <c r="BK428" s="93"/>
      <c r="BL428" s="93"/>
      <c r="BM428" s="93"/>
      <c r="BN428" s="93"/>
      <c r="BO428" s="93"/>
      <c r="BP428" s="93"/>
      <c r="BQ428" s="93"/>
      <c r="BR428" s="93"/>
      <c r="BS428" s="93"/>
      <c r="BT428" s="93"/>
      <c r="BU428" s="93"/>
      <c r="BV428" s="93"/>
      <c r="BW428" s="93"/>
      <c r="BX428" s="93"/>
      <c r="BY428" s="93"/>
      <c r="BZ428" s="93"/>
    </row>
    <row r="429">
      <c r="B429" t="s">
        <v>2088</v>
      </c>
      <c r="C429" s="89" t="s">
        <v>2089</v>
      </c>
      <c r="D429" s="90" t="s">
        <v>2090</v>
      </c>
      <c r="E429" s="91">
        <v>2015.0</v>
      </c>
      <c r="F429" s="92">
        <v>1.0</v>
      </c>
      <c r="G429" s="93"/>
      <c r="H429" s="93"/>
      <c r="I429" s="93"/>
      <c r="J429" s="93"/>
      <c r="K429" s="93"/>
      <c r="L429" s="93"/>
      <c r="M429" s="93"/>
      <c r="N429" s="93"/>
      <c r="O429" s="93"/>
      <c r="P429" s="93"/>
      <c r="Q429" s="93"/>
      <c r="R429" s="93"/>
      <c r="S429" s="93"/>
      <c r="T429" s="93"/>
      <c r="U429" s="93"/>
      <c r="V429" s="93"/>
      <c r="W429" s="93"/>
      <c r="X429" s="93"/>
      <c r="Y429" s="93"/>
      <c r="Z429" s="93"/>
      <c r="AA429" s="93"/>
      <c r="AB429" s="93"/>
      <c r="AC429" s="93"/>
      <c r="AD429" s="93"/>
      <c r="AE429" s="93"/>
      <c r="AF429" s="93"/>
      <c r="AG429" s="93"/>
      <c r="AH429" s="94"/>
      <c r="AI429" s="93"/>
      <c r="AJ429" s="93"/>
      <c r="AK429" s="93"/>
      <c r="AL429" s="93"/>
      <c r="AM429" s="93"/>
      <c r="AN429" s="93"/>
      <c r="AO429" s="93"/>
      <c r="AP429" s="93"/>
      <c r="AQ429" s="93"/>
      <c r="AR429" s="93"/>
      <c r="AS429" s="93"/>
      <c r="AT429" s="93"/>
      <c r="AU429" s="93"/>
      <c r="AV429" s="93"/>
      <c r="AW429" s="93"/>
      <c r="AX429" s="93"/>
      <c r="AY429" s="93"/>
      <c r="AZ429" s="93"/>
      <c r="BA429" s="93"/>
      <c r="BB429" s="93"/>
      <c r="BC429" s="93"/>
      <c r="BD429" s="93"/>
      <c r="BE429" s="93"/>
      <c r="BF429" s="93"/>
      <c r="BG429" s="93"/>
      <c r="BH429" s="93"/>
      <c r="BI429" s="93"/>
      <c r="BJ429" s="93"/>
      <c r="BK429" s="93"/>
      <c r="BL429" s="93"/>
      <c r="BM429" s="93"/>
      <c r="BN429" s="93"/>
      <c r="BO429" s="93"/>
      <c r="BP429" s="93"/>
      <c r="BQ429" s="93"/>
      <c r="BR429" s="93"/>
      <c r="BS429" s="93"/>
      <c r="BT429" s="93"/>
      <c r="BU429" s="93"/>
      <c r="BV429" s="93"/>
      <c r="BW429" s="93"/>
      <c r="BX429" s="93"/>
      <c r="BY429" s="93"/>
      <c r="BZ429" s="93"/>
    </row>
    <row r="430">
      <c r="A430" t="s">
        <v>116</v>
      </c>
      <c r="B430" t="s">
        <v>2091</v>
      </c>
      <c r="C430" s="89" t="s">
        <v>2092</v>
      </c>
      <c r="D430" s="90" t="s">
        <v>2093</v>
      </c>
      <c r="E430" s="91">
        <v>2016.0</v>
      </c>
      <c r="F430" s="92">
        <v>1.0</v>
      </c>
      <c r="G430" s="93"/>
      <c r="H430" s="93"/>
      <c r="I430" s="93"/>
      <c r="J430" s="93"/>
      <c r="K430" s="93"/>
      <c r="L430" s="93"/>
      <c r="M430" s="93"/>
      <c r="N430" s="93"/>
      <c r="O430" s="93"/>
      <c r="P430" s="93"/>
      <c r="Q430" s="93"/>
      <c r="R430" s="93"/>
      <c r="S430" s="93"/>
      <c r="T430" s="93"/>
      <c r="U430" s="93"/>
      <c r="V430" s="93"/>
      <c r="W430" s="93"/>
      <c r="X430" s="93"/>
      <c r="Y430" s="93"/>
      <c r="Z430" s="93"/>
      <c r="AA430" s="93"/>
      <c r="AB430" s="93"/>
      <c r="AC430" s="93"/>
      <c r="AD430" s="93"/>
      <c r="AE430" s="93"/>
      <c r="AF430" s="93"/>
      <c r="AG430" s="93"/>
      <c r="AH430" s="94"/>
      <c r="AI430" s="93"/>
      <c r="AJ430" s="93"/>
      <c r="AK430" s="93"/>
      <c r="AL430" s="93"/>
      <c r="AM430" s="93"/>
      <c r="AN430" s="93"/>
      <c r="AO430" s="93"/>
      <c r="AP430" s="93"/>
      <c r="AQ430" s="93"/>
      <c r="AR430" s="93"/>
      <c r="AS430" s="93"/>
      <c r="AT430" s="93"/>
      <c r="AU430" s="93"/>
      <c r="AV430" s="93"/>
      <c r="AW430" s="93"/>
      <c r="AX430" s="93"/>
      <c r="AY430" s="93"/>
      <c r="AZ430" s="93"/>
      <c r="BA430" s="93"/>
      <c r="BB430" s="93"/>
      <c r="BC430" s="93"/>
      <c r="BD430" s="93"/>
      <c r="BE430" s="93"/>
      <c r="BF430" s="93"/>
      <c r="BG430" s="93"/>
      <c r="BH430" s="93"/>
      <c r="BI430" s="93"/>
      <c r="BJ430" s="93"/>
      <c r="BK430" s="93"/>
      <c r="BL430" s="93"/>
      <c r="BM430" s="93"/>
      <c r="BN430" s="93"/>
      <c r="BO430" s="93"/>
      <c r="BP430" s="93"/>
      <c r="BQ430" s="93"/>
      <c r="BR430" s="93"/>
      <c r="BS430" s="93"/>
      <c r="BT430" s="93"/>
      <c r="BU430" s="93"/>
      <c r="BV430" s="93"/>
      <c r="BW430" s="93"/>
      <c r="BX430" s="93"/>
      <c r="BY430" s="93"/>
      <c r="BZ430" s="93"/>
    </row>
    <row r="431">
      <c r="B431" t="s">
        <v>2094</v>
      </c>
      <c r="C431" s="89" t="s">
        <v>2095</v>
      </c>
      <c r="D431" s="90" t="s">
        <v>2096</v>
      </c>
      <c r="E431" s="91">
        <v>2016.0</v>
      </c>
      <c r="F431" s="92">
        <v>1.0</v>
      </c>
      <c r="G431" s="93"/>
      <c r="H431" s="93"/>
      <c r="I431" s="93"/>
      <c r="J431" s="93"/>
      <c r="K431" s="93"/>
      <c r="L431" s="93"/>
      <c r="M431" s="93"/>
      <c r="N431" s="93"/>
      <c r="O431" s="93"/>
      <c r="P431" s="93"/>
      <c r="Q431" s="93"/>
      <c r="R431" s="93"/>
      <c r="S431" s="93"/>
      <c r="T431" s="93"/>
      <c r="U431" s="93"/>
      <c r="V431" s="93"/>
      <c r="W431" s="93"/>
      <c r="X431" s="93"/>
      <c r="Y431" s="93"/>
      <c r="Z431" s="93"/>
      <c r="AA431" s="93"/>
      <c r="AB431" s="93"/>
      <c r="AC431" s="93"/>
      <c r="AD431" s="93"/>
      <c r="AE431" s="93"/>
      <c r="AF431" s="93"/>
      <c r="AG431" s="93"/>
      <c r="AH431" s="94"/>
      <c r="AI431" s="93"/>
      <c r="AJ431" s="93"/>
      <c r="AK431" s="93"/>
      <c r="AL431" s="93"/>
      <c r="AM431" s="93"/>
      <c r="AN431" s="93"/>
      <c r="AO431" s="93"/>
      <c r="AP431" s="93"/>
      <c r="AQ431" s="93"/>
      <c r="AR431" s="93"/>
      <c r="AS431" s="93"/>
      <c r="AT431" s="93"/>
      <c r="AU431" s="93"/>
      <c r="AV431" s="93"/>
      <c r="AW431" s="93"/>
      <c r="AX431" s="93"/>
      <c r="AY431" s="93"/>
      <c r="AZ431" s="93"/>
      <c r="BA431" s="93"/>
      <c r="BB431" s="93"/>
      <c r="BC431" s="93"/>
      <c r="BD431" s="93"/>
      <c r="BE431" s="93"/>
      <c r="BF431" s="93"/>
      <c r="BG431" s="93"/>
      <c r="BH431" s="93"/>
      <c r="BI431" s="93"/>
      <c r="BJ431" s="93"/>
      <c r="BK431" s="93"/>
      <c r="BL431" s="93"/>
      <c r="BM431" s="93"/>
      <c r="BN431" s="93"/>
      <c r="BO431" s="93"/>
      <c r="BP431" s="93"/>
      <c r="BQ431" s="93"/>
      <c r="BR431" s="93"/>
      <c r="BS431" s="93"/>
      <c r="BT431" s="93"/>
      <c r="BU431" s="93"/>
      <c r="BV431" s="93"/>
      <c r="BW431" s="93"/>
      <c r="BX431" s="93"/>
      <c r="BY431" s="93"/>
      <c r="BZ431" s="93"/>
    </row>
    <row r="432">
      <c r="B432" t="s">
        <v>2097</v>
      </c>
      <c r="C432" s="89" t="s">
        <v>2098</v>
      </c>
      <c r="D432" s="90" t="s">
        <v>1540</v>
      </c>
      <c r="E432" s="91">
        <v>2016.0</v>
      </c>
      <c r="F432" s="92">
        <v>1.0</v>
      </c>
      <c r="G432" s="93"/>
      <c r="H432" s="93"/>
      <c r="I432" s="93"/>
      <c r="J432" s="93"/>
      <c r="K432" s="93"/>
      <c r="L432" s="93"/>
      <c r="M432" s="93"/>
      <c r="N432" s="93"/>
      <c r="O432" s="93"/>
      <c r="P432" s="93"/>
      <c r="Q432" s="93"/>
      <c r="R432" s="93"/>
      <c r="S432" s="93"/>
      <c r="T432" s="93"/>
      <c r="U432" s="93"/>
      <c r="V432" s="93"/>
      <c r="W432" s="93"/>
      <c r="X432" s="93"/>
      <c r="Y432" s="93"/>
      <c r="Z432" s="93"/>
      <c r="AA432" s="93"/>
      <c r="AB432" s="93"/>
      <c r="AC432" s="93"/>
      <c r="AD432" s="93"/>
      <c r="AE432" s="93"/>
      <c r="AF432" s="93"/>
      <c r="AG432" s="93"/>
      <c r="AH432" s="94"/>
      <c r="AI432" s="93"/>
      <c r="AJ432" s="93"/>
      <c r="AK432" s="93"/>
      <c r="AL432" s="93"/>
      <c r="AM432" s="93"/>
      <c r="AN432" s="93"/>
      <c r="AO432" s="93"/>
      <c r="AP432" s="93"/>
      <c r="AQ432" s="93"/>
      <c r="AR432" s="93"/>
      <c r="AS432" s="93"/>
      <c r="AT432" s="93"/>
      <c r="AU432" s="93"/>
      <c r="AV432" s="93"/>
      <c r="AW432" s="93"/>
      <c r="AX432" s="93"/>
      <c r="AY432" s="93"/>
      <c r="AZ432" s="93"/>
      <c r="BA432" s="93"/>
      <c r="BB432" s="93"/>
      <c r="BC432" s="93"/>
      <c r="BD432" s="93"/>
      <c r="BE432" s="93"/>
      <c r="BF432" s="93"/>
      <c r="BG432" s="93"/>
      <c r="BH432" s="93"/>
      <c r="BI432" s="93"/>
      <c r="BJ432" s="93"/>
      <c r="BK432" s="93"/>
      <c r="BL432" s="93"/>
      <c r="BM432" s="93"/>
      <c r="BN432" s="93"/>
      <c r="BO432" s="93"/>
      <c r="BP432" s="93"/>
      <c r="BQ432" s="93"/>
      <c r="BR432" s="93"/>
      <c r="BS432" s="93"/>
      <c r="BT432" s="93"/>
      <c r="BU432" s="93"/>
      <c r="BV432" s="93"/>
      <c r="BW432" s="93"/>
      <c r="BX432" s="93"/>
      <c r="BY432" s="93"/>
      <c r="BZ432" s="93"/>
    </row>
    <row r="433">
      <c r="B433" t="s">
        <v>2099</v>
      </c>
      <c r="C433" s="89" t="s">
        <v>2100</v>
      </c>
      <c r="D433" s="90" t="s">
        <v>2101</v>
      </c>
      <c r="E433" s="91">
        <v>2016.0</v>
      </c>
      <c r="F433" s="92">
        <v>1.0</v>
      </c>
      <c r="G433" s="93"/>
      <c r="H433" s="93"/>
      <c r="I433" s="93"/>
      <c r="J433" s="93"/>
      <c r="K433" s="93"/>
      <c r="L433" s="93"/>
      <c r="M433" s="93"/>
      <c r="N433" s="93"/>
      <c r="O433" s="93"/>
      <c r="P433" s="93"/>
      <c r="Q433" s="93"/>
      <c r="R433" s="93"/>
      <c r="S433" s="93"/>
      <c r="T433" s="93"/>
      <c r="U433" s="93"/>
      <c r="V433" s="93"/>
      <c r="W433" s="93"/>
      <c r="X433" s="93"/>
      <c r="Y433" s="93"/>
      <c r="Z433" s="93"/>
      <c r="AA433" s="93"/>
      <c r="AB433" s="93"/>
      <c r="AC433" s="93"/>
      <c r="AD433" s="93"/>
      <c r="AE433" s="93"/>
      <c r="AF433" s="93"/>
      <c r="AG433" s="93"/>
      <c r="AH433" s="94"/>
      <c r="AI433" s="93"/>
      <c r="AJ433" s="93"/>
      <c r="AK433" s="93"/>
      <c r="AL433" s="93"/>
      <c r="AM433" s="93"/>
      <c r="AN433" s="93"/>
      <c r="AO433" s="93"/>
      <c r="AP433" s="93"/>
      <c r="AQ433" s="93"/>
      <c r="AR433" s="93"/>
      <c r="AS433" s="93"/>
      <c r="AT433" s="93"/>
      <c r="AU433" s="93"/>
      <c r="AV433" s="93"/>
      <c r="AW433" s="93"/>
      <c r="AX433" s="93"/>
      <c r="AY433" s="93"/>
      <c r="AZ433" s="93"/>
      <c r="BA433" s="93"/>
      <c r="BB433" s="93"/>
      <c r="BC433" s="93"/>
      <c r="BD433" s="93"/>
      <c r="BE433" s="93"/>
      <c r="BF433" s="93"/>
      <c r="BG433" s="93"/>
      <c r="BH433" s="93"/>
      <c r="BI433" s="93"/>
      <c r="BJ433" s="93"/>
      <c r="BK433" s="93"/>
      <c r="BL433" s="93"/>
      <c r="BM433" s="93"/>
      <c r="BN433" s="93"/>
      <c r="BO433" s="93"/>
      <c r="BP433" s="93"/>
      <c r="BQ433" s="93"/>
      <c r="BR433" s="93"/>
      <c r="BS433" s="93"/>
      <c r="BT433" s="93"/>
      <c r="BU433" s="93"/>
      <c r="BV433" s="93"/>
      <c r="BW433" s="93"/>
      <c r="BX433" s="93"/>
      <c r="BY433" s="93"/>
      <c r="BZ433" s="93"/>
    </row>
    <row r="434">
      <c r="B434" t="s">
        <v>2102</v>
      </c>
      <c r="C434" s="89" t="s">
        <v>2103</v>
      </c>
      <c r="D434" s="90" t="s">
        <v>2104</v>
      </c>
      <c r="E434" s="91">
        <v>2016.0</v>
      </c>
      <c r="F434" s="92">
        <v>1.0</v>
      </c>
      <c r="G434" s="93"/>
      <c r="H434" s="93"/>
      <c r="I434" s="93"/>
      <c r="J434" s="93"/>
      <c r="K434" s="93"/>
      <c r="L434" s="93"/>
      <c r="M434" s="93"/>
      <c r="N434" s="93"/>
      <c r="O434" s="93"/>
      <c r="P434" s="93"/>
      <c r="Q434" s="93"/>
      <c r="R434" s="93"/>
      <c r="S434" s="93"/>
      <c r="T434" s="93"/>
      <c r="U434" s="93"/>
      <c r="V434" s="93"/>
      <c r="W434" s="93"/>
      <c r="X434" s="93"/>
      <c r="Y434" s="93"/>
      <c r="Z434" s="93"/>
      <c r="AA434" s="93"/>
      <c r="AB434" s="93"/>
      <c r="AC434" s="93"/>
      <c r="AD434" s="93"/>
      <c r="AE434" s="93"/>
      <c r="AF434" s="93"/>
      <c r="AG434" s="93"/>
      <c r="AH434" s="94"/>
      <c r="AI434" s="93"/>
      <c r="AJ434" s="93"/>
      <c r="AK434" s="93"/>
      <c r="AL434" s="93"/>
      <c r="AM434" s="93"/>
      <c r="AN434" s="93"/>
      <c r="AO434" s="93"/>
      <c r="AP434" s="93"/>
      <c r="AQ434" s="93"/>
      <c r="AR434" s="93"/>
      <c r="AS434" s="93"/>
      <c r="AT434" s="93"/>
      <c r="AU434" s="93"/>
      <c r="AV434" s="93"/>
      <c r="AW434" s="93"/>
      <c r="AX434" s="93"/>
      <c r="AY434" s="93"/>
      <c r="AZ434" s="93"/>
      <c r="BA434" s="93"/>
      <c r="BB434" s="93"/>
      <c r="BC434" s="93"/>
      <c r="BD434" s="93"/>
      <c r="BE434" s="93"/>
      <c r="BF434" s="93"/>
      <c r="BG434" s="93"/>
      <c r="BH434" s="93"/>
      <c r="BI434" s="93"/>
      <c r="BJ434" s="93"/>
      <c r="BK434" s="93"/>
      <c r="BL434" s="93"/>
      <c r="BM434" s="93"/>
      <c r="BN434" s="93"/>
      <c r="BO434" s="93"/>
      <c r="BP434" s="93"/>
      <c r="BQ434" s="93"/>
      <c r="BR434" s="93"/>
      <c r="BS434" s="93"/>
      <c r="BT434" s="93"/>
      <c r="BU434" s="93"/>
      <c r="BV434" s="93"/>
      <c r="BW434" s="93"/>
      <c r="BX434" s="93"/>
      <c r="BY434" s="93"/>
      <c r="BZ434" s="93"/>
    </row>
    <row r="435">
      <c r="B435" t="s">
        <v>2105</v>
      </c>
      <c r="C435" s="89" t="s">
        <v>2106</v>
      </c>
      <c r="D435" s="90" t="s">
        <v>2107</v>
      </c>
      <c r="E435" s="91">
        <v>2016.0</v>
      </c>
      <c r="F435" s="92">
        <v>1.0</v>
      </c>
      <c r="G435" s="93"/>
      <c r="H435" s="93"/>
      <c r="I435" s="93"/>
      <c r="J435" s="93"/>
      <c r="K435" s="93"/>
      <c r="L435" s="93"/>
      <c r="M435" s="93"/>
      <c r="N435" s="93"/>
      <c r="O435" s="93"/>
      <c r="P435" s="93"/>
      <c r="Q435" s="93"/>
      <c r="R435" s="93"/>
      <c r="S435" s="93"/>
      <c r="T435" s="93"/>
      <c r="U435" s="93"/>
      <c r="V435" s="93"/>
      <c r="W435" s="93"/>
      <c r="X435" s="93"/>
      <c r="Y435" s="93"/>
      <c r="Z435" s="93"/>
      <c r="AA435" s="93"/>
      <c r="AB435" s="93"/>
      <c r="AC435" s="93"/>
      <c r="AD435" s="93"/>
      <c r="AE435" s="93"/>
      <c r="AF435" s="93"/>
      <c r="AG435" s="93"/>
      <c r="AH435" s="94"/>
      <c r="AI435" s="93"/>
      <c r="AJ435" s="93"/>
      <c r="AK435" s="93"/>
      <c r="AL435" s="93"/>
      <c r="AM435" s="93"/>
      <c r="AN435" s="93"/>
      <c r="AO435" s="93"/>
      <c r="AP435" s="93"/>
      <c r="AQ435" s="93"/>
      <c r="AR435" s="93"/>
      <c r="AS435" s="93"/>
      <c r="AT435" s="93"/>
      <c r="AU435" s="93"/>
      <c r="AV435" s="93"/>
      <c r="AW435" s="93"/>
      <c r="AX435" s="93"/>
      <c r="AY435" s="93"/>
      <c r="AZ435" s="93"/>
      <c r="BA435" s="93"/>
      <c r="BB435" s="93"/>
      <c r="BC435" s="93"/>
      <c r="BD435" s="93"/>
      <c r="BE435" s="93"/>
      <c r="BF435" s="93"/>
      <c r="BG435" s="93"/>
      <c r="BH435" s="93"/>
      <c r="BI435" s="93"/>
      <c r="BJ435" s="93"/>
      <c r="BK435" s="93"/>
      <c r="BL435" s="93"/>
      <c r="BM435" s="93"/>
      <c r="BN435" s="93"/>
      <c r="BO435" s="93"/>
      <c r="BP435" s="93"/>
      <c r="BQ435" s="93"/>
      <c r="BR435" s="93"/>
      <c r="BS435" s="93"/>
      <c r="BT435" s="93"/>
      <c r="BU435" s="93"/>
      <c r="BV435" s="93"/>
      <c r="BW435" s="93"/>
      <c r="BX435" s="93"/>
      <c r="BY435" s="93"/>
      <c r="BZ435" s="93"/>
    </row>
    <row r="436">
      <c r="B436" t="s">
        <v>2108</v>
      </c>
      <c r="C436" s="89" t="s">
        <v>957</v>
      </c>
      <c r="D436" s="90" t="s">
        <v>181</v>
      </c>
      <c r="E436" s="91">
        <v>2016.0</v>
      </c>
      <c r="F436" s="97" t="s">
        <v>1777</v>
      </c>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3"/>
      <c r="AH436" s="94"/>
      <c r="AI436" s="93"/>
      <c r="AJ436" s="93"/>
      <c r="AK436" s="93"/>
      <c r="AL436" s="93"/>
      <c r="AM436" s="93"/>
      <c r="AN436" s="93"/>
      <c r="AO436" s="93"/>
      <c r="AP436" s="93"/>
      <c r="AQ436" s="93"/>
      <c r="AR436" s="93"/>
      <c r="AS436" s="93"/>
      <c r="AT436" s="93"/>
      <c r="AU436" s="93"/>
      <c r="AV436" s="93"/>
      <c r="AW436" s="93"/>
      <c r="AX436" s="93"/>
      <c r="AY436" s="93"/>
      <c r="AZ436" s="93"/>
      <c r="BA436" s="93"/>
      <c r="BB436" s="93"/>
      <c r="BC436" s="93"/>
      <c r="BD436" s="93"/>
      <c r="BE436" s="93"/>
      <c r="BF436" s="93"/>
      <c r="BG436" s="93"/>
      <c r="BH436" s="93"/>
      <c r="BI436" s="93"/>
      <c r="BJ436" s="93"/>
      <c r="BK436" s="93"/>
      <c r="BL436" s="93"/>
      <c r="BM436" s="93"/>
      <c r="BN436" s="93"/>
      <c r="BO436" s="93"/>
      <c r="BP436" s="93"/>
      <c r="BQ436" s="93"/>
      <c r="BR436" s="93"/>
      <c r="BS436" s="93"/>
      <c r="BT436" s="93"/>
      <c r="BU436" s="93"/>
      <c r="BV436" s="93"/>
      <c r="BW436" s="93"/>
      <c r="BX436" s="93"/>
      <c r="BY436" s="93"/>
      <c r="BZ436" s="93"/>
    </row>
    <row r="437">
      <c r="B437" t="s">
        <v>2109</v>
      </c>
      <c r="C437" s="89" t="s">
        <v>2110</v>
      </c>
      <c r="D437" s="90" t="s">
        <v>2111</v>
      </c>
      <c r="E437" s="91">
        <v>2016.0</v>
      </c>
      <c r="F437" s="92">
        <v>1.0</v>
      </c>
      <c r="G437" s="93"/>
      <c r="H437" s="93"/>
      <c r="I437" s="93"/>
      <c r="J437" s="93"/>
      <c r="K437" s="93"/>
      <c r="L437" s="93"/>
      <c r="M437" s="93"/>
      <c r="N437" s="93"/>
      <c r="O437" s="93"/>
      <c r="P437" s="93"/>
      <c r="Q437" s="93"/>
      <c r="R437" s="93"/>
      <c r="S437" s="93"/>
      <c r="T437" s="93"/>
      <c r="U437" s="93"/>
      <c r="V437" s="93"/>
      <c r="W437" s="93"/>
      <c r="X437" s="93"/>
      <c r="Y437" s="93"/>
      <c r="Z437" s="93"/>
      <c r="AA437" s="93"/>
      <c r="AB437" s="93"/>
      <c r="AC437" s="93"/>
      <c r="AD437" s="93"/>
      <c r="AE437" s="93"/>
      <c r="AF437" s="93"/>
      <c r="AG437" s="93"/>
      <c r="AH437" s="94"/>
      <c r="AI437" s="93"/>
      <c r="AJ437" s="93"/>
      <c r="AK437" s="93"/>
      <c r="AL437" s="93"/>
      <c r="AM437" s="93"/>
      <c r="AN437" s="93"/>
      <c r="AO437" s="93"/>
      <c r="AP437" s="93"/>
      <c r="AQ437" s="93"/>
      <c r="AR437" s="93"/>
      <c r="AS437" s="93"/>
      <c r="AT437" s="93"/>
      <c r="AU437" s="93"/>
      <c r="AV437" s="93"/>
      <c r="AW437" s="93"/>
      <c r="AX437" s="93"/>
      <c r="AY437" s="93"/>
      <c r="AZ437" s="93"/>
      <c r="BA437" s="93"/>
      <c r="BB437" s="93"/>
      <c r="BC437" s="93"/>
      <c r="BD437" s="93"/>
      <c r="BE437" s="93"/>
      <c r="BF437" s="93"/>
      <c r="BG437" s="93"/>
      <c r="BH437" s="93"/>
      <c r="BI437" s="93"/>
      <c r="BJ437" s="93"/>
      <c r="BK437" s="93"/>
      <c r="BL437" s="93"/>
      <c r="BM437" s="93"/>
      <c r="BN437" s="93"/>
      <c r="BO437" s="93"/>
      <c r="BP437" s="93"/>
      <c r="BQ437" s="93"/>
      <c r="BR437" s="93"/>
      <c r="BS437" s="93"/>
      <c r="BT437" s="93"/>
      <c r="BU437" s="93"/>
      <c r="BV437" s="93"/>
      <c r="BW437" s="93"/>
      <c r="BX437" s="93"/>
      <c r="BY437" s="93"/>
      <c r="BZ437" s="93"/>
    </row>
    <row r="438">
      <c r="B438" t="s">
        <v>2112</v>
      </c>
      <c r="C438" s="89" t="s">
        <v>2113</v>
      </c>
      <c r="D438" s="90" t="s">
        <v>2114</v>
      </c>
      <c r="E438" s="91">
        <v>2016.0</v>
      </c>
      <c r="F438" s="92">
        <v>1.0</v>
      </c>
      <c r="G438" s="93"/>
      <c r="H438" s="93"/>
      <c r="I438" s="93"/>
      <c r="J438" s="93"/>
      <c r="K438" s="93"/>
      <c r="L438" s="93"/>
      <c r="M438" s="93"/>
      <c r="N438" s="93"/>
      <c r="O438" s="93"/>
      <c r="P438" s="93"/>
      <c r="Q438" s="93"/>
      <c r="R438" s="93"/>
      <c r="S438" s="93"/>
      <c r="T438" s="93"/>
      <c r="U438" s="93"/>
      <c r="V438" s="93"/>
      <c r="W438" s="93"/>
      <c r="X438" s="93"/>
      <c r="Y438" s="93"/>
      <c r="Z438" s="93"/>
      <c r="AA438" s="93"/>
      <c r="AB438" s="93"/>
      <c r="AC438" s="93"/>
      <c r="AD438" s="93"/>
      <c r="AE438" s="93"/>
      <c r="AF438" s="93"/>
      <c r="AG438" s="93"/>
      <c r="AH438" s="94"/>
      <c r="AI438" s="93"/>
      <c r="AJ438" s="93"/>
      <c r="AK438" s="93"/>
      <c r="AL438" s="93"/>
      <c r="AM438" s="93"/>
      <c r="AN438" s="93"/>
      <c r="AO438" s="93"/>
      <c r="AP438" s="93"/>
      <c r="AQ438" s="93"/>
      <c r="AR438" s="93"/>
      <c r="AS438" s="93"/>
      <c r="AT438" s="93"/>
      <c r="AU438" s="93"/>
      <c r="AV438" s="93"/>
      <c r="AW438" s="93"/>
      <c r="AX438" s="93"/>
      <c r="AY438" s="93"/>
      <c r="AZ438" s="93"/>
      <c r="BA438" s="93"/>
      <c r="BB438" s="93"/>
      <c r="BC438" s="93"/>
      <c r="BD438" s="93"/>
      <c r="BE438" s="93"/>
      <c r="BF438" s="93"/>
      <c r="BG438" s="93"/>
      <c r="BH438" s="93"/>
      <c r="BI438" s="93"/>
      <c r="BJ438" s="93"/>
      <c r="BK438" s="93"/>
      <c r="BL438" s="93"/>
      <c r="BM438" s="93"/>
      <c r="BN438" s="93"/>
      <c r="BO438" s="93"/>
      <c r="BP438" s="93"/>
      <c r="BQ438" s="93"/>
      <c r="BR438" s="93"/>
      <c r="BS438" s="93"/>
      <c r="BT438" s="93"/>
      <c r="BU438" s="93"/>
      <c r="BV438" s="93"/>
      <c r="BW438" s="93"/>
      <c r="BX438" s="93"/>
      <c r="BY438" s="93"/>
      <c r="BZ438" s="93"/>
    </row>
    <row r="439">
      <c r="B439" t="s">
        <v>2115</v>
      </c>
      <c r="C439" s="89" t="s">
        <v>2116</v>
      </c>
      <c r="D439" s="90" t="s">
        <v>2117</v>
      </c>
      <c r="E439" s="91">
        <v>2016.0</v>
      </c>
      <c r="F439" s="95" t="s">
        <v>1488</v>
      </c>
      <c r="G439" s="93"/>
      <c r="H439" s="93"/>
      <c r="I439" s="93"/>
      <c r="J439" s="93"/>
      <c r="K439" s="93"/>
      <c r="L439" s="93"/>
      <c r="M439" s="93"/>
      <c r="N439" s="93"/>
      <c r="O439" s="93"/>
      <c r="P439" s="93"/>
      <c r="Q439" s="93"/>
      <c r="R439" s="93"/>
      <c r="S439" s="93"/>
      <c r="T439" s="93"/>
      <c r="U439" s="93"/>
      <c r="V439" s="93"/>
      <c r="W439" s="93"/>
      <c r="X439" s="93"/>
      <c r="Y439" s="93"/>
      <c r="Z439" s="93"/>
      <c r="AA439" s="93"/>
      <c r="AB439" s="93"/>
      <c r="AC439" s="93"/>
      <c r="AD439" s="93"/>
      <c r="AE439" s="93"/>
      <c r="AF439" s="93"/>
      <c r="AG439" s="93"/>
      <c r="AH439" s="94"/>
      <c r="AI439" s="93"/>
      <c r="AJ439" s="93"/>
      <c r="AK439" s="93"/>
      <c r="AL439" s="93"/>
      <c r="AM439" s="93"/>
      <c r="AN439" s="93"/>
      <c r="AO439" s="93"/>
      <c r="AP439" s="93"/>
      <c r="AQ439" s="93"/>
      <c r="AR439" s="93"/>
      <c r="AS439" s="93"/>
      <c r="AT439" s="93"/>
      <c r="AU439" s="93"/>
      <c r="AV439" s="93"/>
      <c r="AW439" s="93"/>
      <c r="AX439" s="93"/>
      <c r="AY439" s="93"/>
      <c r="AZ439" s="93"/>
      <c r="BA439" s="93"/>
      <c r="BB439" s="93"/>
      <c r="BC439" s="93"/>
      <c r="BD439" s="93"/>
      <c r="BE439" s="93"/>
      <c r="BF439" s="93"/>
      <c r="BG439" s="93"/>
      <c r="BH439" s="93"/>
      <c r="BI439" s="93"/>
      <c r="BJ439" s="93"/>
      <c r="BK439" s="93"/>
      <c r="BL439" s="93"/>
      <c r="BM439" s="93"/>
      <c r="BN439" s="93"/>
      <c r="BO439" s="93"/>
      <c r="BP439" s="93"/>
      <c r="BQ439" s="93"/>
      <c r="BR439" s="93"/>
      <c r="BS439" s="93"/>
      <c r="BT439" s="93"/>
      <c r="BU439" s="93"/>
      <c r="BV439" s="93"/>
      <c r="BW439" s="93"/>
      <c r="BX439" s="93"/>
      <c r="BY439" s="93"/>
      <c r="BZ439" s="93"/>
    </row>
    <row r="440">
      <c r="B440" t="s">
        <v>2118</v>
      </c>
      <c r="C440" s="89" t="s">
        <v>874</v>
      </c>
      <c r="D440" s="90" t="s">
        <v>278</v>
      </c>
      <c r="E440" s="91">
        <v>2016.0</v>
      </c>
      <c r="F440" s="97" t="s">
        <v>1777</v>
      </c>
      <c r="G440" s="93"/>
      <c r="H440" s="93"/>
      <c r="I440" s="93"/>
      <c r="J440" s="93"/>
      <c r="K440" s="93"/>
      <c r="L440" s="93"/>
      <c r="M440" s="93"/>
      <c r="N440" s="93"/>
      <c r="O440" s="93"/>
      <c r="P440" s="93"/>
      <c r="Q440" s="93"/>
      <c r="R440" s="93"/>
      <c r="S440" s="93"/>
      <c r="T440" s="93"/>
      <c r="U440" s="93"/>
      <c r="V440" s="93"/>
      <c r="W440" s="93"/>
      <c r="X440" s="93"/>
      <c r="Y440" s="93"/>
      <c r="Z440" s="93"/>
      <c r="AA440" s="93"/>
      <c r="AB440" s="93"/>
      <c r="AC440" s="93"/>
      <c r="AD440" s="93"/>
      <c r="AE440" s="93"/>
      <c r="AF440" s="93"/>
      <c r="AG440" s="93"/>
      <c r="AH440" s="94"/>
      <c r="AI440" s="93"/>
      <c r="AJ440" s="93"/>
      <c r="AK440" s="93"/>
      <c r="AL440" s="93"/>
      <c r="AM440" s="93"/>
      <c r="AN440" s="93"/>
      <c r="AO440" s="93"/>
      <c r="AP440" s="93"/>
      <c r="AQ440" s="93"/>
      <c r="AR440" s="93"/>
      <c r="AS440" s="93"/>
      <c r="AT440" s="93"/>
      <c r="AU440" s="93"/>
      <c r="AV440" s="93"/>
      <c r="AW440" s="93"/>
      <c r="AX440" s="93"/>
      <c r="AY440" s="93"/>
      <c r="AZ440" s="93"/>
      <c r="BA440" s="93"/>
      <c r="BB440" s="93"/>
      <c r="BC440" s="93"/>
      <c r="BD440" s="93"/>
      <c r="BE440" s="93"/>
      <c r="BF440" s="93"/>
      <c r="BG440" s="93"/>
      <c r="BH440" s="93"/>
      <c r="BI440" s="93"/>
      <c r="BJ440" s="93"/>
      <c r="BK440" s="93"/>
      <c r="BL440" s="93"/>
      <c r="BM440" s="93"/>
      <c r="BN440" s="93"/>
      <c r="BO440" s="93"/>
      <c r="BP440" s="93"/>
      <c r="BQ440" s="93"/>
      <c r="BR440" s="93"/>
      <c r="BS440" s="93"/>
      <c r="BT440" s="93"/>
      <c r="BU440" s="93"/>
      <c r="BV440" s="93"/>
      <c r="BW440" s="93"/>
      <c r="BX440" s="93"/>
      <c r="BY440" s="93"/>
      <c r="BZ440" s="93"/>
    </row>
    <row r="441">
      <c r="B441" t="s">
        <v>2119</v>
      </c>
      <c r="C441" s="89" t="s">
        <v>2120</v>
      </c>
      <c r="D441" s="90" t="s">
        <v>2121</v>
      </c>
      <c r="E441" s="91">
        <v>2016.0</v>
      </c>
      <c r="F441" s="92">
        <v>1.0</v>
      </c>
      <c r="G441" s="93"/>
      <c r="H441" s="93"/>
      <c r="I441" s="93"/>
      <c r="J441" s="93"/>
      <c r="K441" s="93"/>
      <c r="L441" s="93"/>
      <c r="M441" s="93"/>
      <c r="N441" s="93"/>
      <c r="O441" s="93"/>
      <c r="P441" s="93"/>
      <c r="Q441" s="93"/>
      <c r="R441" s="93"/>
      <c r="S441" s="93"/>
      <c r="T441" s="93"/>
      <c r="U441" s="93"/>
      <c r="V441" s="93"/>
      <c r="W441" s="93"/>
      <c r="X441" s="93"/>
      <c r="Y441" s="93"/>
      <c r="Z441" s="93"/>
      <c r="AA441" s="93"/>
      <c r="AB441" s="93"/>
      <c r="AC441" s="93"/>
      <c r="AD441" s="93"/>
      <c r="AE441" s="93"/>
      <c r="AF441" s="93"/>
      <c r="AG441" s="93"/>
      <c r="AH441" s="94"/>
      <c r="AI441" s="93"/>
      <c r="AJ441" s="93"/>
      <c r="AK441" s="93"/>
      <c r="AL441" s="93"/>
      <c r="AM441" s="93"/>
      <c r="AN441" s="93"/>
      <c r="AO441" s="93"/>
      <c r="AP441" s="93"/>
      <c r="AQ441" s="93"/>
      <c r="AR441" s="93"/>
      <c r="AS441" s="93"/>
      <c r="AT441" s="93"/>
      <c r="AU441" s="93"/>
      <c r="AV441" s="93"/>
      <c r="AW441" s="93"/>
      <c r="AX441" s="93"/>
      <c r="AY441" s="93"/>
      <c r="AZ441" s="93"/>
      <c r="BA441" s="93"/>
      <c r="BB441" s="93"/>
      <c r="BC441" s="93"/>
      <c r="BD441" s="93"/>
      <c r="BE441" s="93"/>
      <c r="BF441" s="93"/>
      <c r="BG441" s="93"/>
      <c r="BH441" s="93"/>
      <c r="BI441" s="93"/>
      <c r="BJ441" s="93"/>
      <c r="BK441" s="93"/>
      <c r="BL441" s="93"/>
      <c r="BM441" s="93"/>
      <c r="BN441" s="93"/>
      <c r="BO441" s="93"/>
      <c r="BP441" s="93"/>
      <c r="BQ441" s="93"/>
      <c r="BR441" s="93"/>
      <c r="BS441" s="93"/>
      <c r="BT441" s="93"/>
      <c r="BU441" s="93"/>
      <c r="BV441" s="93"/>
      <c r="BW441" s="93"/>
      <c r="BX441" s="93"/>
      <c r="BY441" s="93"/>
      <c r="BZ441" s="93"/>
    </row>
    <row r="442">
      <c r="A442" t="s">
        <v>1331</v>
      </c>
      <c r="B442" t="s">
        <v>2122</v>
      </c>
      <c r="C442" s="89" t="s">
        <v>2123</v>
      </c>
      <c r="D442" s="90" t="s">
        <v>2124</v>
      </c>
      <c r="E442" s="91">
        <v>2016.0</v>
      </c>
      <c r="F442" s="93"/>
      <c r="G442" s="92">
        <v>1.0</v>
      </c>
      <c r="H442" s="92">
        <v>1.0</v>
      </c>
      <c r="I442" s="93"/>
      <c r="J442" s="93"/>
      <c r="K442" s="93"/>
      <c r="L442" s="93"/>
      <c r="M442" s="93"/>
      <c r="N442" s="93"/>
      <c r="O442" s="93"/>
      <c r="P442" s="93"/>
      <c r="Q442" s="93"/>
      <c r="R442" s="93"/>
      <c r="S442" s="93"/>
      <c r="T442" s="93"/>
      <c r="U442" s="93"/>
      <c r="V442" s="93"/>
      <c r="W442" s="95" t="s">
        <v>982</v>
      </c>
      <c r="X442" s="95" t="s">
        <v>2125</v>
      </c>
      <c r="Y442" s="95" t="s">
        <v>2126</v>
      </c>
      <c r="Z442" s="95" t="s">
        <v>1385</v>
      </c>
      <c r="AA442" s="92">
        <v>1.0</v>
      </c>
      <c r="AB442" s="92">
        <v>1.0</v>
      </c>
      <c r="AC442" s="93"/>
      <c r="AD442" s="95"/>
      <c r="AE442" s="93"/>
      <c r="AF442" s="93"/>
      <c r="AG442" s="92">
        <v>1.0</v>
      </c>
      <c r="AH442" s="96" t="s">
        <v>2127</v>
      </c>
      <c r="AI442" s="92">
        <v>1.0</v>
      </c>
      <c r="AJ442" s="93"/>
      <c r="AK442" s="93"/>
      <c r="AL442" s="93"/>
      <c r="AM442" s="93"/>
      <c r="AN442" s="93"/>
      <c r="AO442" s="93"/>
      <c r="AP442" s="93"/>
      <c r="AQ442" s="93"/>
      <c r="AR442" s="93"/>
      <c r="AS442" s="93"/>
      <c r="AT442" s="93"/>
      <c r="AU442" s="93"/>
      <c r="AV442" s="93"/>
      <c r="AW442" s="93"/>
      <c r="AX442" s="93"/>
      <c r="AY442" s="93"/>
      <c r="AZ442" s="93"/>
      <c r="BA442" s="93"/>
      <c r="BB442" s="93"/>
      <c r="BC442" s="93"/>
      <c r="BD442" s="93"/>
      <c r="BE442" s="92">
        <v>1.0</v>
      </c>
      <c r="BF442" s="93"/>
      <c r="BG442" s="93"/>
      <c r="BH442" s="92">
        <v>1.0</v>
      </c>
      <c r="BI442" s="93"/>
      <c r="BJ442" s="93"/>
      <c r="BK442" s="93"/>
      <c r="BL442" s="93"/>
      <c r="BM442" s="93"/>
      <c r="BN442" s="93"/>
      <c r="BO442" s="93"/>
      <c r="BP442" s="93"/>
      <c r="BQ442" s="93"/>
      <c r="BR442" s="93"/>
      <c r="BS442" s="93"/>
      <c r="BT442" s="93"/>
      <c r="BU442" s="93"/>
      <c r="BV442" s="93"/>
      <c r="BW442" s="92">
        <v>1.0</v>
      </c>
      <c r="BX442" s="93"/>
      <c r="BY442" s="92">
        <v>1.0</v>
      </c>
      <c r="BZ442" s="93"/>
    </row>
    <row r="443">
      <c r="A443" t="s">
        <v>1340</v>
      </c>
      <c r="B443" t="s">
        <v>2128</v>
      </c>
      <c r="C443" s="89" t="s">
        <v>2129</v>
      </c>
      <c r="D443" s="90" t="s">
        <v>2124</v>
      </c>
      <c r="E443" s="91">
        <v>2016.0</v>
      </c>
      <c r="F443" s="93"/>
      <c r="G443" s="93"/>
      <c r="H443" s="93"/>
      <c r="I443" s="93"/>
      <c r="J443" s="92">
        <v>1.0</v>
      </c>
      <c r="K443" s="93"/>
      <c r="L443" s="93"/>
      <c r="M443" s="93"/>
      <c r="N443" s="93"/>
      <c r="O443" s="93"/>
      <c r="P443" s="92">
        <v>1.0</v>
      </c>
      <c r="Q443" s="93"/>
      <c r="R443" s="93"/>
      <c r="S443" s="93"/>
      <c r="T443" s="93"/>
      <c r="U443" s="93"/>
      <c r="V443" s="93"/>
      <c r="W443" s="98" t="s">
        <v>1505</v>
      </c>
      <c r="X443" s="98" t="s">
        <v>2130</v>
      </c>
      <c r="Y443" s="98" t="s">
        <v>2131</v>
      </c>
      <c r="Z443" s="98" t="s">
        <v>137</v>
      </c>
      <c r="AA443" s="92">
        <v>1.0</v>
      </c>
      <c r="AB443" s="93"/>
      <c r="AC443" s="93"/>
      <c r="AD443" s="95" t="s">
        <v>1203</v>
      </c>
      <c r="AE443" s="93"/>
      <c r="AF443" s="93"/>
      <c r="AG443" s="93"/>
      <c r="AH443" s="96" t="s">
        <v>2132</v>
      </c>
      <c r="AI443" s="92">
        <v>1.0</v>
      </c>
      <c r="AJ443" s="93"/>
      <c r="AK443" s="93"/>
      <c r="AL443" s="93"/>
      <c r="AM443" s="93"/>
      <c r="AN443" s="93"/>
      <c r="AO443" s="93"/>
      <c r="AP443" s="93"/>
      <c r="AQ443" s="93"/>
      <c r="AR443" s="93"/>
      <c r="AS443" s="93"/>
      <c r="AT443" s="93"/>
      <c r="AU443" s="93"/>
      <c r="AV443" s="93"/>
      <c r="AW443" s="93"/>
      <c r="AX443" s="93"/>
      <c r="AY443" s="93"/>
      <c r="AZ443" s="93"/>
      <c r="BA443" s="93"/>
      <c r="BB443" s="93"/>
      <c r="BC443" s="93"/>
      <c r="BD443" s="93"/>
      <c r="BE443" s="93"/>
      <c r="BF443" s="93"/>
      <c r="BG443" s="93"/>
      <c r="BH443" s="92">
        <v>1.0</v>
      </c>
      <c r="BI443" s="93"/>
      <c r="BJ443" s="93"/>
      <c r="BK443" s="93"/>
      <c r="BL443" s="93"/>
      <c r="BM443" s="93"/>
      <c r="BN443" s="93"/>
      <c r="BO443" s="93"/>
      <c r="BP443" s="93"/>
      <c r="BQ443" s="93"/>
      <c r="BR443" s="93"/>
      <c r="BS443" s="93"/>
      <c r="BT443" s="93"/>
      <c r="BU443" s="93"/>
      <c r="BV443" s="93"/>
      <c r="BW443" s="93"/>
      <c r="BX443" s="93"/>
      <c r="BY443" s="93"/>
      <c r="BZ443" s="93"/>
    </row>
    <row r="444">
      <c r="B444" t="s">
        <v>2133</v>
      </c>
      <c r="C444" s="89" t="s">
        <v>2134</v>
      </c>
      <c r="D444" s="90" t="s">
        <v>2135</v>
      </c>
      <c r="E444" s="91">
        <v>2016.0</v>
      </c>
      <c r="F444" s="97" t="s">
        <v>1777</v>
      </c>
      <c r="G444" s="93"/>
      <c r="H444" s="93"/>
      <c r="I444" s="93"/>
      <c r="J444" s="93"/>
      <c r="K444" s="93"/>
      <c r="L444" s="93"/>
      <c r="M444" s="93"/>
      <c r="N444" s="93"/>
      <c r="O444" s="93"/>
      <c r="P444" s="93"/>
      <c r="Q444" s="93"/>
      <c r="R444" s="93"/>
      <c r="S444" s="93"/>
      <c r="T444" s="93"/>
      <c r="U444" s="93"/>
      <c r="V444" s="93"/>
      <c r="W444" s="93"/>
      <c r="X444" s="93"/>
      <c r="Y444" s="93"/>
      <c r="Z444" s="93"/>
      <c r="AA444" s="93"/>
      <c r="AB444" s="93"/>
      <c r="AC444" s="93"/>
      <c r="AD444" s="93"/>
      <c r="AE444" s="93"/>
      <c r="AF444" s="93"/>
      <c r="AG444" s="93"/>
      <c r="AH444" s="94"/>
      <c r="AI444" s="93"/>
      <c r="AJ444" s="93"/>
      <c r="AK444" s="93"/>
      <c r="AL444" s="93"/>
      <c r="AM444" s="93"/>
      <c r="AN444" s="93"/>
      <c r="AO444" s="93"/>
      <c r="AP444" s="93"/>
      <c r="AQ444" s="93"/>
      <c r="AR444" s="93"/>
      <c r="AS444" s="93"/>
      <c r="AT444" s="93"/>
      <c r="AU444" s="93"/>
      <c r="AV444" s="93"/>
      <c r="AW444" s="93"/>
      <c r="AX444" s="93"/>
      <c r="AY444" s="93"/>
      <c r="AZ444" s="93"/>
      <c r="BA444" s="93"/>
      <c r="BB444" s="93"/>
      <c r="BC444" s="93"/>
      <c r="BD444" s="93"/>
      <c r="BE444" s="93"/>
      <c r="BF444" s="93"/>
      <c r="BG444" s="93"/>
      <c r="BH444" s="93"/>
      <c r="BI444" s="93"/>
      <c r="BJ444" s="93"/>
      <c r="BK444" s="93"/>
      <c r="BL444" s="93"/>
      <c r="BM444" s="93"/>
      <c r="BN444" s="93"/>
      <c r="BO444" s="93"/>
      <c r="BP444" s="93"/>
      <c r="BQ444" s="93"/>
      <c r="BR444" s="93"/>
      <c r="BS444" s="93"/>
      <c r="BT444" s="93"/>
      <c r="BU444" s="93"/>
      <c r="BV444" s="93"/>
      <c r="BW444" s="93"/>
      <c r="BX444" s="93"/>
      <c r="BY444" s="93"/>
      <c r="BZ444" s="93"/>
    </row>
    <row r="445">
      <c r="B445" t="s">
        <v>2136</v>
      </c>
      <c r="C445" s="89" t="s">
        <v>2137</v>
      </c>
      <c r="D445" s="90" t="s">
        <v>2138</v>
      </c>
      <c r="E445" s="91">
        <v>2016.0</v>
      </c>
      <c r="F445" s="97" t="s">
        <v>1777</v>
      </c>
      <c r="G445" s="93"/>
      <c r="H445" s="93"/>
      <c r="I445" s="93"/>
      <c r="J445" s="93"/>
      <c r="K445" s="93"/>
      <c r="L445" s="93"/>
      <c r="M445" s="93"/>
      <c r="N445" s="93"/>
      <c r="O445" s="93"/>
      <c r="P445" s="93"/>
      <c r="Q445" s="93"/>
      <c r="R445" s="93"/>
      <c r="S445" s="93"/>
      <c r="T445" s="93"/>
      <c r="U445" s="93"/>
      <c r="V445" s="93"/>
      <c r="W445" s="93"/>
      <c r="X445" s="93"/>
      <c r="Y445" s="93"/>
      <c r="Z445" s="93"/>
      <c r="AA445" s="93"/>
      <c r="AB445" s="93"/>
      <c r="AC445" s="93"/>
      <c r="AD445" s="93"/>
      <c r="AE445" s="93"/>
      <c r="AF445" s="93"/>
      <c r="AG445" s="93"/>
      <c r="AH445" s="94"/>
      <c r="AI445" s="93"/>
      <c r="AJ445" s="93"/>
      <c r="AK445" s="93"/>
      <c r="AL445" s="93"/>
      <c r="AM445" s="93"/>
      <c r="AN445" s="93"/>
      <c r="AO445" s="93"/>
      <c r="AP445" s="93"/>
      <c r="AQ445" s="93"/>
      <c r="AR445" s="93"/>
      <c r="AS445" s="93"/>
      <c r="AT445" s="93"/>
      <c r="AU445" s="93"/>
      <c r="AV445" s="93"/>
      <c r="AW445" s="93"/>
      <c r="AX445" s="93"/>
      <c r="AY445" s="93"/>
      <c r="AZ445" s="93"/>
      <c r="BA445" s="93"/>
      <c r="BB445" s="93"/>
      <c r="BC445" s="93"/>
      <c r="BD445" s="93"/>
      <c r="BE445" s="93"/>
      <c r="BF445" s="93"/>
      <c r="BG445" s="93"/>
      <c r="BH445" s="93"/>
      <c r="BI445" s="93"/>
      <c r="BJ445" s="93"/>
      <c r="BK445" s="93"/>
      <c r="BL445" s="93"/>
      <c r="BM445" s="93"/>
      <c r="BN445" s="93"/>
      <c r="BO445" s="93"/>
      <c r="BP445" s="93"/>
      <c r="BQ445" s="93"/>
      <c r="BR445" s="93"/>
      <c r="BS445" s="93"/>
      <c r="BT445" s="93"/>
      <c r="BU445" s="93"/>
      <c r="BV445" s="93"/>
      <c r="BW445" s="93"/>
      <c r="BX445" s="93"/>
      <c r="BY445" s="93"/>
      <c r="BZ445" s="93"/>
    </row>
    <row r="446">
      <c r="B446" t="s">
        <v>2139</v>
      </c>
      <c r="C446" s="89" t="s">
        <v>2140</v>
      </c>
      <c r="D446" s="90" t="s">
        <v>2141</v>
      </c>
      <c r="E446" s="91">
        <v>2016.0</v>
      </c>
      <c r="F446" s="92">
        <v>1.0</v>
      </c>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3"/>
      <c r="AH446" s="94"/>
      <c r="AI446" s="93"/>
      <c r="AJ446" s="93"/>
      <c r="AK446" s="93"/>
      <c r="AL446" s="93"/>
      <c r="AM446" s="93"/>
      <c r="AN446" s="93"/>
      <c r="AO446" s="93"/>
      <c r="AP446" s="93"/>
      <c r="AQ446" s="93"/>
      <c r="AR446" s="93"/>
      <c r="AS446" s="93"/>
      <c r="AT446" s="93"/>
      <c r="AU446" s="93"/>
      <c r="AV446" s="93"/>
      <c r="AW446" s="93"/>
      <c r="AX446" s="93"/>
      <c r="AY446" s="93"/>
      <c r="AZ446" s="93"/>
      <c r="BA446" s="93"/>
      <c r="BB446" s="93"/>
      <c r="BC446" s="93"/>
      <c r="BD446" s="93"/>
      <c r="BE446" s="93"/>
      <c r="BF446" s="93"/>
      <c r="BG446" s="93"/>
      <c r="BH446" s="93"/>
      <c r="BI446" s="93"/>
      <c r="BJ446" s="93"/>
      <c r="BK446" s="93"/>
      <c r="BL446" s="93"/>
      <c r="BM446" s="93"/>
      <c r="BN446" s="93"/>
      <c r="BO446" s="93"/>
      <c r="BP446" s="93"/>
      <c r="BQ446" s="93"/>
      <c r="BR446" s="93"/>
      <c r="BS446" s="93"/>
      <c r="BT446" s="93"/>
      <c r="BU446" s="93"/>
      <c r="BV446" s="93"/>
      <c r="BW446" s="93"/>
      <c r="BX446" s="93"/>
      <c r="BY446" s="93"/>
      <c r="BZ446" s="93"/>
    </row>
    <row r="447">
      <c r="B447" t="s">
        <v>2142</v>
      </c>
      <c r="C447" s="89" t="s">
        <v>2143</v>
      </c>
      <c r="D447" s="90" t="s">
        <v>2144</v>
      </c>
      <c r="E447" s="91">
        <v>2016.0</v>
      </c>
      <c r="F447" s="92">
        <v>1.0</v>
      </c>
      <c r="G447" s="93"/>
      <c r="H447" s="93"/>
      <c r="I447" s="93"/>
      <c r="J447" s="93"/>
      <c r="K447" s="93"/>
      <c r="L447" s="93"/>
      <c r="M447" s="93"/>
      <c r="N447" s="93"/>
      <c r="O447" s="93"/>
      <c r="P447" s="93"/>
      <c r="Q447" s="93"/>
      <c r="R447" s="93"/>
      <c r="S447" s="93"/>
      <c r="T447" s="93"/>
      <c r="U447" s="93"/>
      <c r="V447" s="93"/>
      <c r="W447" s="93"/>
      <c r="X447" s="93"/>
      <c r="Y447" s="93"/>
      <c r="Z447" s="93"/>
      <c r="AA447" s="93"/>
      <c r="AB447" s="93"/>
      <c r="AC447" s="93"/>
      <c r="AD447" s="93"/>
      <c r="AE447" s="93"/>
      <c r="AF447" s="93"/>
      <c r="AG447" s="93"/>
      <c r="AH447" s="94"/>
      <c r="AI447" s="93"/>
      <c r="AJ447" s="93"/>
      <c r="AK447" s="93"/>
      <c r="AL447" s="93"/>
      <c r="AM447" s="93"/>
      <c r="AN447" s="93"/>
      <c r="AO447" s="93"/>
      <c r="AP447" s="93"/>
      <c r="AQ447" s="93"/>
      <c r="AR447" s="93"/>
      <c r="AS447" s="93"/>
      <c r="AT447" s="93"/>
      <c r="AU447" s="93"/>
      <c r="AV447" s="93"/>
      <c r="AW447" s="93"/>
      <c r="AX447" s="93"/>
      <c r="AY447" s="93"/>
      <c r="AZ447" s="93"/>
      <c r="BA447" s="93"/>
      <c r="BB447" s="93"/>
      <c r="BC447" s="93"/>
      <c r="BD447" s="93"/>
      <c r="BE447" s="93"/>
      <c r="BF447" s="93"/>
      <c r="BG447" s="93"/>
      <c r="BH447" s="93"/>
      <c r="BI447" s="93"/>
      <c r="BJ447" s="93"/>
      <c r="BK447" s="93"/>
      <c r="BL447" s="93"/>
      <c r="BM447" s="93"/>
      <c r="BN447" s="93"/>
      <c r="BO447" s="93"/>
      <c r="BP447" s="93"/>
      <c r="BQ447" s="93"/>
      <c r="BR447" s="93"/>
      <c r="BS447" s="93"/>
      <c r="BT447" s="93"/>
      <c r="BU447" s="93"/>
      <c r="BV447" s="93"/>
      <c r="BW447" s="93"/>
      <c r="BX447" s="93"/>
      <c r="BY447" s="93"/>
      <c r="BZ447" s="93"/>
    </row>
    <row r="448">
      <c r="B448" t="s">
        <v>2145</v>
      </c>
      <c r="C448" s="89" t="s">
        <v>2146</v>
      </c>
      <c r="D448" s="90" t="s">
        <v>211</v>
      </c>
      <c r="E448" s="91">
        <v>2016.0</v>
      </c>
      <c r="F448" s="95" t="s">
        <v>1488</v>
      </c>
      <c r="G448" s="93"/>
      <c r="H448" s="93"/>
      <c r="I448" s="93"/>
      <c r="J448" s="93"/>
      <c r="K448" s="93"/>
      <c r="L448" s="93"/>
      <c r="M448" s="93"/>
      <c r="N448" s="93"/>
      <c r="O448" s="93"/>
      <c r="P448" s="93"/>
      <c r="Q448" s="93"/>
      <c r="R448" s="93"/>
      <c r="S448" s="93"/>
      <c r="T448" s="93"/>
      <c r="U448" s="93"/>
      <c r="V448" s="93"/>
      <c r="W448" s="93"/>
      <c r="X448" s="93"/>
      <c r="Y448" s="93"/>
      <c r="Z448" s="93"/>
      <c r="AA448" s="93"/>
      <c r="AB448" s="93"/>
      <c r="AC448" s="93"/>
      <c r="AD448" s="93"/>
      <c r="AE448" s="93"/>
      <c r="AF448" s="93"/>
      <c r="AG448" s="93"/>
      <c r="AH448" s="94"/>
      <c r="AI448" s="93"/>
      <c r="AJ448" s="93"/>
      <c r="AK448" s="93"/>
      <c r="AL448" s="93"/>
      <c r="AM448" s="93"/>
      <c r="AN448" s="93"/>
      <c r="AO448" s="93"/>
      <c r="AP448" s="93"/>
      <c r="AQ448" s="93"/>
      <c r="AR448" s="93"/>
      <c r="AS448" s="93"/>
      <c r="AT448" s="93"/>
      <c r="AU448" s="93"/>
      <c r="AV448" s="93"/>
      <c r="AW448" s="93"/>
      <c r="AX448" s="93"/>
      <c r="AY448" s="93"/>
      <c r="AZ448" s="93"/>
      <c r="BA448" s="93"/>
      <c r="BB448" s="93"/>
      <c r="BC448" s="93"/>
      <c r="BD448" s="93"/>
      <c r="BE448" s="93"/>
      <c r="BF448" s="93"/>
      <c r="BG448" s="93"/>
      <c r="BH448" s="93"/>
      <c r="BI448" s="93"/>
      <c r="BJ448" s="93"/>
      <c r="BK448" s="93"/>
      <c r="BL448" s="93"/>
      <c r="BM448" s="93"/>
      <c r="BN448" s="93"/>
      <c r="BO448" s="93"/>
      <c r="BP448" s="93"/>
      <c r="BQ448" s="93"/>
      <c r="BR448" s="93"/>
      <c r="BS448" s="93"/>
      <c r="BT448" s="93"/>
      <c r="BU448" s="93"/>
      <c r="BV448" s="93"/>
      <c r="BW448" s="93"/>
      <c r="BX448" s="93"/>
      <c r="BY448" s="93"/>
      <c r="BZ448" s="93"/>
    </row>
    <row r="449">
      <c r="B449" t="s">
        <v>2147</v>
      </c>
      <c r="C449" s="89" t="s">
        <v>2148</v>
      </c>
      <c r="D449" s="90" t="s">
        <v>1112</v>
      </c>
      <c r="E449" s="91">
        <v>2016.0</v>
      </c>
      <c r="F449" s="92">
        <v>1.0</v>
      </c>
      <c r="G449" s="93"/>
      <c r="H449" s="93"/>
      <c r="I449" s="93"/>
      <c r="J449" s="93"/>
      <c r="K449" s="93"/>
      <c r="L449" s="93"/>
      <c r="M449" s="93"/>
      <c r="N449" s="93"/>
      <c r="O449" s="93"/>
      <c r="P449" s="93"/>
      <c r="Q449" s="93"/>
      <c r="R449" s="93"/>
      <c r="S449" s="93"/>
      <c r="T449" s="93"/>
      <c r="U449" s="93"/>
      <c r="V449" s="93"/>
      <c r="W449" s="93"/>
      <c r="X449" s="93"/>
      <c r="Y449" s="93"/>
      <c r="Z449" s="93"/>
      <c r="AA449" s="93"/>
      <c r="AB449" s="93"/>
      <c r="AC449" s="93"/>
      <c r="AD449" s="93"/>
      <c r="AE449" s="93"/>
      <c r="AF449" s="93"/>
      <c r="AG449" s="93"/>
      <c r="AH449" s="94"/>
      <c r="AI449" s="93"/>
      <c r="AJ449" s="93"/>
      <c r="AK449" s="93"/>
      <c r="AL449" s="93"/>
      <c r="AM449" s="93"/>
      <c r="AN449" s="93"/>
      <c r="AO449" s="93"/>
      <c r="AP449" s="93"/>
      <c r="AQ449" s="93"/>
      <c r="AR449" s="93"/>
      <c r="AS449" s="93"/>
      <c r="AT449" s="93"/>
      <c r="AU449" s="93"/>
      <c r="AV449" s="93"/>
      <c r="AW449" s="93"/>
      <c r="AX449" s="93"/>
      <c r="AY449" s="93"/>
      <c r="AZ449" s="93"/>
      <c r="BA449" s="93"/>
      <c r="BB449" s="93"/>
      <c r="BC449" s="93"/>
      <c r="BD449" s="93"/>
      <c r="BE449" s="93"/>
      <c r="BF449" s="93"/>
      <c r="BG449" s="93"/>
      <c r="BH449" s="93"/>
      <c r="BI449" s="93"/>
      <c r="BJ449" s="93"/>
      <c r="BK449" s="93"/>
      <c r="BL449" s="93"/>
      <c r="BM449" s="93"/>
      <c r="BN449" s="93"/>
      <c r="BO449" s="93"/>
      <c r="BP449" s="93"/>
      <c r="BQ449" s="93"/>
      <c r="BR449" s="93"/>
      <c r="BS449" s="93"/>
      <c r="BT449" s="93"/>
      <c r="BU449" s="93"/>
      <c r="BV449" s="93"/>
      <c r="BW449" s="93"/>
      <c r="BX449" s="93"/>
      <c r="BY449" s="93"/>
      <c r="BZ449" s="93"/>
    </row>
    <row r="450">
      <c r="B450" t="s">
        <v>2149</v>
      </c>
      <c r="C450" s="89" t="s">
        <v>2150</v>
      </c>
      <c r="D450" s="90" t="s">
        <v>2151</v>
      </c>
      <c r="E450" s="91">
        <v>2015.0</v>
      </c>
      <c r="F450" s="92">
        <v>1.0</v>
      </c>
      <c r="G450" s="93"/>
      <c r="H450" s="93"/>
      <c r="I450" s="93"/>
      <c r="J450" s="93"/>
      <c r="K450" s="93"/>
      <c r="L450" s="93"/>
      <c r="M450" s="93"/>
      <c r="N450" s="93"/>
      <c r="O450" s="93"/>
      <c r="P450" s="93"/>
      <c r="Q450" s="93"/>
      <c r="R450" s="93"/>
      <c r="S450" s="93"/>
      <c r="T450" s="93"/>
      <c r="U450" s="93"/>
      <c r="V450" s="93"/>
      <c r="W450" s="93"/>
      <c r="X450" s="93"/>
      <c r="Y450" s="93"/>
      <c r="Z450" s="93"/>
      <c r="AA450" s="93"/>
      <c r="AB450" s="93"/>
      <c r="AC450" s="93"/>
      <c r="AD450" s="93"/>
      <c r="AE450" s="93"/>
      <c r="AF450" s="93"/>
      <c r="AG450" s="93"/>
      <c r="AH450" s="94"/>
      <c r="AI450" s="93"/>
      <c r="AJ450" s="93"/>
      <c r="AK450" s="93"/>
      <c r="AL450" s="93"/>
      <c r="AM450" s="93"/>
      <c r="AN450" s="93"/>
      <c r="AO450" s="93"/>
      <c r="AP450" s="93"/>
      <c r="AQ450" s="93"/>
      <c r="AR450" s="93"/>
      <c r="AS450" s="93"/>
      <c r="AT450" s="93"/>
      <c r="AU450" s="93"/>
      <c r="AV450" s="93"/>
      <c r="AW450" s="93"/>
      <c r="AX450" s="93"/>
      <c r="AY450" s="93"/>
      <c r="AZ450" s="93"/>
      <c r="BA450" s="93"/>
      <c r="BB450" s="93"/>
      <c r="BC450" s="93"/>
      <c r="BD450" s="93"/>
      <c r="BE450" s="93"/>
      <c r="BF450" s="93"/>
      <c r="BG450" s="93"/>
      <c r="BH450" s="93"/>
      <c r="BI450" s="93"/>
      <c r="BJ450" s="93"/>
      <c r="BK450" s="93"/>
      <c r="BL450" s="93"/>
      <c r="BM450" s="93"/>
      <c r="BN450" s="93"/>
      <c r="BO450" s="93"/>
      <c r="BP450" s="93"/>
      <c r="BQ450" s="93"/>
      <c r="BR450" s="93"/>
      <c r="BS450" s="93"/>
      <c r="BT450" s="93"/>
      <c r="BU450" s="93"/>
      <c r="BV450" s="93"/>
      <c r="BW450" s="93"/>
      <c r="BX450" s="93"/>
      <c r="BY450" s="93"/>
      <c r="BZ450" s="93"/>
    </row>
    <row r="451">
      <c r="B451" t="s">
        <v>2152</v>
      </c>
      <c r="C451" s="89" t="s">
        <v>351</v>
      </c>
      <c r="D451" s="90" t="s">
        <v>352</v>
      </c>
      <c r="E451" s="91">
        <v>2016.0</v>
      </c>
      <c r="F451" s="97" t="s">
        <v>1777</v>
      </c>
      <c r="G451" s="93"/>
      <c r="H451" s="93"/>
      <c r="I451" s="93"/>
      <c r="J451" s="93"/>
      <c r="K451" s="93"/>
      <c r="L451" s="93"/>
      <c r="M451" s="93"/>
      <c r="N451" s="93"/>
      <c r="O451" s="93"/>
      <c r="P451" s="93"/>
      <c r="Q451" s="93"/>
      <c r="R451" s="93"/>
      <c r="S451" s="93"/>
      <c r="T451" s="93"/>
      <c r="U451" s="93"/>
      <c r="V451" s="93"/>
      <c r="W451" s="93"/>
      <c r="X451" s="93"/>
      <c r="Y451" s="93"/>
      <c r="Z451" s="93"/>
      <c r="AA451" s="93"/>
      <c r="AB451" s="93"/>
      <c r="AC451" s="93"/>
      <c r="AD451" s="93"/>
      <c r="AE451" s="93"/>
      <c r="AF451" s="93"/>
      <c r="AG451" s="93"/>
      <c r="AH451" s="94"/>
      <c r="AI451" s="93"/>
      <c r="AJ451" s="93"/>
      <c r="AK451" s="93"/>
      <c r="AL451" s="93"/>
      <c r="AM451" s="93"/>
      <c r="AN451" s="93"/>
      <c r="AO451" s="93"/>
      <c r="AP451" s="93"/>
      <c r="AQ451" s="93"/>
      <c r="AR451" s="93"/>
      <c r="AS451" s="93"/>
      <c r="AT451" s="93"/>
      <c r="AU451" s="93"/>
      <c r="AV451" s="93"/>
      <c r="AW451" s="93"/>
      <c r="AX451" s="93"/>
      <c r="AY451" s="93"/>
      <c r="AZ451" s="93"/>
      <c r="BA451" s="93"/>
      <c r="BB451" s="93"/>
      <c r="BC451" s="93"/>
      <c r="BD451" s="93"/>
      <c r="BE451" s="93"/>
      <c r="BF451" s="93"/>
      <c r="BG451" s="93"/>
      <c r="BH451" s="93"/>
      <c r="BI451" s="93"/>
      <c r="BJ451" s="93"/>
      <c r="BK451" s="93"/>
      <c r="BL451" s="93"/>
      <c r="BM451" s="93"/>
      <c r="BN451" s="93"/>
      <c r="BO451" s="93"/>
      <c r="BP451" s="93"/>
      <c r="BQ451" s="93"/>
      <c r="BR451" s="93"/>
      <c r="BS451" s="93"/>
      <c r="BT451" s="93"/>
      <c r="BU451" s="93"/>
      <c r="BV451" s="93"/>
      <c r="BW451" s="93"/>
      <c r="BX451" s="93"/>
      <c r="BY451" s="93"/>
      <c r="BZ451" s="93"/>
    </row>
    <row r="452">
      <c r="B452" t="s">
        <v>2153</v>
      </c>
      <c r="C452" s="89" t="s">
        <v>2154</v>
      </c>
      <c r="D452" s="90" t="s">
        <v>2155</v>
      </c>
      <c r="E452" s="91">
        <v>2016.0</v>
      </c>
      <c r="F452" s="92">
        <v>1.0</v>
      </c>
      <c r="G452" s="93"/>
      <c r="H452" s="93"/>
      <c r="I452" s="93"/>
      <c r="J452" s="93"/>
      <c r="K452" s="93"/>
      <c r="L452" s="93"/>
      <c r="M452" s="93"/>
      <c r="N452" s="93"/>
      <c r="O452" s="93"/>
      <c r="P452" s="93"/>
      <c r="Q452" s="93"/>
      <c r="R452" s="93"/>
      <c r="S452" s="93"/>
      <c r="T452" s="93"/>
      <c r="U452" s="93"/>
      <c r="V452" s="93"/>
      <c r="W452" s="93"/>
      <c r="X452" s="93"/>
      <c r="Y452" s="93"/>
      <c r="Z452" s="93"/>
      <c r="AA452" s="93"/>
      <c r="AB452" s="93"/>
      <c r="AC452" s="93"/>
      <c r="AD452" s="93"/>
      <c r="AE452" s="93"/>
      <c r="AF452" s="93"/>
      <c r="AG452" s="93"/>
      <c r="AH452" s="94"/>
      <c r="AI452" s="93"/>
      <c r="AJ452" s="93"/>
      <c r="AK452" s="93"/>
      <c r="AL452" s="93"/>
      <c r="AM452" s="93"/>
      <c r="AN452" s="93"/>
      <c r="AO452" s="93"/>
      <c r="AP452" s="93"/>
      <c r="AQ452" s="93"/>
      <c r="AR452" s="93"/>
      <c r="AS452" s="93"/>
      <c r="AT452" s="93"/>
      <c r="AU452" s="93"/>
      <c r="AV452" s="93"/>
      <c r="AW452" s="93"/>
      <c r="AX452" s="93"/>
      <c r="AY452" s="93"/>
      <c r="AZ452" s="93"/>
      <c r="BA452" s="93"/>
      <c r="BB452" s="93"/>
      <c r="BC452" s="93"/>
      <c r="BD452" s="93"/>
      <c r="BE452" s="93"/>
      <c r="BF452" s="93"/>
      <c r="BG452" s="93"/>
      <c r="BH452" s="93"/>
      <c r="BI452" s="93"/>
      <c r="BJ452" s="93"/>
      <c r="BK452" s="93"/>
      <c r="BL452" s="93"/>
      <c r="BM452" s="93"/>
      <c r="BN452" s="93"/>
      <c r="BO452" s="93"/>
      <c r="BP452" s="93"/>
      <c r="BQ452" s="93"/>
      <c r="BR452" s="93"/>
      <c r="BS452" s="93"/>
      <c r="BT452" s="93"/>
      <c r="BU452" s="93"/>
      <c r="BV452" s="93"/>
      <c r="BW452" s="93"/>
      <c r="BX452" s="93"/>
      <c r="BY452" s="93"/>
      <c r="BZ452" s="93"/>
    </row>
    <row r="453">
      <c r="A453" t="s">
        <v>1354</v>
      </c>
      <c r="B453" t="s">
        <v>2156</v>
      </c>
      <c r="C453" s="89" t="s">
        <v>2157</v>
      </c>
      <c r="D453" s="90" t="s">
        <v>1814</v>
      </c>
      <c r="E453" s="91">
        <v>2016.0</v>
      </c>
      <c r="F453" s="95" t="s">
        <v>1488</v>
      </c>
      <c r="G453" s="93"/>
      <c r="H453" s="93"/>
      <c r="I453" s="93"/>
      <c r="J453" s="93"/>
      <c r="K453" s="93"/>
      <c r="L453" s="93"/>
      <c r="M453" s="93"/>
      <c r="N453" s="93"/>
      <c r="O453" s="93"/>
      <c r="P453" s="93"/>
      <c r="Q453" s="93"/>
      <c r="R453" s="93"/>
      <c r="S453" s="93"/>
      <c r="T453" s="93"/>
      <c r="U453" s="93"/>
      <c r="V453" s="93"/>
      <c r="W453" s="93"/>
      <c r="X453" s="93"/>
      <c r="Y453" s="93"/>
      <c r="Z453" s="93"/>
      <c r="AA453" s="93"/>
      <c r="AB453" s="93"/>
      <c r="AC453" s="93"/>
      <c r="AD453" s="93"/>
      <c r="AE453" s="93"/>
      <c r="AF453" s="93"/>
      <c r="AG453" s="93"/>
      <c r="AH453" s="94"/>
      <c r="AI453" s="93"/>
      <c r="AJ453" s="93"/>
      <c r="AK453" s="93"/>
      <c r="AL453" s="93"/>
      <c r="AM453" s="93"/>
      <c r="AN453" s="93"/>
      <c r="AO453" s="93"/>
      <c r="AP453" s="93"/>
      <c r="AQ453" s="93"/>
      <c r="AR453" s="93"/>
      <c r="AS453" s="93"/>
      <c r="AT453" s="93"/>
      <c r="AU453" s="93"/>
      <c r="AV453" s="93"/>
      <c r="AW453" s="93"/>
      <c r="AX453" s="93"/>
      <c r="AY453" s="93"/>
      <c r="AZ453" s="93"/>
      <c r="BA453" s="93"/>
      <c r="BB453" s="93"/>
      <c r="BC453" s="93"/>
      <c r="BD453" s="93"/>
      <c r="BE453" s="93"/>
      <c r="BF453" s="93"/>
      <c r="BG453" s="93"/>
      <c r="BH453" s="93"/>
      <c r="BI453" s="93"/>
      <c r="BJ453" s="93"/>
      <c r="BK453" s="93"/>
      <c r="BL453" s="93"/>
      <c r="BM453" s="93"/>
      <c r="BN453" s="93"/>
      <c r="BO453" s="93"/>
      <c r="BP453" s="93"/>
      <c r="BQ453" s="93"/>
      <c r="BR453" s="93"/>
      <c r="BS453" s="93"/>
      <c r="BT453" s="93"/>
      <c r="BU453" s="93"/>
      <c r="BV453" s="93"/>
      <c r="BW453" s="93"/>
      <c r="BX453" s="93"/>
      <c r="BY453" s="93"/>
      <c r="BZ453" s="93"/>
    </row>
    <row r="454">
      <c r="B454" t="s">
        <v>2158</v>
      </c>
      <c r="C454" s="89" t="s">
        <v>2159</v>
      </c>
      <c r="D454" s="90" t="s">
        <v>2160</v>
      </c>
      <c r="E454" s="91">
        <v>2016.0</v>
      </c>
      <c r="F454" s="92">
        <v>1.0</v>
      </c>
      <c r="G454" s="93"/>
      <c r="H454" s="93"/>
      <c r="I454" s="93"/>
      <c r="J454" s="93"/>
      <c r="K454" s="93"/>
      <c r="L454" s="93"/>
      <c r="M454" s="93"/>
      <c r="N454" s="93"/>
      <c r="O454" s="93"/>
      <c r="P454" s="93"/>
      <c r="Q454" s="93"/>
      <c r="R454" s="93"/>
      <c r="S454" s="93"/>
      <c r="T454" s="93"/>
      <c r="U454" s="93"/>
      <c r="V454" s="93"/>
      <c r="W454" s="93"/>
      <c r="X454" s="93"/>
      <c r="Y454" s="93"/>
      <c r="Z454" s="93"/>
      <c r="AA454" s="93"/>
      <c r="AB454" s="93"/>
      <c r="AC454" s="93"/>
      <c r="AD454" s="93"/>
      <c r="AE454" s="93"/>
      <c r="AF454" s="93"/>
      <c r="AG454" s="93"/>
      <c r="AH454" s="94"/>
      <c r="AI454" s="93"/>
      <c r="AJ454" s="93"/>
      <c r="AK454" s="93"/>
      <c r="AL454" s="93"/>
      <c r="AM454" s="93"/>
      <c r="AN454" s="93"/>
      <c r="AO454" s="93"/>
      <c r="AP454" s="93"/>
      <c r="AQ454" s="93"/>
      <c r="AR454" s="93"/>
      <c r="AS454" s="93"/>
      <c r="AT454" s="93"/>
      <c r="AU454" s="93"/>
      <c r="AV454" s="93"/>
      <c r="AW454" s="93"/>
      <c r="AX454" s="93"/>
      <c r="AY454" s="93"/>
      <c r="AZ454" s="93"/>
      <c r="BA454" s="93"/>
      <c r="BB454" s="93"/>
      <c r="BC454" s="93"/>
      <c r="BD454" s="93"/>
      <c r="BE454" s="93"/>
      <c r="BF454" s="93"/>
      <c r="BG454" s="93"/>
      <c r="BH454" s="93"/>
      <c r="BI454" s="93"/>
      <c r="BJ454" s="93"/>
      <c r="BK454" s="93"/>
      <c r="BL454" s="93"/>
      <c r="BM454" s="93"/>
      <c r="BN454" s="93"/>
      <c r="BO454" s="93"/>
      <c r="BP454" s="93"/>
      <c r="BQ454" s="93"/>
      <c r="BR454" s="93"/>
      <c r="BS454" s="93"/>
      <c r="BT454" s="93"/>
      <c r="BU454" s="93"/>
      <c r="BV454" s="93"/>
      <c r="BW454" s="93"/>
      <c r="BX454" s="93"/>
      <c r="BY454" s="93"/>
      <c r="BZ454" s="93"/>
    </row>
    <row r="455">
      <c r="B455" t="s">
        <v>2161</v>
      </c>
      <c r="C455" s="89" t="s">
        <v>2162</v>
      </c>
      <c r="D455" s="90" t="s">
        <v>2163</v>
      </c>
      <c r="E455" s="91">
        <v>2016.0</v>
      </c>
      <c r="F455" s="92">
        <v>1.0</v>
      </c>
      <c r="G455" s="93"/>
      <c r="H455" s="93"/>
      <c r="I455" s="93"/>
      <c r="J455" s="93"/>
      <c r="K455" s="93"/>
      <c r="L455" s="93"/>
      <c r="M455" s="93"/>
      <c r="N455" s="93"/>
      <c r="O455" s="93"/>
      <c r="P455" s="93"/>
      <c r="Q455" s="93"/>
      <c r="R455" s="93"/>
      <c r="S455" s="93"/>
      <c r="T455" s="93"/>
      <c r="U455" s="93"/>
      <c r="V455" s="93"/>
      <c r="W455" s="93"/>
      <c r="X455" s="93"/>
      <c r="Y455" s="93"/>
      <c r="Z455" s="93"/>
      <c r="AA455" s="93"/>
      <c r="AB455" s="93"/>
      <c r="AC455" s="93"/>
      <c r="AD455" s="93"/>
      <c r="AE455" s="93"/>
      <c r="AF455" s="93"/>
      <c r="AG455" s="93"/>
      <c r="AH455" s="94"/>
      <c r="AI455" s="93"/>
      <c r="AJ455" s="93"/>
      <c r="AK455" s="93"/>
      <c r="AL455" s="93"/>
      <c r="AM455" s="93"/>
      <c r="AN455" s="93"/>
      <c r="AO455" s="93"/>
      <c r="AP455" s="93"/>
      <c r="AQ455" s="93"/>
      <c r="AR455" s="93"/>
      <c r="AS455" s="93"/>
      <c r="AT455" s="93"/>
      <c r="AU455" s="93"/>
      <c r="AV455" s="93"/>
      <c r="AW455" s="93"/>
      <c r="AX455" s="93"/>
      <c r="AY455" s="93"/>
      <c r="AZ455" s="93"/>
      <c r="BA455" s="93"/>
      <c r="BB455" s="93"/>
      <c r="BC455" s="93"/>
      <c r="BD455" s="93"/>
      <c r="BE455" s="93"/>
      <c r="BF455" s="93"/>
      <c r="BG455" s="93"/>
      <c r="BH455" s="93"/>
      <c r="BI455" s="93"/>
      <c r="BJ455" s="93"/>
      <c r="BK455" s="93"/>
      <c r="BL455" s="93"/>
      <c r="BM455" s="93"/>
      <c r="BN455" s="93"/>
      <c r="BO455" s="93"/>
      <c r="BP455" s="93"/>
      <c r="BQ455" s="93"/>
      <c r="BR455" s="93"/>
      <c r="BS455" s="93"/>
      <c r="BT455" s="93"/>
      <c r="BU455" s="93"/>
      <c r="BV455" s="93"/>
      <c r="BW455" s="93"/>
      <c r="BX455" s="93"/>
      <c r="BY455" s="93"/>
      <c r="BZ455" s="93"/>
    </row>
    <row r="456">
      <c r="B456" t="s">
        <v>2164</v>
      </c>
      <c r="C456" s="89" t="s">
        <v>125</v>
      </c>
      <c r="D456" s="90" t="s">
        <v>126</v>
      </c>
      <c r="E456" s="91">
        <v>2016.0</v>
      </c>
      <c r="F456" s="97" t="s">
        <v>1777</v>
      </c>
      <c r="G456" s="93"/>
      <c r="H456" s="93"/>
      <c r="I456" s="93"/>
      <c r="J456" s="93"/>
      <c r="K456" s="93"/>
      <c r="L456" s="93"/>
      <c r="M456" s="93"/>
      <c r="N456" s="93"/>
      <c r="O456" s="93"/>
      <c r="P456" s="93"/>
      <c r="Q456" s="93"/>
      <c r="R456" s="93"/>
      <c r="S456" s="93"/>
      <c r="T456" s="93"/>
      <c r="U456" s="93"/>
      <c r="V456" s="93"/>
      <c r="W456" s="93"/>
      <c r="X456" s="93"/>
      <c r="Y456" s="93"/>
      <c r="Z456" s="93"/>
      <c r="AA456" s="93"/>
      <c r="AB456" s="93"/>
      <c r="AC456" s="93"/>
      <c r="AD456" s="93"/>
      <c r="AE456" s="93"/>
      <c r="AF456" s="93"/>
      <c r="AG456" s="93"/>
      <c r="AH456" s="94"/>
      <c r="AI456" s="93"/>
      <c r="AJ456" s="93"/>
      <c r="AK456" s="93"/>
      <c r="AL456" s="93"/>
      <c r="AM456" s="93"/>
      <c r="AN456" s="93"/>
      <c r="AO456" s="93"/>
      <c r="AP456" s="93"/>
      <c r="AQ456" s="93"/>
      <c r="AR456" s="93"/>
      <c r="AS456" s="93"/>
      <c r="AT456" s="93"/>
      <c r="AU456" s="93"/>
      <c r="AV456" s="93"/>
      <c r="AW456" s="93"/>
      <c r="AX456" s="93"/>
      <c r="AY456" s="93"/>
      <c r="AZ456" s="93"/>
      <c r="BA456" s="93"/>
      <c r="BB456" s="93"/>
      <c r="BC456" s="93"/>
      <c r="BD456" s="93"/>
      <c r="BE456" s="93"/>
      <c r="BF456" s="93"/>
      <c r="BG456" s="93"/>
      <c r="BH456" s="93"/>
      <c r="BI456" s="93"/>
      <c r="BJ456" s="93"/>
      <c r="BK456" s="93"/>
      <c r="BL456" s="93"/>
      <c r="BM456" s="93"/>
      <c r="BN456" s="93"/>
      <c r="BO456" s="93"/>
      <c r="BP456" s="93"/>
      <c r="BQ456" s="93"/>
      <c r="BR456" s="93"/>
      <c r="BS456" s="93"/>
      <c r="BT456" s="93"/>
      <c r="BU456" s="93"/>
      <c r="BV456" s="93"/>
      <c r="BW456" s="93"/>
      <c r="BX456" s="93"/>
      <c r="BY456" s="93"/>
      <c r="BZ456" s="93"/>
    </row>
    <row r="457">
      <c r="B457" t="s">
        <v>2165</v>
      </c>
      <c r="C457" s="89" t="s">
        <v>2166</v>
      </c>
      <c r="D457" s="90" t="s">
        <v>2167</v>
      </c>
      <c r="E457" s="91">
        <v>2016.0</v>
      </c>
      <c r="F457" s="92">
        <v>1.0</v>
      </c>
      <c r="G457" s="93"/>
      <c r="H457" s="93"/>
      <c r="I457" s="93"/>
      <c r="J457" s="93"/>
      <c r="K457" s="93"/>
      <c r="L457" s="93"/>
      <c r="M457" s="93"/>
      <c r="N457" s="93"/>
      <c r="O457" s="93"/>
      <c r="P457" s="93"/>
      <c r="Q457" s="93"/>
      <c r="R457" s="93"/>
      <c r="S457" s="93"/>
      <c r="T457" s="93"/>
      <c r="U457" s="93"/>
      <c r="V457" s="93"/>
      <c r="W457" s="93"/>
      <c r="X457" s="93"/>
      <c r="Y457" s="93"/>
      <c r="Z457" s="93"/>
      <c r="AA457" s="93"/>
      <c r="AB457" s="93"/>
      <c r="AC457" s="93"/>
      <c r="AD457" s="93"/>
      <c r="AE457" s="93"/>
      <c r="AF457" s="93"/>
      <c r="AG457" s="93"/>
      <c r="AH457" s="94"/>
      <c r="AI457" s="93"/>
      <c r="AJ457" s="93"/>
      <c r="AK457" s="93"/>
      <c r="AL457" s="93"/>
      <c r="AM457" s="93"/>
      <c r="AN457" s="93"/>
      <c r="AO457" s="93"/>
      <c r="AP457" s="93"/>
      <c r="AQ457" s="93"/>
      <c r="AR457" s="93"/>
      <c r="AS457" s="93"/>
      <c r="AT457" s="93"/>
      <c r="AU457" s="93"/>
      <c r="AV457" s="93"/>
      <c r="AW457" s="93"/>
      <c r="AX457" s="93"/>
      <c r="AY457" s="93"/>
      <c r="AZ457" s="93"/>
      <c r="BA457" s="93"/>
      <c r="BB457" s="93"/>
      <c r="BC457" s="93"/>
      <c r="BD457" s="93"/>
      <c r="BE457" s="93"/>
      <c r="BF457" s="93"/>
      <c r="BG457" s="93"/>
      <c r="BH457" s="93"/>
      <c r="BI457" s="93"/>
      <c r="BJ457" s="93"/>
      <c r="BK457" s="93"/>
      <c r="BL457" s="93"/>
      <c r="BM457" s="93"/>
      <c r="BN457" s="93"/>
      <c r="BO457" s="93"/>
      <c r="BP457" s="93"/>
      <c r="BQ457" s="93"/>
      <c r="BR457" s="93"/>
      <c r="BS457" s="93"/>
      <c r="BT457" s="93"/>
      <c r="BU457" s="93"/>
      <c r="BV457" s="93"/>
      <c r="BW457" s="93"/>
      <c r="BX457" s="93"/>
      <c r="BY457" s="93"/>
      <c r="BZ457" s="93"/>
    </row>
    <row r="458">
      <c r="B458" t="s">
        <v>2168</v>
      </c>
      <c r="C458" s="89" t="s">
        <v>2169</v>
      </c>
      <c r="D458" s="90" t="s">
        <v>588</v>
      </c>
      <c r="E458" s="91">
        <v>2016.0</v>
      </c>
      <c r="F458" s="92">
        <v>1.0</v>
      </c>
      <c r="G458" s="93"/>
      <c r="H458" s="93"/>
      <c r="I458" s="93"/>
      <c r="J458" s="93"/>
      <c r="K458" s="93"/>
      <c r="L458" s="93"/>
      <c r="M458" s="93"/>
      <c r="N458" s="93"/>
      <c r="O458" s="93"/>
      <c r="P458" s="93"/>
      <c r="Q458" s="93"/>
      <c r="R458" s="93"/>
      <c r="S458" s="93"/>
      <c r="T458" s="93"/>
      <c r="U458" s="93"/>
      <c r="V458" s="93"/>
      <c r="W458" s="93"/>
      <c r="X458" s="93"/>
      <c r="Y458" s="93"/>
      <c r="Z458" s="93"/>
      <c r="AA458" s="93"/>
      <c r="AB458" s="93"/>
      <c r="AC458" s="93"/>
      <c r="AD458" s="93"/>
      <c r="AE458" s="93"/>
      <c r="AF458" s="93"/>
      <c r="AG458" s="93"/>
      <c r="AH458" s="94"/>
      <c r="AI458" s="93"/>
      <c r="AJ458" s="93"/>
      <c r="AK458" s="93"/>
      <c r="AL458" s="93"/>
      <c r="AM458" s="93"/>
      <c r="AN458" s="93"/>
      <c r="AO458" s="93"/>
      <c r="AP458" s="93"/>
      <c r="AQ458" s="93"/>
      <c r="AR458" s="93"/>
      <c r="AS458" s="93"/>
      <c r="AT458" s="93"/>
      <c r="AU458" s="93"/>
      <c r="AV458" s="93"/>
      <c r="AW458" s="93"/>
      <c r="AX458" s="93"/>
      <c r="AY458" s="93"/>
      <c r="AZ458" s="93"/>
      <c r="BA458" s="93"/>
      <c r="BB458" s="93"/>
      <c r="BC458" s="93"/>
      <c r="BD458" s="93"/>
      <c r="BE458" s="93"/>
      <c r="BF458" s="93"/>
      <c r="BG458" s="93"/>
      <c r="BH458" s="93"/>
      <c r="BI458" s="93"/>
      <c r="BJ458" s="93"/>
      <c r="BK458" s="93"/>
      <c r="BL458" s="93"/>
      <c r="BM458" s="93"/>
      <c r="BN458" s="93"/>
      <c r="BO458" s="93"/>
      <c r="BP458" s="93"/>
      <c r="BQ458" s="93"/>
      <c r="BR458" s="93"/>
      <c r="BS458" s="93"/>
      <c r="BT458" s="93"/>
      <c r="BU458" s="93"/>
      <c r="BV458" s="93"/>
      <c r="BW458" s="93"/>
      <c r="BX458" s="93"/>
      <c r="BY458" s="93"/>
      <c r="BZ458" s="93"/>
    </row>
    <row r="459">
      <c r="A459" t="s">
        <v>116</v>
      </c>
      <c r="B459" t="s">
        <v>2170</v>
      </c>
      <c r="C459" s="89" t="s">
        <v>2171</v>
      </c>
      <c r="D459" s="90" t="s">
        <v>2172</v>
      </c>
      <c r="E459" s="91">
        <v>2016.0</v>
      </c>
      <c r="F459" s="92">
        <v>1.0</v>
      </c>
      <c r="G459" s="93"/>
      <c r="H459" s="93"/>
      <c r="I459" s="93"/>
      <c r="J459" s="93"/>
      <c r="K459" s="93"/>
      <c r="L459" s="93"/>
      <c r="M459" s="93"/>
      <c r="N459" s="93"/>
      <c r="O459" s="93"/>
      <c r="P459" s="93"/>
      <c r="Q459" s="93"/>
      <c r="R459" s="93"/>
      <c r="S459" s="93"/>
      <c r="T459" s="93"/>
      <c r="U459" s="93"/>
      <c r="V459" s="93"/>
      <c r="W459" s="93"/>
      <c r="X459" s="93"/>
      <c r="Y459" s="93"/>
      <c r="Z459" s="93"/>
      <c r="AA459" s="93"/>
      <c r="AB459" s="93"/>
      <c r="AC459" s="93"/>
      <c r="AD459" s="93"/>
      <c r="AE459" s="93"/>
      <c r="AF459" s="93"/>
      <c r="AG459" s="93"/>
      <c r="AH459" s="94"/>
      <c r="AI459" s="93"/>
      <c r="AJ459" s="93"/>
      <c r="AK459" s="93"/>
      <c r="AL459" s="93"/>
      <c r="AM459" s="93"/>
      <c r="AN459" s="93"/>
      <c r="AO459" s="93"/>
      <c r="AP459" s="93"/>
      <c r="AQ459" s="93"/>
      <c r="AR459" s="93"/>
      <c r="AS459" s="93"/>
      <c r="AT459" s="93"/>
      <c r="AU459" s="93"/>
      <c r="AV459" s="93"/>
      <c r="AW459" s="93"/>
      <c r="AX459" s="93"/>
      <c r="AY459" s="93"/>
      <c r="AZ459" s="93"/>
      <c r="BA459" s="93"/>
      <c r="BB459" s="93"/>
      <c r="BC459" s="93"/>
      <c r="BD459" s="93"/>
      <c r="BE459" s="93"/>
      <c r="BF459" s="93"/>
      <c r="BG459" s="93"/>
      <c r="BH459" s="93"/>
      <c r="BI459" s="93"/>
      <c r="BJ459" s="93"/>
      <c r="BK459" s="93"/>
      <c r="BL459" s="93"/>
      <c r="BM459" s="93"/>
      <c r="BN459" s="93"/>
      <c r="BO459" s="93"/>
      <c r="BP459" s="93"/>
      <c r="BQ459" s="93"/>
      <c r="BR459" s="93"/>
      <c r="BS459" s="93"/>
      <c r="BT459" s="93"/>
      <c r="BU459" s="93"/>
      <c r="BV459" s="93"/>
      <c r="BW459" s="93"/>
      <c r="BX459" s="93"/>
      <c r="BY459" s="93"/>
      <c r="BZ459" s="93"/>
    </row>
    <row r="460">
      <c r="B460" t="s">
        <v>2173</v>
      </c>
      <c r="C460" s="89" t="s">
        <v>2174</v>
      </c>
      <c r="D460" s="90" t="s">
        <v>1351</v>
      </c>
      <c r="E460" s="91">
        <v>2016.0</v>
      </c>
      <c r="F460" s="92">
        <v>1.0</v>
      </c>
      <c r="G460" s="93"/>
      <c r="H460" s="93"/>
      <c r="I460" s="93"/>
      <c r="J460" s="93"/>
      <c r="K460" s="93"/>
      <c r="L460" s="93"/>
      <c r="M460" s="93"/>
      <c r="N460" s="93"/>
      <c r="O460" s="93"/>
      <c r="P460" s="93"/>
      <c r="Q460" s="93"/>
      <c r="R460" s="93"/>
      <c r="S460" s="93"/>
      <c r="T460" s="93"/>
      <c r="U460" s="93"/>
      <c r="V460" s="93"/>
      <c r="W460" s="93"/>
      <c r="X460" s="93"/>
      <c r="Y460" s="93"/>
      <c r="Z460" s="93"/>
      <c r="AA460" s="93"/>
      <c r="AB460" s="93"/>
      <c r="AC460" s="93"/>
      <c r="AD460" s="93"/>
      <c r="AE460" s="93"/>
      <c r="AF460" s="93"/>
      <c r="AG460" s="93"/>
      <c r="AH460" s="94"/>
      <c r="AI460" s="93"/>
      <c r="AJ460" s="93"/>
      <c r="AK460" s="93"/>
      <c r="AL460" s="93"/>
      <c r="AM460" s="93"/>
      <c r="AN460" s="93"/>
      <c r="AO460" s="93"/>
      <c r="AP460" s="93"/>
      <c r="AQ460" s="93"/>
      <c r="AR460" s="93"/>
      <c r="AS460" s="93"/>
      <c r="AT460" s="93"/>
      <c r="AU460" s="93"/>
      <c r="AV460" s="93"/>
      <c r="AW460" s="93"/>
      <c r="AX460" s="93"/>
      <c r="AY460" s="93"/>
      <c r="AZ460" s="93"/>
      <c r="BA460" s="93"/>
      <c r="BB460" s="93"/>
      <c r="BC460" s="93"/>
      <c r="BD460" s="93"/>
      <c r="BE460" s="93"/>
      <c r="BF460" s="93"/>
      <c r="BG460" s="93"/>
      <c r="BH460" s="93"/>
      <c r="BI460" s="93"/>
      <c r="BJ460" s="93"/>
      <c r="BK460" s="93"/>
      <c r="BL460" s="93"/>
      <c r="BM460" s="93"/>
      <c r="BN460" s="93"/>
      <c r="BO460" s="93"/>
      <c r="BP460" s="93"/>
      <c r="BQ460" s="93"/>
      <c r="BR460" s="93"/>
      <c r="BS460" s="93"/>
      <c r="BT460" s="93"/>
      <c r="BU460" s="93"/>
      <c r="BV460" s="93"/>
      <c r="BW460" s="93"/>
      <c r="BX460" s="93"/>
      <c r="BY460" s="93"/>
      <c r="BZ460" s="93"/>
    </row>
    <row r="461">
      <c r="B461" t="s">
        <v>2175</v>
      </c>
      <c r="C461" s="89" t="s">
        <v>2176</v>
      </c>
      <c r="D461" s="90" t="s">
        <v>2177</v>
      </c>
      <c r="E461" s="91">
        <v>2016.0</v>
      </c>
      <c r="F461" s="92">
        <v>1.0</v>
      </c>
      <c r="G461" s="93"/>
      <c r="H461" s="93"/>
      <c r="I461" s="93"/>
      <c r="J461" s="93"/>
      <c r="K461" s="93"/>
      <c r="L461" s="93"/>
      <c r="M461" s="93"/>
      <c r="N461" s="93"/>
      <c r="O461" s="93"/>
      <c r="P461" s="93"/>
      <c r="Q461" s="93"/>
      <c r="R461" s="93"/>
      <c r="S461" s="93"/>
      <c r="T461" s="93"/>
      <c r="U461" s="93"/>
      <c r="V461" s="93"/>
      <c r="W461" s="93"/>
      <c r="X461" s="93"/>
      <c r="Y461" s="93"/>
      <c r="Z461" s="93"/>
      <c r="AA461" s="93"/>
      <c r="AB461" s="93"/>
      <c r="AC461" s="93"/>
      <c r="AD461" s="93"/>
      <c r="AE461" s="93"/>
      <c r="AF461" s="93"/>
      <c r="AG461" s="93"/>
      <c r="AH461" s="94"/>
      <c r="AI461" s="93"/>
      <c r="AJ461" s="93"/>
      <c r="AK461" s="93"/>
      <c r="AL461" s="93"/>
      <c r="AM461" s="93"/>
      <c r="AN461" s="93"/>
      <c r="AO461" s="93"/>
      <c r="AP461" s="93"/>
      <c r="AQ461" s="93"/>
      <c r="AR461" s="93"/>
      <c r="AS461" s="93"/>
      <c r="AT461" s="93"/>
      <c r="AU461" s="93"/>
      <c r="AV461" s="93"/>
      <c r="AW461" s="93"/>
      <c r="AX461" s="93"/>
      <c r="AY461" s="93"/>
      <c r="AZ461" s="93"/>
      <c r="BA461" s="93"/>
      <c r="BB461" s="93"/>
      <c r="BC461" s="93"/>
      <c r="BD461" s="93"/>
      <c r="BE461" s="93"/>
      <c r="BF461" s="93"/>
      <c r="BG461" s="93"/>
      <c r="BH461" s="93"/>
      <c r="BI461" s="93"/>
      <c r="BJ461" s="93"/>
      <c r="BK461" s="93"/>
      <c r="BL461" s="93"/>
      <c r="BM461" s="93"/>
      <c r="BN461" s="93"/>
      <c r="BO461" s="93"/>
      <c r="BP461" s="93"/>
      <c r="BQ461" s="93"/>
      <c r="BR461" s="93"/>
      <c r="BS461" s="93"/>
      <c r="BT461" s="93"/>
      <c r="BU461" s="93"/>
      <c r="BV461" s="93"/>
      <c r="BW461" s="93"/>
      <c r="BX461" s="93"/>
      <c r="BY461" s="93"/>
      <c r="BZ461" s="93"/>
    </row>
    <row r="462">
      <c r="B462" t="s">
        <v>2178</v>
      </c>
      <c r="C462" s="89" t="s">
        <v>2179</v>
      </c>
      <c r="D462" s="90" t="s">
        <v>588</v>
      </c>
      <c r="E462" s="91">
        <v>2016.0</v>
      </c>
      <c r="F462" s="92">
        <v>1.0</v>
      </c>
      <c r="G462" s="93"/>
      <c r="H462" s="93"/>
      <c r="I462" s="93"/>
      <c r="J462" s="93"/>
      <c r="K462" s="93"/>
      <c r="L462" s="93"/>
      <c r="M462" s="93"/>
      <c r="N462" s="93"/>
      <c r="O462" s="93"/>
      <c r="P462" s="93"/>
      <c r="Q462" s="93"/>
      <c r="R462" s="93"/>
      <c r="S462" s="93"/>
      <c r="T462" s="93"/>
      <c r="U462" s="93"/>
      <c r="V462" s="93"/>
      <c r="W462" s="93"/>
      <c r="X462" s="93"/>
      <c r="Y462" s="93"/>
      <c r="Z462" s="93"/>
      <c r="AA462" s="93"/>
      <c r="AB462" s="93"/>
      <c r="AC462" s="93"/>
      <c r="AD462" s="93"/>
      <c r="AE462" s="93"/>
      <c r="AF462" s="93"/>
      <c r="AG462" s="93"/>
      <c r="AH462" s="94"/>
      <c r="AI462" s="93"/>
      <c r="AJ462" s="93"/>
      <c r="AK462" s="93"/>
      <c r="AL462" s="93"/>
      <c r="AM462" s="93"/>
      <c r="AN462" s="93"/>
      <c r="AO462" s="93"/>
      <c r="AP462" s="93"/>
      <c r="AQ462" s="93"/>
      <c r="AR462" s="93"/>
      <c r="AS462" s="93"/>
      <c r="AT462" s="93"/>
      <c r="AU462" s="93"/>
      <c r="AV462" s="93"/>
      <c r="AW462" s="93"/>
      <c r="AX462" s="93"/>
      <c r="AY462" s="93"/>
      <c r="AZ462" s="93"/>
      <c r="BA462" s="93"/>
      <c r="BB462" s="93"/>
      <c r="BC462" s="93"/>
      <c r="BD462" s="93"/>
      <c r="BE462" s="93"/>
      <c r="BF462" s="93"/>
      <c r="BG462" s="93"/>
      <c r="BH462" s="93"/>
      <c r="BI462" s="93"/>
      <c r="BJ462" s="93"/>
      <c r="BK462" s="93"/>
      <c r="BL462" s="93"/>
      <c r="BM462" s="93"/>
      <c r="BN462" s="93"/>
      <c r="BO462" s="93"/>
      <c r="BP462" s="93"/>
      <c r="BQ462" s="93"/>
      <c r="BR462" s="93"/>
      <c r="BS462" s="93"/>
      <c r="BT462" s="93"/>
      <c r="BU462" s="93"/>
      <c r="BV462" s="93"/>
      <c r="BW462" s="93"/>
      <c r="BX462" s="93"/>
      <c r="BY462" s="93"/>
      <c r="BZ462" s="93"/>
    </row>
    <row r="463">
      <c r="B463" t="s">
        <v>2180</v>
      </c>
      <c r="C463" s="89" t="s">
        <v>2181</v>
      </c>
      <c r="D463" s="90" t="s">
        <v>2182</v>
      </c>
      <c r="E463" s="91">
        <v>2016.0</v>
      </c>
      <c r="F463" s="92">
        <v>1.0</v>
      </c>
      <c r="G463" s="93"/>
      <c r="H463" s="93"/>
      <c r="I463" s="93"/>
      <c r="J463" s="93"/>
      <c r="K463" s="93"/>
      <c r="L463" s="93"/>
      <c r="M463" s="93"/>
      <c r="N463" s="93"/>
      <c r="O463" s="93"/>
      <c r="P463" s="93"/>
      <c r="Q463" s="93"/>
      <c r="R463" s="93"/>
      <c r="S463" s="93"/>
      <c r="T463" s="93"/>
      <c r="U463" s="93"/>
      <c r="V463" s="93"/>
      <c r="W463" s="93"/>
      <c r="X463" s="93"/>
      <c r="Y463" s="93"/>
      <c r="Z463" s="93"/>
      <c r="AA463" s="93"/>
      <c r="AB463" s="93"/>
      <c r="AC463" s="93"/>
      <c r="AD463" s="93"/>
      <c r="AE463" s="93"/>
      <c r="AF463" s="93"/>
      <c r="AG463" s="93"/>
      <c r="AH463" s="94"/>
      <c r="AI463" s="93"/>
      <c r="AJ463" s="93"/>
      <c r="AK463" s="93"/>
      <c r="AL463" s="93"/>
      <c r="AM463" s="93"/>
      <c r="AN463" s="93"/>
      <c r="AO463" s="93"/>
      <c r="AP463" s="93"/>
      <c r="AQ463" s="93"/>
      <c r="AR463" s="93"/>
      <c r="AS463" s="93"/>
      <c r="AT463" s="93"/>
      <c r="AU463" s="93"/>
      <c r="AV463" s="93"/>
      <c r="AW463" s="93"/>
      <c r="AX463" s="93"/>
      <c r="AY463" s="93"/>
      <c r="AZ463" s="93"/>
      <c r="BA463" s="93"/>
      <c r="BB463" s="93"/>
      <c r="BC463" s="93"/>
      <c r="BD463" s="93"/>
      <c r="BE463" s="93"/>
      <c r="BF463" s="93"/>
      <c r="BG463" s="93"/>
      <c r="BH463" s="93"/>
      <c r="BI463" s="93"/>
      <c r="BJ463" s="93"/>
      <c r="BK463" s="93"/>
      <c r="BL463" s="93"/>
      <c r="BM463" s="93"/>
      <c r="BN463" s="93"/>
      <c r="BO463" s="93"/>
      <c r="BP463" s="93"/>
      <c r="BQ463" s="93"/>
      <c r="BR463" s="93"/>
      <c r="BS463" s="93"/>
      <c r="BT463" s="93"/>
      <c r="BU463" s="93"/>
      <c r="BV463" s="93"/>
      <c r="BW463" s="93"/>
      <c r="BX463" s="93"/>
      <c r="BY463" s="93"/>
      <c r="BZ463" s="93"/>
    </row>
    <row r="464">
      <c r="B464" t="s">
        <v>2183</v>
      </c>
      <c r="C464" s="89" t="s">
        <v>2184</v>
      </c>
      <c r="D464" s="90" t="s">
        <v>2185</v>
      </c>
      <c r="E464" s="91">
        <v>2015.0</v>
      </c>
      <c r="F464" s="92">
        <v>1.0</v>
      </c>
      <c r="G464" s="93"/>
      <c r="H464" s="93"/>
      <c r="I464" s="93"/>
      <c r="J464" s="93"/>
      <c r="K464" s="93"/>
      <c r="L464" s="93"/>
      <c r="M464" s="93"/>
      <c r="N464" s="93"/>
      <c r="O464" s="93"/>
      <c r="P464" s="93"/>
      <c r="Q464" s="93"/>
      <c r="R464" s="93"/>
      <c r="S464" s="93"/>
      <c r="T464" s="93"/>
      <c r="U464" s="93"/>
      <c r="V464" s="93"/>
      <c r="W464" s="93"/>
      <c r="X464" s="93"/>
      <c r="Y464" s="93"/>
      <c r="Z464" s="93"/>
      <c r="AA464" s="93"/>
      <c r="AB464" s="93"/>
      <c r="AC464" s="93"/>
      <c r="AD464" s="93"/>
      <c r="AE464" s="93"/>
      <c r="AF464" s="93"/>
      <c r="AG464" s="93"/>
      <c r="AH464" s="94"/>
      <c r="AI464" s="93"/>
      <c r="AJ464" s="93"/>
      <c r="AK464" s="93"/>
      <c r="AL464" s="93"/>
      <c r="AM464" s="93"/>
      <c r="AN464" s="93"/>
      <c r="AO464" s="93"/>
      <c r="AP464" s="93"/>
      <c r="AQ464" s="93"/>
      <c r="AR464" s="93"/>
      <c r="AS464" s="93"/>
      <c r="AT464" s="93"/>
      <c r="AU464" s="93"/>
      <c r="AV464" s="93"/>
      <c r="AW464" s="93"/>
      <c r="AX464" s="93"/>
      <c r="AY464" s="93"/>
      <c r="AZ464" s="93"/>
      <c r="BA464" s="93"/>
      <c r="BB464" s="93"/>
      <c r="BC464" s="93"/>
      <c r="BD464" s="93"/>
      <c r="BE464" s="93"/>
      <c r="BF464" s="93"/>
      <c r="BG464" s="93"/>
      <c r="BH464" s="93"/>
      <c r="BI464" s="93"/>
      <c r="BJ464" s="93"/>
      <c r="BK464" s="93"/>
      <c r="BL464" s="93"/>
      <c r="BM464" s="93"/>
      <c r="BN464" s="93"/>
      <c r="BO464" s="93"/>
      <c r="BP464" s="93"/>
      <c r="BQ464" s="93"/>
      <c r="BR464" s="93"/>
      <c r="BS464" s="93"/>
      <c r="BT464" s="93"/>
      <c r="BU464" s="93"/>
      <c r="BV464" s="93"/>
      <c r="BW464" s="93"/>
      <c r="BX464" s="93"/>
      <c r="BY464" s="93"/>
      <c r="BZ464" s="93"/>
    </row>
    <row r="465">
      <c r="A465" t="s">
        <v>1331</v>
      </c>
      <c r="B465" t="s">
        <v>2186</v>
      </c>
      <c r="C465" s="89" t="s">
        <v>2187</v>
      </c>
      <c r="D465" s="90" t="s">
        <v>2188</v>
      </c>
      <c r="E465" s="91">
        <v>2015.0</v>
      </c>
      <c r="F465" s="93"/>
      <c r="G465" s="93"/>
      <c r="H465" s="95"/>
      <c r="I465" s="93"/>
      <c r="J465" s="93"/>
      <c r="K465" s="93"/>
      <c r="L465" s="93"/>
      <c r="M465" s="92">
        <v>1.0</v>
      </c>
      <c r="N465" s="95"/>
      <c r="O465" s="93"/>
      <c r="P465" s="93"/>
      <c r="Q465" s="93"/>
      <c r="R465" s="93"/>
      <c r="S465" s="93"/>
      <c r="T465" s="93"/>
      <c r="U465" s="93"/>
      <c r="V465" s="93"/>
      <c r="W465" s="97" t="s">
        <v>2189</v>
      </c>
      <c r="X465" s="93"/>
      <c r="Y465" s="93"/>
      <c r="Z465" s="97" t="s">
        <v>2190</v>
      </c>
      <c r="AA465" s="93"/>
      <c r="AB465" s="92">
        <v>1.0</v>
      </c>
      <c r="AC465" s="92">
        <v>1.0</v>
      </c>
      <c r="AD465" s="95"/>
      <c r="AE465" s="93"/>
      <c r="AF465" s="93"/>
      <c r="AG465" s="93"/>
      <c r="AH465" s="96" t="s">
        <v>2191</v>
      </c>
      <c r="AI465" s="92">
        <v>1.0</v>
      </c>
      <c r="AJ465" s="93"/>
      <c r="AK465" s="93"/>
      <c r="AL465" s="93"/>
      <c r="AM465" s="93"/>
      <c r="AN465" s="93"/>
      <c r="AO465" s="93"/>
      <c r="AP465" s="93"/>
      <c r="AQ465" s="93"/>
      <c r="AR465" s="93"/>
      <c r="AS465" s="93"/>
      <c r="AT465" s="93"/>
      <c r="AU465" s="92">
        <v>1.0</v>
      </c>
      <c r="AV465" s="93"/>
      <c r="AW465" s="93"/>
      <c r="AX465" s="93"/>
      <c r="AY465" s="93"/>
      <c r="AZ465" s="93"/>
      <c r="BA465" s="93"/>
      <c r="BB465" s="93"/>
      <c r="BC465" s="93"/>
      <c r="BD465" s="93"/>
      <c r="BE465" s="93"/>
      <c r="BF465" s="93"/>
      <c r="BG465" s="92">
        <v>1.0</v>
      </c>
      <c r="BH465" s="93"/>
      <c r="BI465" s="92">
        <v>1.0</v>
      </c>
      <c r="BJ465" s="93"/>
      <c r="BK465" s="93"/>
      <c r="BL465" s="93"/>
      <c r="BM465" s="93"/>
      <c r="BN465" s="93"/>
      <c r="BO465" s="93"/>
      <c r="BP465" s="93"/>
      <c r="BQ465" s="93"/>
      <c r="BR465" s="93"/>
      <c r="BS465" s="93"/>
      <c r="BT465" s="93"/>
      <c r="BU465" s="93"/>
      <c r="BV465" s="93"/>
      <c r="BW465" s="93"/>
      <c r="BX465" s="93"/>
      <c r="BY465" s="93"/>
      <c r="BZ465" s="93"/>
    </row>
    <row r="466">
      <c r="B466" t="s">
        <v>2192</v>
      </c>
      <c r="C466" s="89" t="s">
        <v>2193</v>
      </c>
      <c r="D466" s="90" t="s">
        <v>2194</v>
      </c>
      <c r="E466" s="91">
        <v>2015.0</v>
      </c>
      <c r="F466" s="92">
        <v>1.0</v>
      </c>
      <c r="G466" s="93"/>
      <c r="H466" s="93"/>
      <c r="I466" s="93"/>
      <c r="J466" s="93"/>
      <c r="K466" s="93"/>
      <c r="L466" s="93"/>
      <c r="M466" s="93"/>
      <c r="N466" s="93"/>
      <c r="O466" s="93"/>
      <c r="P466" s="93"/>
      <c r="Q466" s="93"/>
      <c r="R466" s="93"/>
      <c r="S466" s="93"/>
      <c r="T466" s="93"/>
      <c r="U466" s="93"/>
      <c r="V466" s="93"/>
      <c r="W466" s="93"/>
      <c r="X466" s="93"/>
      <c r="Y466" s="93"/>
      <c r="Z466" s="93"/>
      <c r="AA466" s="93"/>
      <c r="AB466" s="93"/>
      <c r="AC466" s="93"/>
      <c r="AD466" s="93"/>
      <c r="AE466" s="93"/>
      <c r="AF466" s="93"/>
      <c r="AG466" s="93"/>
      <c r="AH466" s="94"/>
      <c r="AI466" s="93"/>
      <c r="AJ466" s="93"/>
      <c r="AK466" s="93"/>
      <c r="AL466" s="93"/>
      <c r="AM466" s="93"/>
      <c r="AN466" s="93"/>
      <c r="AO466" s="93"/>
      <c r="AP466" s="93"/>
      <c r="AQ466" s="93"/>
      <c r="AR466" s="93"/>
      <c r="AS466" s="93"/>
      <c r="AT466" s="93"/>
      <c r="AU466" s="93"/>
      <c r="AV466" s="93"/>
      <c r="AW466" s="93"/>
      <c r="AX466" s="93"/>
      <c r="AY466" s="93"/>
      <c r="AZ466" s="93"/>
      <c r="BA466" s="93"/>
      <c r="BB466" s="93"/>
      <c r="BC466" s="93"/>
      <c r="BD466" s="93"/>
      <c r="BE466" s="93"/>
      <c r="BF466" s="93"/>
      <c r="BG466" s="93"/>
      <c r="BH466" s="93"/>
      <c r="BI466" s="93"/>
      <c r="BJ466" s="93"/>
      <c r="BK466" s="93"/>
      <c r="BL466" s="93"/>
      <c r="BM466" s="93"/>
      <c r="BN466" s="93"/>
      <c r="BO466" s="93"/>
      <c r="BP466" s="93"/>
      <c r="BQ466" s="93"/>
      <c r="BR466" s="93"/>
      <c r="BS466" s="93"/>
      <c r="BT466" s="93"/>
      <c r="BU466" s="93"/>
      <c r="BV466" s="93"/>
      <c r="BW466" s="93"/>
      <c r="BX466" s="93"/>
      <c r="BY466" s="93"/>
      <c r="BZ466" s="93"/>
    </row>
    <row r="467">
      <c r="B467" t="s">
        <v>2195</v>
      </c>
      <c r="C467" s="89" t="s">
        <v>2196</v>
      </c>
      <c r="D467" s="90" t="s">
        <v>2197</v>
      </c>
      <c r="E467" s="91">
        <v>2015.0</v>
      </c>
      <c r="F467" s="92">
        <v>1.0</v>
      </c>
      <c r="G467" s="93"/>
      <c r="H467" s="93"/>
      <c r="I467" s="93"/>
      <c r="J467" s="93"/>
      <c r="K467" s="93"/>
      <c r="L467" s="93"/>
      <c r="M467" s="93"/>
      <c r="N467" s="93"/>
      <c r="O467" s="93"/>
      <c r="P467" s="93"/>
      <c r="Q467" s="93"/>
      <c r="R467" s="93"/>
      <c r="S467" s="93"/>
      <c r="T467" s="93"/>
      <c r="U467" s="93"/>
      <c r="V467" s="93"/>
      <c r="W467" s="93"/>
      <c r="X467" s="93"/>
      <c r="Y467" s="93"/>
      <c r="Z467" s="93"/>
      <c r="AA467" s="93"/>
      <c r="AB467" s="93"/>
      <c r="AC467" s="93"/>
      <c r="AD467" s="93"/>
      <c r="AE467" s="93"/>
      <c r="AF467" s="93"/>
      <c r="AG467" s="93"/>
      <c r="AH467" s="94"/>
      <c r="AI467" s="93"/>
      <c r="AJ467" s="93"/>
      <c r="AK467" s="93"/>
      <c r="AL467" s="93"/>
      <c r="AM467" s="93"/>
      <c r="AN467" s="93"/>
      <c r="AO467" s="93"/>
      <c r="AP467" s="93"/>
      <c r="AQ467" s="93"/>
      <c r="AR467" s="93"/>
      <c r="AS467" s="93"/>
      <c r="AT467" s="93"/>
      <c r="AU467" s="93"/>
      <c r="AV467" s="93"/>
      <c r="AW467" s="93"/>
      <c r="AX467" s="93"/>
      <c r="AY467" s="93"/>
      <c r="AZ467" s="93"/>
      <c r="BA467" s="93"/>
      <c r="BB467" s="93"/>
      <c r="BC467" s="93"/>
      <c r="BD467" s="93"/>
      <c r="BE467" s="93"/>
      <c r="BF467" s="93"/>
      <c r="BG467" s="93"/>
      <c r="BH467" s="93"/>
      <c r="BI467" s="93"/>
      <c r="BJ467" s="93"/>
      <c r="BK467" s="93"/>
      <c r="BL467" s="93"/>
      <c r="BM467" s="93"/>
      <c r="BN467" s="93"/>
      <c r="BO467" s="93"/>
      <c r="BP467" s="93"/>
      <c r="BQ467" s="93"/>
      <c r="BR467" s="93"/>
      <c r="BS467" s="93"/>
      <c r="BT467" s="93"/>
      <c r="BU467" s="93"/>
      <c r="BV467" s="93"/>
      <c r="BW467" s="93"/>
      <c r="BX467" s="93"/>
      <c r="BY467" s="93"/>
      <c r="BZ467" s="93"/>
    </row>
    <row r="468">
      <c r="B468" t="s">
        <v>2198</v>
      </c>
      <c r="C468" s="89" t="s">
        <v>789</v>
      </c>
      <c r="D468" s="90" t="s">
        <v>790</v>
      </c>
      <c r="E468" s="91">
        <v>2015.0</v>
      </c>
      <c r="F468" s="97" t="s">
        <v>1777</v>
      </c>
      <c r="G468" s="93"/>
      <c r="H468" s="93"/>
      <c r="I468" s="93"/>
      <c r="J468" s="93"/>
      <c r="K468" s="93"/>
      <c r="L468" s="93"/>
      <c r="M468" s="93"/>
      <c r="N468" s="93"/>
      <c r="O468" s="93"/>
      <c r="P468" s="93"/>
      <c r="Q468" s="93"/>
      <c r="R468" s="93"/>
      <c r="S468" s="93"/>
      <c r="T468" s="93"/>
      <c r="U468" s="93"/>
      <c r="V468" s="93"/>
      <c r="W468" s="93"/>
      <c r="X468" s="93"/>
      <c r="Y468" s="93"/>
      <c r="Z468" s="93"/>
      <c r="AA468" s="93"/>
      <c r="AB468" s="93"/>
      <c r="AC468" s="93"/>
      <c r="AD468" s="93"/>
      <c r="AE468" s="93"/>
      <c r="AF468" s="93"/>
      <c r="AG468" s="93"/>
      <c r="AH468" s="94"/>
      <c r="AI468" s="93"/>
      <c r="AJ468" s="93"/>
      <c r="AK468" s="93"/>
      <c r="AL468" s="93"/>
      <c r="AM468" s="93"/>
      <c r="AN468" s="93"/>
      <c r="AO468" s="93"/>
      <c r="AP468" s="93"/>
      <c r="AQ468" s="93"/>
      <c r="AR468" s="93"/>
      <c r="AS468" s="93"/>
      <c r="AT468" s="93"/>
      <c r="AU468" s="93"/>
      <c r="AV468" s="93"/>
      <c r="AW468" s="93"/>
      <c r="AX468" s="93"/>
      <c r="AY468" s="93"/>
      <c r="AZ468" s="93"/>
      <c r="BA468" s="93"/>
      <c r="BB468" s="93"/>
      <c r="BC468" s="93"/>
      <c r="BD468" s="93"/>
      <c r="BE468" s="93"/>
      <c r="BF468" s="93"/>
      <c r="BG468" s="93"/>
      <c r="BH468" s="93"/>
      <c r="BI468" s="93"/>
      <c r="BJ468" s="93"/>
      <c r="BK468" s="93"/>
      <c r="BL468" s="93"/>
      <c r="BM468" s="93"/>
      <c r="BN468" s="93"/>
      <c r="BO468" s="93"/>
      <c r="BP468" s="93"/>
      <c r="BQ468" s="93"/>
      <c r="BR468" s="93"/>
      <c r="BS468" s="93"/>
      <c r="BT468" s="93"/>
      <c r="BU468" s="93"/>
      <c r="BV468" s="93"/>
      <c r="BW468" s="93"/>
      <c r="BX468" s="93"/>
      <c r="BY468" s="93"/>
      <c r="BZ468" s="93"/>
    </row>
    <row r="469">
      <c r="B469" t="s">
        <v>2199</v>
      </c>
      <c r="C469" s="89" t="s">
        <v>2200</v>
      </c>
      <c r="D469" s="90" t="s">
        <v>2201</v>
      </c>
      <c r="E469" s="91">
        <v>2015.0</v>
      </c>
      <c r="F469" s="97" t="s">
        <v>1777</v>
      </c>
      <c r="G469" s="93"/>
      <c r="H469" s="93"/>
      <c r="I469" s="93"/>
      <c r="J469" s="93"/>
      <c r="K469" s="93"/>
      <c r="L469" s="93"/>
      <c r="M469" s="93"/>
      <c r="N469" s="93"/>
      <c r="O469" s="93"/>
      <c r="P469" s="93"/>
      <c r="Q469" s="93"/>
      <c r="R469" s="93"/>
      <c r="S469" s="93"/>
      <c r="T469" s="93"/>
      <c r="U469" s="93"/>
      <c r="V469" s="93"/>
      <c r="W469" s="93"/>
      <c r="X469" s="93"/>
      <c r="Y469" s="93"/>
      <c r="Z469" s="93"/>
      <c r="AA469" s="93"/>
      <c r="AB469" s="93"/>
      <c r="AC469" s="93"/>
      <c r="AD469" s="93"/>
      <c r="AE469" s="93"/>
      <c r="AF469" s="93"/>
      <c r="AG469" s="93"/>
      <c r="AH469" s="94"/>
      <c r="AI469" s="93"/>
      <c r="AJ469" s="93"/>
      <c r="AK469" s="93"/>
      <c r="AL469" s="93"/>
      <c r="AM469" s="93"/>
      <c r="AN469" s="93"/>
      <c r="AO469" s="93"/>
      <c r="AP469" s="93"/>
      <c r="AQ469" s="93"/>
      <c r="AR469" s="93"/>
      <c r="AS469" s="93"/>
      <c r="AT469" s="93"/>
      <c r="AU469" s="93"/>
      <c r="AV469" s="93"/>
      <c r="AW469" s="93"/>
      <c r="AX469" s="93"/>
      <c r="AY469" s="93"/>
      <c r="AZ469" s="93"/>
      <c r="BA469" s="93"/>
      <c r="BB469" s="93"/>
      <c r="BC469" s="93"/>
      <c r="BD469" s="93"/>
      <c r="BE469" s="93"/>
      <c r="BF469" s="93"/>
      <c r="BG469" s="93"/>
      <c r="BH469" s="93"/>
      <c r="BI469" s="93"/>
      <c r="BJ469" s="93"/>
      <c r="BK469" s="93"/>
      <c r="BL469" s="93"/>
      <c r="BM469" s="93"/>
      <c r="BN469" s="93"/>
      <c r="BO469" s="93"/>
      <c r="BP469" s="93"/>
      <c r="BQ469" s="93"/>
      <c r="BR469" s="93"/>
      <c r="BS469" s="93"/>
      <c r="BT469" s="93"/>
      <c r="BU469" s="93"/>
      <c r="BV469" s="93"/>
      <c r="BW469" s="93"/>
      <c r="BX469" s="93"/>
      <c r="BY469" s="93"/>
      <c r="BZ469" s="93"/>
    </row>
    <row r="470">
      <c r="B470" t="s">
        <v>2202</v>
      </c>
      <c r="C470" s="89" t="s">
        <v>195</v>
      </c>
      <c r="D470" s="90" t="s">
        <v>2203</v>
      </c>
      <c r="E470" s="91">
        <v>2015.0</v>
      </c>
      <c r="F470" s="97" t="s">
        <v>1777</v>
      </c>
      <c r="G470" s="93"/>
      <c r="H470" s="93"/>
      <c r="I470" s="93"/>
      <c r="J470" s="93"/>
      <c r="K470" s="93"/>
      <c r="L470" s="93"/>
      <c r="M470" s="93"/>
      <c r="N470" s="93"/>
      <c r="O470" s="93"/>
      <c r="P470" s="93"/>
      <c r="Q470" s="93"/>
      <c r="R470" s="93"/>
      <c r="S470" s="93"/>
      <c r="T470" s="93"/>
      <c r="U470" s="93"/>
      <c r="V470" s="93"/>
      <c r="W470" s="93"/>
      <c r="X470" s="93"/>
      <c r="Y470" s="93"/>
      <c r="Z470" s="93"/>
      <c r="AA470" s="93"/>
      <c r="AB470" s="93"/>
      <c r="AC470" s="93"/>
      <c r="AD470" s="93"/>
      <c r="AE470" s="93"/>
      <c r="AF470" s="93"/>
      <c r="AG470" s="93"/>
      <c r="AH470" s="94"/>
      <c r="AI470" s="93"/>
      <c r="AJ470" s="93"/>
      <c r="AK470" s="93"/>
      <c r="AL470" s="93"/>
      <c r="AM470" s="93"/>
      <c r="AN470" s="93"/>
      <c r="AO470" s="93"/>
      <c r="AP470" s="93"/>
      <c r="AQ470" s="93"/>
      <c r="AR470" s="93"/>
      <c r="AS470" s="93"/>
      <c r="AT470" s="93"/>
      <c r="AU470" s="93"/>
      <c r="AV470" s="93"/>
      <c r="AW470" s="93"/>
      <c r="AX470" s="93"/>
      <c r="AY470" s="93"/>
      <c r="AZ470" s="93"/>
      <c r="BA470" s="93"/>
      <c r="BB470" s="93"/>
      <c r="BC470" s="93"/>
      <c r="BD470" s="93"/>
      <c r="BE470" s="93"/>
      <c r="BF470" s="93"/>
      <c r="BG470" s="93"/>
      <c r="BH470" s="93"/>
      <c r="BI470" s="93"/>
      <c r="BJ470" s="93"/>
      <c r="BK470" s="93"/>
      <c r="BL470" s="93"/>
      <c r="BM470" s="93"/>
      <c r="BN470" s="93"/>
      <c r="BO470" s="93"/>
      <c r="BP470" s="93"/>
      <c r="BQ470" s="93"/>
      <c r="BR470" s="93"/>
      <c r="BS470" s="93"/>
      <c r="BT470" s="93"/>
      <c r="BU470" s="93"/>
      <c r="BV470" s="93"/>
      <c r="BW470" s="93"/>
      <c r="BX470" s="93"/>
      <c r="BY470" s="93"/>
      <c r="BZ470" s="93"/>
    </row>
    <row r="471">
      <c r="B471" t="s">
        <v>2204</v>
      </c>
      <c r="C471" s="89" t="s">
        <v>2205</v>
      </c>
      <c r="D471" s="90" t="s">
        <v>2206</v>
      </c>
      <c r="E471" s="91">
        <v>2015.0</v>
      </c>
      <c r="F471" s="92">
        <v>1.0</v>
      </c>
      <c r="G471" s="93"/>
      <c r="H471" s="93"/>
      <c r="I471" s="93"/>
      <c r="J471" s="93"/>
      <c r="K471" s="93"/>
      <c r="L471" s="93"/>
      <c r="M471" s="93"/>
      <c r="N471" s="93"/>
      <c r="O471" s="93"/>
      <c r="P471" s="93"/>
      <c r="Q471" s="93"/>
      <c r="R471" s="93"/>
      <c r="S471" s="93"/>
      <c r="T471" s="93"/>
      <c r="U471" s="93"/>
      <c r="V471" s="93"/>
      <c r="W471" s="93"/>
      <c r="X471" s="93"/>
      <c r="Y471" s="93"/>
      <c r="Z471" s="93"/>
      <c r="AA471" s="93"/>
      <c r="AB471" s="93"/>
      <c r="AC471" s="93"/>
      <c r="AD471" s="93"/>
      <c r="AE471" s="93"/>
      <c r="AF471" s="93"/>
      <c r="AG471" s="93"/>
      <c r="AH471" s="94"/>
      <c r="AI471" s="93"/>
      <c r="AJ471" s="93"/>
      <c r="AK471" s="93"/>
      <c r="AL471" s="93"/>
      <c r="AM471" s="93"/>
      <c r="AN471" s="93"/>
      <c r="AO471" s="93"/>
      <c r="AP471" s="93"/>
      <c r="AQ471" s="93"/>
      <c r="AR471" s="93"/>
      <c r="AS471" s="93"/>
      <c r="AT471" s="93"/>
      <c r="AU471" s="93"/>
      <c r="AV471" s="93"/>
      <c r="AW471" s="93"/>
      <c r="AX471" s="93"/>
      <c r="AY471" s="93"/>
      <c r="AZ471" s="93"/>
      <c r="BA471" s="93"/>
      <c r="BB471" s="93"/>
      <c r="BC471" s="93"/>
      <c r="BD471" s="93"/>
      <c r="BE471" s="93"/>
      <c r="BF471" s="93"/>
      <c r="BG471" s="93"/>
      <c r="BH471" s="93"/>
      <c r="BI471" s="93"/>
      <c r="BJ471" s="93"/>
      <c r="BK471" s="93"/>
      <c r="BL471" s="93"/>
      <c r="BM471" s="93"/>
      <c r="BN471" s="93"/>
      <c r="BO471" s="93"/>
      <c r="BP471" s="93"/>
      <c r="BQ471" s="93"/>
      <c r="BR471" s="93"/>
      <c r="BS471" s="93"/>
      <c r="BT471" s="93"/>
      <c r="BU471" s="93"/>
      <c r="BV471" s="93"/>
      <c r="BW471" s="93"/>
      <c r="BX471" s="93"/>
      <c r="BY471" s="93"/>
      <c r="BZ471" s="93"/>
    </row>
    <row r="472">
      <c r="B472" t="s">
        <v>2207</v>
      </c>
      <c r="C472" s="89" t="s">
        <v>2208</v>
      </c>
      <c r="D472" s="90" t="s">
        <v>1112</v>
      </c>
      <c r="E472" s="91">
        <v>2015.0</v>
      </c>
      <c r="F472" s="92">
        <v>1.0</v>
      </c>
      <c r="G472" s="93"/>
      <c r="H472" s="93"/>
      <c r="I472" s="93"/>
      <c r="J472" s="93"/>
      <c r="K472" s="93"/>
      <c r="L472" s="93"/>
      <c r="M472" s="93"/>
      <c r="N472" s="93"/>
      <c r="O472" s="93"/>
      <c r="P472" s="93"/>
      <c r="Q472" s="93"/>
      <c r="R472" s="93"/>
      <c r="S472" s="93"/>
      <c r="T472" s="93"/>
      <c r="U472" s="93"/>
      <c r="V472" s="93"/>
      <c r="W472" s="93"/>
      <c r="X472" s="93"/>
      <c r="Y472" s="93"/>
      <c r="Z472" s="93"/>
      <c r="AA472" s="93"/>
      <c r="AB472" s="93"/>
      <c r="AC472" s="93"/>
      <c r="AD472" s="93"/>
      <c r="AE472" s="93"/>
      <c r="AF472" s="93"/>
      <c r="AG472" s="93"/>
      <c r="AH472" s="94"/>
      <c r="AI472" s="93"/>
      <c r="AJ472" s="93"/>
      <c r="AK472" s="93"/>
      <c r="AL472" s="93"/>
      <c r="AM472" s="93"/>
      <c r="AN472" s="93"/>
      <c r="AO472" s="93"/>
      <c r="AP472" s="93"/>
      <c r="AQ472" s="93"/>
      <c r="AR472" s="93"/>
      <c r="AS472" s="93"/>
      <c r="AT472" s="93"/>
      <c r="AU472" s="93"/>
      <c r="AV472" s="93"/>
      <c r="AW472" s="93"/>
      <c r="AX472" s="93"/>
      <c r="AY472" s="93"/>
      <c r="AZ472" s="93"/>
      <c r="BA472" s="93"/>
      <c r="BB472" s="93"/>
      <c r="BC472" s="93"/>
      <c r="BD472" s="93"/>
      <c r="BE472" s="93"/>
      <c r="BF472" s="93"/>
      <c r="BG472" s="93"/>
      <c r="BH472" s="93"/>
      <c r="BI472" s="93"/>
      <c r="BJ472" s="93"/>
      <c r="BK472" s="93"/>
      <c r="BL472" s="93"/>
      <c r="BM472" s="93"/>
      <c r="BN472" s="93"/>
      <c r="BO472" s="93"/>
      <c r="BP472" s="93"/>
      <c r="BQ472" s="93"/>
      <c r="BR472" s="93"/>
      <c r="BS472" s="93"/>
      <c r="BT472" s="93"/>
      <c r="BU472" s="93"/>
      <c r="BV472" s="93"/>
      <c r="BW472" s="93"/>
      <c r="BX472" s="93"/>
      <c r="BY472" s="93"/>
      <c r="BZ472" s="93"/>
    </row>
    <row r="473">
      <c r="B473" t="s">
        <v>2209</v>
      </c>
      <c r="C473" s="89" t="s">
        <v>2210</v>
      </c>
      <c r="D473" s="90" t="s">
        <v>2211</v>
      </c>
      <c r="E473" s="91">
        <v>2015.0</v>
      </c>
      <c r="F473" s="92">
        <v>1.0</v>
      </c>
      <c r="G473" s="93"/>
      <c r="H473" s="93"/>
      <c r="I473" s="93"/>
      <c r="J473" s="93"/>
      <c r="K473" s="93"/>
      <c r="L473" s="93"/>
      <c r="M473" s="93"/>
      <c r="N473" s="93"/>
      <c r="O473" s="93"/>
      <c r="P473" s="93"/>
      <c r="Q473" s="93"/>
      <c r="R473" s="93"/>
      <c r="S473" s="93"/>
      <c r="T473" s="93"/>
      <c r="U473" s="93"/>
      <c r="V473" s="93"/>
      <c r="W473" s="93"/>
      <c r="X473" s="93"/>
      <c r="Y473" s="93"/>
      <c r="Z473" s="93"/>
      <c r="AA473" s="93"/>
      <c r="AB473" s="93"/>
      <c r="AC473" s="93"/>
      <c r="AD473" s="93"/>
      <c r="AE473" s="93"/>
      <c r="AF473" s="93"/>
      <c r="AG473" s="93"/>
      <c r="AH473" s="94"/>
      <c r="AI473" s="93"/>
      <c r="AJ473" s="93"/>
      <c r="AK473" s="93"/>
      <c r="AL473" s="93"/>
      <c r="AM473" s="93"/>
      <c r="AN473" s="93"/>
      <c r="AO473" s="93"/>
      <c r="AP473" s="93"/>
      <c r="AQ473" s="93"/>
      <c r="AR473" s="93"/>
      <c r="AS473" s="93"/>
      <c r="AT473" s="93"/>
      <c r="AU473" s="93"/>
      <c r="AV473" s="93"/>
      <c r="AW473" s="93"/>
      <c r="AX473" s="93"/>
      <c r="AY473" s="93"/>
      <c r="AZ473" s="93"/>
      <c r="BA473" s="93"/>
      <c r="BB473" s="93"/>
      <c r="BC473" s="93"/>
      <c r="BD473" s="93"/>
      <c r="BE473" s="93"/>
      <c r="BF473" s="93"/>
      <c r="BG473" s="93"/>
      <c r="BH473" s="93"/>
      <c r="BI473" s="93"/>
      <c r="BJ473" s="93"/>
      <c r="BK473" s="93"/>
      <c r="BL473" s="93"/>
      <c r="BM473" s="93"/>
      <c r="BN473" s="93"/>
      <c r="BO473" s="93"/>
      <c r="BP473" s="93"/>
      <c r="BQ473" s="93"/>
      <c r="BR473" s="93"/>
      <c r="BS473" s="93"/>
      <c r="BT473" s="93"/>
      <c r="BU473" s="93"/>
      <c r="BV473" s="93"/>
      <c r="BW473" s="93"/>
      <c r="BX473" s="93"/>
      <c r="BY473" s="93"/>
      <c r="BZ473" s="93"/>
    </row>
    <row r="474">
      <c r="B474" t="s">
        <v>2212</v>
      </c>
      <c r="C474" s="89" t="s">
        <v>2213</v>
      </c>
      <c r="D474" s="90" t="s">
        <v>2214</v>
      </c>
      <c r="E474" s="91">
        <v>2015.0</v>
      </c>
      <c r="F474" s="92">
        <v>1.0</v>
      </c>
      <c r="G474" s="93"/>
      <c r="H474" s="93"/>
      <c r="I474" s="93"/>
      <c r="J474" s="93"/>
      <c r="K474" s="93"/>
      <c r="L474" s="93"/>
      <c r="M474" s="93"/>
      <c r="N474" s="93"/>
      <c r="O474" s="93"/>
      <c r="P474" s="93"/>
      <c r="Q474" s="93"/>
      <c r="R474" s="93"/>
      <c r="S474" s="93"/>
      <c r="T474" s="93"/>
      <c r="U474" s="93"/>
      <c r="V474" s="93"/>
      <c r="W474" s="93"/>
      <c r="X474" s="93"/>
      <c r="Y474" s="93"/>
      <c r="Z474" s="93"/>
      <c r="AA474" s="93"/>
      <c r="AB474" s="93"/>
      <c r="AC474" s="93"/>
      <c r="AD474" s="93"/>
      <c r="AE474" s="93"/>
      <c r="AF474" s="93"/>
      <c r="AG474" s="93"/>
      <c r="AH474" s="94"/>
      <c r="AI474" s="93"/>
      <c r="AJ474" s="93"/>
      <c r="AK474" s="93"/>
      <c r="AL474" s="93"/>
      <c r="AM474" s="93"/>
      <c r="AN474" s="93"/>
      <c r="AO474" s="93"/>
      <c r="AP474" s="93"/>
      <c r="AQ474" s="93"/>
      <c r="AR474" s="93"/>
      <c r="AS474" s="93"/>
      <c r="AT474" s="93"/>
      <c r="AU474" s="93"/>
      <c r="AV474" s="93"/>
      <c r="AW474" s="93"/>
      <c r="AX474" s="93"/>
      <c r="AY474" s="93"/>
      <c r="AZ474" s="93"/>
      <c r="BA474" s="93"/>
      <c r="BB474" s="93"/>
      <c r="BC474" s="93"/>
      <c r="BD474" s="93"/>
      <c r="BE474" s="93"/>
      <c r="BF474" s="93"/>
      <c r="BG474" s="93"/>
      <c r="BH474" s="93"/>
      <c r="BI474" s="93"/>
      <c r="BJ474" s="93"/>
      <c r="BK474" s="93"/>
      <c r="BL474" s="93"/>
      <c r="BM474" s="93"/>
      <c r="BN474" s="93"/>
      <c r="BO474" s="93"/>
      <c r="BP474" s="93"/>
      <c r="BQ474" s="93"/>
      <c r="BR474" s="93"/>
      <c r="BS474" s="93"/>
      <c r="BT474" s="93"/>
      <c r="BU474" s="93"/>
      <c r="BV474" s="93"/>
      <c r="BW474" s="93"/>
      <c r="BX474" s="93"/>
      <c r="BY474" s="93"/>
      <c r="BZ474" s="93"/>
    </row>
    <row r="475">
      <c r="B475" t="s">
        <v>2215</v>
      </c>
      <c r="C475" s="89" t="s">
        <v>2216</v>
      </c>
      <c r="D475" s="90" t="s">
        <v>1775</v>
      </c>
      <c r="E475" s="91">
        <v>2015.0</v>
      </c>
      <c r="F475" s="92">
        <v>1.0</v>
      </c>
      <c r="G475" s="93"/>
      <c r="H475" s="93"/>
      <c r="I475" s="93"/>
      <c r="J475" s="93"/>
      <c r="K475" s="93"/>
      <c r="L475" s="93"/>
      <c r="M475" s="93"/>
      <c r="N475" s="93"/>
      <c r="O475" s="93"/>
      <c r="P475" s="93"/>
      <c r="Q475" s="93"/>
      <c r="R475" s="93"/>
      <c r="S475" s="93"/>
      <c r="T475" s="93"/>
      <c r="U475" s="93"/>
      <c r="V475" s="93"/>
      <c r="W475" s="93"/>
      <c r="X475" s="93"/>
      <c r="Y475" s="93"/>
      <c r="Z475" s="93"/>
      <c r="AA475" s="93"/>
      <c r="AB475" s="93"/>
      <c r="AC475" s="93"/>
      <c r="AD475" s="93"/>
      <c r="AE475" s="93"/>
      <c r="AF475" s="93"/>
      <c r="AG475" s="93"/>
      <c r="AH475" s="94"/>
      <c r="AI475" s="93"/>
      <c r="AJ475" s="93"/>
      <c r="AK475" s="93"/>
      <c r="AL475" s="93"/>
      <c r="AM475" s="93"/>
      <c r="AN475" s="93"/>
      <c r="AO475" s="93"/>
      <c r="AP475" s="93"/>
      <c r="AQ475" s="93"/>
      <c r="AR475" s="93"/>
      <c r="AS475" s="93"/>
      <c r="AT475" s="93"/>
      <c r="AU475" s="93"/>
      <c r="AV475" s="93"/>
      <c r="AW475" s="93"/>
      <c r="AX475" s="93"/>
      <c r="AY475" s="93"/>
      <c r="AZ475" s="93"/>
      <c r="BA475" s="93"/>
      <c r="BB475" s="93"/>
      <c r="BC475" s="93"/>
      <c r="BD475" s="93"/>
      <c r="BE475" s="93"/>
      <c r="BF475" s="93"/>
      <c r="BG475" s="93"/>
      <c r="BH475" s="93"/>
      <c r="BI475" s="93"/>
      <c r="BJ475" s="93"/>
      <c r="BK475" s="93"/>
      <c r="BL475" s="93"/>
      <c r="BM475" s="93"/>
      <c r="BN475" s="93"/>
      <c r="BO475" s="93"/>
      <c r="BP475" s="93"/>
      <c r="BQ475" s="93"/>
      <c r="BR475" s="93"/>
      <c r="BS475" s="93"/>
      <c r="BT475" s="93"/>
      <c r="BU475" s="93"/>
      <c r="BV475" s="93"/>
      <c r="BW475" s="93"/>
      <c r="BX475" s="93"/>
      <c r="BY475" s="93"/>
      <c r="BZ475" s="93"/>
    </row>
    <row r="476">
      <c r="B476" t="s">
        <v>2217</v>
      </c>
      <c r="C476" s="89" t="s">
        <v>1200</v>
      </c>
      <c r="D476" s="90" t="s">
        <v>1201</v>
      </c>
      <c r="E476" s="91">
        <v>2015.0</v>
      </c>
      <c r="F476" s="97" t="s">
        <v>1777</v>
      </c>
      <c r="G476" s="93"/>
      <c r="H476" s="93"/>
      <c r="I476" s="93"/>
      <c r="J476" s="93"/>
      <c r="K476" s="93"/>
      <c r="L476" s="93"/>
      <c r="M476" s="93"/>
      <c r="N476" s="93"/>
      <c r="O476" s="93"/>
      <c r="P476" s="93"/>
      <c r="Q476" s="93"/>
      <c r="R476" s="93"/>
      <c r="S476" s="93"/>
      <c r="T476" s="93"/>
      <c r="U476" s="93"/>
      <c r="V476" s="93"/>
      <c r="W476" s="93"/>
      <c r="X476" s="93"/>
      <c r="Y476" s="93"/>
      <c r="Z476" s="93"/>
      <c r="AA476" s="93"/>
      <c r="AB476" s="93"/>
      <c r="AC476" s="93"/>
      <c r="AD476" s="93"/>
      <c r="AE476" s="93"/>
      <c r="AF476" s="93"/>
      <c r="AG476" s="93"/>
      <c r="AH476" s="94"/>
      <c r="AI476" s="93"/>
      <c r="AJ476" s="93"/>
      <c r="AK476" s="93"/>
      <c r="AL476" s="93"/>
      <c r="AM476" s="93"/>
      <c r="AN476" s="93"/>
      <c r="AO476" s="93"/>
      <c r="AP476" s="93"/>
      <c r="AQ476" s="93"/>
      <c r="AR476" s="93"/>
      <c r="AS476" s="93"/>
      <c r="AT476" s="93"/>
      <c r="AU476" s="93"/>
      <c r="AV476" s="93"/>
      <c r="AW476" s="93"/>
      <c r="AX476" s="93"/>
      <c r="AY476" s="93"/>
      <c r="AZ476" s="93"/>
      <c r="BA476" s="93"/>
      <c r="BB476" s="93"/>
      <c r="BC476" s="93"/>
      <c r="BD476" s="93"/>
      <c r="BE476" s="93"/>
      <c r="BF476" s="93"/>
      <c r="BG476" s="93"/>
      <c r="BH476" s="93"/>
      <c r="BI476" s="93"/>
      <c r="BJ476" s="93"/>
      <c r="BK476" s="93"/>
      <c r="BL476" s="93"/>
      <c r="BM476" s="93"/>
      <c r="BN476" s="93"/>
      <c r="BO476" s="93"/>
      <c r="BP476" s="93"/>
      <c r="BQ476" s="93"/>
      <c r="BR476" s="93"/>
      <c r="BS476" s="93"/>
      <c r="BT476" s="93"/>
      <c r="BU476" s="93"/>
      <c r="BV476" s="93"/>
      <c r="BW476" s="93"/>
      <c r="BX476" s="93"/>
      <c r="BY476" s="93"/>
      <c r="BZ476" s="93"/>
    </row>
    <row r="477">
      <c r="B477" t="s">
        <v>2218</v>
      </c>
      <c r="C477" s="89" t="s">
        <v>955</v>
      </c>
      <c r="D477" s="90" t="s">
        <v>661</v>
      </c>
      <c r="E477" s="91">
        <v>2015.0</v>
      </c>
      <c r="F477" s="97" t="s">
        <v>1777</v>
      </c>
      <c r="G477" s="93"/>
      <c r="H477" s="93"/>
      <c r="I477" s="93"/>
      <c r="J477" s="93"/>
      <c r="K477" s="93"/>
      <c r="L477" s="93"/>
      <c r="M477" s="93"/>
      <c r="N477" s="93"/>
      <c r="O477" s="93"/>
      <c r="P477" s="93"/>
      <c r="Q477" s="93"/>
      <c r="R477" s="93"/>
      <c r="S477" s="93"/>
      <c r="T477" s="93"/>
      <c r="U477" s="93"/>
      <c r="V477" s="93"/>
      <c r="W477" s="93"/>
      <c r="X477" s="93"/>
      <c r="Y477" s="93"/>
      <c r="Z477" s="93"/>
      <c r="AA477" s="93"/>
      <c r="AB477" s="93"/>
      <c r="AC477" s="93"/>
      <c r="AD477" s="93"/>
      <c r="AE477" s="93"/>
      <c r="AF477" s="93"/>
      <c r="AG477" s="93"/>
      <c r="AH477" s="94"/>
      <c r="AI477" s="93"/>
      <c r="AJ477" s="93"/>
      <c r="AK477" s="93"/>
      <c r="AL477" s="93"/>
      <c r="AM477" s="93"/>
      <c r="AN477" s="93"/>
      <c r="AO477" s="93"/>
      <c r="AP477" s="93"/>
      <c r="AQ477" s="93"/>
      <c r="AR477" s="93"/>
      <c r="AS477" s="93"/>
      <c r="AT477" s="93"/>
      <c r="AU477" s="93"/>
      <c r="AV477" s="93"/>
      <c r="AW477" s="93"/>
      <c r="AX477" s="93"/>
      <c r="AY477" s="93"/>
      <c r="AZ477" s="93"/>
      <c r="BA477" s="93"/>
      <c r="BB477" s="93"/>
      <c r="BC477" s="93"/>
      <c r="BD477" s="93"/>
      <c r="BE477" s="93"/>
      <c r="BF477" s="93"/>
      <c r="BG477" s="93"/>
      <c r="BH477" s="93"/>
      <c r="BI477" s="93"/>
      <c r="BJ477" s="93"/>
      <c r="BK477" s="93"/>
      <c r="BL477" s="93"/>
      <c r="BM477" s="93"/>
      <c r="BN477" s="93"/>
      <c r="BO477" s="93"/>
      <c r="BP477" s="93"/>
      <c r="BQ477" s="93"/>
      <c r="BR477" s="93"/>
      <c r="BS477" s="93"/>
      <c r="BT477" s="93"/>
      <c r="BU477" s="93"/>
      <c r="BV477" s="93"/>
      <c r="BW477" s="93"/>
      <c r="BX477" s="93"/>
      <c r="BY477" s="93"/>
      <c r="BZ477" s="93"/>
    </row>
    <row r="478">
      <c r="A478" t="s">
        <v>1340</v>
      </c>
      <c r="B478" t="s">
        <v>2219</v>
      </c>
      <c r="C478" s="89" t="s">
        <v>2220</v>
      </c>
      <c r="D478" s="90" t="s">
        <v>2221</v>
      </c>
      <c r="E478" s="91">
        <v>2015.0</v>
      </c>
      <c r="F478" s="93"/>
      <c r="G478" s="93"/>
      <c r="H478" s="93"/>
      <c r="I478" s="93"/>
      <c r="J478" s="93"/>
      <c r="K478" s="93"/>
      <c r="L478" s="93"/>
      <c r="M478" s="93"/>
      <c r="N478" s="93"/>
      <c r="O478" s="93"/>
      <c r="P478" s="93"/>
      <c r="Q478" s="95" t="s">
        <v>1203</v>
      </c>
      <c r="R478" s="93"/>
      <c r="S478" s="93"/>
      <c r="T478" s="93"/>
      <c r="U478" s="93"/>
      <c r="V478" s="93"/>
      <c r="W478" s="98" t="s">
        <v>2222</v>
      </c>
      <c r="X478" s="98" t="s">
        <v>2003</v>
      </c>
      <c r="Y478" s="98" t="s">
        <v>2003</v>
      </c>
      <c r="Z478" s="98" t="s">
        <v>137</v>
      </c>
      <c r="AA478" s="93"/>
      <c r="AB478" s="93"/>
      <c r="AC478" s="93"/>
      <c r="AD478" s="93"/>
      <c r="AE478" s="92">
        <v>1.0</v>
      </c>
      <c r="AF478" s="93"/>
      <c r="AG478" s="93"/>
      <c r="AH478" s="96" t="s">
        <v>2223</v>
      </c>
      <c r="AI478" s="95" t="s">
        <v>1203</v>
      </c>
      <c r="AJ478" s="93"/>
      <c r="AK478" s="93"/>
      <c r="AL478" s="93"/>
      <c r="AM478" s="93"/>
      <c r="AN478" s="93"/>
      <c r="AO478" s="93"/>
      <c r="AP478" s="93"/>
      <c r="AQ478" s="93"/>
      <c r="AR478" s="93"/>
      <c r="AS478" s="93"/>
      <c r="AT478" s="93"/>
      <c r="AU478" s="92">
        <v>1.0</v>
      </c>
      <c r="AV478" s="93"/>
      <c r="AW478" s="93"/>
      <c r="AX478" s="93"/>
      <c r="AY478" s="93"/>
      <c r="AZ478" s="93"/>
      <c r="BA478" s="93"/>
      <c r="BB478" s="93"/>
      <c r="BC478" s="93"/>
      <c r="BD478" s="93"/>
      <c r="BE478" s="93"/>
      <c r="BF478" s="93"/>
      <c r="BG478" s="93"/>
      <c r="BH478" s="93"/>
      <c r="BI478" s="93"/>
      <c r="BJ478" s="93"/>
      <c r="BK478" s="93"/>
      <c r="BL478" s="93"/>
      <c r="BM478" s="93"/>
      <c r="BN478" s="93"/>
      <c r="BO478" s="93"/>
      <c r="BP478" s="93"/>
      <c r="BQ478" s="93"/>
      <c r="BR478" s="93"/>
      <c r="BS478" s="93"/>
      <c r="BT478" s="93"/>
      <c r="BU478" s="93"/>
      <c r="BV478" s="93"/>
      <c r="BW478" s="93"/>
      <c r="BX478" s="93"/>
      <c r="BY478" s="93"/>
      <c r="BZ478" s="93"/>
    </row>
    <row r="479">
      <c r="B479" t="s">
        <v>2224</v>
      </c>
      <c r="C479" s="89" t="s">
        <v>1138</v>
      </c>
      <c r="D479" s="90" t="s">
        <v>1139</v>
      </c>
      <c r="E479" s="91">
        <v>2015.0</v>
      </c>
      <c r="F479" s="97" t="s">
        <v>1777</v>
      </c>
      <c r="G479" s="93"/>
      <c r="H479" s="93"/>
      <c r="I479" s="93"/>
      <c r="J479" s="93"/>
      <c r="K479" s="93"/>
      <c r="L479" s="93"/>
      <c r="M479" s="93"/>
      <c r="N479" s="93"/>
      <c r="O479" s="93"/>
      <c r="P479" s="93"/>
      <c r="Q479" s="93"/>
      <c r="R479" s="93"/>
      <c r="S479" s="93"/>
      <c r="T479" s="93"/>
      <c r="U479" s="93"/>
      <c r="V479" s="93"/>
      <c r="W479" s="93"/>
      <c r="X479" s="93"/>
      <c r="Y479" s="93"/>
      <c r="Z479" s="93"/>
      <c r="AA479" s="93"/>
      <c r="AB479" s="93"/>
      <c r="AC479" s="93"/>
      <c r="AD479" s="93"/>
      <c r="AE479" s="93"/>
      <c r="AF479" s="93"/>
      <c r="AG479" s="93"/>
      <c r="AH479" s="94"/>
      <c r="AI479" s="93"/>
      <c r="AJ479" s="93"/>
      <c r="AK479" s="93"/>
      <c r="AL479" s="93"/>
      <c r="AM479" s="93"/>
      <c r="AN479" s="93"/>
      <c r="AO479" s="93"/>
      <c r="AP479" s="93"/>
      <c r="AQ479" s="93"/>
      <c r="AR479" s="93"/>
      <c r="AS479" s="93"/>
      <c r="AT479" s="93"/>
      <c r="AU479" s="93"/>
      <c r="AV479" s="93"/>
      <c r="AW479" s="93"/>
      <c r="AX479" s="93"/>
      <c r="AY479" s="93"/>
      <c r="AZ479" s="93"/>
      <c r="BA479" s="93"/>
      <c r="BB479" s="93"/>
      <c r="BC479" s="93"/>
      <c r="BD479" s="93"/>
      <c r="BE479" s="93"/>
      <c r="BF479" s="93"/>
      <c r="BG479" s="93"/>
      <c r="BH479" s="93"/>
      <c r="BI479" s="93"/>
      <c r="BJ479" s="93"/>
      <c r="BK479" s="93"/>
      <c r="BL479" s="93"/>
      <c r="BM479" s="93"/>
      <c r="BN479" s="93"/>
      <c r="BO479" s="93"/>
      <c r="BP479" s="93"/>
      <c r="BQ479" s="93"/>
      <c r="BR479" s="93"/>
      <c r="BS479" s="93"/>
      <c r="BT479" s="93"/>
      <c r="BU479" s="93"/>
      <c r="BV479" s="93"/>
      <c r="BW479" s="93"/>
      <c r="BX479" s="93"/>
      <c r="BY479" s="93"/>
      <c r="BZ479" s="93"/>
    </row>
    <row r="480">
      <c r="B480" t="s">
        <v>2225</v>
      </c>
      <c r="C480" s="89" t="s">
        <v>385</v>
      </c>
      <c r="D480" s="90" t="s">
        <v>386</v>
      </c>
      <c r="E480" s="91">
        <v>2015.0</v>
      </c>
      <c r="F480" s="97" t="s">
        <v>1777</v>
      </c>
      <c r="G480" s="93"/>
      <c r="H480" s="93"/>
      <c r="I480" s="93"/>
      <c r="J480" s="93"/>
      <c r="K480" s="93"/>
      <c r="L480" s="93"/>
      <c r="M480" s="93"/>
      <c r="N480" s="93"/>
      <c r="O480" s="93"/>
      <c r="P480" s="93"/>
      <c r="Q480" s="93"/>
      <c r="R480" s="93"/>
      <c r="S480" s="93"/>
      <c r="T480" s="93"/>
      <c r="U480" s="93"/>
      <c r="V480" s="93"/>
      <c r="W480" s="93"/>
      <c r="X480" s="93"/>
      <c r="Y480" s="93"/>
      <c r="Z480" s="93"/>
      <c r="AA480" s="93"/>
      <c r="AB480" s="93"/>
      <c r="AC480" s="93"/>
      <c r="AD480" s="93"/>
      <c r="AE480" s="93"/>
      <c r="AF480" s="93"/>
      <c r="AG480" s="93"/>
      <c r="AH480" s="94"/>
      <c r="AI480" s="93"/>
      <c r="AJ480" s="93"/>
      <c r="AK480" s="93"/>
      <c r="AL480" s="93"/>
      <c r="AM480" s="93"/>
      <c r="AN480" s="93"/>
      <c r="AO480" s="93"/>
      <c r="AP480" s="93"/>
      <c r="AQ480" s="93"/>
      <c r="AR480" s="93"/>
      <c r="AS480" s="93"/>
      <c r="AT480" s="93"/>
      <c r="AU480" s="93"/>
      <c r="AV480" s="93"/>
      <c r="AW480" s="93"/>
      <c r="AX480" s="93"/>
      <c r="AY480" s="93"/>
      <c r="AZ480" s="93"/>
      <c r="BA480" s="93"/>
      <c r="BB480" s="93"/>
      <c r="BC480" s="93"/>
      <c r="BD480" s="93"/>
      <c r="BE480" s="93"/>
      <c r="BF480" s="93"/>
      <c r="BG480" s="93"/>
      <c r="BH480" s="93"/>
      <c r="BI480" s="93"/>
      <c r="BJ480" s="93"/>
      <c r="BK480" s="93"/>
      <c r="BL480" s="93"/>
      <c r="BM480" s="93"/>
      <c r="BN480" s="93"/>
      <c r="BO480" s="93"/>
      <c r="BP480" s="93"/>
      <c r="BQ480" s="93"/>
      <c r="BR480" s="93"/>
      <c r="BS480" s="93"/>
      <c r="BT480" s="93"/>
      <c r="BU480" s="93"/>
      <c r="BV480" s="93"/>
      <c r="BW480" s="93"/>
      <c r="BX480" s="93"/>
      <c r="BY480" s="93"/>
      <c r="BZ480" s="93"/>
    </row>
    <row r="481">
      <c r="B481" t="s">
        <v>2226</v>
      </c>
      <c r="C481" s="89" t="s">
        <v>2227</v>
      </c>
      <c r="D481" s="90" t="s">
        <v>2228</v>
      </c>
      <c r="E481" s="91">
        <v>2015.0</v>
      </c>
      <c r="F481" s="92">
        <v>1.0</v>
      </c>
      <c r="G481" s="93"/>
      <c r="H481" s="93"/>
      <c r="I481" s="93"/>
      <c r="J481" s="93"/>
      <c r="K481" s="93"/>
      <c r="L481" s="93"/>
      <c r="M481" s="93"/>
      <c r="N481" s="93"/>
      <c r="O481" s="93"/>
      <c r="P481" s="93"/>
      <c r="Q481" s="93"/>
      <c r="R481" s="93"/>
      <c r="S481" s="93"/>
      <c r="T481" s="93"/>
      <c r="U481" s="93"/>
      <c r="V481" s="93"/>
      <c r="W481" s="93"/>
      <c r="X481" s="93"/>
      <c r="Y481" s="93"/>
      <c r="Z481" s="93"/>
      <c r="AA481" s="93"/>
      <c r="AB481" s="93"/>
      <c r="AC481" s="93"/>
      <c r="AD481" s="93"/>
      <c r="AE481" s="93"/>
      <c r="AF481" s="93"/>
      <c r="AG481" s="93"/>
      <c r="AH481" s="94"/>
      <c r="AI481" s="93"/>
      <c r="AJ481" s="93"/>
      <c r="AK481" s="93"/>
      <c r="AL481" s="93"/>
      <c r="AM481" s="93"/>
      <c r="AN481" s="93"/>
      <c r="AO481" s="93"/>
      <c r="AP481" s="93"/>
      <c r="AQ481" s="93"/>
      <c r="AR481" s="93"/>
      <c r="AS481" s="93"/>
      <c r="AT481" s="93"/>
      <c r="AU481" s="93"/>
      <c r="AV481" s="93"/>
      <c r="AW481" s="93"/>
      <c r="AX481" s="93"/>
      <c r="AY481" s="93"/>
      <c r="AZ481" s="93"/>
      <c r="BA481" s="93"/>
      <c r="BB481" s="93"/>
      <c r="BC481" s="93"/>
      <c r="BD481" s="93"/>
      <c r="BE481" s="93"/>
      <c r="BF481" s="93"/>
      <c r="BG481" s="93"/>
      <c r="BH481" s="93"/>
      <c r="BI481" s="93"/>
      <c r="BJ481" s="93"/>
      <c r="BK481" s="93"/>
      <c r="BL481" s="93"/>
      <c r="BM481" s="93"/>
      <c r="BN481" s="93"/>
      <c r="BO481" s="93"/>
      <c r="BP481" s="93"/>
      <c r="BQ481" s="93"/>
      <c r="BR481" s="93"/>
      <c r="BS481" s="93"/>
      <c r="BT481" s="93"/>
      <c r="BU481" s="93"/>
      <c r="BV481" s="93"/>
      <c r="BW481" s="93"/>
      <c r="BX481" s="93"/>
      <c r="BY481" s="93"/>
      <c r="BZ481" s="93"/>
    </row>
    <row r="482">
      <c r="A482" t="s">
        <v>1354</v>
      </c>
      <c r="B482" t="s">
        <v>2229</v>
      </c>
      <c r="C482" s="89" t="s">
        <v>2230</v>
      </c>
      <c r="D482" s="90" t="s">
        <v>2221</v>
      </c>
      <c r="E482" s="91">
        <v>2015.0</v>
      </c>
      <c r="F482" s="99">
        <v>1.0</v>
      </c>
      <c r="G482" s="93"/>
      <c r="H482" s="93"/>
      <c r="I482" s="93"/>
      <c r="J482" s="93"/>
      <c r="K482" s="93"/>
      <c r="L482" s="93"/>
      <c r="M482" s="98" t="s">
        <v>748</v>
      </c>
      <c r="N482" s="98" t="s">
        <v>748</v>
      </c>
      <c r="O482" s="93"/>
      <c r="P482" s="93"/>
      <c r="Q482" s="93"/>
      <c r="R482" s="93"/>
      <c r="S482" s="93"/>
      <c r="T482" s="93"/>
      <c r="U482" s="93"/>
      <c r="V482" s="93"/>
      <c r="W482" s="98" t="s">
        <v>748</v>
      </c>
      <c r="X482" s="98" t="s">
        <v>748</v>
      </c>
      <c r="Y482" s="98" t="s">
        <v>748</v>
      </c>
      <c r="Z482" s="98" t="s">
        <v>748</v>
      </c>
      <c r="AA482" s="93"/>
      <c r="AB482" s="93"/>
      <c r="AC482" s="93"/>
      <c r="AD482" s="93"/>
      <c r="AE482" s="93"/>
      <c r="AF482" s="93"/>
      <c r="AG482" s="98" t="s">
        <v>748</v>
      </c>
      <c r="AH482" s="96" t="s">
        <v>748</v>
      </c>
      <c r="AI482" s="98" t="s">
        <v>748</v>
      </c>
      <c r="AJ482" s="93"/>
      <c r="AK482" s="93"/>
      <c r="AL482" s="93"/>
      <c r="AM482" s="93"/>
      <c r="AN482" s="93"/>
      <c r="AO482" s="93"/>
      <c r="AP482" s="93"/>
      <c r="AQ482" s="93"/>
      <c r="AR482" s="93"/>
      <c r="AS482" s="93"/>
      <c r="AT482" s="93"/>
      <c r="AU482" s="98" t="s">
        <v>748</v>
      </c>
      <c r="AV482" s="93"/>
      <c r="AW482" s="93"/>
      <c r="AX482" s="93"/>
      <c r="AY482" s="93"/>
      <c r="AZ482" s="93"/>
      <c r="BA482" s="93"/>
      <c r="BB482" s="93"/>
      <c r="BC482" s="93"/>
      <c r="BD482" s="98" t="s">
        <v>748</v>
      </c>
      <c r="BE482" s="93"/>
      <c r="BF482" s="93"/>
      <c r="BG482" s="93"/>
      <c r="BH482" s="93"/>
      <c r="BI482" s="93"/>
      <c r="BJ482" s="93"/>
      <c r="BK482" s="93"/>
      <c r="BL482" s="93"/>
      <c r="BM482" s="93"/>
      <c r="BN482" s="93"/>
      <c r="BO482" s="93"/>
      <c r="BP482" s="93"/>
      <c r="BQ482" s="93"/>
      <c r="BR482" s="93"/>
      <c r="BS482" s="93"/>
      <c r="BT482" s="93"/>
      <c r="BU482" s="93"/>
      <c r="BV482" s="93"/>
      <c r="BW482" s="93"/>
      <c r="BX482" s="93"/>
      <c r="BY482" s="93"/>
      <c r="BZ482" s="93"/>
    </row>
    <row r="483">
      <c r="B483" t="s">
        <v>2231</v>
      </c>
      <c r="C483" s="89" t="s">
        <v>2232</v>
      </c>
      <c r="D483" s="90" t="s">
        <v>310</v>
      </c>
      <c r="E483" s="91">
        <v>2015.0</v>
      </c>
      <c r="F483" s="95" t="s">
        <v>1488</v>
      </c>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c r="AD483" s="93"/>
      <c r="AE483" s="93"/>
      <c r="AF483" s="93"/>
      <c r="AG483" s="93"/>
      <c r="AH483" s="94"/>
      <c r="AI483" s="93"/>
      <c r="AJ483" s="93"/>
      <c r="AK483" s="93"/>
      <c r="AL483" s="93"/>
      <c r="AM483" s="93"/>
      <c r="AN483" s="93"/>
      <c r="AO483" s="93"/>
      <c r="AP483" s="93"/>
      <c r="AQ483" s="93"/>
      <c r="AR483" s="93"/>
      <c r="AS483" s="93"/>
      <c r="AT483" s="93"/>
      <c r="AU483" s="93"/>
      <c r="AV483" s="93"/>
      <c r="AW483" s="93"/>
      <c r="AX483" s="93"/>
      <c r="AY483" s="93"/>
      <c r="AZ483" s="93"/>
      <c r="BA483" s="93"/>
      <c r="BB483" s="93"/>
      <c r="BC483" s="93"/>
      <c r="BD483" s="93"/>
      <c r="BE483" s="93"/>
      <c r="BF483" s="93"/>
      <c r="BG483" s="93"/>
      <c r="BH483" s="93"/>
      <c r="BI483" s="93"/>
      <c r="BJ483" s="93"/>
      <c r="BK483" s="93"/>
      <c r="BL483" s="93"/>
      <c r="BM483" s="93"/>
      <c r="BN483" s="93"/>
      <c r="BO483" s="93"/>
      <c r="BP483" s="93"/>
      <c r="BQ483" s="93"/>
      <c r="BR483" s="93"/>
      <c r="BS483" s="93"/>
      <c r="BT483" s="93"/>
      <c r="BU483" s="93"/>
      <c r="BV483" s="93"/>
      <c r="BW483" s="93"/>
      <c r="BX483" s="93"/>
      <c r="BY483" s="93"/>
      <c r="BZ483" s="93"/>
    </row>
    <row r="484">
      <c r="B484" t="s">
        <v>2233</v>
      </c>
      <c r="C484" s="89" t="s">
        <v>2234</v>
      </c>
      <c r="D484" s="90" t="s">
        <v>2235</v>
      </c>
      <c r="E484" s="91">
        <v>2015.0</v>
      </c>
      <c r="F484" s="92">
        <v>1.0</v>
      </c>
      <c r="G484" s="93"/>
      <c r="H484" s="93"/>
      <c r="I484" s="93"/>
      <c r="J484" s="93"/>
      <c r="K484" s="93"/>
      <c r="L484" s="93"/>
      <c r="M484" s="93"/>
      <c r="N484" s="93"/>
      <c r="O484" s="93"/>
      <c r="P484" s="93"/>
      <c r="Q484" s="93"/>
      <c r="R484" s="93"/>
      <c r="S484" s="93"/>
      <c r="T484" s="93"/>
      <c r="U484" s="93"/>
      <c r="V484" s="93"/>
      <c r="W484" s="93"/>
      <c r="X484" s="93"/>
      <c r="Y484" s="93"/>
      <c r="Z484" s="93"/>
      <c r="AA484" s="93"/>
      <c r="AB484" s="93"/>
      <c r="AC484" s="93"/>
      <c r="AD484" s="93"/>
      <c r="AE484" s="93"/>
      <c r="AF484" s="93"/>
      <c r="AG484" s="93"/>
      <c r="AH484" s="94"/>
      <c r="AI484" s="93"/>
      <c r="AJ484" s="93"/>
      <c r="AK484" s="93"/>
      <c r="AL484" s="93"/>
      <c r="AM484" s="93"/>
      <c r="AN484" s="93"/>
      <c r="AO484" s="93"/>
      <c r="AP484" s="93"/>
      <c r="AQ484" s="93"/>
      <c r="AR484" s="93"/>
      <c r="AS484" s="93"/>
      <c r="AT484" s="93"/>
      <c r="AU484" s="93"/>
      <c r="AV484" s="93"/>
      <c r="AW484" s="93"/>
      <c r="AX484" s="93"/>
      <c r="AY484" s="93"/>
      <c r="AZ484" s="93"/>
      <c r="BA484" s="93"/>
      <c r="BB484" s="93"/>
      <c r="BC484" s="93"/>
      <c r="BD484" s="93"/>
      <c r="BE484" s="93"/>
      <c r="BF484" s="93"/>
      <c r="BG484" s="93"/>
      <c r="BH484" s="93"/>
      <c r="BI484" s="93"/>
      <c r="BJ484" s="93"/>
      <c r="BK484" s="93"/>
      <c r="BL484" s="93"/>
      <c r="BM484" s="93"/>
      <c r="BN484" s="93"/>
      <c r="BO484" s="93"/>
      <c r="BP484" s="93"/>
      <c r="BQ484" s="93"/>
      <c r="BR484" s="93"/>
      <c r="BS484" s="93"/>
      <c r="BT484" s="93"/>
      <c r="BU484" s="93"/>
      <c r="BV484" s="93"/>
      <c r="BW484" s="93"/>
      <c r="BX484" s="93"/>
      <c r="BY484" s="93"/>
      <c r="BZ484" s="93"/>
    </row>
    <row r="485">
      <c r="B485" t="s">
        <v>2236</v>
      </c>
      <c r="C485" s="89" t="s">
        <v>2237</v>
      </c>
      <c r="D485" s="90" t="s">
        <v>2238</v>
      </c>
      <c r="E485" s="91">
        <v>2015.0</v>
      </c>
      <c r="F485" s="92">
        <v>1.0</v>
      </c>
      <c r="G485" s="93"/>
      <c r="H485" s="93"/>
      <c r="I485" s="93"/>
      <c r="J485" s="93"/>
      <c r="K485" s="93"/>
      <c r="L485" s="93"/>
      <c r="M485" s="93"/>
      <c r="N485" s="93"/>
      <c r="O485" s="93"/>
      <c r="P485" s="93"/>
      <c r="Q485" s="93"/>
      <c r="R485" s="93"/>
      <c r="S485" s="93"/>
      <c r="T485" s="93"/>
      <c r="U485" s="93"/>
      <c r="V485" s="93"/>
      <c r="W485" s="93"/>
      <c r="X485" s="93"/>
      <c r="Y485" s="93"/>
      <c r="Z485" s="93"/>
      <c r="AA485" s="93"/>
      <c r="AB485" s="93"/>
      <c r="AC485" s="93"/>
      <c r="AD485" s="93"/>
      <c r="AE485" s="93"/>
      <c r="AF485" s="93"/>
      <c r="AG485" s="93"/>
      <c r="AH485" s="94"/>
      <c r="AI485" s="93"/>
      <c r="AJ485" s="93"/>
      <c r="AK485" s="93"/>
      <c r="AL485" s="93"/>
      <c r="AM485" s="93"/>
      <c r="AN485" s="93"/>
      <c r="AO485" s="93"/>
      <c r="AP485" s="93"/>
      <c r="AQ485" s="93"/>
      <c r="AR485" s="93"/>
      <c r="AS485" s="93"/>
      <c r="AT485" s="93"/>
      <c r="AU485" s="93"/>
      <c r="AV485" s="93"/>
      <c r="AW485" s="93"/>
      <c r="AX485" s="93"/>
      <c r="AY485" s="93"/>
      <c r="AZ485" s="93"/>
      <c r="BA485" s="93"/>
      <c r="BB485" s="93"/>
      <c r="BC485" s="93"/>
      <c r="BD485" s="93"/>
      <c r="BE485" s="93"/>
      <c r="BF485" s="93"/>
      <c r="BG485" s="93"/>
      <c r="BH485" s="93"/>
      <c r="BI485" s="93"/>
      <c r="BJ485" s="93"/>
      <c r="BK485" s="93"/>
      <c r="BL485" s="93"/>
      <c r="BM485" s="93"/>
      <c r="BN485" s="93"/>
      <c r="BO485" s="93"/>
      <c r="BP485" s="93"/>
      <c r="BQ485" s="93"/>
      <c r="BR485" s="93"/>
      <c r="BS485" s="93"/>
      <c r="BT485" s="93"/>
      <c r="BU485" s="93"/>
      <c r="BV485" s="93"/>
      <c r="BW485" s="93"/>
      <c r="BX485" s="93"/>
      <c r="BY485" s="93"/>
      <c r="BZ485" s="93"/>
    </row>
    <row r="486">
      <c r="B486" t="s">
        <v>2239</v>
      </c>
      <c r="C486" s="89" t="s">
        <v>2240</v>
      </c>
      <c r="D486" s="90" t="s">
        <v>2241</v>
      </c>
      <c r="E486" s="91">
        <v>2015.0</v>
      </c>
      <c r="F486" s="92">
        <v>1.0</v>
      </c>
      <c r="G486" s="93"/>
      <c r="H486" s="93"/>
      <c r="I486" s="93"/>
      <c r="J486" s="93"/>
      <c r="K486" s="93"/>
      <c r="L486" s="93"/>
      <c r="M486" s="93"/>
      <c r="N486" s="93"/>
      <c r="O486" s="93"/>
      <c r="P486" s="93"/>
      <c r="Q486" s="93"/>
      <c r="R486" s="93"/>
      <c r="S486" s="93"/>
      <c r="T486" s="93"/>
      <c r="U486" s="93"/>
      <c r="V486" s="93"/>
      <c r="W486" s="93"/>
      <c r="X486" s="93"/>
      <c r="Y486" s="93"/>
      <c r="Z486" s="93"/>
      <c r="AA486" s="93"/>
      <c r="AB486" s="93"/>
      <c r="AC486" s="93"/>
      <c r="AD486" s="93"/>
      <c r="AE486" s="93"/>
      <c r="AF486" s="93"/>
      <c r="AG486" s="93"/>
      <c r="AH486" s="94"/>
      <c r="AI486" s="93"/>
      <c r="AJ486" s="93"/>
      <c r="AK486" s="93"/>
      <c r="AL486" s="93"/>
      <c r="AM486" s="93"/>
      <c r="AN486" s="93"/>
      <c r="AO486" s="93"/>
      <c r="AP486" s="93"/>
      <c r="AQ486" s="93"/>
      <c r="AR486" s="93"/>
      <c r="AS486" s="93"/>
      <c r="AT486" s="93"/>
      <c r="AU486" s="93"/>
      <c r="AV486" s="93"/>
      <c r="AW486" s="93"/>
      <c r="AX486" s="93"/>
      <c r="AY486" s="93"/>
      <c r="AZ486" s="93"/>
      <c r="BA486" s="93"/>
      <c r="BB486" s="93"/>
      <c r="BC486" s="93"/>
      <c r="BD486" s="93"/>
      <c r="BE486" s="93"/>
      <c r="BF486" s="93"/>
      <c r="BG486" s="93"/>
      <c r="BH486" s="93"/>
      <c r="BI486" s="93"/>
      <c r="BJ486" s="93"/>
      <c r="BK486" s="93"/>
      <c r="BL486" s="93"/>
      <c r="BM486" s="93"/>
      <c r="BN486" s="93"/>
      <c r="BO486" s="93"/>
      <c r="BP486" s="93"/>
      <c r="BQ486" s="93"/>
      <c r="BR486" s="93"/>
      <c r="BS486" s="93"/>
      <c r="BT486" s="93"/>
      <c r="BU486" s="93"/>
      <c r="BV486" s="93"/>
      <c r="BW486" s="93"/>
      <c r="BX486" s="93"/>
      <c r="BY486" s="93"/>
      <c r="BZ486" s="93"/>
    </row>
    <row r="487">
      <c r="B487" t="s">
        <v>2242</v>
      </c>
      <c r="C487" s="89" t="s">
        <v>2243</v>
      </c>
      <c r="D487" s="90" t="s">
        <v>386</v>
      </c>
      <c r="E487" s="91">
        <v>2015.0</v>
      </c>
      <c r="F487" s="92">
        <v>1.0</v>
      </c>
      <c r="G487" s="93"/>
      <c r="H487" s="93"/>
      <c r="I487" s="93"/>
      <c r="J487" s="93"/>
      <c r="K487" s="93"/>
      <c r="L487" s="93"/>
      <c r="M487" s="93"/>
      <c r="N487" s="93"/>
      <c r="O487" s="93"/>
      <c r="P487" s="93"/>
      <c r="Q487" s="93"/>
      <c r="R487" s="93"/>
      <c r="S487" s="93"/>
      <c r="T487" s="93"/>
      <c r="U487" s="93"/>
      <c r="V487" s="93"/>
      <c r="W487" s="93"/>
      <c r="X487" s="93"/>
      <c r="Y487" s="93"/>
      <c r="Z487" s="93"/>
      <c r="AA487" s="93"/>
      <c r="AB487" s="93"/>
      <c r="AC487" s="93"/>
      <c r="AD487" s="93"/>
      <c r="AE487" s="93"/>
      <c r="AF487" s="93"/>
      <c r="AG487" s="93"/>
      <c r="AH487" s="94"/>
      <c r="AI487" s="93"/>
      <c r="AJ487" s="93"/>
      <c r="AK487" s="93"/>
      <c r="AL487" s="93"/>
      <c r="AM487" s="93"/>
      <c r="AN487" s="93"/>
      <c r="AO487" s="93"/>
      <c r="AP487" s="93"/>
      <c r="AQ487" s="93"/>
      <c r="AR487" s="93"/>
      <c r="AS487" s="93"/>
      <c r="AT487" s="93"/>
      <c r="AU487" s="93"/>
      <c r="AV487" s="93"/>
      <c r="AW487" s="93"/>
      <c r="AX487" s="93"/>
      <c r="AY487" s="93"/>
      <c r="AZ487" s="93"/>
      <c r="BA487" s="93"/>
      <c r="BB487" s="93"/>
      <c r="BC487" s="93"/>
      <c r="BD487" s="93"/>
      <c r="BE487" s="93"/>
      <c r="BF487" s="93"/>
      <c r="BG487" s="93"/>
      <c r="BH487" s="93"/>
      <c r="BI487" s="93"/>
      <c r="BJ487" s="93"/>
      <c r="BK487" s="93"/>
      <c r="BL487" s="93"/>
      <c r="BM487" s="93"/>
      <c r="BN487" s="93"/>
      <c r="BO487" s="93"/>
      <c r="BP487" s="93"/>
      <c r="BQ487" s="93"/>
      <c r="BR487" s="93"/>
      <c r="BS487" s="93"/>
      <c r="BT487" s="93"/>
      <c r="BU487" s="93"/>
      <c r="BV487" s="93"/>
      <c r="BW487" s="93"/>
      <c r="BX487" s="93"/>
      <c r="BY487" s="93"/>
      <c r="BZ487" s="93"/>
    </row>
    <row r="488">
      <c r="B488" t="s">
        <v>2244</v>
      </c>
      <c r="C488" s="89" t="s">
        <v>2245</v>
      </c>
      <c r="D488" s="90" t="s">
        <v>2246</v>
      </c>
      <c r="E488" s="91">
        <v>2015.0</v>
      </c>
      <c r="F488" s="92">
        <v>1.0</v>
      </c>
      <c r="G488" s="93"/>
      <c r="H488" s="93"/>
      <c r="I488" s="93"/>
      <c r="J488" s="93"/>
      <c r="K488" s="93"/>
      <c r="L488" s="93"/>
      <c r="M488" s="93"/>
      <c r="N488" s="93"/>
      <c r="O488" s="93"/>
      <c r="P488" s="93"/>
      <c r="Q488" s="93"/>
      <c r="R488" s="93"/>
      <c r="S488" s="93"/>
      <c r="T488" s="93"/>
      <c r="U488" s="93"/>
      <c r="V488" s="93"/>
      <c r="W488" s="93"/>
      <c r="X488" s="93"/>
      <c r="Y488" s="93"/>
      <c r="Z488" s="93"/>
      <c r="AA488" s="93"/>
      <c r="AB488" s="93"/>
      <c r="AC488" s="93"/>
      <c r="AD488" s="93"/>
      <c r="AE488" s="93"/>
      <c r="AF488" s="93"/>
      <c r="AG488" s="93"/>
      <c r="AH488" s="94"/>
      <c r="AI488" s="93"/>
      <c r="AJ488" s="93"/>
      <c r="AK488" s="93"/>
      <c r="AL488" s="93"/>
      <c r="AM488" s="93"/>
      <c r="AN488" s="93"/>
      <c r="AO488" s="93"/>
      <c r="AP488" s="93"/>
      <c r="AQ488" s="93"/>
      <c r="AR488" s="93"/>
      <c r="AS488" s="93"/>
      <c r="AT488" s="93"/>
      <c r="AU488" s="93"/>
      <c r="AV488" s="93"/>
      <c r="AW488" s="93"/>
      <c r="AX488" s="93"/>
      <c r="AY488" s="93"/>
      <c r="AZ488" s="93"/>
      <c r="BA488" s="93"/>
      <c r="BB488" s="93"/>
      <c r="BC488" s="93"/>
      <c r="BD488" s="93"/>
      <c r="BE488" s="93"/>
      <c r="BF488" s="93"/>
      <c r="BG488" s="93"/>
      <c r="BH488" s="93"/>
      <c r="BI488" s="93"/>
      <c r="BJ488" s="93"/>
      <c r="BK488" s="93"/>
      <c r="BL488" s="93"/>
      <c r="BM488" s="93"/>
      <c r="BN488" s="93"/>
      <c r="BO488" s="93"/>
      <c r="BP488" s="93"/>
      <c r="BQ488" s="93"/>
      <c r="BR488" s="93"/>
      <c r="BS488" s="93"/>
      <c r="BT488" s="93"/>
      <c r="BU488" s="93"/>
      <c r="BV488" s="93"/>
      <c r="BW488" s="93"/>
      <c r="BX488" s="93"/>
      <c r="BY488" s="93"/>
      <c r="BZ488" s="93"/>
    </row>
    <row r="489">
      <c r="B489" t="s">
        <v>2247</v>
      </c>
      <c r="C489" s="89" t="s">
        <v>2248</v>
      </c>
      <c r="D489" s="90" t="s">
        <v>1139</v>
      </c>
      <c r="E489" s="91">
        <v>2015.0</v>
      </c>
      <c r="F489" s="92">
        <v>1.0</v>
      </c>
      <c r="G489" s="93"/>
      <c r="H489" s="93"/>
      <c r="I489" s="93"/>
      <c r="J489" s="93"/>
      <c r="K489" s="93"/>
      <c r="L489" s="93"/>
      <c r="M489" s="93"/>
      <c r="N489" s="93"/>
      <c r="O489" s="93"/>
      <c r="P489" s="93"/>
      <c r="Q489" s="93"/>
      <c r="R489" s="93"/>
      <c r="S489" s="93"/>
      <c r="T489" s="93"/>
      <c r="U489" s="93"/>
      <c r="V489" s="93"/>
      <c r="W489" s="93"/>
      <c r="X489" s="93"/>
      <c r="Y489" s="93"/>
      <c r="Z489" s="93"/>
      <c r="AA489" s="93"/>
      <c r="AB489" s="93"/>
      <c r="AC489" s="93"/>
      <c r="AD489" s="93"/>
      <c r="AE489" s="93"/>
      <c r="AF489" s="93"/>
      <c r="AG489" s="93"/>
      <c r="AH489" s="94"/>
      <c r="AI489" s="93"/>
      <c r="AJ489" s="93"/>
      <c r="AK489" s="93"/>
      <c r="AL489" s="93"/>
      <c r="AM489" s="93"/>
      <c r="AN489" s="93"/>
      <c r="AO489" s="93"/>
      <c r="AP489" s="93"/>
      <c r="AQ489" s="93"/>
      <c r="AR489" s="93"/>
      <c r="AS489" s="93"/>
      <c r="AT489" s="93"/>
      <c r="AU489" s="93"/>
      <c r="AV489" s="93"/>
      <c r="AW489" s="93"/>
      <c r="AX489" s="93"/>
      <c r="AY489" s="93"/>
      <c r="AZ489" s="93"/>
      <c r="BA489" s="93"/>
      <c r="BB489" s="93"/>
      <c r="BC489" s="93"/>
      <c r="BD489" s="93"/>
      <c r="BE489" s="93"/>
      <c r="BF489" s="93"/>
      <c r="BG489" s="93"/>
      <c r="BH489" s="93"/>
      <c r="BI489" s="93"/>
      <c r="BJ489" s="93"/>
      <c r="BK489" s="93"/>
      <c r="BL489" s="93"/>
      <c r="BM489" s="93"/>
      <c r="BN489" s="93"/>
      <c r="BO489" s="93"/>
      <c r="BP489" s="93"/>
      <c r="BQ489" s="93"/>
      <c r="BR489" s="93"/>
      <c r="BS489" s="93"/>
      <c r="BT489" s="93"/>
      <c r="BU489" s="93"/>
      <c r="BV489" s="93"/>
      <c r="BW489" s="93"/>
      <c r="BX489" s="93"/>
      <c r="BY489" s="93"/>
      <c r="BZ489" s="93"/>
    </row>
    <row r="490">
      <c r="B490" t="s">
        <v>2249</v>
      </c>
      <c r="C490" s="89" t="s">
        <v>2250</v>
      </c>
      <c r="D490" s="90" t="s">
        <v>2251</v>
      </c>
      <c r="E490" s="91">
        <v>2015.0</v>
      </c>
      <c r="F490" s="92">
        <v>1.0</v>
      </c>
      <c r="G490" s="93"/>
      <c r="H490" s="93"/>
      <c r="I490" s="93"/>
      <c r="J490" s="93"/>
      <c r="K490" s="93"/>
      <c r="L490" s="93"/>
      <c r="M490" s="93"/>
      <c r="N490" s="93"/>
      <c r="O490" s="93"/>
      <c r="P490" s="93"/>
      <c r="Q490" s="93"/>
      <c r="R490" s="93"/>
      <c r="S490" s="93"/>
      <c r="T490" s="93"/>
      <c r="U490" s="93"/>
      <c r="V490" s="93"/>
      <c r="W490" s="93"/>
      <c r="X490" s="93"/>
      <c r="Y490" s="93"/>
      <c r="Z490" s="93"/>
      <c r="AA490" s="93"/>
      <c r="AB490" s="93"/>
      <c r="AC490" s="93"/>
      <c r="AD490" s="93"/>
      <c r="AE490" s="93"/>
      <c r="AF490" s="93"/>
      <c r="AG490" s="93"/>
      <c r="AH490" s="94"/>
      <c r="AI490" s="93"/>
      <c r="AJ490" s="93"/>
      <c r="AK490" s="93"/>
      <c r="AL490" s="93"/>
      <c r="AM490" s="93"/>
      <c r="AN490" s="93"/>
      <c r="AO490" s="93"/>
      <c r="AP490" s="93"/>
      <c r="AQ490" s="93"/>
      <c r="AR490" s="93"/>
      <c r="AS490" s="93"/>
      <c r="AT490" s="93"/>
      <c r="AU490" s="93"/>
      <c r="AV490" s="93"/>
      <c r="AW490" s="93"/>
      <c r="AX490" s="93"/>
      <c r="AY490" s="93"/>
      <c r="AZ490" s="93"/>
      <c r="BA490" s="93"/>
      <c r="BB490" s="93"/>
      <c r="BC490" s="93"/>
      <c r="BD490" s="93"/>
      <c r="BE490" s="93"/>
      <c r="BF490" s="93"/>
      <c r="BG490" s="93"/>
      <c r="BH490" s="93"/>
      <c r="BI490" s="93"/>
      <c r="BJ490" s="93"/>
      <c r="BK490" s="93"/>
      <c r="BL490" s="93"/>
      <c r="BM490" s="93"/>
      <c r="BN490" s="93"/>
      <c r="BO490" s="93"/>
      <c r="BP490" s="93"/>
      <c r="BQ490" s="93"/>
      <c r="BR490" s="93"/>
      <c r="BS490" s="93"/>
      <c r="BT490" s="93"/>
      <c r="BU490" s="93"/>
      <c r="BV490" s="93"/>
      <c r="BW490" s="93"/>
      <c r="BX490" s="93"/>
      <c r="BY490" s="93"/>
      <c r="BZ490" s="93"/>
    </row>
    <row r="491">
      <c r="B491" t="s">
        <v>2252</v>
      </c>
      <c r="C491" s="89" t="s">
        <v>2253</v>
      </c>
      <c r="D491" s="90" t="s">
        <v>2254</v>
      </c>
      <c r="E491" s="91">
        <v>2015.0</v>
      </c>
      <c r="F491" s="92">
        <v>1.0</v>
      </c>
      <c r="G491" s="93"/>
      <c r="H491" s="93"/>
      <c r="I491" s="93"/>
      <c r="J491" s="93"/>
      <c r="K491" s="93"/>
      <c r="L491" s="93"/>
      <c r="M491" s="93"/>
      <c r="N491" s="93"/>
      <c r="O491" s="93"/>
      <c r="P491" s="93"/>
      <c r="Q491" s="93"/>
      <c r="R491" s="93"/>
      <c r="S491" s="93"/>
      <c r="T491" s="93"/>
      <c r="U491" s="93"/>
      <c r="V491" s="93"/>
      <c r="W491" s="93"/>
      <c r="X491" s="93"/>
      <c r="Y491" s="93"/>
      <c r="Z491" s="93"/>
      <c r="AA491" s="93"/>
      <c r="AB491" s="93"/>
      <c r="AC491" s="93"/>
      <c r="AD491" s="93"/>
      <c r="AE491" s="93"/>
      <c r="AF491" s="93"/>
      <c r="AG491" s="93"/>
      <c r="AH491" s="94"/>
      <c r="AI491" s="93"/>
      <c r="AJ491" s="93"/>
      <c r="AK491" s="93"/>
      <c r="AL491" s="93"/>
      <c r="AM491" s="93"/>
      <c r="AN491" s="93"/>
      <c r="AO491" s="93"/>
      <c r="AP491" s="93"/>
      <c r="AQ491" s="93"/>
      <c r="AR491" s="93"/>
      <c r="AS491" s="93"/>
      <c r="AT491" s="93"/>
      <c r="AU491" s="93"/>
      <c r="AV491" s="93"/>
      <c r="AW491" s="93"/>
      <c r="AX491" s="93"/>
      <c r="AY491" s="93"/>
      <c r="AZ491" s="93"/>
      <c r="BA491" s="93"/>
      <c r="BB491" s="93"/>
      <c r="BC491" s="93"/>
      <c r="BD491" s="93"/>
      <c r="BE491" s="93"/>
      <c r="BF491" s="93"/>
      <c r="BG491" s="93"/>
      <c r="BH491" s="93"/>
      <c r="BI491" s="93"/>
      <c r="BJ491" s="93"/>
      <c r="BK491" s="93"/>
      <c r="BL491" s="93"/>
      <c r="BM491" s="93"/>
      <c r="BN491" s="93"/>
      <c r="BO491" s="93"/>
      <c r="BP491" s="93"/>
      <c r="BQ491" s="93"/>
      <c r="BR491" s="93"/>
      <c r="BS491" s="93"/>
      <c r="BT491" s="93"/>
      <c r="BU491" s="93"/>
      <c r="BV491" s="93"/>
      <c r="BW491" s="93"/>
      <c r="BX491" s="93"/>
      <c r="BY491" s="93"/>
      <c r="BZ491" s="93"/>
    </row>
    <row r="492">
      <c r="B492" t="s">
        <v>2255</v>
      </c>
      <c r="C492" s="89" t="s">
        <v>2256</v>
      </c>
      <c r="D492" s="90" t="s">
        <v>1814</v>
      </c>
      <c r="E492" s="91">
        <v>2015.0</v>
      </c>
      <c r="F492" s="92">
        <v>1.0</v>
      </c>
      <c r="G492" s="93"/>
      <c r="H492" s="93"/>
      <c r="I492" s="93"/>
      <c r="J492" s="93"/>
      <c r="K492" s="93"/>
      <c r="L492" s="93"/>
      <c r="M492" s="93"/>
      <c r="N492" s="93"/>
      <c r="O492" s="93"/>
      <c r="P492" s="93"/>
      <c r="Q492" s="93"/>
      <c r="R492" s="93"/>
      <c r="S492" s="93"/>
      <c r="T492" s="93"/>
      <c r="U492" s="93"/>
      <c r="V492" s="93"/>
      <c r="W492" s="93"/>
      <c r="X492" s="93"/>
      <c r="Y492" s="93"/>
      <c r="Z492" s="93"/>
      <c r="AA492" s="93"/>
      <c r="AB492" s="93"/>
      <c r="AC492" s="93"/>
      <c r="AD492" s="93"/>
      <c r="AE492" s="93"/>
      <c r="AF492" s="93"/>
      <c r="AG492" s="93"/>
      <c r="AH492" s="94"/>
      <c r="AI492" s="93"/>
      <c r="AJ492" s="93"/>
      <c r="AK492" s="93"/>
      <c r="AL492" s="93"/>
      <c r="AM492" s="93"/>
      <c r="AN492" s="93"/>
      <c r="AO492" s="93"/>
      <c r="AP492" s="93"/>
      <c r="AQ492" s="93"/>
      <c r="AR492" s="93"/>
      <c r="AS492" s="93"/>
      <c r="AT492" s="93"/>
      <c r="AU492" s="93"/>
      <c r="AV492" s="93"/>
      <c r="AW492" s="93"/>
      <c r="AX492" s="93"/>
      <c r="AY492" s="93"/>
      <c r="AZ492" s="93"/>
      <c r="BA492" s="93"/>
      <c r="BB492" s="93"/>
      <c r="BC492" s="93"/>
      <c r="BD492" s="93"/>
      <c r="BE492" s="93"/>
      <c r="BF492" s="93"/>
      <c r="BG492" s="93"/>
      <c r="BH492" s="93"/>
      <c r="BI492" s="93"/>
      <c r="BJ492" s="93"/>
      <c r="BK492" s="93"/>
      <c r="BL492" s="93"/>
      <c r="BM492" s="93"/>
      <c r="BN492" s="93"/>
      <c r="BO492" s="93"/>
      <c r="BP492" s="93"/>
      <c r="BQ492" s="93"/>
      <c r="BR492" s="93"/>
      <c r="BS492" s="93"/>
      <c r="BT492" s="93"/>
      <c r="BU492" s="93"/>
      <c r="BV492" s="93"/>
      <c r="BW492" s="93"/>
      <c r="BX492" s="93"/>
      <c r="BY492" s="93"/>
      <c r="BZ492" s="93"/>
    </row>
    <row r="493">
      <c r="A493" t="s">
        <v>116</v>
      </c>
      <c r="B493" t="s">
        <v>2257</v>
      </c>
      <c r="C493" s="89" t="s">
        <v>2258</v>
      </c>
      <c r="D493" s="90" t="s">
        <v>2259</v>
      </c>
      <c r="E493" s="91">
        <v>2015.0</v>
      </c>
      <c r="F493" s="92">
        <v>1.0</v>
      </c>
      <c r="G493" s="93"/>
      <c r="H493" s="93"/>
      <c r="I493" s="93"/>
      <c r="J493" s="93"/>
      <c r="K493" s="93"/>
      <c r="L493" s="93"/>
      <c r="M493" s="93"/>
      <c r="N493" s="93"/>
      <c r="O493" s="93"/>
      <c r="P493" s="93"/>
      <c r="Q493" s="93"/>
      <c r="R493" s="93"/>
      <c r="S493" s="93"/>
      <c r="T493" s="93"/>
      <c r="U493" s="93"/>
      <c r="V493" s="93"/>
      <c r="W493" s="93"/>
      <c r="X493" s="93"/>
      <c r="Y493" s="93"/>
      <c r="Z493" s="93"/>
      <c r="AA493" s="93"/>
      <c r="AB493" s="93"/>
      <c r="AC493" s="93"/>
      <c r="AD493" s="93"/>
      <c r="AE493" s="93"/>
      <c r="AF493" s="93"/>
      <c r="AG493" s="93"/>
      <c r="AH493" s="94"/>
      <c r="AI493" s="93"/>
      <c r="AJ493" s="93"/>
      <c r="AK493" s="93"/>
      <c r="AL493" s="93"/>
      <c r="AM493" s="93"/>
      <c r="AN493" s="93"/>
      <c r="AO493" s="93"/>
      <c r="AP493" s="93"/>
      <c r="AQ493" s="93"/>
      <c r="AR493" s="93"/>
      <c r="AS493" s="93"/>
      <c r="AT493" s="93"/>
      <c r="AU493" s="93"/>
      <c r="AV493" s="93"/>
      <c r="AW493" s="93"/>
      <c r="AX493" s="93"/>
      <c r="AY493" s="93"/>
      <c r="AZ493" s="93"/>
      <c r="BA493" s="93"/>
      <c r="BB493" s="93"/>
      <c r="BC493" s="93"/>
      <c r="BD493" s="93"/>
      <c r="BE493" s="93"/>
      <c r="BF493" s="93"/>
      <c r="BG493" s="93"/>
      <c r="BH493" s="93"/>
      <c r="BI493" s="93"/>
      <c r="BJ493" s="93"/>
      <c r="BK493" s="93"/>
      <c r="BL493" s="93"/>
      <c r="BM493" s="93"/>
      <c r="BN493" s="93"/>
      <c r="BO493" s="93"/>
      <c r="BP493" s="93"/>
      <c r="BQ493" s="93"/>
      <c r="BR493" s="93"/>
      <c r="BS493" s="93"/>
      <c r="BT493" s="93"/>
      <c r="BU493" s="93"/>
      <c r="BV493" s="93"/>
      <c r="BW493" s="93"/>
      <c r="BX493" s="93"/>
      <c r="BY493" s="93"/>
      <c r="BZ493" s="93"/>
    </row>
    <row r="494">
      <c r="B494" t="s">
        <v>2260</v>
      </c>
      <c r="C494" s="89" t="s">
        <v>2261</v>
      </c>
      <c r="D494" s="90" t="s">
        <v>2262</v>
      </c>
      <c r="E494" s="91">
        <v>2015.0</v>
      </c>
      <c r="F494" s="92">
        <v>1.0</v>
      </c>
      <c r="G494" s="93"/>
      <c r="H494" s="93"/>
      <c r="I494" s="93"/>
      <c r="J494" s="93"/>
      <c r="K494" s="93"/>
      <c r="L494" s="93"/>
      <c r="M494" s="93"/>
      <c r="N494" s="93"/>
      <c r="O494" s="93"/>
      <c r="P494" s="93"/>
      <c r="Q494" s="93"/>
      <c r="R494" s="93"/>
      <c r="S494" s="93"/>
      <c r="T494" s="93"/>
      <c r="U494" s="93"/>
      <c r="V494" s="93"/>
      <c r="W494" s="93"/>
      <c r="X494" s="93"/>
      <c r="Y494" s="93"/>
      <c r="Z494" s="93"/>
      <c r="AA494" s="93"/>
      <c r="AB494" s="93"/>
      <c r="AC494" s="93"/>
      <c r="AD494" s="93"/>
      <c r="AE494" s="93"/>
      <c r="AF494" s="93"/>
      <c r="AG494" s="93"/>
      <c r="AH494" s="94"/>
      <c r="AI494" s="93"/>
      <c r="AJ494" s="93"/>
      <c r="AK494" s="93"/>
      <c r="AL494" s="93"/>
      <c r="AM494" s="93"/>
      <c r="AN494" s="93"/>
      <c r="AO494" s="93"/>
      <c r="AP494" s="93"/>
      <c r="AQ494" s="93"/>
      <c r="AR494" s="93"/>
      <c r="AS494" s="93"/>
      <c r="AT494" s="93"/>
      <c r="AU494" s="93"/>
      <c r="AV494" s="93"/>
      <c r="AW494" s="93"/>
      <c r="AX494" s="93"/>
      <c r="AY494" s="93"/>
      <c r="AZ494" s="93"/>
      <c r="BA494" s="93"/>
      <c r="BB494" s="93"/>
      <c r="BC494" s="93"/>
      <c r="BD494" s="93"/>
      <c r="BE494" s="93"/>
      <c r="BF494" s="93"/>
      <c r="BG494" s="93"/>
      <c r="BH494" s="93"/>
      <c r="BI494" s="93"/>
      <c r="BJ494" s="93"/>
      <c r="BK494" s="93"/>
      <c r="BL494" s="93"/>
      <c r="BM494" s="93"/>
      <c r="BN494" s="93"/>
      <c r="BO494" s="93"/>
      <c r="BP494" s="93"/>
      <c r="BQ494" s="93"/>
      <c r="BR494" s="93"/>
      <c r="BS494" s="93"/>
      <c r="BT494" s="93"/>
      <c r="BU494" s="93"/>
      <c r="BV494" s="93"/>
      <c r="BW494" s="93"/>
      <c r="BX494" s="93"/>
      <c r="BY494" s="93"/>
      <c r="BZ494" s="93"/>
    </row>
    <row r="495">
      <c r="A495" t="s">
        <v>1331</v>
      </c>
      <c r="B495" t="s">
        <v>2263</v>
      </c>
      <c r="C495" s="89" t="s">
        <v>2264</v>
      </c>
      <c r="D495" s="90" t="s">
        <v>2265</v>
      </c>
      <c r="E495" s="91">
        <v>2015.0</v>
      </c>
      <c r="F495" s="92">
        <v>1.0</v>
      </c>
      <c r="G495" s="93"/>
      <c r="H495" s="93"/>
      <c r="I495" s="93"/>
      <c r="J495" s="93"/>
      <c r="K495" s="93"/>
      <c r="L495" s="93"/>
      <c r="M495" s="93"/>
      <c r="N495" s="93"/>
      <c r="O495" s="93"/>
      <c r="P495" s="93"/>
      <c r="Q495" s="93"/>
      <c r="R495" s="93"/>
      <c r="S495" s="93"/>
      <c r="T495" s="93"/>
      <c r="U495" s="93"/>
      <c r="V495" s="95"/>
      <c r="W495" s="93"/>
      <c r="X495" s="93"/>
      <c r="Y495" s="93"/>
      <c r="Z495" s="93"/>
      <c r="AA495" s="93"/>
      <c r="AB495" s="93"/>
      <c r="AC495" s="93"/>
      <c r="AD495" s="93"/>
      <c r="AE495" s="93"/>
      <c r="AF495" s="93"/>
      <c r="AG495" s="93"/>
      <c r="AH495" s="94"/>
      <c r="AI495" s="93"/>
      <c r="AJ495" s="93"/>
      <c r="AK495" s="93"/>
      <c r="AL495" s="93"/>
      <c r="AM495" s="93"/>
      <c r="AN495" s="93"/>
      <c r="AO495" s="93"/>
      <c r="AP495" s="93"/>
      <c r="AQ495" s="93"/>
      <c r="AR495" s="93"/>
      <c r="AS495" s="93"/>
      <c r="AT495" s="93"/>
      <c r="AU495" s="93"/>
      <c r="AV495" s="93"/>
      <c r="AW495" s="93"/>
      <c r="AX495" s="93"/>
      <c r="AY495" s="93"/>
      <c r="AZ495" s="93"/>
      <c r="BA495" s="93"/>
      <c r="BB495" s="93"/>
      <c r="BC495" s="93"/>
      <c r="BD495" s="93"/>
      <c r="BE495" s="93"/>
      <c r="BF495" s="93"/>
      <c r="BG495" s="93"/>
      <c r="BH495" s="93"/>
      <c r="BI495" s="93"/>
      <c r="BJ495" s="93"/>
      <c r="BK495" s="93"/>
      <c r="BL495" s="93"/>
      <c r="BM495" s="93"/>
      <c r="BN495" s="93"/>
      <c r="BO495" s="93"/>
      <c r="BP495" s="93"/>
      <c r="BQ495" s="93"/>
      <c r="BR495" s="93"/>
      <c r="BS495" s="93"/>
      <c r="BT495" s="93"/>
      <c r="BU495" s="93"/>
      <c r="BV495" s="93"/>
      <c r="BW495" s="93"/>
      <c r="BX495" s="93"/>
      <c r="BY495" s="93"/>
      <c r="BZ495" s="93"/>
    </row>
    <row r="496">
      <c r="B496" t="s">
        <v>2266</v>
      </c>
      <c r="C496" s="89" t="s">
        <v>2267</v>
      </c>
      <c r="D496" s="90" t="s">
        <v>2268</v>
      </c>
      <c r="E496" s="91">
        <v>2015.0</v>
      </c>
      <c r="F496" s="92">
        <v>1.0</v>
      </c>
      <c r="G496" s="93"/>
      <c r="H496" s="93"/>
      <c r="I496" s="93"/>
      <c r="J496" s="93"/>
      <c r="K496" s="93"/>
      <c r="L496" s="93"/>
      <c r="M496" s="93"/>
      <c r="N496" s="93"/>
      <c r="O496" s="93"/>
      <c r="P496" s="93"/>
      <c r="Q496" s="93"/>
      <c r="R496" s="93"/>
      <c r="S496" s="93"/>
      <c r="T496" s="93"/>
      <c r="U496" s="93"/>
      <c r="V496" s="93"/>
      <c r="W496" s="93"/>
      <c r="X496" s="93"/>
      <c r="Y496" s="93"/>
      <c r="Z496" s="93"/>
      <c r="AA496" s="93"/>
      <c r="AB496" s="93"/>
      <c r="AC496" s="93"/>
      <c r="AD496" s="93"/>
      <c r="AE496" s="93"/>
      <c r="AF496" s="93"/>
      <c r="AG496" s="93"/>
      <c r="AH496" s="94"/>
      <c r="AI496" s="93"/>
      <c r="AJ496" s="93"/>
      <c r="AK496" s="93"/>
      <c r="AL496" s="93"/>
      <c r="AM496" s="93"/>
      <c r="AN496" s="93"/>
      <c r="AO496" s="93"/>
      <c r="AP496" s="93"/>
      <c r="AQ496" s="93"/>
      <c r="AR496" s="93"/>
      <c r="AS496" s="93"/>
      <c r="AT496" s="93"/>
      <c r="AU496" s="93"/>
      <c r="AV496" s="93"/>
      <c r="AW496" s="93"/>
      <c r="AX496" s="93"/>
      <c r="AY496" s="93"/>
      <c r="AZ496" s="93"/>
      <c r="BA496" s="93"/>
      <c r="BB496" s="93"/>
      <c r="BC496" s="93"/>
      <c r="BD496" s="93"/>
      <c r="BE496" s="93"/>
      <c r="BF496" s="93"/>
      <c r="BG496" s="93"/>
      <c r="BH496" s="93"/>
      <c r="BI496" s="93"/>
      <c r="BJ496" s="93"/>
      <c r="BK496" s="93"/>
      <c r="BL496" s="93"/>
      <c r="BM496" s="93"/>
      <c r="BN496" s="93"/>
      <c r="BO496" s="93"/>
      <c r="BP496" s="93"/>
      <c r="BQ496" s="93"/>
      <c r="BR496" s="93"/>
      <c r="BS496" s="93"/>
      <c r="BT496" s="93"/>
      <c r="BU496" s="93"/>
      <c r="BV496" s="93"/>
      <c r="BW496" s="93"/>
      <c r="BX496" s="93"/>
      <c r="BY496" s="93"/>
      <c r="BZ496" s="93"/>
    </row>
    <row r="497">
      <c r="B497" t="s">
        <v>2269</v>
      </c>
      <c r="C497" s="89" t="s">
        <v>2270</v>
      </c>
      <c r="D497" s="90" t="s">
        <v>588</v>
      </c>
      <c r="E497" s="91">
        <v>2015.0</v>
      </c>
      <c r="F497" s="92">
        <v>1.0</v>
      </c>
      <c r="G497" s="93"/>
      <c r="H497" s="93"/>
      <c r="I497" s="93"/>
      <c r="J497" s="93"/>
      <c r="K497" s="93"/>
      <c r="L497" s="93"/>
      <c r="M497" s="93"/>
      <c r="N497" s="93"/>
      <c r="O497" s="93"/>
      <c r="P497" s="93"/>
      <c r="Q497" s="93"/>
      <c r="R497" s="93"/>
      <c r="S497" s="93"/>
      <c r="T497" s="93"/>
      <c r="U497" s="93"/>
      <c r="V497" s="93"/>
      <c r="W497" s="93"/>
      <c r="X497" s="93"/>
      <c r="Y497" s="93"/>
      <c r="Z497" s="93"/>
      <c r="AA497" s="93"/>
      <c r="AB497" s="93"/>
      <c r="AC497" s="93"/>
      <c r="AD497" s="93"/>
      <c r="AE497" s="93"/>
      <c r="AF497" s="93"/>
      <c r="AG497" s="93"/>
      <c r="AH497" s="94"/>
      <c r="AI497" s="93"/>
      <c r="AJ497" s="93"/>
      <c r="AK497" s="93"/>
      <c r="AL497" s="93"/>
      <c r="AM497" s="93"/>
      <c r="AN497" s="93"/>
      <c r="AO497" s="93"/>
      <c r="AP497" s="93"/>
      <c r="AQ497" s="93"/>
      <c r="AR497" s="93"/>
      <c r="AS497" s="93"/>
      <c r="AT497" s="93"/>
      <c r="AU497" s="93"/>
      <c r="AV497" s="93"/>
      <c r="AW497" s="93"/>
      <c r="AX497" s="93"/>
      <c r="AY497" s="93"/>
      <c r="AZ497" s="93"/>
      <c r="BA497" s="93"/>
      <c r="BB497" s="93"/>
      <c r="BC497" s="93"/>
      <c r="BD497" s="93"/>
      <c r="BE497" s="93"/>
      <c r="BF497" s="93"/>
      <c r="BG497" s="93"/>
      <c r="BH497" s="93"/>
      <c r="BI497" s="93"/>
      <c r="BJ497" s="93"/>
      <c r="BK497" s="93"/>
      <c r="BL497" s="93"/>
      <c r="BM497" s="93"/>
      <c r="BN497" s="93"/>
      <c r="BO497" s="93"/>
      <c r="BP497" s="93"/>
      <c r="BQ497" s="93"/>
      <c r="BR497" s="93"/>
      <c r="BS497" s="93"/>
      <c r="BT497" s="93"/>
      <c r="BU497" s="93"/>
      <c r="BV497" s="93"/>
      <c r="BW497" s="93"/>
      <c r="BX497" s="93"/>
      <c r="BY497" s="93"/>
      <c r="BZ497" s="93"/>
    </row>
    <row r="498">
      <c r="B498" t="s">
        <v>2271</v>
      </c>
      <c r="C498" s="89" t="s">
        <v>2272</v>
      </c>
      <c r="D498" s="90" t="s">
        <v>2163</v>
      </c>
      <c r="E498" s="91">
        <v>2015.0</v>
      </c>
      <c r="F498" s="92">
        <v>1.0</v>
      </c>
      <c r="G498" s="93"/>
      <c r="H498" s="93"/>
      <c r="I498" s="93"/>
      <c r="J498" s="93"/>
      <c r="K498" s="93"/>
      <c r="L498" s="93"/>
      <c r="M498" s="93"/>
      <c r="N498" s="93"/>
      <c r="O498" s="93"/>
      <c r="P498" s="93"/>
      <c r="Q498" s="93"/>
      <c r="R498" s="93"/>
      <c r="S498" s="93"/>
      <c r="T498" s="93"/>
      <c r="U498" s="93"/>
      <c r="V498" s="93"/>
      <c r="W498" s="93"/>
      <c r="X498" s="93"/>
      <c r="Y498" s="93"/>
      <c r="Z498" s="93"/>
      <c r="AA498" s="93"/>
      <c r="AB498" s="93"/>
      <c r="AC498" s="93"/>
      <c r="AD498" s="93"/>
      <c r="AE498" s="93"/>
      <c r="AF498" s="93"/>
      <c r="AG498" s="93"/>
      <c r="AH498" s="94"/>
      <c r="AI498" s="93"/>
      <c r="AJ498" s="93"/>
      <c r="AK498" s="93"/>
      <c r="AL498" s="93"/>
      <c r="AM498" s="93"/>
      <c r="AN498" s="93"/>
      <c r="AO498" s="93"/>
      <c r="AP498" s="93"/>
      <c r="AQ498" s="93"/>
      <c r="AR498" s="93"/>
      <c r="AS498" s="93"/>
      <c r="AT498" s="93"/>
      <c r="AU498" s="93"/>
      <c r="AV498" s="93"/>
      <c r="AW498" s="93"/>
      <c r="AX498" s="93"/>
      <c r="AY498" s="93"/>
      <c r="AZ498" s="93"/>
      <c r="BA498" s="93"/>
      <c r="BB498" s="93"/>
      <c r="BC498" s="93"/>
      <c r="BD498" s="93"/>
      <c r="BE498" s="93"/>
      <c r="BF498" s="93"/>
      <c r="BG498" s="93"/>
      <c r="BH498" s="93"/>
      <c r="BI498" s="93"/>
      <c r="BJ498" s="93"/>
      <c r="BK498" s="93"/>
      <c r="BL498" s="93"/>
      <c r="BM498" s="93"/>
      <c r="BN498" s="93"/>
      <c r="BO498" s="93"/>
      <c r="BP498" s="93"/>
      <c r="BQ498" s="93"/>
      <c r="BR498" s="93"/>
      <c r="BS498" s="93"/>
      <c r="BT498" s="93"/>
      <c r="BU498" s="93"/>
      <c r="BV498" s="93"/>
      <c r="BW498" s="93"/>
      <c r="BX498" s="93"/>
      <c r="BY498" s="93"/>
      <c r="BZ498" s="93"/>
    </row>
    <row r="499">
      <c r="B499" t="s">
        <v>2273</v>
      </c>
      <c r="C499" s="89" t="s">
        <v>2274</v>
      </c>
      <c r="D499" s="90" t="s">
        <v>2238</v>
      </c>
      <c r="E499" s="91">
        <v>2015.0</v>
      </c>
      <c r="F499" s="92">
        <v>1.0</v>
      </c>
      <c r="G499" s="93"/>
      <c r="H499" s="93"/>
      <c r="I499" s="93"/>
      <c r="J499" s="93"/>
      <c r="K499" s="93"/>
      <c r="L499" s="93"/>
      <c r="M499" s="93"/>
      <c r="N499" s="93"/>
      <c r="O499" s="93"/>
      <c r="P499" s="93"/>
      <c r="Q499" s="93"/>
      <c r="R499" s="93"/>
      <c r="S499" s="93"/>
      <c r="T499" s="93"/>
      <c r="U499" s="93"/>
      <c r="V499" s="93"/>
      <c r="W499" s="93"/>
      <c r="X499" s="93"/>
      <c r="Y499" s="93"/>
      <c r="Z499" s="93"/>
      <c r="AA499" s="93"/>
      <c r="AB499" s="93"/>
      <c r="AC499" s="93"/>
      <c r="AD499" s="93"/>
      <c r="AE499" s="93"/>
      <c r="AF499" s="93"/>
      <c r="AG499" s="93"/>
      <c r="AH499" s="94"/>
      <c r="AI499" s="93"/>
      <c r="AJ499" s="93"/>
      <c r="AK499" s="93"/>
      <c r="AL499" s="93"/>
      <c r="AM499" s="93"/>
      <c r="AN499" s="93"/>
      <c r="AO499" s="93"/>
      <c r="AP499" s="93"/>
      <c r="AQ499" s="93"/>
      <c r="AR499" s="93"/>
      <c r="AS499" s="93"/>
      <c r="AT499" s="93"/>
      <c r="AU499" s="93"/>
      <c r="AV499" s="93"/>
      <c r="AW499" s="93"/>
      <c r="AX499" s="93"/>
      <c r="AY499" s="93"/>
      <c r="AZ499" s="93"/>
      <c r="BA499" s="93"/>
      <c r="BB499" s="93"/>
      <c r="BC499" s="93"/>
      <c r="BD499" s="93"/>
      <c r="BE499" s="93"/>
      <c r="BF499" s="93"/>
      <c r="BG499" s="93"/>
      <c r="BH499" s="93"/>
      <c r="BI499" s="93"/>
      <c r="BJ499" s="93"/>
      <c r="BK499" s="93"/>
      <c r="BL499" s="93"/>
      <c r="BM499" s="93"/>
      <c r="BN499" s="93"/>
      <c r="BO499" s="93"/>
      <c r="BP499" s="93"/>
      <c r="BQ499" s="93"/>
      <c r="BR499" s="93"/>
      <c r="BS499" s="93"/>
      <c r="BT499" s="93"/>
      <c r="BU499" s="93"/>
      <c r="BV499" s="93"/>
      <c r="BW499" s="93"/>
      <c r="BX499" s="93"/>
      <c r="BY499" s="93"/>
      <c r="BZ499" s="93"/>
    </row>
    <row r="500">
      <c r="B500" t="s">
        <v>2275</v>
      </c>
      <c r="C500" s="89" t="s">
        <v>2276</v>
      </c>
      <c r="D500" s="90" t="s">
        <v>2277</v>
      </c>
      <c r="E500" s="91">
        <v>2015.0</v>
      </c>
      <c r="F500" s="92">
        <v>1.0</v>
      </c>
      <c r="G500" s="93"/>
      <c r="H500" s="93"/>
      <c r="I500" s="93"/>
      <c r="J500" s="93"/>
      <c r="K500" s="93"/>
      <c r="L500" s="93"/>
      <c r="M500" s="93"/>
      <c r="N500" s="93"/>
      <c r="O500" s="93"/>
      <c r="P500" s="93"/>
      <c r="Q500" s="93"/>
      <c r="R500" s="93"/>
      <c r="S500" s="93"/>
      <c r="T500" s="93"/>
      <c r="U500" s="93"/>
      <c r="V500" s="93"/>
      <c r="W500" s="93"/>
      <c r="X500" s="93"/>
      <c r="Y500" s="93"/>
      <c r="Z500" s="93"/>
      <c r="AA500" s="93"/>
      <c r="AB500" s="93"/>
      <c r="AC500" s="93"/>
      <c r="AD500" s="93"/>
      <c r="AE500" s="93"/>
      <c r="AF500" s="93"/>
      <c r="AG500" s="93"/>
      <c r="AH500" s="94"/>
      <c r="AI500" s="93"/>
      <c r="AJ500" s="93"/>
      <c r="AK500" s="93"/>
      <c r="AL500" s="93"/>
      <c r="AM500" s="93"/>
      <c r="AN500" s="93"/>
      <c r="AO500" s="93"/>
      <c r="AP500" s="93"/>
      <c r="AQ500" s="93"/>
      <c r="AR500" s="93"/>
      <c r="AS500" s="93"/>
      <c r="AT500" s="93"/>
      <c r="AU500" s="93"/>
      <c r="AV500" s="93"/>
      <c r="AW500" s="93"/>
      <c r="AX500" s="93"/>
      <c r="AY500" s="93"/>
      <c r="AZ500" s="93"/>
      <c r="BA500" s="93"/>
      <c r="BB500" s="93"/>
      <c r="BC500" s="93"/>
      <c r="BD500" s="93"/>
      <c r="BE500" s="93"/>
      <c r="BF500" s="93"/>
      <c r="BG500" s="93"/>
      <c r="BH500" s="93"/>
      <c r="BI500" s="93"/>
      <c r="BJ500" s="93"/>
      <c r="BK500" s="93"/>
      <c r="BL500" s="93"/>
      <c r="BM500" s="93"/>
      <c r="BN500" s="93"/>
      <c r="BO500" s="93"/>
      <c r="BP500" s="93"/>
      <c r="BQ500" s="93"/>
      <c r="BR500" s="93"/>
      <c r="BS500" s="93"/>
      <c r="BT500" s="93"/>
      <c r="BU500" s="93"/>
      <c r="BV500" s="93"/>
      <c r="BW500" s="93"/>
      <c r="BX500" s="93"/>
      <c r="BY500" s="93"/>
      <c r="BZ500" s="93"/>
    </row>
    <row r="501">
      <c r="B501" t="s">
        <v>2278</v>
      </c>
      <c r="C501" s="89" t="s">
        <v>2279</v>
      </c>
      <c r="D501" s="90" t="s">
        <v>1570</v>
      </c>
      <c r="E501" s="91">
        <v>2019.0</v>
      </c>
      <c r="F501" s="92">
        <v>1.0</v>
      </c>
      <c r="G501" s="93"/>
      <c r="H501" s="93"/>
      <c r="I501" s="93"/>
      <c r="J501" s="93"/>
      <c r="K501" s="93"/>
      <c r="L501" s="93"/>
      <c r="M501" s="93"/>
      <c r="N501" s="93"/>
      <c r="O501" s="93"/>
      <c r="P501" s="93"/>
      <c r="Q501" s="93"/>
      <c r="R501" s="93"/>
      <c r="S501" s="93"/>
      <c r="T501" s="93"/>
      <c r="U501" s="93"/>
      <c r="V501" s="93"/>
      <c r="W501" s="93"/>
      <c r="X501" s="93"/>
      <c r="Y501" s="93"/>
      <c r="Z501" s="93"/>
      <c r="AA501" s="93"/>
      <c r="AB501" s="93"/>
      <c r="AC501" s="93"/>
      <c r="AD501" s="93"/>
      <c r="AE501" s="93"/>
      <c r="AF501" s="93"/>
      <c r="AG501" s="93"/>
      <c r="AH501" s="94"/>
      <c r="AI501" s="93"/>
      <c r="AJ501" s="93"/>
      <c r="AK501" s="93"/>
      <c r="AL501" s="93"/>
      <c r="AM501" s="93"/>
      <c r="AN501" s="93"/>
      <c r="AO501" s="93"/>
      <c r="AP501" s="93"/>
      <c r="AQ501" s="93"/>
      <c r="AR501" s="93"/>
      <c r="AS501" s="93"/>
      <c r="AT501" s="93"/>
      <c r="AU501" s="93"/>
      <c r="AV501" s="93"/>
      <c r="AW501" s="93"/>
      <c r="AX501" s="93"/>
      <c r="AY501" s="93"/>
      <c r="AZ501" s="93"/>
      <c r="BA501" s="93"/>
      <c r="BB501" s="93"/>
      <c r="BC501" s="93"/>
      <c r="BD501" s="93"/>
      <c r="BE501" s="93"/>
      <c r="BF501" s="93"/>
      <c r="BG501" s="93"/>
      <c r="BH501" s="93"/>
      <c r="BI501" s="93"/>
      <c r="BJ501" s="93"/>
      <c r="BK501" s="93"/>
      <c r="BL501" s="93"/>
      <c r="BM501" s="93"/>
      <c r="BN501" s="93"/>
      <c r="BO501" s="93"/>
      <c r="BP501" s="93"/>
      <c r="BQ501" s="93"/>
      <c r="BR501" s="93"/>
      <c r="BS501" s="93"/>
      <c r="BT501" s="93"/>
      <c r="BU501" s="93"/>
      <c r="BV501" s="93"/>
      <c r="BW501" s="93"/>
      <c r="BX501" s="93"/>
      <c r="BY501" s="93"/>
      <c r="BZ501" s="93"/>
    </row>
    <row r="502">
      <c r="B502" t="s">
        <v>2280</v>
      </c>
      <c r="C502" s="89" t="s">
        <v>2281</v>
      </c>
      <c r="D502" s="90" t="s">
        <v>2282</v>
      </c>
      <c r="E502" s="91">
        <v>2019.0</v>
      </c>
      <c r="F502" s="92">
        <v>1.0</v>
      </c>
      <c r="G502" s="93"/>
      <c r="H502" s="93"/>
      <c r="I502" s="93"/>
      <c r="J502" s="93"/>
      <c r="K502" s="93"/>
      <c r="L502" s="93"/>
      <c r="M502" s="93"/>
      <c r="N502" s="93"/>
      <c r="O502" s="93"/>
      <c r="P502" s="93"/>
      <c r="Q502" s="93"/>
      <c r="R502" s="93"/>
      <c r="S502" s="93"/>
      <c r="T502" s="93"/>
      <c r="U502" s="93"/>
      <c r="V502" s="93"/>
      <c r="W502" s="93"/>
      <c r="X502" s="93"/>
      <c r="Y502" s="93"/>
      <c r="Z502" s="93"/>
      <c r="AA502" s="93"/>
      <c r="AB502" s="93"/>
      <c r="AC502" s="93"/>
      <c r="AD502" s="93"/>
      <c r="AE502" s="93"/>
      <c r="AF502" s="93"/>
      <c r="AG502" s="93"/>
      <c r="AH502" s="94"/>
      <c r="AI502" s="93"/>
      <c r="AJ502" s="93"/>
      <c r="AK502" s="93"/>
      <c r="AL502" s="93"/>
      <c r="AM502" s="93"/>
      <c r="AN502" s="93"/>
      <c r="AO502" s="93"/>
      <c r="AP502" s="93"/>
      <c r="AQ502" s="93"/>
      <c r="AR502" s="93"/>
      <c r="AS502" s="93"/>
      <c r="AT502" s="93"/>
      <c r="AU502" s="93"/>
      <c r="AV502" s="93"/>
      <c r="AW502" s="93"/>
      <c r="AX502" s="93"/>
      <c r="AY502" s="93"/>
      <c r="AZ502" s="93"/>
      <c r="BA502" s="93"/>
      <c r="BB502" s="93"/>
      <c r="BC502" s="93"/>
      <c r="BD502" s="93"/>
      <c r="BE502" s="93"/>
      <c r="BF502" s="93"/>
      <c r="BG502" s="93"/>
      <c r="BH502" s="93"/>
      <c r="BI502" s="93"/>
      <c r="BJ502" s="93"/>
      <c r="BK502" s="93"/>
      <c r="BL502" s="93"/>
      <c r="BM502" s="93"/>
      <c r="BN502" s="93"/>
      <c r="BO502" s="93"/>
      <c r="BP502" s="93"/>
      <c r="BQ502" s="93"/>
      <c r="BR502" s="93"/>
      <c r="BS502" s="93"/>
      <c r="BT502" s="93"/>
      <c r="BU502" s="93"/>
      <c r="BV502" s="93"/>
      <c r="BW502" s="93"/>
      <c r="BX502" s="93"/>
      <c r="BY502" s="93"/>
      <c r="BZ502" s="93"/>
    </row>
    <row r="503">
      <c r="B503" t="s">
        <v>2283</v>
      </c>
      <c r="C503" s="89" t="s">
        <v>2284</v>
      </c>
      <c r="D503" s="90" t="s">
        <v>1570</v>
      </c>
      <c r="E503" s="91">
        <v>2019.0</v>
      </c>
      <c r="F503" s="92">
        <v>1.0</v>
      </c>
      <c r="G503" s="93"/>
      <c r="H503" s="93"/>
      <c r="I503" s="93"/>
      <c r="J503" s="93"/>
      <c r="K503" s="93"/>
      <c r="L503" s="93"/>
      <c r="M503" s="93"/>
      <c r="N503" s="93"/>
      <c r="O503" s="93"/>
      <c r="P503" s="93"/>
      <c r="Q503" s="93"/>
      <c r="R503" s="93"/>
      <c r="S503" s="93"/>
      <c r="T503" s="93"/>
      <c r="U503" s="93"/>
      <c r="V503" s="93"/>
      <c r="W503" s="93"/>
      <c r="X503" s="93"/>
      <c r="Y503" s="93"/>
      <c r="Z503" s="93"/>
      <c r="AA503" s="93"/>
      <c r="AB503" s="93"/>
      <c r="AC503" s="93"/>
      <c r="AD503" s="93"/>
      <c r="AE503" s="93"/>
      <c r="AF503" s="93"/>
      <c r="AG503" s="93"/>
      <c r="AH503" s="94"/>
      <c r="AI503" s="93"/>
      <c r="AJ503" s="93"/>
      <c r="AK503" s="93"/>
      <c r="AL503" s="93"/>
      <c r="AM503" s="93"/>
      <c r="AN503" s="93"/>
      <c r="AO503" s="93"/>
      <c r="AP503" s="93"/>
      <c r="AQ503" s="93"/>
      <c r="AR503" s="93"/>
      <c r="AS503" s="93"/>
      <c r="AT503" s="93"/>
      <c r="AU503" s="93"/>
      <c r="AV503" s="93"/>
      <c r="AW503" s="93"/>
      <c r="AX503" s="93"/>
      <c r="AY503" s="93"/>
      <c r="AZ503" s="93"/>
      <c r="BA503" s="93"/>
      <c r="BB503" s="93"/>
      <c r="BC503" s="93"/>
      <c r="BD503" s="93"/>
      <c r="BE503" s="93"/>
      <c r="BF503" s="93"/>
      <c r="BG503" s="93"/>
      <c r="BH503" s="93"/>
      <c r="BI503" s="93"/>
      <c r="BJ503" s="93"/>
      <c r="BK503" s="93"/>
      <c r="BL503" s="93"/>
      <c r="BM503" s="93"/>
      <c r="BN503" s="93"/>
      <c r="BO503" s="93"/>
      <c r="BP503" s="93"/>
      <c r="BQ503" s="93"/>
      <c r="BR503" s="93"/>
      <c r="BS503" s="93"/>
      <c r="BT503" s="93"/>
      <c r="BU503" s="93"/>
      <c r="BV503" s="93"/>
      <c r="BW503" s="93"/>
      <c r="BX503" s="93"/>
      <c r="BY503" s="93"/>
      <c r="BZ503" s="93"/>
    </row>
    <row r="504">
      <c r="B504" t="s">
        <v>2285</v>
      </c>
      <c r="C504" s="89" t="s">
        <v>2286</v>
      </c>
      <c r="D504" s="90" t="s">
        <v>1570</v>
      </c>
      <c r="E504" s="91">
        <v>2020.0</v>
      </c>
      <c r="F504" s="92">
        <v>1.0</v>
      </c>
      <c r="G504" s="93"/>
      <c r="H504" s="93"/>
      <c r="I504" s="93"/>
      <c r="J504" s="93"/>
      <c r="K504" s="93"/>
      <c r="L504" s="93"/>
      <c r="M504" s="93"/>
      <c r="N504" s="93"/>
      <c r="O504" s="93"/>
      <c r="P504" s="93"/>
      <c r="Q504" s="93"/>
      <c r="R504" s="93"/>
      <c r="S504" s="93"/>
      <c r="T504" s="93"/>
      <c r="U504" s="93"/>
      <c r="V504" s="93"/>
      <c r="W504" s="93"/>
      <c r="X504" s="93"/>
      <c r="Y504" s="93"/>
      <c r="Z504" s="93"/>
      <c r="AA504" s="93"/>
      <c r="AB504" s="93"/>
      <c r="AC504" s="93"/>
      <c r="AD504" s="93"/>
      <c r="AE504" s="93"/>
      <c r="AF504" s="93"/>
      <c r="AG504" s="93"/>
      <c r="AH504" s="94"/>
      <c r="AI504" s="93"/>
      <c r="AJ504" s="93"/>
      <c r="AK504" s="93"/>
      <c r="AL504" s="93"/>
      <c r="AM504" s="93"/>
      <c r="AN504" s="93"/>
      <c r="AO504" s="93"/>
      <c r="AP504" s="93"/>
      <c r="AQ504" s="93"/>
      <c r="AR504" s="93"/>
      <c r="AS504" s="93"/>
      <c r="AT504" s="93"/>
      <c r="AU504" s="93"/>
      <c r="AV504" s="93"/>
      <c r="AW504" s="93"/>
      <c r="AX504" s="93"/>
      <c r="AY504" s="93"/>
      <c r="AZ504" s="93"/>
      <c r="BA504" s="93"/>
      <c r="BB504" s="93"/>
      <c r="BC504" s="93"/>
      <c r="BD504" s="93"/>
      <c r="BE504" s="93"/>
      <c r="BF504" s="93"/>
      <c r="BG504" s="93"/>
      <c r="BH504" s="93"/>
      <c r="BI504" s="93"/>
      <c r="BJ504" s="93"/>
      <c r="BK504" s="93"/>
      <c r="BL504" s="93"/>
      <c r="BM504" s="93"/>
      <c r="BN504" s="93"/>
      <c r="BO504" s="93"/>
      <c r="BP504" s="93"/>
      <c r="BQ504" s="93"/>
      <c r="BR504" s="93"/>
      <c r="BS504" s="93"/>
      <c r="BT504" s="93"/>
      <c r="BU504" s="93"/>
      <c r="BV504" s="93"/>
      <c r="BW504" s="93"/>
      <c r="BX504" s="93"/>
      <c r="BY504" s="93"/>
      <c r="BZ504" s="93"/>
    </row>
    <row r="505">
      <c r="B505" t="s">
        <v>2287</v>
      </c>
      <c r="C505" s="89" t="s">
        <v>2288</v>
      </c>
      <c r="D505" s="90" t="s">
        <v>2289</v>
      </c>
      <c r="E505" s="91">
        <v>2019.0</v>
      </c>
      <c r="F505" s="92">
        <v>1.0</v>
      </c>
      <c r="G505" s="93"/>
      <c r="H505" s="93"/>
      <c r="I505" s="93"/>
      <c r="J505" s="93"/>
      <c r="K505" s="93"/>
      <c r="L505" s="93"/>
      <c r="M505" s="93"/>
      <c r="N505" s="93"/>
      <c r="O505" s="93"/>
      <c r="P505" s="93"/>
      <c r="Q505" s="93"/>
      <c r="R505" s="93"/>
      <c r="S505" s="93"/>
      <c r="T505" s="93"/>
      <c r="U505" s="93"/>
      <c r="V505" s="93"/>
      <c r="W505" s="93"/>
      <c r="X505" s="93"/>
      <c r="Y505" s="93"/>
      <c r="Z505" s="93"/>
      <c r="AA505" s="93"/>
      <c r="AB505" s="93"/>
      <c r="AC505" s="93"/>
      <c r="AD505" s="93"/>
      <c r="AE505" s="93"/>
      <c r="AF505" s="93"/>
      <c r="AG505" s="93"/>
      <c r="AH505" s="94"/>
      <c r="AI505" s="93"/>
      <c r="AJ505" s="93"/>
      <c r="AK505" s="93"/>
      <c r="AL505" s="93"/>
      <c r="AM505" s="93"/>
      <c r="AN505" s="93"/>
      <c r="AO505" s="93"/>
      <c r="AP505" s="93"/>
      <c r="AQ505" s="93"/>
      <c r="AR505" s="93"/>
      <c r="AS505" s="93"/>
      <c r="AT505" s="93"/>
      <c r="AU505" s="93"/>
      <c r="AV505" s="93"/>
      <c r="AW505" s="93"/>
      <c r="AX505" s="93"/>
      <c r="AY505" s="93"/>
      <c r="AZ505" s="93"/>
      <c r="BA505" s="93"/>
      <c r="BB505" s="93"/>
      <c r="BC505" s="93"/>
      <c r="BD505" s="93"/>
      <c r="BE505" s="93"/>
      <c r="BF505" s="93"/>
      <c r="BG505" s="93"/>
      <c r="BH505" s="93"/>
      <c r="BI505" s="93"/>
      <c r="BJ505" s="93"/>
      <c r="BK505" s="93"/>
      <c r="BL505" s="93"/>
      <c r="BM505" s="93"/>
      <c r="BN505" s="93"/>
      <c r="BO505" s="93"/>
      <c r="BP505" s="93"/>
      <c r="BQ505" s="93"/>
      <c r="BR505" s="93"/>
      <c r="BS505" s="93"/>
      <c r="BT505" s="93"/>
      <c r="BU505" s="93"/>
      <c r="BV505" s="93"/>
      <c r="BW505" s="93"/>
      <c r="BX505" s="93"/>
      <c r="BY505" s="93"/>
      <c r="BZ505" s="93"/>
    </row>
    <row r="506">
      <c r="B506" t="s">
        <v>2290</v>
      </c>
      <c r="C506" s="89" t="s">
        <v>2291</v>
      </c>
      <c r="D506" s="90" t="s">
        <v>2292</v>
      </c>
      <c r="E506" s="91">
        <v>2017.0</v>
      </c>
      <c r="F506" s="92">
        <v>1.0</v>
      </c>
      <c r="G506" s="93"/>
      <c r="H506" s="93"/>
      <c r="I506" s="93"/>
      <c r="J506" s="93"/>
      <c r="K506" s="93"/>
      <c r="L506" s="93"/>
      <c r="M506" s="93"/>
      <c r="N506" s="93"/>
      <c r="O506" s="93"/>
      <c r="P506" s="93"/>
      <c r="Q506" s="93"/>
      <c r="R506" s="93"/>
      <c r="S506" s="93"/>
      <c r="T506" s="93"/>
      <c r="U506" s="93"/>
      <c r="V506" s="93"/>
      <c r="W506" s="93"/>
      <c r="X506" s="93"/>
      <c r="Y506" s="93"/>
      <c r="Z506" s="93"/>
      <c r="AA506" s="93"/>
      <c r="AB506" s="93"/>
      <c r="AC506" s="93"/>
      <c r="AD506" s="93"/>
      <c r="AE506" s="93"/>
      <c r="AF506" s="93"/>
      <c r="AG506" s="93"/>
      <c r="AH506" s="94"/>
      <c r="AI506" s="93"/>
      <c r="AJ506" s="93"/>
      <c r="AK506" s="93"/>
      <c r="AL506" s="93"/>
      <c r="AM506" s="93"/>
      <c r="AN506" s="93"/>
      <c r="AO506" s="93"/>
      <c r="AP506" s="93"/>
      <c r="AQ506" s="93"/>
      <c r="AR506" s="93"/>
      <c r="AS506" s="93"/>
      <c r="AT506" s="93"/>
      <c r="AU506" s="93"/>
      <c r="AV506" s="93"/>
      <c r="AW506" s="93"/>
      <c r="AX506" s="93"/>
      <c r="AY506" s="93"/>
      <c r="AZ506" s="93"/>
      <c r="BA506" s="93"/>
      <c r="BB506" s="93"/>
      <c r="BC506" s="93"/>
      <c r="BD506" s="93"/>
      <c r="BE506" s="93"/>
      <c r="BF506" s="93"/>
      <c r="BG506" s="93"/>
      <c r="BH506" s="93"/>
      <c r="BI506" s="93"/>
      <c r="BJ506" s="93"/>
      <c r="BK506" s="93"/>
      <c r="BL506" s="93"/>
      <c r="BM506" s="93"/>
      <c r="BN506" s="93"/>
      <c r="BO506" s="93"/>
      <c r="BP506" s="93"/>
      <c r="BQ506" s="93"/>
      <c r="BR506" s="93"/>
      <c r="BS506" s="93"/>
      <c r="BT506" s="93"/>
      <c r="BU506" s="93"/>
      <c r="BV506" s="93"/>
      <c r="BW506" s="93"/>
      <c r="BX506" s="93"/>
      <c r="BY506" s="93"/>
      <c r="BZ506" s="93"/>
    </row>
    <row r="507">
      <c r="B507" t="s">
        <v>2293</v>
      </c>
      <c r="C507" s="89" t="s">
        <v>2294</v>
      </c>
      <c r="D507" s="90" t="s">
        <v>2295</v>
      </c>
      <c r="E507" s="91">
        <v>2019.0</v>
      </c>
      <c r="F507" s="92">
        <v>1.0</v>
      </c>
      <c r="G507" s="93"/>
      <c r="H507" s="93"/>
      <c r="I507" s="93"/>
      <c r="J507" s="93"/>
      <c r="K507" s="93"/>
      <c r="L507" s="93"/>
      <c r="M507" s="93"/>
      <c r="N507" s="93"/>
      <c r="O507" s="93"/>
      <c r="P507" s="93"/>
      <c r="Q507" s="93"/>
      <c r="R507" s="93"/>
      <c r="S507" s="93"/>
      <c r="T507" s="93"/>
      <c r="U507" s="93"/>
      <c r="V507" s="93"/>
      <c r="W507" s="93"/>
      <c r="X507" s="93"/>
      <c r="Y507" s="93"/>
      <c r="Z507" s="93"/>
      <c r="AA507" s="93"/>
      <c r="AB507" s="93"/>
      <c r="AC507" s="93"/>
      <c r="AD507" s="93"/>
      <c r="AE507" s="93"/>
      <c r="AF507" s="93"/>
      <c r="AG507" s="93"/>
      <c r="AH507" s="94"/>
      <c r="AI507" s="93"/>
      <c r="AJ507" s="93"/>
      <c r="AK507" s="93"/>
      <c r="AL507" s="93"/>
      <c r="AM507" s="93"/>
      <c r="AN507" s="93"/>
      <c r="AO507" s="93"/>
      <c r="AP507" s="93"/>
      <c r="AQ507" s="93"/>
      <c r="AR507" s="93"/>
      <c r="AS507" s="93"/>
      <c r="AT507" s="93"/>
      <c r="AU507" s="93"/>
      <c r="AV507" s="93"/>
      <c r="AW507" s="93"/>
      <c r="AX507" s="93"/>
      <c r="AY507" s="93"/>
      <c r="AZ507" s="93"/>
      <c r="BA507" s="93"/>
      <c r="BB507" s="93"/>
      <c r="BC507" s="93"/>
      <c r="BD507" s="93"/>
      <c r="BE507" s="93"/>
      <c r="BF507" s="93"/>
      <c r="BG507" s="93"/>
      <c r="BH507" s="93"/>
      <c r="BI507" s="93"/>
      <c r="BJ507" s="93"/>
      <c r="BK507" s="93"/>
      <c r="BL507" s="93"/>
      <c r="BM507" s="93"/>
      <c r="BN507" s="93"/>
      <c r="BO507" s="93"/>
      <c r="BP507" s="93"/>
      <c r="BQ507" s="93"/>
      <c r="BR507" s="93"/>
      <c r="BS507" s="93"/>
      <c r="BT507" s="93"/>
      <c r="BU507" s="93"/>
      <c r="BV507" s="93"/>
      <c r="BW507" s="93"/>
      <c r="BX507" s="93"/>
      <c r="BY507" s="93"/>
      <c r="BZ507" s="93"/>
    </row>
    <row r="508">
      <c r="B508" t="s">
        <v>2296</v>
      </c>
      <c r="C508" s="89" t="s">
        <v>2297</v>
      </c>
      <c r="D508" s="90" t="s">
        <v>1629</v>
      </c>
      <c r="E508" s="91">
        <v>2018.0</v>
      </c>
      <c r="F508" s="92">
        <v>1.0</v>
      </c>
      <c r="G508" s="93"/>
      <c r="H508" s="93"/>
      <c r="I508" s="93"/>
      <c r="J508" s="93"/>
      <c r="K508" s="93"/>
      <c r="L508" s="93"/>
      <c r="M508" s="93"/>
      <c r="N508" s="93"/>
      <c r="O508" s="93"/>
      <c r="P508" s="93"/>
      <c r="Q508" s="93"/>
      <c r="R508" s="93"/>
      <c r="S508" s="93"/>
      <c r="T508" s="93"/>
      <c r="U508" s="93"/>
      <c r="V508" s="93"/>
      <c r="W508" s="93"/>
      <c r="X508" s="93"/>
      <c r="Y508" s="93"/>
      <c r="Z508" s="93"/>
      <c r="AA508" s="93"/>
      <c r="AB508" s="93"/>
      <c r="AC508" s="93"/>
      <c r="AD508" s="93"/>
      <c r="AE508" s="93"/>
      <c r="AF508" s="93"/>
      <c r="AG508" s="93"/>
      <c r="AH508" s="94"/>
      <c r="AI508" s="93"/>
      <c r="AJ508" s="93"/>
      <c r="AK508" s="93"/>
      <c r="AL508" s="93"/>
      <c r="AM508" s="93"/>
      <c r="AN508" s="93"/>
      <c r="AO508" s="93"/>
      <c r="AP508" s="93"/>
      <c r="AQ508" s="93"/>
      <c r="AR508" s="93"/>
      <c r="AS508" s="93"/>
      <c r="AT508" s="93"/>
      <c r="AU508" s="93"/>
      <c r="AV508" s="93"/>
      <c r="AW508" s="93"/>
      <c r="AX508" s="93"/>
      <c r="AY508" s="93"/>
      <c r="AZ508" s="93"/>
      <c r="BA508" s="93"/>
      <c r="BB508" s="93"/>
      <c r="BC508" s="93"/>
      <c r="BD508" s="93"/>
      <c r="BE508" s="93"/>
      <c r="BF508" s="93"/>
      <c r="BG508" s="93"/>
      <c r="BH508" s="93"/>
      <c r="BI508" s="93"/>
      <c r="BJ508" s="93"/>
      <c r="BK508" s="93"/>
      <c r="BL508" s="93"/>
      <c r="BM508" s="93"/>
      <c r="BN508" s="93"/>
      <c r="BO508" s="93"/>
      <c r="BP508" s="93"/>
      <c r="BQ508" s="93"/>
      <c r="BR508" s="93"/>
      <c r="BS508" s="93"/>
      <c r="BT508" s="93"/>
      <c r="BU508" s="93"/>
      <c r="BV508" s="93"/>
      <c r="BW508" s="93"/>
      <c r="BX508" s="93"/>
      <c r="BY508" s="93"/>
      <c r="BZ508" s="93"/>
    </row>
    <row r="509">
      <c r="A509" t="s">
        <v>1340</v>
      </c>
      <c r="B509" t="s">
        <v>2298</v>
      </c>
      <c r="C509" s="89" t="s">
        <v>2299</v>
      </c>
      <c r="D509" s="90" t="s">
        <v>503</v>
      </c>
      <c r="E509" s="91">
        <v>2020.0</v>
      </c>
      <c r="F509" s="93"/>
      <c r="G509" s="93"/>
      <c r="H509" s="93"/>
      <c r="I509" s="92">
        <v>1.0</v>
      </c>
      <c r="J509" s="93"/>
      <c r="K509" s="92">
        <v>1.0</v>
      </c>
      <c r="L509" s="93"/>
      <c r="M509" s="93"/>
      <c r="N509" s="93"/>
      <c r="O509" s="93"/>
      <c r="P509" s="93"/>
      <c r="Q509" s="93"/>
      <c r="R509" s="93"/>
      <c r="S509" s="93"/>
      <c r="T509" s="93"/>
      <c r="U509" s="93"/>
      <c r="V509" s="93"/>
      <c r="W509" s="98" t="s">
        <v>2300</v>
      </c>
      <c r="X509" s="98" t="s">
        <v>2301</v>
      </c>
      <c r="Y509" s="98" t="s">
        <v>2302</v>
      </c>
      <c r="Z509" s="98" t="s">
        <v>137</v>
      </c>
      <c r="AA509" s="92">
        <v>1.0</v>
      </c>
      <c r="AB509" s="93"/>
      <c r="AC509" s="93"/>
      <c r="AD509" s="92">
        <v>1.0</v>
      </c>
      <c r="AE509" s="93"/>
      <c r="AF509" s="93"/>
      <c r="AG509" s="93"/>
      <c r="AH509" s="96" t="s">
        <v>2303</v>
      </c>
      <c r="AI509" s="92">
        <v>1.0</v>
      </c>
      <c r="AJ509" s="92">
        <v>1.0</v>
      </c>
      <c r="AK509" s="93"/>
      <c r="AL509" s="92">
        <v>1.0</v>
      </c>
      <c r="AM509" s="93"/>
      <c r="AN509" s="92">
        <v>1.0</v>
      </c>
      <c r="AO509" s="92">
        <v>1.0</v>
      </c>
      <c r="AP509" s="93"/>
      <c r="AQ509" s="93"/>
      <c r="AR509" s="92">
        <v>1.0</v>
      </c>
      <c r="AS509" s="93"/>
      <c r="AT509" s="93"/>
      <c r="AU509" s="93"/>
      <c r="AV509" s="93"/>
      <c r="AW509" s="93"/>
      <c r="AX509" s="93"/>
      <c r="AY509" s="93"/>
      <c r="AZ509" s="93"/>
      <c r="BA509" s="93"/>
      <c r="BB509" s="93"/>
      <c r="BC509" s="93"/>
      <c r="BD509" s="93"/>
      <c r="BE509" s="93"/>
      <c r="BF509" s="93"/>
      <c r="BG509" s="93"/>
      <c r="BH509" s="93"/>
      <c r="BI509" s="92">
        <v>1.0</v>
      </c>
      <c r="BJ509" s="93"/>
      <c r="BK509" s="93"/>
      <c r="BL509" s="93"/>
      <c r="BM509" s="93"/>
      <c r="BN509" s="93"/>
      <c r="BO509" s="93"/>
      <c r="BP509" s="93"/>
      <c r="BQ509" s="93"/>
      <c r="BR509" s="93"/>
      <c r="BS509" s="93"/>
      <c r="BT509" s="93"/>
      <c r="BU509" s="93"/>
      <c r="BV509" s="92">
        <v>1.0</v>
      </c>
      <c r="BW509" s="95"/>
      <c r="BX509" s="92">
        <v>1.0</v>
      </c>
      <c r="BY509" s="92">
        <v>1.0</v>
      </c>
      <c r="BZ509" s="93"/>
    </row>
    <row r="510">
      <c r="A510" t="s">
        <v>1354</v>
      </c>
      <c r="B510" t="s">
        <v>2304</v>
      </c>
      <c r="C510" s="89" t="s">
        <v>2305</v>
      </c>
      <c r="D510" s="90" t="s">
        <v>503</v>
      </c>
      <c r="E510" s="91">
        <v>2020.0</v>
      </c>
      <c r="F510" s="99">
        <v>1.0</v>
      </c>
      <c r="G510" s="93"/>
      <c r="H510" s="93"/>
      <c r="I510" s="93"/>
      <c r="J510" s="93"/>
      <c r="K510" s="93"/>
      <c r="L510" s="93"/>
      <c r="M510" s="93"/>
      <c r="N510" s="93"/>
      <c r="O510" s="93"/>
      <c r="P510" s="93"/>
      <c r="Q510" s="98" t="s">
        <v>748</v>
      </c>
      <c r="R510" s="93"/>
      <c r="S510" s="93"/>
      <c r="T510" s="93"/>
      <c r="U510" s="93"/>
      <c r="V510" s="93"/>
      <c r="W510" s="98" t="s">
        <v>748</v>
      </c>
      <c r="X510" s="98" t="s">
        <v>748</v>
      </c>
      <c r="Y510" s="98" t="s">
        <v>748</v>
      </c>
      <c r="Z510" s="98" t="s">
        <v>748</v>
      </c>
      <c r="AA510" s="93"/>
      <c r="AB510" s="98" t="s">
        <v>748</v>
      </c>
      <c r="AC510" s="93"/>
      <c r="AD510" s="98" t="s">
        <v>748</v>
      </c>
      <c r="AE510" s="93"/>
      <c r="AF510" s="93"/>
      <c r="AG510" s="93"/>
      <c r="AH510" s="94"/>
      <c r="AI510" s="93"/>
      <c r="AJ510" s="93"/>
      <c r="AK510" s="93"/>
      <c r="AL510" s="93"/>
      <c r="AM510" s="93"/>
      <c r="AN510" s="93"/>
      <c r="AO510" s="93"/>
      <c r="AP510" s="93"/>
      <c r="AQ510" s="93"/>
      <c r="AR510" s="93"/>
      <c r="AS510" s="93"/>
      <c r="AT510" s="93"/>
      <c r="AU510" s="93"/>
      <c r="AV510" s="93"/>
      <c r="AW510" s="93"/>
      <c r="AX510" s="93"/>
      <c r="AY510" s="93"/>
      <c r="AZ510" s="93"/>
      <c r="BA510" s="93"/>
      <c r="BB510" s="93"/>
      <c r="BC510" s="93"/>
      <c r="BD510" s="93"/>
      <c r="BE510" s="93"/>
      <c r="BF510" s="93"/>
      <c r="BG510" s="93"/>
      <c r="BH510" s="93"/>
      <c r="BI510" s="93"/>
      <c r="BJ510" s="93"/>
      <c r="BK510" s="93"/>
      <c r="BL510" s="93"/>
      <c r="BM510" s="93"/>
      <c r="BN510" s="93"/>
      <c r="BO510" s="93"/>
      <c r="BP510" s="93"/>
      <c r="BQ510" s="98" t="s">
        <v>748</v>
      </c>
      <c r="BR510" s="98" t="s">
        <v>748</v>
      </c>
      <c r="BS510" s="93"/>
      <c r="BT510" s="93"/>
      <c r="BU510" s="93"/>
      <c r="BV510" s="93"/>
      <c r="BW510" s="93"/>
      <c r="BX510" s="93"/>
      <c r="BY510" s="93"/>
      <c r="BZ510" s="93"/>
    </row>
    <row r="511">
      <c r="A511" t="s">
        <v>116</v>
      </c>
      <c r="B511" t="s">
        <v>2306</v>
      </c>
      <c r="C511" s="89" t="s">
        <v>2307</v>
      </c>
      <c r="D511" s="90" t="s">
        <v>2308</v>
      </c>
      <c r="E511" s="91">
        <v>2018.0</v>
      </c>
      <c r="F511" s="95"/>
      <c r="G511" s="92">
        <v>1.0</v>
      </c>
      <c r="H511" s="93"/>
      <c r="I511" s="93"/>
      <c r="J511" s="93"/>
      <c r="K511" s="93"/>
      <c r="L511" s="93"/>
      <c r="M511" s="92">
        <v>1.0</v>
      </c>
      <c r="N511" s="93"/>
      <c r="O511" s="93"/>
      <c r="P511" s="93"/>
      <c r="Q511" s="93"/>
      <c r="R511" s="93"/>
      <c r="S511" s="93"/>
      <c r="T511" s="93"/>
      <c r="U511" s="93"/>
      <c r="V511" s="93"/>
      <c r="W511" s="95" t="s">
        <v>2309</v>
      </c>
      <c r="X511" s="95" t="s">
        <v>2310</v>
      </c>
      <c r="Y511" s="95" t="s">
        <v>2311</v>
      </c>
      <c r="Z511" s="95" t="s">
        <v>2312</v>
      </c>
      <c r="AA511" s="92">
        <v>1.0</v>
      </c>
      <c r="AB511" s="93"/>
      <c r="AC511" s="92">
        <v>1.0</v>
      </c>
      <c r="AD511" s="92">
        <v>1.0</v>
      </c>
      <c r="AE511" s="93"/>
      <c r="AF511" s="93"/>
      <c r="AG511" s="93"/>
      <c r="AH511" s="96" t="s">
        <v>2313</v>
      </c>
      <c r="AI511" s="92">
        <v>1.0</v>
      </c>
      <c r="AJ511" s="93"/>
      <c r="AK511" s="93"/>
      <c r="AL511" s="93"/>
      <c r="AM511" s="93"/>
      <c r="AN511" s="93"/>
      <c r="AO511" s="93"/>
      <c r="AP511" s="93"/>
      <c r="AQ511" s="93"/>
      <c r="AR511" s="92">
        <v>1.0</v>
      </c>
      <c r="AS511" s="93"/>
      <c r="AT511" s="93"/>
      <c r="AU511" s="93"/>
      <c r="AV511" s="93"/>
      <c r="AW511" s="93"/>
      <c r="AX511" s="93"/>
      <c r="AY511" s="93"/>
      <c r="AZ511" s="93"/>
      <c r="BA511" s="93"/>
      <c r="BB511" s="93"/>
      <c r="BC511" s="93"/>
      <c r="BD511" s="93"/>
      <c r="BE511" s="93"/>
      <c r="BF511" s="93"/>
      <c r="BG511" s="93"/>
      <c r="BH511" s="93"/>
      <c r="BI511" s="93"/>
      <c r="BJ511" s="93"/>
      <c r="BK511" s="93"/>
      <c r="BL511" s="93"/>
      <c r="BM511" s="93"/>
      <c r="BN511" s="93"/>
      <c r="BO511" s="93"/>
      <c r="BP511" s="93"/>
      <c r="BQ511" s="93"/>
      <c r="BR511" s="93"/>
      <c r="BS511" s="93"/>
      <c r="BT511" s="93"/>
      <c r="BU511" s="93"/>
      <c r="BV511" s="93"/>
      <c r="BW511" s="92">
        <v>1.0</v>
      </c>
      <c r="BX511" s="93"/>
      <c r="BY511" s="92">
        <v>1.0</v>
      </c>
      <c r="BZ511" s="93"/>
    </row>
    <row r="512">
      <c r="B512" t="s">
        <v>2314</v>
      </c>
      <c r="C512" s="89" t="s">
        <v>2315</v>
      </c>
      <c r="D512" s="90" t="s">
        <v>2316</v>
      </c>
      <c r="E512" s="91">
        <v>2019.0</v>
      </c>
      <c r="F512" s="92">
        <v>1.0</v>
      </c>
      <c r="G512" s="93"/>
      <c r="H512" s="93"/>
      <c r="I512" s="93"/>
      <c r="J512" s="93"/>
      <c r="K512" s="93"/>
      <c r="L512" s="93"/>
      <c r="M512" s="93"/>
      <c r="N512" s="93"/>
      <c r="O512" s="93"/>
      <c r="P512" s="93"/>
      <c r="Q512" s="93"/>
      <c r="R512" s="93"/>
      <c r="S512" s="93"/>
      <c r="T512" s="93"/>
      <c r="U512" s="93"/>
      <c r="V512" s="93"/>
      <c r="W512" s="93"/>
      <c r="X512" s="93"/>
      <c r="Y512" s="93"/>
      <c r="Z512" s="93"/>
      <c r="AA512" s="93"/>
      <c r="AB512" s="93"/>
      <c r="AC512" s="93"/>
      <c r="AD512" s="93"/>
      <c r="AE512" s="93"/>
      <c r="AF512" s="93"/>
      <c r="AG512" s="93"/>
      <c r="AH512" s="94"/>
      <c r="AI512" s="93"/>
      <c r="AJ512" s="93"/>
      <c r="AK512" s="93"/>
      <c r="AL512" s="93"/>
      <c r="AM512" s="93"/>
      <c r="AN512" s="93"/>
      <c r="AO512" s="93"/>
      <c r="AP512" s="93"/>
      <c r="AQ512" s="93"/>
      <c r="AR512" s="93"/>
      <c r="AS512" s="93"/>
      <c r="AT512" s="93"/>
      <c r="AU512" s="93"/>
      <c r="AV512" s="93"/>
      <c r="AW512" s="93"/>
      <c r="AX512" s="93"/>
      <c r="AY512" s="93"/>
      <c r="AZ512" s="93"/>
      <c r="BA512" s="93"/>
      <c r="BB512" s="93"/>
      <c r="BC512" s="93"/>
      <c r="BD512" s="93"/>
      <c r="BE512" s="93"/>
      <c r="BF512" s="93"/>
      <c r="BG512" s="93"/>
      <c r="BH512" s="93"/>
      <c r="BI512" s="93"/>
      <c r="BJ512" s="93"/>
      <c r="BK512" s="93"/>
      <c r="BL512" s="93"/>
      <c r="BM512" s="93"/>
      <c r="BN512" s="93"/>
      <c r="BO512" s="93"/>
      <c r="BP512" s="93"/>
      <c r="BQ512" s="93"/>
      <c r="BR512" s="93"/>
      <c r="BS512" s="93"/>
      <c r="BT512" s="93"/>
      <c r="BU512" s="93"/>
      <c r="BV512" s="93"/>
      <c r="BW512" s="93"/>
      <c r="BX512" s="93"/>
      <c r="BY512" s="93"/>
      <c r="BZ512" s="93"/>
    </row>
    <row r="513">
      <c r="B513" t="s">
        <v>2317</v>
      </c>
      <c r="C513" s="89" t="s">
        <v>2318</v>
      </c>
      <c r="D513" s="90" t="s">
        <v>2319</v>
      </c>
      <c r="E513" s="91">
        <v>2017.0</v>
      </c>
      <c r="F513" s="92">
        <v>1.0</v>
      </c>
      <c r="G513" s="93"/>
      <c r="H513" s="93"/>
      <c r="I513" s="93"/>
      <c r="J513" s="93"/>
      <c r="K513" s="93"/>
      <c r="L513" s="93"/>
      <c r="M513" s="93"/>
      <c r="N513" s="93"/>
      <c r="O513" s="93"/>
      <c r="P513" s="93"/>
      <c r="Q513" s="93"/>
      <c r="R513" s="93"/>
      <c r="S513" s="93"/>
      <c r="T513" s="93"/>
      <c r="U513" s="93"/>
      <c r="V513" s="93"/>
      <c r="W513" s="93"/>
      <c r="X513" s="93"/>
      <c r="Y513" s="93"/>
      <c r="Z513" s="93"/>
      <c r="AA513" s="93"/>
      <c r="AB513" s="93"/>
      <c r="AC513" s="93"/>
      <c r="AD513" s="93"/>
      <c r="AE513" s="93"/>
      <c r="AF513" s="93"/>
      <c r="AG513" s="93"/>
      <c r="AH513" s="94"/>
      <c r="AI513" s="93"/>
      <c r="AJ513" s="93"/>
      <c r="AK513" s="93"/>
      <c r="AL513" s="93"/>
      <c r="AM513" s="93"/>
      <c r="AN513" s="93"/>
      <c r="AO513" s="93"/>
      <c r="AP513" s="93"/>
      <c r="AQ513" s="93"/>
      <c r="AR513" s="93"/>
      <c r="AS513" s="93"/>
      <c r="AT513" s="93"/>
      <c r="AU513" s="93"/>
      <c r="AV513" s="93"/>
      <c r="AW513" s="93"/>
      <c r="AX513" s="93"/>
      <c r="AY513" s="93"/>
      <c r="AZ513" s="93"/>
      <c r="BA513" s="93"/>
      <c r="BB513" s="93"/>
      <c r="BC513" s="93"/>
      <c r="BD513" s="93"/>
      <c r="BE513" s="93"/>
      <c r="BF513" s="93"/>
      <c r="BG513" s="93"/>
      <c r="BH513" s="93"/>
      <c r="BI513" s="93"/>
      <c r="BJ513" s="93"/>
      <c r="BK513" s="93"/>
      <c r="BL513" s="93"/>
      <c r="BM513" s="93"/>
      <c r="BN513" s="93"/>
      <c r="BO513" s="93"/>
      <c r="BP513" s="93"/>
      <c r="BQ513" s="93"/>
      <c r="BR513" s="93"/>
      <c r="BS513" s="93"/>
      <c r="BT513" s="93"/>
      <c r="BU513" s="93"/>
      <c r="BV513" s="93"/>
      <c r="BW513" s="93"/>
      <c r="BX513" s="93"/>
      <c r="BY513" s="93"/>
      <c r="BZ513" s="93"/>
    </row>
    <row r="514">
      <c r="B514" t="s">
        <v>2320</v>
      </c>
      <c r="C514" s="89" t="s">
        <v>326</v>
      </c>
      <c r="D514" s="90" t="s">
        <v>2321</v>
      </c>
      <c r="E514" s="91">
        <v>2014.0</v>
      </c>
      <c r="F514" s="97" t="s">
        <v>1777</v>
      </c>
      <c r="G514" s="93"/>
      <c r="H514" s="93"/>
      <c r="I514" s="93"/>
      <c r="J514" s="93"/>
      <c r="K514" s="93"/>
      <c r="L514" s="93"/>
      <c r="M514" s="93"/>
      <c r="N514" s="93"/>
      <c r="O514" s="93"/>
      <c r="P514" s="93"/>
      <c r="Q514" s="93"/>
      <c r="R514" s="93"/>
      <c r="S514" s="93"/>
      <c r="T514" s="93"/>
      <c r="U514" s="93"/>
      <c r="V514" s="93"/>
      <c r="W514" s="93"/>
      <c r="X514" s="93"/>
      <c r="Y514" s="93"/>
      <c r="Z514" s="93"/>
      <c r="AA514" s="93"/>
      <c r="AB514" s="93"/>
      <c r="AC514" s="93"/>
      <c r="AD514" s="93"/>
      <c r="AE514" s="93"/>
      <c r="AF514" s="93"/>
      <c r="AG514" s="93"/>
      <c r="AH514" s="94"/>
      <c r="AI514" s="93"/>
      <c r="AJ514" s="93"/>
      <c r="AK514" s="93"/>
      <c r="AL514" s="93"/>
      <c r="AM514" s="93"/>
      <c r="AN514" s="93"/>
      <c r="AO514" s="93"/>
      <c r="AP514" s="93"/>
      <c r="AQ514" s="93"/>
      <c r="AR514" s="93"/>
      <c r="AS514" s="93"/>
      <c r="AT514" s="93"/>
      <c r="AU514" s="93"/>
      <c r="AV514" s="93"/>
      <c r="AW514" s="93"/>
      <c r="AX514" s="93"/>
      <c r="AY514" s="93"/>
      <c r="AZ514" s="93"/>
      <c r="BA514" s="93"/>
      <c r="BB514" s="93"/>
      <c r="BC514" s="93"/>
      <c r="BD514" s="93"/>
      <c r="BE514" s="93"/>
      <c r="BF514" s="93"/>
      <c r="BG514" s="93"/>
      <c r="BH514" s="93"/>
      <c r="BI514" s="93"/>
      <c r="BJ514" s="93"/>
      <c r="BK514" s="93"/>
      <c r="BL514" s="93"/>
      <c r="BM514" s="93"/>
      <c r="BN514" s="93"/>
      <c r="BO514" s="93"/>
      <c r="BP514" s="93"/>
      <c r="BQ514" s="93"/>
      <c r="BR514" s="93"/>
      <c r="BS514" s="93"/>
      <c r="BT514" s="93"/>
      <c r="BU514" s="93"/>
      <c r="BV514" s="93"/>
      <c r="BW514" s="93"/>
      <c r="BX514" s="93"/>
      <c r="BY514" s="93"/>
      <c r="BZ514" s="93"/>
    </row>
    <row r="515">
      <c r="A515" t="s">
        <v>1331</v>
      </c>
      <c r="B515" t="s">
        <v>2322</v>
      </c>
      <c r="C515" s="89" t="s">
        <v>2323</v>
      </c>
      <c r="D515" s="90" t="s">
        <v>2324</v>
      </c>
      <c r="E515" s="91">
        <v>2013.0</v>
      </c>
      <c r="F515" s="93"/>
      <c r="G515" s="93"/>
      <c r="H515" s="93"/>
      <c r="I515" s="93"/>
      <c r="J515" s="93"/>
      <c r="K515" s="93"/>
      <c r="L515" s="93"/>
      <c r="M515" s="92">
        <v>1.0</v>
      </c>
      <c r="N515" s="93"/>
      <c r="O515" s="93"/>
      <c r="P515" s="93"/>
      <c r="Q515" s="93"/>
      <c r="R515" s="93"/>
      <c r="S515" s="93"/>
      <c r="T515" s="93"/>
      <c r="U515" s="93"/>
      <c r="V515" s="95" t="s">
        <v>2325</v>
      </c>
      <c r="W515" s="95" t="s">
        <v>2326</v>
      </c>
      <c r="X515" s="93"/>
      <c r="Y515" s="93"/>
      <c r="Z515" s="93"/>
      <c r="AA515" s="93"/>
      <c r="AB515" s="93"/>
      <c r="AC515" s="93"/>
      <c r="AD515" s="93"/>
      <c r="AE515" s="93"/>
      <c r="AF515" s="92">
        <v>1.0</v>
      </c>
      <c r="AG515" s="93"/>
      <c r="AH515" s="96" t="s">
        <v>2327</v>
      </c>
      <c r="AI515" s="92">
        <v>1.0</v>
      </c>
      <c r="AJ515" s="93"/>
      <c r="AK515" s="93"/>
      <c r="AL515" s="93"/>
      <c r="AM515" s="93"/>
      <c r="AN515" s="92">
        <v>1.0</v>
      </c>
      <c r="AO515" s="93"/>
      <c r="AP515" s="93"/>
      <c r="AQ515" s="93"/>
      <c r="AR515" s="92">
        <v>1.0</v>
      </c>
      <c r="AS515" s="93"/>
      <c r="AT515" s="93"/>
      <c r="AU515" s="93"/>
      <c r="AV515" s="93"/>
      <c r="AW515" s="93"/>
      <c r="AX515" s="93"/>
      <c r="AY515" s="93"/>
      <c r="AZ515" s="93"/>
      <c r="BA515" s="93"/>
      <c r="BB515" s="93"/>
      <c r="BC515" s="93"/>
      <c r="BD515" s="93"/>
      <c r="BE515" s="92">
        <v>1.0</v>
      </c>
      <c r="BF515" s="93"/>
      <c r="BG515" s="93"/>
      <c r="BH515" s="92">
        <v>1.0</v>
      </c>
      <c r="BI515" s="93"/>
      <c r="BJ515" s="93"/>
      <c r="BK515" s="93"/>
      <c r="BL515" s="93"/>
      <c r="BM515" s="93"/>
      <c r="BN515" s="93"/>
      <c r="BO515" s="93"/>
      <c r="BP515" s="93"/>
      <c r="BQ515" s="93"/>
      <c r="BR515" s="93"/>
      <c r="BS515" s="93"/>
      <c r="BT515" s="93"/>
      <c r="BU515" s="93"/>
      <c r="BV515" s="93"/>
      <c r="BW515" s="93"/>
      <c r="BX515" s="93"/>
      <c r="BY515" s="93"/>
      <c r="BZ515" s="93"/>
    </row>
    <row r="516">
      <c r="B516" t="s">
        <v>2328</v>
      </c>
      <c r="C516" s="89" t="s">
        <v>2329</v>
      </c>
      <c r="D516" s="90" t="s">
        <v>2330</v>
      </c>
      <c r="E516" s="91">
        <v>2016.0</v>
      </c>
      <c r="F516" s="92">
        <v>1.0</v>
      </c>
      <c r="G516" s="93"/>
      <c r="H516" s="93"/>
      <c r="I516" s="93"/>
      <c r="J516" s="93"/>
      <c r="K516" s="93"/>
      <c r="L516" s="93"/>
      <c r="M516" s="93"/>
      <c r="N516" s="93"/>
      <c r="O516" s="93"/>
      <c r="P516" s="93"/>
      <c r="Q516" s="93"/>
      <c r="R516" s="93"/>
      <c r="S516" s="93"/>
      <c r="T516" s="93"/>
      <c r="U516" s="93"/>
      <c r="V516" s="93"/>
      <c r="W516" s="93"/>
      <c r="X516" s="93"/>
      <c r="Y516" s="93"/>
      <c r="Z516" s="93"/>
      <c r="AA516" s="93"/>
      <c r="AB516" s="93"/>
      <c r="AC516" s="93"/>
      <c r="AD516" s="93"/>
      <c r="AE516" s="93"/>
      <c r="AF516" s="93"/>
      <c r="AG516" s="93"/>
      <c r="AH516" s="94"/>
      <c r="AI516" s="93"/>
      <c r="AJ516" s="93"/>
      <c r="AK516" s="93"/>
      <c r="AL516" s="93"/>
      <c r="AM516" s="93"/>
      <c r="AN516" s="93"/>
      <c r="AO516" s="93"/>
      <c r="AP516" s="93"/>
      <c r="AQ516" s="93"/>
      <c r="AR516" s="93"/>
      <c r="AS516" s="93"/>
      <c r="AT516" s="93"/>
      <c r="AU516" s="93"/>
      <c r="AV516" s="93"/>
      <c r="AW516" s="93"/>
      <c r="AX516" s="93"/>
      <c r="AY516" s="93"/>
      <c r="AZ516" s="93"/>
      <c r="BA516" s="93"/>
      <c r="BB516" s="93"/>
      <c r="BC516" s="93"/>
      <c r="BD516" s="93"/>
      <c r="BE516" s="93"/>
      <c r="BF516" s="93"/>
      <c r="BG516" s="93"/>
      <c r="BH516" s="93"/>
      <c r="BI516" s="93"/>
      <c r="BJ516" s="93"/>
      <c r="BK516" s="93"/>
      <c r="BL516" s="93"/>
      <c r="BM516" s="93"/>
      <c r="BN516" s="93"/>
      <c r="BO516" s="93"/>
      <c r="BP516" s="93"/>
      <c r="BQ516" s="93"/>
      <c r="BR516" s="93"/>
      <c r="BS516" s="93"/>
      <c r="BT516" s="93"/>
      <c r="BU516" s="93"/>
      <c r="BV516" s="93"/>
      <c r="BW516" s="93"/>
      <c r="BX516" s="93"/>
      <c r="BY516" s="93"/>
      <c r="BZ516" s="93"/>
    </row>
    <row r="517">
      <c r="B517" t="s">
        <v>2331</v>
      </c>
      <c r="C517" s="89" t="s">
        <v>1033</v>
      </c>
      <c r="D517" s="90" t="s">
        <v>2332</v>
      </c>
      <c r="E517" s="91">
        <v>1988.0</v>
      </c>
      <c r="F517" s="97" t="s">
        <v>1777</v>
      </c>
      <c r="G517" s="93"/>
      <c r="H517" s="93"/>
      <c r="I517" s="93"/>
      <c r="J517" s="93"/>
      <c r="K517" s="93"/>
      <c r="L517" s="93"/>
      <c r="M517" s="93"/>
      <c r="N517" s="93"/>
      <c r="O517" s="93"/>
      <c r="P517" s="93"/>
      <c r="Q517" s="93"/>
      <c r="R517" s="93"/>
      <c r="S517" s="93"/>
      <c r="T517" s="93"/>
      <c r="U517" s="93"/>
      <c r="V517" s="93"/>
      <c r="W517" s="93"/>
      <c r="X517" s="93"/>
      <c r="Y517" s="93"/>
      <c r="Z517" s="93"/>
      <c r="AA517" s="93"/>
      <c r="AB517" s="93"/>
      <c r="AC517" s="93"/>
      <c r="AD517" s="93"/>
      <c r="AE517" s="93"/>
      <c r="AF517" s="93"/>
      <c r="AG517" s="93"/>
      <c r="AH517" s="94"/>
      <c r="AI517" s="93"/>
      <c r="AJ517" s="93"/>
      <c r="AK517" s="93"/>
      <c r="AL517" s="93"/>
      <c r="AM517" s="93"/>
      <c r="AN517" s="93"/>
      <c r="AO517" s="93"/>
      <c r="AP517" s="93"/>
      <c r="AQ517" s="93"/>
      <c r="AR517" s="93"/>
      <c r="AS517" s="93"/>
      <c r="AT517" s="93"/>
      <c r="AU517" s="93"/>
      <c r="AV517" s="93"/>
      <c r="AW517" s="93"/>
      <c r="AX517" s="93"/>
      <c r="AY517" s="93"/>
      <c r="AZ517" s="93"/>
      <c r="BA517" s="93"/>
      <c r="BB517" s="93"/>
      <c r="BC517" s="93"/>
      <c r="BD517" s="93"/>
      <c r="BE517" s="93"/>
      <c r="BF517" s="93"/>
      <c r="BG517" s="93"/>
      <c r="BH517" s="93"/>
      <c r="BI517" s="93"/>
      <c r="BJ517" s="93"/>
      <c r="BK517" s="93"/>
      <c r="BL517" s="93"/>
      <c r="BM517" s="93"/>
      <c r="BN517" s="93"/>
      <c r="BO517" s="93"/>
      <c r="BP517" s="93"/>
      <c r="BQ517" s="93"/>
      <c r="BR517" s="93"/>
      <c r="BS517" s="93"/>
      <c r="BT517" s="93"/>
      <c r="BU517" s="93"/>
      <c r="BV517" s="93"/>
      <c r="BW517" s="93"/>
      <c r="BX517" s="93"/>
      <c r="BY517" s="93"/>
      <c r="BZ517" s="93"/>
    </row>
    <row r="518">
      <c r="B518" t="s">
        <v>2333</v>
      </c>
      <c r="C518" s="89" t="s">
        <v>2334</v>
      </c>
      <c r="D518" s="90" t="s">
        <v>2335</v>
      </c>
      <c r="E518" s="91">
        <v>2012.0</v>
      </c>
      <c r="F518" s="92">
        <v>1.0</v>
      </c>
      <c r="G518" s="93"/>
      <c r="H518" s="93"/>
      <c r="I518" s="93"/>
      <c r="J518" s="93"/>
      <c r="K518" s="93"/>
      <c r="L518" s="93"/>
      <c r="M518" s="93"/>
      <c r="N518" s="93"/>
      <c r="O518" s="93"/>
      <c r="P518" s="93"/>
      <c r="Q518" s="93"/>
      <c r="R518" s="93"/>
      <c r="S518" s="93"/>
      <c r="T518" s="93"/>
      <c r="U518" s="93"/>
      <c r="V518" s="93"/>
      <c r="W518" s="93"/>
      <c r="X518" s="93"/>
      <c r="Y518" s="93"/>
      <c r="Z518" s="93"/>
      <c r="AA518" s="93"/>
      <c r="AB518" s="93"/>
      <c r="AC518" s="93"/>
      <c r="AD518" s="93"/>
      <c r="AE518" s="93"/>
      <c r="AF518" s="93"/>
      <c r="AG518" s="93"/>
      <c r="AH518" s="94"/>
      <c r="AI518" s="93"/>
      <c r="AJ518" s="93"/>
      <c r="AK518" s="93"/>
      <c r="AL518" s="93"/>
      <c r="AM518" s="93"/>
      <c r="AN518" s="93"/>
      <c r="AO518" s="93"/>
      <c r="AP518" s="93"/>
      <c r="AQ518" s="93"/>
      <c r="AR518" s="93"/>
      <c r="AS518" s="93"/>
      <c r="AT518" s="93"/>
      <c r="AU518" s="93"/>
      <c r="AV518" s="93"/>
      <c r="AW518" s="93"/>
      <c r="AX518" s="93"/>
      <c r="AY518" s="93"/>
      <c r="AZ518" s="93"/>
      <c r="BA518" s="93"/>
      <c r="BB518" s="93"/>
      <c r="BC518" s="93"/>
      <c r="BD518" s="93"/>
      <c r="BE518" s="93"/>
      <c r="BF518" s="93"/>
      <c r="BG518" s="93"/>
      <c r="BH518" s="93"/>
      <c r="BI518" s="93"/>
      <c r="BJ518" s="93"/>
      <c r="BK518" s="93"/>
      <c r="BL518" s="93"/>
      <c r="BM518" s="93"/>
      <c r="BN518" s="93"/>
      <c r="BO518" s="93"/>
      <c r="BP518" s="93"/>
      <c r="BQ518" s="93"/>
      <c r="BR518" s="93"/>
      <c r="BS518" s="93"/>
      <c r="BT518" s="93"/>
      <c r="BU518" s="93"/>
      <c r="BV518" s="93"/>
      <c r="BW518" s="93"/>
      <c r="BX518" s="93"/>
      <c r="BY518" s="93"/>
      <c r="BZ518" s="93"/>
    </row>
    <row r="519">
      <c r="A519" t="s">
        <v>1340</v>
      </c>
      <c r="B519" t="s">
        <v>2336</v>
      </c>
      <c r="C519" s="89" t="s">
        <v>2337</v>
      </c>
      <c r="D519" s="90" t="s">
        <v>503</v>
      </c>
      <c r="E519" s="91">
        <v>1983.0</v>
      </c>
      <c r="F519" s="93"/>
      <c r="G519" s="93"/>
      <c r="H519" s="93"/>
      <c r="I519" s="92">
        <v>1.0</v>
      </c>
      <c r="J519" s="93"/>
      <c r="K519" s="93"/>
      <c r="L519" s="93"/>
      <c r="M519" s="93"/>
      <c r="N519" s="93"/>
      <c r="O519" s="93"/>
      <c r="P519" s="93"/>
      <c r="Q519" s="93"/>
      <c r="R519" s="93"/>
      <c r="S519" s="93"/>
      <c r="T519" s="93"/>
      <c r="U519" s="93"/>
      <c r="V519" s="98" t="s">
        <v>2338</v>
      </c>
      <c r="W519" s="98" t="s">
        <v>2339</v>
      </c>
      <c r="X519" s="98" t="s">
        <v>2003</v>
      </c>
      <c r="Y519" s="98" t="s">
        <v>2003</v>
      </c>
      <c r="Z519" s="98" t="s">
        <v>137</v>
      </c>
      <c r="AA519" s="93"/>
      <c r="AB519" s="93"/>
      <c r="AC519" s="93"/>
      <c r="AD519" s="93"/>
      <c r="AE519" s="93"/>
      <c r="AF519" s="92">
        <v>1.0</v>
      </c>
      <c r="AG519" s="92">
        <v>1.0</v>
      </c>
      <c r="AH519" s="96" t="s">
        <v>2340</v>
      </c>
      <c r="AI519" s="92">
        <v>1.0</v>
      </c>
      <c r="AJ519" s="93"/>
      <c r="AK519" s="93"/>
      <c r="AL519" s="93"/>
      <c r="AM519" s="93"/>
      <c r="AN519" s="92">
        <v>1.0</v>
      </c>
      <c r="AO519" s="93"/>
      <c r="AP519" s="92">
        <v>1.0</v>
      </c>
      <c r="AQ519" s="92">
        <v>1.0</v>
      </c>
      <c r="AR519" s="93"/>
      <c r="AS519" s="93"/>
      <c r="AT519" s="93"/>
      <c r="AU519" s="93"/>
      <c r="AV519" s="93"/>
      <c r="AW519" s="93"/>
      <c r="AX519" s="93"/>
      <c r="AY519" s="93"/>
      <c r="AZ519" s="93"/>
      <c r="BA519" s="93"/>
      <c r="BB519" s="93"/>
      <c r="BC519" s="93"/>
      <c r="BD519" s="93"/>
      <c r="BE519" s="93"/>
      <c r="BF519" s="93"/>
      <c r="BG519" s="93"/>
      <c r="BH519" s="93"/>
      <c r="BI519" s="93"/>
      <c r="BJ519" s="93"/>
      <c r="BK519" s="93"/>
      <c r="BL519" s="93"/>
      <c r="BM519" s="93"/>
      <c r="BN519" s="93"/>
      <c r="BO519" s="93"/>
      <c r="BP519" s="93"/>
      <c r="BQ519" s="93"/>
      <c r="BR519" s="93"/>
      <c r="BS519" s="93"/>
      <c r="BT519" s="93"/>
      <c r="BU519" s="93"/>
      <c r="BV519" s="93"/>
      <c r="BW519" s="93"/>
      <c r="BX519" s="93"/>
      <c r="BY519" s="93"/>
      <c r="BZ519" s="93"/>
    </row>
    <row r="520">
      <c r="A520" t="s">
        <v>1354</v>
      </c>
      <c r="B520" t="s">
        <v>2341</v>
      </c>
      <c r="C520" s="89" t="s">
        <v>2342</v>
      </c>
      <c r="D520" s="90" t="s">
        <v>2343</v>
      </c>
      <c r="E520" s="91">
        <v>1993.0</v>
      </c>
      <c r="F520" s="92">
        <v>1.0</v>
      </c>
      <c r="G520" s="93"/>
      <c r="H520" s="93"/>
      <c r="I520" s="93"/>
      <c r="J520" s="93"/>
      <c r="K520" s="93"/>
      <c r="L520" s="93"/>
      <c r="M520" s="93"/>
      <c r="N520" s="93"/>
      <c r="O520" s="93"/>
      <c r="P520" s="93"/>
      <c r="Q520" s="93"/>
      <c r="R520" s="93"/>
      <c r="S520" s="93"/>
      <c r="T520" s="93"/>
      <c r="U520" s="93"/>
      <c r="V520" s="93"/>
      <c r="W520" s="93"/>
      <c r="X520" s="93"/>
      <c r="Y520" s="93"/>
      <c r="Z520" s="93"/>
      <c r="AA520" s="93"/>
      <c r="AB520" s="93"/>
      <c r="AC520" s="93"/>
      <c r="AD520" s="93"/>
      <c r="AE520" s="93"/>
      <c r="AF520" s="93"/>
      <c r="AG520" s="93"/>
      <c r="AH520" s="94"/>
      <c r="AI520" s="93"/>
      <c r="AJ520" s="93"/>
      <c r="AK520" s="93"/>
      <c r="AL520" s="93"/>
      <c r="AM520" s="93"/>
      <c r="AN520" s="93"/>
      <c r="AO520" s="93"/>
      <c r="AP520" s="93"/>
      <c r="AQ520" s="93"/>
      <c r="AR520" s="93"/>
      <c r="AS520" s="93"/>
      <c r="AT520" s="93"/>
      <c r="AU520" s="93"/>
      <c r="AV520" s="93"/>
      <c r="AW520" s="93"/>
      <c r="AX520" s="93"/>
      <c r="AY520" s="93"/>
      <c r="AZ520" s="93"/>
      <c r="BA520" s="93"/>
      <c r="BB520" s="93"/>
      <c r="BC520" s="93"/>
      <c r="BD520" s="93"/>
      <c r="BE520" s="93"/>
      <c r="BF520" s="93"/>
      <c r="BG520" s="93"/>
      <c r="BH520" s="93"/>
      <c r="BI520" s="93"/>
      <c r="BJ520" s="93"/>
      <c r="BK520" s="93"/>
      <c r="BL520" s="93"/>
      <c r="BM520" s="93"/>
      <c r="BN520" s="93"/>
      <c r="BO520" s="93"/>
      <c r="BP520" s="93"/>
      <c r="BQ520" s="93"/>
      <c r="BR520" s="93"/>
      <c r="BS520" s="93"/>
      <c r="BT520" s="93"/>
      <c r="BU520" s="93"/>
      <c r="BV520" s="93"/>
      <c r="BW520" s="93"/>
      <c r="BX520" s="93"/>
      <c r="BY520" s="93"/>
      <c r="BZ520" s="93"/>
    </row>
    <row r="521">
      <c r="B521" t="s">
        <v>2344</v>
      </c>
      <c r="C521" s="89" t="s">
        <v>2345</v>
      </c>
      <c r="D521" s="90" t="s">
        <v>2346</v>
      </c>
      <c r="E521" s="91">
        <v>1998.0</v>
      </c>
      <c r="F521" s="92">
        <v>1.0</v>
      </c>
      <c r="G521" s="93"/>
      <c r="H521" s="93"/>
      <c r="I521" s="93"/>
      <c r="J521" s="93"/>
      <c r="K521" s="93"/>
      <c r="L521" s="93"/>
      <c r="M521" s="93"/>
      <c r="N521" s="93"/>
      <c r="O521" s="93"/>
      <c r="P521" s="93"/>
      <c r="Q521" s="93"/>
      <c r="R521" s="93"/>
      <c r="S521" s="93"/>
      <c r="T521" s="93"/>
      <c r="U521" s="93"/>
      <c r="V521" s="93"/>
      <c r="W521" s="93"/>
      <c r="X521" s="93"/>
      <c r="Y521" s="93"/>
      <c r="Z521" s="93"/>
      <c r="AA521" s="93"/>
      <c r="AB521" s="93"/>
      <c r="AC521" s="93"/>
      <c r="AD521" s="93"/>
      <c r="AE521" s="93"/>
      <c r="AF521" s="93"/>
      <c r="AG521" s="93"/>
      <c r="AH521" s="94"/>
      <c r="AI521" s="93"/>
      <c r="AJ521" s="93"/>
      <c r="AK521" s="93"/>
      <c r="AL521" s="93"/>
      <c r="AM521" s="93"/>
      <c r="AN521" s="93"/>
      <c r="AO521" s="93"/>
      <c r="AP521" s="93"/>
      <c r="AQ521" s="93"/>
      <c r="AR521" s="93"/>
      <c r="AS521" s="93"/>
      <c r="AT521" s="93"/>
      <c r="AU521" s="93"/>
      <c r="AV521" s="93"/>
      <c r="AW521" s="93"/>
      <c r="AX521" s="93"/>
      <c r="AY521" s="93"/>
      <c r="AZ521" s="93"/>
      <c r="BA521" s="93"/>
      <c r="BB521" s="93"/>
      <c r="BC521" s="93"/>
      <c r="BD521" s="93"/>
      <c r="BE521" s="93"/>
      <c r="BF521" s="93"/>
      <c r="BG521" s="93"/>
      <c r="BH521" s="93"/>
      <c r="BI521" s="93"/>
      <c r="BJ521" s="93"/>
      <c r="BK521" s="93"/>
      <c r="BL521" s="93"/>
      <c r="BM521" s="93"/>
      <c r="BN521" s="93"/>
      <c r="BO521" s="93"/>
      <c r="BP521" s="93"/>
      <c r="BQ521" s="93"/>
      <c r="BR521" s="93"/>
      <c r="BS521" s="93"/>
      <c r="BT521" s="93"/>
      <c r="BU521" s="93"/>
      <c r="BV521" s="93"/>
      <c r="BW521" s="93"/>
      <c r="BX521" s="93"/>
      <c r="BY521" s="93"/>
      <c r="BZ521" s="93"/>
    </row>
    <row r="522">
      <c r="A522" t="s">
        <v>116</v>
      </c>
      <c r="B522" t="s">
        <v>2347</v>
      </c>
      <c r="C522" s="89" t="s">
        <v>2348</v>
      </c>
      <c r="D522" s="90" t="s">
        <v>2349</v>
      </c>
      <c r="E522" s="91">
        <v>2002.0</v>
      </c>
      <c r="F522" s="92">
        <v>1.0</v>
      </c>
      <c r="G522" s="93"/>
      <c r="H522" s="93"/>
      <c r="I522" s="93"/>
      <c r="J522" s="93"/>
      <c r="K522" s="93"/>
      <c r="L522" s="93"/>
      <c r="M522" s="93"/>
      <c r="N522" s="93"/>
      <c r="O522" s="93"/>
      <c r="P522" s="93"/>
      <c r="Q522" s="93"/>
      <c r="R522" s="93"/>
      <c r="S522" s="93"/>
      <c r="T522" s="93"/>
      <c r="U522" s="93"/>
      <c r="V522" s="93"/>
      <c r="W522" s="93"/>
      <c r="X522" s="93"/>
      <c r="Y522" s="93"/>
      <c r="Z522" s="93"/>
      <c r="AA522" s="93"/>
      <c r="AB522" s="93"/>
      <c r="AC522" s="93"/>
      <c r="AD522" s="93"/>
      <c r="AE522" s="93"/>
      <c r="AF522" s="93"/>
      <c r="AG522" s="93"/>
      <c r="AH522" s="94"/>
      <c r="AI522" s="93"/>
      <c r="AJ522" s="93"/>
      <c r="AK522" s="93"/>
      <c r="AL522" s="93"/>
      <c r="AM522" s="93"/>
      <c r="AN522" s="93"/>
      <c r="AO522" s="93"/>
      <c r="AP522" s="93"/>
      <c r="AQ522" s="93"/>
      <c r="AR522" s="93"/>
      <c r="AS522" s="93"/>
      <c r="AT522" s="93"/>
      <c r="AU522" s="93"/>
      <c r="AV522" s="93"/>
      <c r="AW522" s="93"/>
      <c r="AX522" s="93"/>
      <c r="AY522" s="93"/>
      <c r="AZ522" s="93"/>
      <c r="BA522" s="93"/>
      <c r="BB522" s="93"/>
      <c r="BC522" s="93"/>
      <c r="BD522" s="93"/>
      <c r="BE522" s="93"/>
      <c r="BF522" s="93"/>
      <c r="BG522" s="93"/>
      <c r="BH522" s="93"/>
      <c r="BI522" s="93"/>
      <c r="BJ522" s="93"/>
      <c r="BK522" s="93"/>
      <c r="BL522" s="93"/>
      <c r="BM522" s="93"/>
      <c r="BN522" s="93"/>
      <c r="BO522" s="93"/>
      <c r="BP522" s="93"/>
      <c r="BQ522" s="93"/>
      <c r="BR522" s="93"/>
      <c r="BS522" s="93"/>
      <c r="BT522" s="93"/>
      <c r="BU522" s="93"/>
      <c r="BV522" s="93"/>
      <c r="BW522" s="93"/>
      <c r="BX522" s="93"/>
      <c r="BY522" s="93"/>
      <c r="BZ522" s="93"/>
    </row>
    <row r="523">
      <c r="A523" t="s">
        <v>1331</v>
      </c>
      <c r="B523" t="s">
        <v>2350</v>
      </c>
      <c r="C523" s="89" t="s">
        <v>2351</v>
      </c>
      <c r="D523" s="90" t="s">
        <v>2352</v>
      </c>
      <c r="E523" s="91">
        <v>2008.0</v>
      </c>
      <c r="F523" s="92">
        <v>1.0</v>
      </c>
      <c r="G523" s="93"/>
      <c r="H523" s="95"/>
      <c r="I523" s="93"/>
      <c r="J523" s="93"/>
      <c r="K523" s="93"/>
      <c r="L523" s="93"/>
      <c r="M523" s="93"/>
      <c r="N523" s="93"/>
      <c r="O523" s="93"/>
      <c r="P523" s="93"/>
      <c r="Q523" s="93"/>
      <c r="R523" s="93"/>
      <c r="S523" s="93"/>
      <c r="T523" s="93"/>
      <c r="U523" s="93"/>
      <c r="V523" s="93"/>
      <c r="W523" s="95"/>
      <c r="X523" s="93"/>
      <c r="Y523" s="93"/>
      <c r="Z523" s="93"/>
      <c r="AA523" s="93"/>
      <c r="AB523" s="93"/>
      <c r="AC523" s="93"/>
      <c r="AD523" s="93"/>
      <c r="AE523" s="93"/>
      <c r="AF523" s="93"/>
      <c r="AG523" s="93"/>
      <c r="AH523" s="94"/>
      <c r="AI523" s="93"/>
      <c r="AJ523" s="93"/>
      <c r="AK523" s="93"/>
      <c r="AL523" s="93"/>
      <c r="AM523" s="93"/>
      <c r="AN523" s="93"/>
      <c r="AO523" s="93"/>
      <c r="AP523" s="93"/>
      <c r="AQ523" s="93"/>
      <c r="AR523" s="93"/>
      <c r="AS523" s="93"/>
      <c r="AT523" s="93"/>
      <c r="AU523" s="93"/>
      <c r="AV523" s="93"/>
      <c r="AW523" s="93"/>
      <c r="AX523" s="93"/>
      <c r="AY523" s="93"/>
      <c r="AZ523" s="93"/>
      <c r="BA523" s="93"/>
      <c r="BB523" s="93"/>
      <c r="BC523" s="93"/>
      <c r="BD523" s="93"/>
      <c r="BE523" s="93"/>
      <c r="BF523" s="93"/>
      <c r="BG523" s="93"/>
      <c r="BH523" s="93"/>
      <c r="BI523" s="93"/>
      <c r="BJ523" s="93"/>
      <c r="BK523" s="93"/>
      <c r="BL523" s="93"/>
      <c r="BM523" s="93"/>
      <c r="BN523" s="93"/>
      <c r="BO523" s="93"/>
      <c r="BP523" s="93"/>
      <c r="BQ523" s="93"/>
      <c r="BR523" s="93"/>
      <c r="BS523" s="93"/>
      <c r="BT523" s="93"/>
      <c r="BU523" s="93"/>
      <c r="BV523" s="93"/>
      <c r="BW523" s="93"/>
      <c r="BX523" s="93"/>
      <c r="BY523" s="93"/>
      <c r="BZ523" s="93"/>
    </row>
    <row r="524">
      <c r="B524" t="s">
        <v>2353</v>
      </c>
      <c r="C524" s="89" t="s">
        <v>2354</v>
      </c>
      <c r="D524" s="90" t="s">
        <v>2355</v>
      </c>
      <c r="E524" s="91">
        <v>2009.0</v>
      </c>
      <c r="F524" s="92">
        <v>1.0</v>
      </c>
      <c r="G524" s="93"/>
      <c r="H524" s="93"/>
      <c r="I524" s="93"/>
      <c r="J524" s="93"/>
      <c r="K524" s="93"/>
      <c r="L524" s="93"/>
      <c r="M524" s="93"/>
      <c r="N524" s="93"/>
      <c r="O524" s="93"/>
      <c r="P524" s="93"/>
      <c r="Q524" s="93"/>
      <c r="R524" s="93"/>
      <c r="S524" s="93"/>
      <c r="T524" s="93"/>
      <c r="U524" s="93"/>
      <c r="V524" s="93"/>
      <c r="W524" s="93"/>
      <c r="X524" s="93"/>
      <c r="Y524" s="93"/>
      <c r="Z524" s="93"/>
      <c r="AA524" s="93"/>
      <c r="AB524" s="93"/>
      <c r="AC524" s="93"/>
      <c r="AD524" s="93"/>
      <c r="AE524" s="93"/>
      <c r="AF524" s="93"/>
      <c r="AG524" s="93"/>
      <c r="AH524" s="94"/>
      <c r="AI524" s="93"/>
      <c r="AJ524" s="93"/>
      <c r="AK524" s="93"/>
      <c r="AL524" s="93"/>
      <c r="AM524" s="93"/>
      <c r="AN524" s="93"/>
      <c r="AO524" s="93"/>
      <c r="AP524" s="93"/>
      <c r="AQ524" s="93"/>
      <c r="AR524" s="93"/>
      <c r="AS524" s="93"/>
      <c r="AT524" s="93"/>
      <c r="AU524" s="93"/>
      <c r="AV524" s="93"/>
      <c r="AW524" s="93"/>
      <c r="AX524" s="93"/>
      <c r="AY524" s="93"/>
      <c r="AZ524" s="93"/>
      <c r="BA524" s="93"/>
      <c r="BB524" s="93"/>
      <c r="BC524" s="93"/>
      <c r="BD524" s="93"/>
      <c r="BE524" s="93"/>
      <c r="BF524" s="93"/>
      <c r="BG524" s="93"/>
      <c r="BH524" s="93"/>
      <c r="BI524" s="93"/>
      <c r="BJ524" s="93"/>
      <c r="BK524" s="93"/>
      <c r="BL524" s="93"/>
      <c r="BM524" s="93"/>
      <c r="BN524" s="93"/>
      <c r="BO524" s="93"/>
      <c r="BP524" s="93"/>
      <c r="BQ524" s="93"/>
      <c r="BR524" s="93"/>
      <c r="BS524" s="93"/>
      <c r="BT524" s="93"/>
      <c r="BU524" s="93"/>
      <c r="BV524" s="93"/>
      <c r="BW524" s="93"/>
      <c r="BX524" s="93"/>
      <c r="BY524" s="93"/>
      <c r="BZ524" s="93"/>
    </row>
    <row r="525">
      <c r="B525" t="s">
        <v>2356</v>
      </c>
      <c r="C525" s="89" t="s">
        <v>2357</v>
      </c>
      <c r="D525" s="90" t="s">
        <v>2358</v>
      </c>
      <c r="E525" s="91">
        <v>2019.0</v>
      </c>
      <c r="F525" s="92">
        <v>1.0</v>
      </c>
      <c r="G525" s="93"/>
      <c r="H525" s="93"/>
      <c r="I525" s="93"/>
      <c r="J525" s="93"/>
      <c r="K525" s="93"/>
      <c r="L525" s="93"/>
      <c r="M525" s="93"/>
      <c r="N525" s="93"/>
      <c r="O525" s="93"/>
      <c r="P525" s="93"/>
      <c r="Q525" s="93"/>
      <c r="R525" s="93"/>
      <c r="S525" s="93"/>
      <c r="T525" s="93"/>
      <c r="U525" s="93"/>
      <c r="V525" s="93"/>
      <c r="W525" s="93"/>
      <c r="X525" s="93"/>
      <c r="Y525" s="93"/>
      <c r="Z525" s="93"/>
      <c r="AA525" s="93"/>
      <c r="AB525" s="93"/>
      <c r="AC525" s="93"/>
      <c r="AD525" s="93"/>
      <c r="AE525" s="93"/>
      <c r="AF525" s="93"/>
      <c r="AG525" s="93"/>
      <c r="AH525" s="94"/>
      <c r="AI525" s="93"/>
      <c r="AJ525" s="93"/>
      <c r="AK525" s="93"/>
      <c r="AL525" s="93"/>
      <c r="AM525" s="93"/>
      <c r="AN525" s="93"/>
      <c r="AO525" s="93"/>
      <c r="AP525" s="93"/>
      <c r="AQ525" s="93"/>
      <c r="AR525" s="93"/>
      <c r="AS525" s="93"/>
      <c r="AT525" s="93"/>
      <c r="AU525" s="93"/>
      <c r="AV525" s="93"/>
      <c r="AW525" s="93"/>
      <c r="AX525" s="93"/>
      <c r="AY525" s="93"/>
      <c r="AZ525" s="93"/>
      <c r="BA525" s="93"/>
      <c r="BB525" s="93"/>
      <c r="BC525" s="93"/>
      <c r="BD525" s="93"/>
      <c r="BE525" s="93"/>
      <c r="BF525" s="93"/>
      <c r="BG525" s="93"/>
      <c r="BH525" s="93"/>
      <c r="BI525" s="93"/>
      <c r="BJ525" s="93"/>
      <c r="BK525" s="93"/>
      <c r="BL525" s="93"/>
      <c r="BM525" s="93"/>
      <c r="BN525" s="93"/>
      <c r="BO525" s="93"/>
      <c r="BP525" s="93"/>
      <c r="BQ525" s="93"/>
      <c r="BR525" s="93"/>
      <c r="BS525" s="93"/>
      <c r="BT525" s="93"/>
      <c r="BU525" s="93"/>
      <c r="BV525" s="93"/>
      <c r="BW525" s="93"/>
      <c r="BX525" s="93"/>
      <c r="BY525" s="93"/>
      <c r="BZ525" s="93"/>
    </row>
    <row r="526">
      <c r="B526" t="s">
        <v>2359</v>
      </c>
      <c r="C526" s="89" t="s">
        <v>2360</v>
      </c>
      <c r="D526" s="90" t="s">
        <v>2361</v>
      </c>
      <c r="E526" s="91">
        <v>2006.0</v>
      </c>
      <c r="F526" s="97" t="s">
        <v>1777</v>
      </c>
      <c r="G526" s="93"/>
      <c r="H526" s="93"/>
      <c r="I526" s="93"/>
      <c r="J526" s="93"/>
      <c r="K526" s="93"/>
      <c r="L526" s="93"/>
      <c r="M526" s="93"/>
      <c r="N526" s="93"/>
      <c r="O526" s="93"/>
      <c r="P526" s="93"/>
      <c r="Q526" s="93"/>
      <c r="R526" s="93"/>
      <c r="S526" s="93"/>
      <c r="T526" s="93"/>
      <c r="U526" s="93"/>
      <c r="V526" s="93"/>
      <c r="W526" s="93"/>
      <c r="X526" s="93"/>
      <c r="Y526" s="93"/>
      <c r="Z526" s="93"/>
      <c r="AA526" s="93"/>
      <c r="AB526" s="93"/>
      <c r="AC526" s="93"/>
      <c r="AD526" s="93"/>
      <c r="AE526" s="93"/>
      <c r="AF526" s="93"/>
      <c r="AG526" s="93"/>
      <c r="AH526" s="94"/>
      <c r="AI526" s="93"/>
      <c r="AJ526" s="93"/>
      <c r="AK526" s="93"/>
      <c r="AL526" s="93"/>
      <c r="AM526" s="93"/>
      <c r="AN526" s="93"/>
      <c r="AO526" s="93"/>
      <c r="AP526" s="93"/>
      <c r="AQ526" s="93"/>
      <c r="AR526" s="93"/>
      <c r="AS526" s="93"/>
      <c r="AT526" s="93"/>
      <c r="AU526" s="93"/>
      <c r="AV526" s="93"/>
      <c r="AW526" s="93"/>
      <c r="AX526" s="93"/>
      <c r="AY526" s="93"/>
      <c r="AZ526" s="93"/>
      <c r="BA526" s="93"/>
      <c r="BB526" s="93"/>
      <c r="BC526" s="93"/>
      <c r="BD526" s="93"/>
      <c r="BE526" s="93"/>
      <c r="BF526" s="93"/>
      <c r="BG526" s="93"/>
      <c r="BH526" s="93"/>
      <c r="BI526" s="93"/>
      <c r="BJ526" s="93"/>
      <c r="BK526" s="93"/>
      <c r="BL526" s="93"/>
      <c r="BM526" s="93"/>
      <c r="BN526" s="93"/>
      <c r="BO526" s="93"/>
      <c r="BP526" s="93"/>
      <c r="BQ526" s="93"/>
      <c r="BR526" s="93"/>
      <c r="BS526" s="93"/>
      <c r="BT526" s="93"/>
      <c r="BU526" s="93"/>
      <c r="BV526" s="93"/>
      <c r="BW526" s="93"/>
      <c r="BX526" s="93"/>
      <c r="BY526" s="93"/>
      <c r="BZ526" s="93"/>
    </row>
    <row r="527">
      <c r="B527" t="s">
        <v>2362</v>
      </c>
      <c r="C527" s="89" t="s">
        <v>2363</v>
      </c>
      <c r="D527" s="90" t="s">
        <v>503</v>
      </c>
      <c r="E527" s="91">
        <v>2000.0</v>
      </c>
      <c r="F527" s="97" t="s">
        <v>1777</v>
      </c>
      <c r="G527" s="93"/>
      <c r="H527" s="93"/>
      <c r="I527" s="93"/>
      <c r="J527" s="93"/>
      <c r="K527" s="93"/>
      <c r="L527" s="93"/>
      <c r="M527" s="93"/>
      <c r="N527" s="93"/>
      <c r="O527" s="93"/>
      <c r="P527" s="93"/>
      <c r="Q527" s="93"/>
      <c r="R527" s="93"/>
      <c r="S527" s="93"/>
      <c r="T527" s="93"/>
      <c r="U527" s="93"/>
      <c r="V527" s="93"/>
      <c r="W527" s="93"/>
      <c r="X527" s="93"/>
      <c r="Y527" s="93"/>
      <c r="Z527" s="93"/>
      <c r="AA527" s="93"/>
      <c r="AB527" s="93"/>
      <c r="AC527" s="93"/>
      <c r="AD527" s="93"/>
      <c r="AE527" s="93"/>
      <c r="AF527" s="93"/>
      <c r="AG527" s="93"/>
      <c r="AH527" s="94"/>
      <c r="AI527" s="93"/>
      <c r="AJ527" s="93"/>
      <c r="AK527" s="93"/>
      <c r="AL527" s="93"/>
      <c r="AM527" s="93"/>
      <c r="AN527" s="93"/>
      <c r="AO527" s="93"/>
      <c r="AP527" s="93"/>
      <c r="AQ527" s="93"/>
      <c r="AR527" s="93"/>
      <c r="AS527" s="93"/>
      <c r="AT527" s="93"/>
      <c r="AU527" s="93"/>
      <c r="AV527" s="93"/>
      <c r="AW527" s="93"/>
      <c r="AX527" s="93"/>
      <c r="AY527" s="93"/>
      <c r="AZ527" s="93"/>
      <c r="BA527" s="93"/>
      <c r="BB527" s="93"/>
      <c r="BC527" s="93"/>
      <c r="BD527" s="93"/>
      <c r="BE527" s="93"/>
      <c r="BF527" s="93"/>
      <c r="BG527" s="93"/>
      <c r="BH527" s="93"/>
      <c r="BI527" s="93"/>
      <c r="BJ527" s="93"/>
      <c r="BK527" s="93"/>
      <c r="BL527" s="93"/>
      <c r="BM527" s="93"/>
      <c r="BN527" s="93"/>
      <c r="BO527" s="93"/>
      <c r="BP527" s="93"/>
      <c r="BQ527" s="93"/>
      <c r="BR527" s="93"/>
      <c r="BS527" s="93"/>
      <c r="BT527" s="93"/>
      <c r="BU527" s="93"/>
      <c r="BV527" s="93"/>
      <c r="BW527" s="93"/>
      <c r="BX527" s="93"/>
      <c r="BY527" s="93"/>
      <c r="BZ527" s="93"/>
    </row>
    <row r="528">
      <c r="B528" t="s">
        <v>2364</v>
      </c>
      <c r="C528" s="89" t="s">
        <v>2365</v>
      </c>
      <c r="D528" s="90" t="s">
        <v>2366</v>
      </c>
      <c r="E528" s="91">
        <v>2013.0</v>
      </c>
      <c r="F528" s="97" t="s">
        <v>1777</v>
      </c>
      <c r="G528" s="93"/>
      <c r="H528" s="93"/>
      <c r="I528" s="93"/>
      <c r="J528" s="93"/>
      <c r="K528" s="93"/>
      <c r="L528" s="93"/>
      <c r="M528" s="93"/>
      <c r="N528" s="93"/>
      <c r="O528" s="93"/>
      <c r="P528" s="93"/>
      <c r="Q528" s="93"/>
      <c r="R528" s="93"/>
      <c r="S528" s="93"/>
      <c r="T528" s="93"/>
      <c r="U528" s="93"/>
      <c r="V528" s="93"/>
      <c r="W528" s="93"/>
      <c r="X528" s="93"/>
      <c r="Y528" s="93"/>
      <c r="Z528" s="93"/>
      <c r="AA528" s="93"/>
      <c r="AB528" s="93"/>
      <c r="AC528" s="93"/>
      <c r="AD528" s="93"/>
      <c r="AE528" s="93"/>
      <c r="AF528" s="93"/>
      <c r="AG528" s="93"/>
      <c r="AH528" s="94"/>
      <c r="AI528" s="93"/>
      <c r="AJ528" s="93"/>
      <c r="AK528" s="93"/>
      <c r="AL528" s="93"/>
      <c r="AM528" s="93"/>
      <c r="AN528" s="93"/>
      <c r="AO528" s="93"/>
      <c r="AP528" s="93"/>
      <c r="AQ528" s="93"/>
      <c r="AR528" s="93"/>
      <c r="AS528" s="93"/>
      <c r="AT528" s="93"/>
      <c r="AU528" s="93"/>
      <c r="AV528" s="93"/>
      <c r="AW528" s="93"/>
      <c r="AX528" s="93"/>
      <c r="AY528" s="93"/>
      <c r="AZ528" s="93"/>
      <c r="BA528" s="93"/>
      <c r="BB528" s="93"/>
      <c r="BC528" s="93"/>
      <c r="BD528" s="93"/>
      <c r="BE528" s="93"/>
      <c r="BF528" s="93"/>
      <c r="BG528" s="93"/>
      <c r="BH528" s="93"/>
      <c r="BI528" s="93"/>
      <c r="BJ528" s="93"/>
      <c r="BK528" s="93"/>
      <c r="BL528" s="93"/>
      <c r="BM528" s="93"/>
      <c r="BN528" s="93"/>
      <c r="BO528" s="93"/>
      <c r="BP528" s="93"/>
      <c r="BQ528" s="93"/>
      <c r="BR528" s="93"/>
      <c r="BS528" s="93"/>
      <c r="BT528" s="93"/>
      <c r="BU528" s="93"/>
      <c r="BV528" s="93"/>
      <c r="BW528" s="93"/>
      <c r="BX528" s="93"/>
      <c r="BY528" s="93"/>
      <c r="BZ528" s="93"/>
    </row>
    <row r="529">
      <c r="B529" t="s">
        <v>2367</v>
      </c>
      <c r="C529" s="89" t="s">
        <v>2368</v>
      </c>
      <c r="D529" s="90" t="s">
        <v>2369</v>
      </c>
      <c r="E529" s="91">
        <v>2008.0</v>
      </c>
      <c r="F529" s="92">
        <v>1.0</v>
      </c>
      <c r="G529" s="93"/>
      <c r="H529" s="93"/>
      <c r="I529" s="93"/>
      <c r="J529" s="93"/>
      <c r="K529" s="93"/>
      <c r="L529" s="93"/>
      <c r="M529" s="93"/>
      <c r="N529" s="93"/>
      <c r="O529" s="93"/>
      <c r="P529" s="93"/>
      <c r="Q529" s="93"/>
      <c r="R529" s="93"/>
      <c r="S529" s="93"/>
      <c r="T529" s="93"/>
      <c r="U529" s="93"/>
      <c r="V529" s="93"/>
      <c r="W529" s="93"/>
      <c r="X529" s="93"/>
      <c r="Y529" s="93"/>
      <c r="Z529" s="93"/>
      <c r="AA529" s="93"/>
      <c r="AB529" s="93"/>
      <c r="AC529" s="93"/>
      <c r="AD529" s="93"/>
      <c r="AE529" s="93"/>
      <c r="AF529" s="93"/>
      <c r="AG529" s="93"/>
      <c r="AH529" s="94"/>
      <c r="AI529" s="93"/>
      <c r="AJ529" s="93"/>
      <c r="AK529" s="93"/>
      <c r="AL529" s="93"/>
      <c r="AM529" s="93"/>
      <c r="AN529" s="93"/>
      <c r="AO529" s="93"/>
      <c r="AP529" s="93"/>
      <c r="AQ529" s="93"/>
      <c r="AR529" s="93"/>
      <c r="AS529" s="93"/>
      <c r="AT529" s="93"/>
      <c r="AU529" s="93"/>
      <c r="AV529" s="93"/>
      <c r="AW529" s="93"/>
      <c r="AX529" s="93"/>
      <c r="AY529" s="93"/>
      <c r="AZ529" s="93"/>
      <c r="BA529" s="93"/>
      <c r="BB529" s="93"/>
      <c r="BC529" s="93"/>
      <c r="BD529" s="93"/>
      <c r="BE529" s="93"/>
      <c r="BF529" s="93"/>
      <c r="BG529" s="93"/>
      <c r="BH529" s="93"/>
      <c r="BI529" s="93"/>
      <c r="BJ529" s="93"/>
      <c r="BK529" s="93"/>
      <c r="BL529" s="93"/>
      <c r="BM529" s="93"/>
      <c r="BN529" s="93"/>
      <c r="BO529" s="93"/>
      <c r="BP529" s="93"/>
      <c r="BQ529" s="93"/>
      <c r="BR529" s="93"/>
      <c r="BS529" s="93"/>
      <c r="BT529" s="93"/>
      <c r="BU529" s="93"/>
      <c r="BV529" s="93"/>
      <c r="BW529" s="93"/>
      <c r="BX529" s="93"/>
      <c r="BY529" s="93"/>
      <c r="BZ529" s="93"/>
    </row>
    <row r="530">
      <c r="A530" t="s">
        <v>1340</v>
      </c>
      <c r="B530" t="s">
        <v>2370</v>
      </c>
      <c r="C530" s="89" t="s">
        <v>2371</v>
      </c>
      <c r="D530" s="90" t="s">
        <v>2372</v>
      </c>
      <c r="E530" s="91">
        <v>2013.0</v>
      </c>
      <c r="F530" s="95"/>
      <c r="G530" s="92">
        <v>1.0</v>
      </c>
      <c r="H530" s="93"/>
      <c r="I530" s="93"/>
      <c r="J530" s="93"/>
      <c r="K530" s="93"/>
      <c r="L530" s="93"/>
      <c r="M530" s="93"/>
      <c r="N530" s="93"/>
      <c r="O530" s="92">
        <v>1.0</v>
      </c>
      <c r="P530" s="93"/>
      <c r="Q530" s="93"/>
      <c r="R530" s="93"/>
      <c r="S530" s="93"/>
      <c r="T530" s="93"/>
      <c r="U530" s="93"/>
      <c r="V530" s="93"/>
      <c r="W530" s="98" t="s">
        <v>2373</v>
      </c>
      <c r="X530" s="98" t="s">
        <v>2003</v>
      </c>
      <c r="Y530" s="98" t="s">
        <v>2003</v>
      </c>
      <c r="Z530" s="98" t="s">
        <v>2374</v>
      </c>
      <c r="AA530" s="93"/>
      <c r="AB530" s="93"/>
      <c r="AC530" s="92">
        <v>1.0</v>
      </c>
      <c r="AD530" s="93"/>
      <c r="AE530" s="93"/>
      <c r="AF530" s="93"/>
      <c r="AG530" s="93"/>
      <c r="AH530" s="96" t="s">
        <v>2375</v>
      </c>
      <c r="AI530" s="92">
        <v>1.0</v>
      </c>
      <c r="AJ530" s="93"/>
      <c r="AK530" s="93"/>
      <c r="AL530" s="93"/>
      <c r="AM530" s="93"/>
      <c r="AN530" s="93"/>
      <c r="AO530" s="93"/>
      <c r="AP530" s="93"/>
      <c r="AQ530" s="93"/>
      <c r="AR530" s="93"/>
      <c r="AS530" s="93"/>
      <c r="AT530" s="93"/>
      <c r="AU530" s="93"/>
      <c r="AV530" s="93"/>
      <c r="AW530" s="93"/>
      <c r="AX530" s="93"/>
      <c r="AY530" s="93"/>
      <c r="AZ530" s="93"/>
      <c r="BA530" s="93"/>
      <c r="BB530" s="93"/>
      <c r="BC530" s="93"/>
      <c r="BD530" s="93"/>
      <c r="BE530" s="93"/>
      <c r="BF530" s="93"/>
      <c r="BG530" s="93"/>
      <c r="BH530" s="93"/>
      <c r="BI530" s="92">
        <v>1.0</v>
      </c>
      <c r="BJ530" s="92">
        <v>1.0</v>
      </c>
      <c r="BK530" s="93"/>
      <c r="BL530" s="93"/>
      <c r="BM530" s="93"/>
      <c r="BN530" s="93"/>
      <c r="BO530" s="93"/>
      <c r="BP530" s="93"/>
      <c r="BQ530" s="93"/>
      <c r="BR530" s="93"/>
      <c r="BS530" s="93"/>
      <c r="BT530" s="93"/>
      <c r="BU530" s="93"/>
      <c r="BV530" s="93"/>
      <c r="BW530" s="93"/>
      <c r="BX530" s="93"/>
      <c r="BY530" s="93"/>
      <c r="BZ530" s="93"/>
    </row>
    <row r="531">
      <c r="B531" t="s">
        <v>2376</v>
      </c>
      <c r="C531" s="89" t="s">
        <v>2377</v>
      </c>
      <c r="D531" s="90" t="s">
        <v>2378</v>
      </c>
      <c r="E531" s="91">
        <v>2012.0</v>
      </c>
      <c r="F531" s="92">
        <v>1.0</v>
      </c>
      <c r="G531" s="93"/>
      <c r="H531" s="93"/>
      <c r="I531" s="93"/>
      <c r="J531" s="93"/>
      <c r="K531" s="93"/>
      <c r="L531" s="93"/>
      <c r="M531" s="93"/>
      <c r="N531" s="93"/>
      <c r="O531" s="93"/>
      <c r="P531" s="93"/>
      <c r="Q531" s="93"/>
      <c r="R531" s="93"/>
      <c r="S531" s="93"/>
      <c r="T531" s="93"/>
      <c r="U531" s="93"/>
      <c r="V531" s="93"/>
      <c r="W531" s="93"/>
      <c r="X531" s="93"/>
      <c r="Y531" s="93"/>
      <c r="Z531" s="93"/>
      <c r="AA531" s="93"/>
      <c r="AB531" s="93"/>
      <c r="AC531" s="93"/>
      <c r="AD531" s="93"/>
      <c r="AE531" s="93"/>
      <c r="AF531" s="93"/>
      <c r="AG531" s="93"/>
      <c r="AH531" s="94"/>
      <c r="AI531" s="93"/>
      <c r="AJ531" s="93"/>
      <c r="AK531" s="93"/>
      <c r="AL531" s="93"/>
      <c r="AM531" s="93"/>
      <c r="AN531" s="93"/>
      <c r="AO531" s="93"/>
      <c r="AP531" s="93"/>
      <c r="AQ531" s="93"/>
      <c r="AR531" s="93"/>
      <c r="AS531" s="93"/>
      <c r="AT531" s="93"/>
      <c r="AU531" s="93"/>
      <c r="AV531" s="93"/>
      <c r="AW531" s="93"/>
      <c r="AX531" s="93"/>
      <c r="AY531" s="93"/>
      <c r="AZ531" s="93"/>
      <c r="BA531" s="93"/>
      <c r="BB531" s="93"/>
      <c r="BC531" s="93"/>
      <c r="BD531" s="93"/>
      <c r="BE531" s="93"/>
      <c r="BF531" s="93"/>
      <c r="BG531" s="93"/>
      <c r="BH531" s="93"/>
      <c r="BI531" s="93"/>
      <c r="BJ531" s="93"/>
      <c r="BK531" s="93"/>
      <c r="BL531" s="93"/>
      <c r="BM531" s="93"/>
      <c r="BN531" s="93"/>
      <c r="BO531" s="93"/>
      <c r="BP531" s="93"/>
      <c r="BQ531" s="93"/>
      <c r="BR531" s="93"/>
      <c r="BS531" s="93"/>
      <c r="BT531" s="93"/>
      <c r="BU531" s="93"/>
      <c r="BV531" s="93"/>
      <c r="BW531" s="93"/>
      <c r="BX531" s="93"/>
      <c r="BY531" s="93"/>
      <c r="BZ531" s="93"/>
    </row>
    <row r="532">
      <c r="B532" t="s">
        <v>2379</v>
      </c>
      <c r="C532" s="89" t="s">
        <v>2380</v>
      </c>
      <c r="D532" s="90" t="s">
        <v>2381</v>
      </c>
      <c r="E532" s="91">
        <v>1999.0</v>
      </c>
      <c r="F532" s="92">
        <v>1.0</v>
      </c>
      <c r="G532" s="93"/>
      <c r="H532" s="93"/>
      <c r="I532" s="93"/>
      <c r="J532" s="93"/>
      <c r="K532" s="93"/>
      <c r="L532" s="93"/>
      <c r="M532" s="93"/>
      <c r="N532" s="93"/>
      <c r="O532" s="93"/>
      <c r="P532" s="93"/>
      <c r="Q532" s="93"/>
      <c r="R532" s="93"/>
      <c r="S532" s="93"/>
      <c r="T532" s="93"/>
      <c r="U532" s="93"/>
      <c r="V532" s="93"/>
      <c r="W532" s="93"/>
      <c r="X532" s="93"/>
      <c r="Y532" s="93"/>
      <c r="Z532" s="93"/>
      <c r="AA532" s="93"/>
      <c r="AB532" s="93"/>
      <c r="AC532" s="93"/>
      <c r="AD532" s="93"/>
      <c r="AE532" s="93"/>
      <c r="AF532" s="93"/>
      <c r="AG532" s="93"/>
      <c r="AH532" s="94"/>
      <c r="AI532" s="93"/>
      <c r="AJ532" s="93"/>
      <c r="AK532" s="93"/>
      <c r="AL532" s="93"/>
      <c r="AM532" s="93"/>
      <c r="AN532" s="93"/>
      <c r="AO532" s="93"/>
      <c r="AP532" s="93"/>
      <c r="AQ532" s="93"/>
      <c r="AR532" s="93"/>
      <c r="AS532" s="93"/>
      <c r="AT532" s="93"/>
      <c r="AU532" s="93"/>
      <c r="AV532" s="93"/>
      <c r="AW532" s="93"/>
      <c r="AX532" s="93"/>
      <c r="AY532" s="93"/>
      <c r="AZ532" s="93"/>
      <c r="BA532" s="93"/>
      <c r="BB532" s="93"/>
      <c r="BC532" s="93"/>
      <c r="BD532" s="93"/>
      <c r="BE532" s="93"/>
      <c r="BF532" s="93"/>
      <c r="BG532" s="93"/>
      <c r="BH532" s="93"/>
      <c r="BI532" s="93"/>
      <c r="BJ532" s="93"/>
      <c r="BK532" s="93"/>
      <c r="BL532" s="93"/>
      <c r="BM532" s="93"/>
      <c r="BN532" s="93"/>
      <c r="BO532" s="93"/>
      <c r="BP532" s="93"/>
      <c r="BQ532" s="93"/>
      <c r="BR532" s="93"/>
      <c r="BS532" s="93"/>
      <c r="BT532" s="93"/>
      <c r="BU532" s="93"/>
      <c r="BV532" s="93"/>
      <c r="BW532" s="93"/>
      <c r="BX532" s="93"/>
      <c r="BY532" s="93"/>
      <c r="BZ532" s="93"/>
    </row>
    <row r="533">
      <c r="B533" t="s">
        <v>2382</v>
      </c>
      <c r="C533" s="89" t="s">
        <v>2383</v>
      </c>
      <c r="D533" s="90" t="s">
        <v>2384</v>
      </c>
      <c r="E533" s="91">
        <v>1999.0</v>
      </c>
      <c r="F533" s="92">
        <v>1.0</v>
      </c>
      <c r="G533" s="93"/>
      <c r="H533" s="93"/>
      <c r="I533" s="93"/>
      <c r="J533" s="93"/>
      <c r="K533" s="93"/>
      <c r="L533" s="93"/>
      <c r="M533" s="93"/>
      <c r="N533" s="93"/>
      <c r="O533" s="93"/>
      <c r="P533" s="93"/>
      <c r="Q533" s="93"/>
      <c r="R533" s="93"/>
      <c r="S533" s="93"/>
      <c r="T533" s="93"/>
      <c r="U533" s="93"/>
      <c r="V533" s="93"/>
      <c r="W533" s="93"/>
      <c r="X533" s="93"/>
      <c r="Y533" s="93"/>
      <c r="Z533" s="93"/>
      <c r="AA533" s="93"/>
      <c r="AB533" s="93"/>
      <c r="AC533" s="93"/>
      <c r="AD533" s="93"/>
      <c r="AE533" s="93"/>
      <c r="AF533" s="93"/>
      <c r="AG533" s="93"/>
      <c r="AH533" s="94"/>
      <c r="AI533" s="93"/>
      <c r="AJ533" s="93"/>
      <c r="AK533" s="93"/>
      <c r="AL533" s="93"/>
      <c r="AM533" s="93"/>
      <c r="AN533" s="93"/>
      <c r="AO533" s="93"/>
      <c r="AP533" s="93"/>
      <c r="AQ533" s="93"/>
      <c r="AR533" s="93"/>
      <c r="AS533" s="93"/>
      <c r="AT533" s="93"/>
      <c r="AU533" s="93"/>
      <c r="AV533" s="93"/>
      <c r="AW533" s="93"/>
      <c r="AX533" s="93"/>
      <c r="AY533" s="93"/>
      <c r="AZ533" s="93"/>
      <c r="BA533" s="93"/>
      <c r="BB533" s="93"/>
      <c r="BC533" s="93"/>
      <c r="BD533" s="93"/>
      <c r="BE533" s="93"/>
      <c r="BF533" s="93"/>
      <c r="BG533" s="93"/>
      <c r="BH533" s="93"/>
      <c r="BI533" s="93"/>
      <c r="BJ533" s="93"/>
      <c r="BK533" s="93"/>
      <c r="BL533" s="93"/>
      <c r="BM533" s="93"/>
      <c r="BN533" s="93"/>
      <c r="BO533" s="93"/>
      <c r="BP533" s="93"/>
      <c r="BQ533" s="93"/>
      <c r="BR533" s="93"/>
      <c r="BS533" s="93"/>
      <c r="BT533" s="93"/>
      <c r="BU533" s="93"/>
      <c r="BV533" s="93"/>
      <c r="BW533" s="93"/>
      <c r="BX533" s="93"/>
      <c r="BY533" s="93"/>
      <c r="BZ533" s="93"/>
    </row>
    <row r="534">
      <c r="B534" t="s">
        <v>2385</v>
      </c>
      <c r="C534" s="89" t="s">
        <v>2386</v>
      </c>
      <c r="D534" s="90" t="s">
        <v>2387</v>
      </c>
      <c r="E534" s="91">
        <v>2003.0</v>
      </c>
      <c r="F534" s="92">
        <v>1.0</v>
      </c>
      <c r="G534" s="93"/>
      <c r="H534" s="93"/>
      <c r="I534" s="93"/>
      <c r="J534" s="93"/>
      <c r="K534" s="93"/>
      <c r="L534" s="93"/>
      <c r="M534" s="93"/>
      <c r="N534" s="93"/>
      <c r="O534" s="93"/>
      <c r="P534" s="93"/>
      <c r="Q534" s="93"/>
      <c r="R534" s="93"/>
      <c r="S534" s="93"/>
      <c r="T534" s="93"/>
      <c r="U534" s="93"/>
      <c r="V534" s="93"/>
      <c r="W534" s="93"/>
      <c r="X534" s="93"/>
      <c r="Y534" s="93"/>
      <c r="Z534" s="93"/>
      <c r="AA534" s="93"/>
      <c r="AB534" s="93"/>
      <c r="AC534" s="93"/>
      <c r="AD534" s="93"/>
      <c r="AE534" s="93"/>
      <c r="AF534" s="93"/>
      <c r="AG534" s="93"/>
      <c r="AH534" s="94"/>
      <c r="AI534" s="93"/>
      <c r="AJ534" s="93"/>
      <c r="AK534" s="93"/>
      <c r="AL534" s="93"/>
      <c r="AM534" s="93"/>
      <c r="AN534" s="93"/>
      <c r="AO534" s="93"/>
      <c r="AP534" s="93"/>
      <c r="AQ534" s="93"/>
      <c r="AR534" s="93"/>
      <c r="AS534" s="93"/>
      <c r="AT534" s="93"/>
      <c r="AU534" s="93"/>
      <c r="AV534" s="93"/>
      <c r="AW534" s="93"/>
      <c r="AX534" s="93"/>
      <c r="AY534" s="93"/>
      <c r="AZ534" s="93"/>
      <c r="BA534" s="93"/>
      <c r="BB534" s="93"/>
      <c r="BC534" s="93"/>
      <c r="BD534" s="93"/>
      <c r="BE534" s="93"/>
      <c r="BF534" s="93"/>
      <c r="BG534" s="93"/>
      <c r="BH534" s="93"/>
      <c r="BI534" s="93"/>
      <c r="BJ534" s="93"/>
      <c r="BK534" s="93"/>
      <c r="BL534" s="93"/>
      <c r="BM534" s="93"/>
      <c r="BN534" s="93"/>
      <c r="BO534" s="93"/>
      <c r="BP534" s="93"/>
      <c r="BQ534" s="93"/>
      <c r="BR534" s="93"/>
      <c r="BS534" s="93"/>
      <c r="BT534" s="93"/>
      <c r="BU534" s="93"/>
      <c r="BV534" s="93"/>
      <c r="BW534" s="93"/>
      <c r="BX534" s="93"/>
      <c r="BY534" s="93"/>
      <c r="BZ534" s="93"/>
    </row>
    <row r="535">
      <c r="B535" t="s">
        <v>2388</v>
      </c>
      <c r="C535" s="89" t="s">
        <v>2389</v>
      </c>
      <c r="D535" s="90" t="s">
        <v>2390</v>
      </c>
      <c r="E535" s="91">
        <v>2007.0</v>
      </c>
      <c r="F535" s="97" t="s">
        <v>1777</v>
      </c>
      <c r="G535" s="93"/>
      <c r="H535" s="93"/>
      <c r="I535" s="93"/>
      <c r="J535" s="93"/>
      <c r="K535" s="93"/>
      <c r="L535" s="93"/>
      <c r="M535" s="93"/>
      <c r="N535" s="93"/>
      <c r="O535" s="93"/>
      <c r="P535" s="93"/>
      <c r="Q535" s="93"/>
      <c r="R535" s="93"/>
      <c r="S535" s="93"/>
      <c r="T535" s="93"/>
      <c r="U535" s="93"/>
      <c r="V535" s="93"/>
      <c r="W535" s="93"/>
      <c r="X535" s="93"/>
      <c r="Y535" s="93"/>
      <c r="Z535" s="93"/>
      <c r="AA535" s="93"/>
      <c r="AB535" s="93"/>
      <c r="AC535" s="93"/>
      <c r="AD535" s="93"/>
      <c r="AE535" s="93"/>
      <c r="AF535" s="93"/>
      <c r="AG535" s="93"/>
      <c r="AH535" s="94"/>
      <c r="AI535" s="93"/>
      <c r="AJ535" s="93"/>
      <c r="AK535" s="93"/>
      <c r="AL535" s="93"/>
      <c r="AM535" s="93"/>
      <c r="AN535" s="93"/>
      <c r="AO535" s="93"/>
      <c r="AP535" s="93"/>
      <c r="AQ535" s="93"/>
      <c r="AR535" s="93"/>
      <c r="AS535" s="93"/>
      <c r="AT535" s="93"/>
      <c r="AU535" s="93"/>
      <c r="AV535" s="93"/>
      <c r="AW535" s="93"/>
      <c r="AX535" s="93"/>
      <c r="AY535" s="93"/>
      <c r="AZ535" s="93"/>
      <c r="BA535" s="93"/>
      <c r="BB535" s="93"/>
      <c r="BC535" s="93"/>
      <c r="BD535" s="93"/>
      <c r="BE535" s="93"/>
      <c r="BF535" s="93"/>
      <c r="BG535" s="93"/>
      <c r="BH535" s="93"/>
      <c r="BI535" s="93"/>
      <c r="BJ535" s="93"/>
      <c r="BK535" s="93"/>
      <c r="BL535" s="93"/>
      <c r="BM535" s="93"/>
      <c r="BN535" s="93"/>
      <c r="BO535" s="93"/>
      <c r="BP535" s="93"/>
      <c r="BQ535" s="93"/>
      <c r="BR535" s="93"/>
      <c r="BS535" s="93"/>
      <c r="BT535" s="93"/>
      <c r="BU535" s="93"/>
      <c r="BV535" s="93"/>
      <c r="BW535" s="93"/>
      <c r="BX535" s="93"/>
      <c r="BY535" s="93"/>
      <c r="BZ535" s="93"/>
    </row>
    <row r="536">
      <c r="B536" t="s">
        <v>2391</v>
      </c>
      <c r="C536" s="89" t="s">
        <v>246</v>
      </c>
      <c r="D536" s="90" t="s">
        <v>2392</v>
      </c>
      <c r="E536" s="91">
        <v>2012.0</v>
      </c>
      <c r="F536" s="97" t="s">
        <v>1777</v>
      </c>
      <c r="G536" s="93"/>
      <c r="H536" s="93"/>
      <c r="I536" s="93"/>
      <c r="J536" s="93"/>
      <c r="K536" s="93"/>
      <c r="L536" s="93"/>
      <c r="M536" s="93"/>
      <c r="N536" s="93"/>
      <c r="O536" s="93"/>
      <c r="P536" s="93"/>
      <c r="Q536" s="93"/>
      <c r="R536" s="93"/>
      <c r="S536" s="93"/>
      <c r="T536" s="93"/>
      <c r="U536" s="93"/>
      <c r="V536" s="93"/>
      <c r="W536" s="93"/>
      <c r="X536" s="93"/>
      <c r="Y536" s="93"/>
      <c r="Z536" s="93"/>
      <c r="AA536" s="93"/>
      <c r="AB536" s="93"/>
      <c r="AC536" s="93"/>
      <c r="AD536" s="93"/>
      <c r="AE536" s="93"/>
      <c r="AF536" s="93"/>
      <c r="AG536" s="93"/>
      <c r="AH536" s="94"/>
      <c r="AI536" s="93"/>
      <c r="AJ536" s="93"/>
      <c r="AK536" s="93"/>
      <c r="AL536" s="93"/>
      <c r="AM536" s="93"/>
      <c r="AN536" s="93"/>
      <c r="AO536" s="93"/>
      <c r="AP536" s="93"/>
      <c r="AQ536" s="93"/>
      <c r="AR536" s="93"/>
      <c r="AS536" s="93"/>
      <c r="AT536" s="93"/>
      <c r="AU536" s="93"/>
      <c r="AV536" s="93"/>
      <c r="AW536" s="93"/>
      <c r="AX536" s="93"/>
      <c r="AY536" s="93"/>
      <c r="AZ536" s="93"/>
      <c r="BA536" s="93"/>
      <c r="BB536" s="93"/>
      <c r="BC536" s="93"/>
      <c r="BD536" s="93"/>
      <c r="BE536" s="93"/>
      <c r="BF536" s="93"/>
      <c r="BG536" s="93"/>
      <c r="BH536" s="93"/>
      <c r="BI536" s="93"/>
      <c r="BJ536" s="93"/>
      <c r="BK536" s="93"/>
      <c r="BL536" s="93"/>
      <c r="BM536" s="93"/>
      <c r="BN536" s="93"/>
      <c r="BO536" s="93"/>
      <c r="BP536" s="93"/>
      <c r="BQ536" s="93"/>
      <c r="BR536" s="93"/>
      <c r="BS536" s="93"/>
      <c r="BT536" s="93"/>
      <c r="BU536" s="93"/>
      <c r="BV536" s="93"/>
      <c r="BW536" s="93"/>
      <c r="BX536" s="93"/>
      <c r="BY536" s="93"/>
      <c r="BZ536" s="93"/>
    </row>
    <row r="537">
      <c r="B537" t="s">
        <v>2393</v>
      </c>
      <c r="C537" s="89" t="s">
        <v>2394</v>
      </c>
      <c r="D537" s="90" t="s">
        <v>2395</v>
      </c>
      <c r="E537" s="91">
        <v>2006.0</v>
      </c>
      <c r="F537" s="97" t="s">
        <v>1777</v>
      </c>
      <c r="G537" s="93"/>
      <c r="H537" s="93"/>
      <c r="I537" s="93"/>
      <c r="J537" s="93"/>
      <c r="K537" s="93"/>
      <c r="L537" s="93"/>
      <c r="M537" s="93"/>
      <c r="N537" s="93"/>
      <c r="O537" s="93"/>
      <c r="P537" s="93"/>
      <c r="Q537" s="93"/>
      <c r="R537" s="93"/>
      <c r="S537" s="93"/>
      <c r="T537" s="93"/>
      <c r="U537" s="93"/>
      <c r="V537" s="93"/>
      <c r="W537" s="93"/>
      <c r="X537" s="93"/>
      <c r="Y537" s="93"/>
      <c r="Z537" s="93"/>
      <c r="AA537" s="93"/>
      <c r="AB537" s="93"/>
      <c r="AC537" s="93"/>
      <c r="AD537" s="93"/>
      <c r="AE537" s="93"/>
      <c r="AF537" s="93"/>
      <c r="AG537" s="93"/>
      <c r="AH537" s="94"/>
      <c r="AI537" s="93"/>
      <c r="AJ537" s="93"/>
      <c r="AK537" s="93"/>
      <c r="AL537" s="93"/>
      <c r="AM537" s="93"/>
      <c r="AN537" s="93"/>
      <c r="AO537" s="93"/>
      <c r="AP537" s="93"/>
      <c r="AQ537" s="93"/>
      <c r="AR537" s="93"/>
      <c r="AS537" s="93"/>
      <c r="AT537" s="93"/>
      <c r="AU537" s="93"/>
      <c r="AV537" s="93"/>
      <c r="AW537" s="93"/>
      <c r="AX537" s="93"/>
      <c r="AY537" s="93"/>
      <c r="AZ537" s="93"/>
      <c r="BA537" s="93"/>
      <c r="BB537" s="93"/>
      <c r="BC537" s="93"/>
      <c r="BD537" s="93"/>
      <c r="BE537" s="93"/>
      <c r="BF537" s="93"/>
      <c r="BG537" s="93"/>
      <c r="BH537" s="93"/>
      <c r="BI537" s="93"/>
      <c r="BJ537" s="93"/>
      <c r="BK537" s="93"/>
      <c r="BL537" s="93"/>
      <c r="BM537" s="93"/>
      <c r="BN537" s="93"/>
      <c r="BO537" s="93"/>
      <c r="BP537" s="93"/>
      <c r="BQ537" s="93"/>
      <c r="BR537" s="93"/>
      <c r="BS537" s="93"/>
      <c r="BT537" s="93"/>
      <c r="BU537" s="93"/>
      <c r="BV537" s="93"/>
      <c r="BW537" s="93"/>
      <c r="BX537" s="93"/>
      <c r="BY537" s="93"/>
      <c r="BZ537" s="93"/>
    </row>
    <row r="538">
      <c r="A538" t="s">
        <v>1354</v>
      </c>
      <c r="B538" t="s">
        <v>2396</v>
      </c>
      <c r="C538" s="89" t="s">
        <v>2397</v>
      </c>
      <c r="D538" s="90" t="s">
        <v>2398</v>
      </c>
      <c r="E538" s="91">
        <v>2010.0</v>
      </c>
      <c r="F538" s="98"/>
      <c r="G538" s="93"/>
      <c r="H538" s="93"/>
      <c r="I538" s="93"/>
      <c r="J538" s="93"/>
      <c r="K538" s="93"/>
      <c r="L538" s="93"/>
      <c r="M538" s="98" t="s">
        <v>748</v>
      </c>
      <c r="N538" s="93"/>
      <c r="O538" s="93"/>
      <c r="P538" s="93"/>
      <c r="Q538" s="99">
        <v>1.0</v>
      </c>
      <c r="R538" s="93"/>
      <c r="S538" s="93"/>
      <c r="T538" s="93"/>
      <c r="U538" s="93"/>
      <c r="V538" s="98" t="s">
        <v>2399</v>
      </c>
      <c r="W538" s="98" t="s">
        <v>2400</v>
      </c>
      <c r="X538" s="98" t="s">
        <v>92</v>
      </c>
      <c r="Y538" s="98" t="s">
        <v>92</v>
      </c>
      <c r="Z538" s="98" t="s">
        <v>100</v>
      </c>
      <c r="AA538" s="93"/>
      <c r="AB538" s="93"/>
      <c r="AC538" s="93"/>
      <c r="AD538" s="93"/>
      <c r="AE538" s="93"/>
      <c r="AF538" s="99">
        <v>1.0</v>
      </c>
      <c r="AG538" s="98" t="s">
        <v>748</v>
      </c>
      <c r="AH538" s="96" t="s">
        <v>2401</v>
      </c>
      <c r="AI538" s="99">
        <v>1.0</v>
      </c>
      <c r="AJ538" s="93"/>
      <c r="AK538" s="93"/>
      <c r="AL538" s="93"/>
      <c r="AM538" s="93"/>
      <c r="AN538" s="93"/>
      <c r="AO538" s="93"/>
      <c r="AP538" s="93"/>
      <c r="AQ538" s="93"/>
      <c r="AR538" s="93"/>
      <c r="AS538" s="93"/>
      <c r="AT538" s="93"/>
      <c r="AU538" s="93"/>
      <c r="AV538" s="93"/>
      <c r="AW538" s="93"/>
      <c r="AX538" s="93"/>
      <c r="AY538" s="93"/>
      <c r="AZ538" s="93"/>
      <c r="BA538" s="93"/>
      <c r="BB538" s="93"/>
      <c r="BC538" s="93"/>
      <c r="BD538" s="93"/>
      <c r="BE538" s="99">
        <v>1.0</v>
      </c>
      <c r="BF538" s="93"/>
      <c r="BG538" s="99">
        <v>1.0</v>
      </c>
      <c r="BH538" s="93"/>
      <c r="BI538" s="93"/>
      <c r="BJ538" s="93"/>
      <c r="BK538" s="93"/>
      <c r="BL538" s="93"/>
      <c r="BM538" s="93"/>
      <c r="BN538" s="93"/>
      <c r="BO538" s="99">
        <v>1.0</v>
      </c>
      <c r="BP538" s="93"/>
      <c r="BQ538" s="93"/>
      <c r="BR538" s="93"/>
      <c r="BS538" s="93"/>
      <c r="BT538" s="93"/>
      <c r="BU538" s="93"/>
      <c r="BV538" s="93"/>
      <c r="BW538" s="93"/>
      <c r="BX538" s="93"/>
      <c r="BY538" s="93"/>
      <c r="BZ538" s="93"/>
    </row>
    <row r="539">
      <c r="B539" t="s">
        <v>2402</v>
      </c>
      <c r="C539" s="89" t="s">
        <v>2403</v>
      </c>
      <c r="D539" s="90" t="s">
        <v>2404</v>
      </c>
      <c r="E539" s="91">
        <v>2008.0</v>
      </c>
      <c r="F539" s="92">
        <v>1.0</v>
      </c>
      <c r="G539" s="93"/>
      <c r="H539" s="93"/>
      <c r="I539" s="93"/>
      <c r="J539" s="93"/>
      <c r="K539" s="93"/>
      <c r="L539" s="93"/>
      <c r="M539" s="93"/>
      <c r="N539" s="93"/>
      <c r="O539" s="93"/>
      <c r="P539" s="93"/>
      <c r="Q539" s="93"/>
      <c r="R539" s="93"/>
      <c r="S539" s="93"/>
      <c r="T539" s="93"/>
      <c r="U539" s="93"/>
      <c r="V539" s="93"/>
      <c r="W539" s="93"/>
      <c r="X539" s="93"/>
      <c r="Y539" s="93"/>
      <c r="Z539" s="93"/>
      <c r="AA539" s="93"/>
      <c r="AB539" s="93"/>
      <c r="AC539" s="93"/>
      <c r="AD539" s="93"/>
      <c r="AE539" s="93"/>
      <c r="AF539" s="93"/>
      <c r="AG539" s="93"/>
      <c r="AH539" s="94"/>
      <c r="AI539" s="93"/>
      <c r="AJ539" s="93"/>
      <c r="AK539" s="93"/>
      <c r="AL539" s="93"/>
      <c r="AM539" s="93"/>
      <c r="AN539" s="93"/>
      <c r="AO539" s="93"/>
      <c r="AP539" s="93"/>
      <c r="AQ539" s="93"/>
      <c r="AR539" s="93"/>
      <c r="AS539" s="93"/>
      <c r="AT539" s="93"/>
      <c r="AU539" s="93"/>
      <c r="AV539" s="93"/>
      <c r="AW539" s="93"/>
      <c r="AX539" s="93"/>
      <c r="AY539" s="93"/>
      <c r="AZ539" s="93"/>
      <c r="BA539" s="93"/>
      <c r="BB539" s="93"/>
      <c r="BC539" s="93"/>
      <c r="BD539" s="93"/>
      <c r="BE539" s="93"/>
      <c r="BF539" s="93"/>
      <c r="BG539" s="93"/>
      <c r="BH539" s="93"/>
      <c r="BI539" s="93"/>
      <c r="BJ539" s="93"/>
      <c r="BK539" s="93"/>
      <c r="BL539" s="93"/>
      <c r="BM539" s="93"/>
      <c r="BN539" s="93"/>
      <c r="BO539" s="93"/>
      <c r="BP539" s="93"/>
      <c r="BQ539" s="93"/>
      <c r="BR539" s="93"/>
      <c r="BS539" s="93"/>
      <c r="BT539" s="93"/>
      <c r="BU539" s="93"/>
      <c r="BV539" s="93"/>
      <c r="BW539" s="93"/>
      <c r="BX539" s="93"/>
      <c r="BY539" s="93"/>
      <c r="BZ539" s="93"/>
    </row>
    <row r="540">
      <c r="B540" t="s">
        <v>2405</v>
      </c>
      <c r="C540" s="89" t="s">
        <v>502</v>
      </c>
      <c r="D540" s="90" t="s">
        <v>503</v>
      </c>
      <c r="E540" s="91">
        <v>1979.0</v>
      </c>
      <c r="F540" s="97" t="s">
        <v>1777</v>
      </c>
      <c r="G540" s="93"/>
      <c r="H540" s="93"/>
      <c r="I540" s="93"/>
      <c r="J540" s="93"/>
      <c r="K540" s="93"/>
      <c r="L540" s="93"/>
      <c r="M540" s="93"/>
      <c r="N540" s="93"/>
      <c r="O540" s="93"/>
      <c r="P540" s="93"/>
      <c r="Q540" s="93"/>
      <c r="R540" s="93"/>
      <c r="S540" s="93"/>
      <c r="T540" s="93"/>
      <c r="U540" s="93"/>
      <c r="V540" s="93"/>
      <c r="W540" s="93"/>
      <c r="X540" s="93"/>
      <c r="Y540" s="93"/>
      <c r="Z540" s="93"/>
      <c r="AA540" s="93"/>
      <c r="AB540" s="93"/>
      <c r="AC540" s="93"/>
      <c r="AD540" s="93"/>
      <c r="AE540" s="93"/>
      <c r="AF540" s="93"/>
      <c r="AG540" s="93"/>
      <c r="AH540" s="94"/>
      <c r="AI540" s="93"/>
      <c r="AJ540" s="93"/>
      <c r="AK540" s="93"/>
      <c r="AL540" s="93"/>
      <c r="AM540" s="93"/>
      <c r="AN540" s="93"/>
      <c r="AO540" s="93"/>
      <c r="AP540" s="93"/>
      <c r="AQ540" s="93"/>
      <c r="AR540" s="93"/>
      <c r="AS540" s="93"/>
      <c r="AT540" s="93"/>
      <c r="AU540" s="93"/>
      <c r="AV540" s="93"/>
      <c r="AW540" s="93"/>
      <c r="AX540" s="93"/>
      <c r="AY540" s="93"/>
      <c r="AZ540" s="93"/>
      <c r="BA540" s="93"/>
      <c r="BB540" s="93"/>
      <c r="BC540" s="93"/>
      <c r="BD540" s="93"/>
      <c r="BE540" s="93"/>
      <c r="BF540" s="93"/>
      <c r="BG540" s="93"/>
      <c r="BH540" s="93"/>
      <c r="BI540" s="93"/>
      <c r="BJ540" s="93"/>
      <c r="BK540" s="93"/>
      <c r="BL540" s="93"/>
      <c r="BM540" s="93"/>
      <c r="BN540" s="93"/>
      <c r="BO540" s="93"/>
      <c r="BP540" s="93"/>
      <c r="BQ540" s="93"/>
      <c r="BR540" s="93"/>
      <c r="BS540" s="93"/>
      <c r="BT540" s="93"/>
      <c r="BU540" s="93"/>
      <c r="BV540" s="93"/>
      <c r="BW540" s="93"/>
      <c r="BX540" s="93"/>
      <c r="BY540" s="93"/>
      <c r="BZ540" s="93"/>
    </row>
    <row r="541">
      <c r="B541" t="s">
        <v>2406</v>
      </c>
      <c r="C541" s="89" t="s">
        <v>2407</v>
      </c>
      <c r="D541" s="90" t="s">
        <v>2408</v>
      </c>
      <c r="E541" s="91">
        <v>2011.0</v>
      </c>
      <c r="F541" s="92">
        <v>1.0</v>
      </c>
      <c r="G541" s="93"/>
      <c r="H541" s="93"/>
      <c r="I541" s="93"/>
      <c r="J541" s="93"/>
      <c r="K541" s="93"/>
      <c r="L541" s="93"/>
      <c r="M541" s="93"/>
      <c r="N541" s="93"/>
      <c r="O541" s="93"/>
      <c r="P541" s="93"/>
      <c r="Q541" s="93"/>
      <c r="R541" s="93"/>
      <c r="S541" s="93"/>
      <c r="T541" s="93"/>
      <c r="U541" s="93"/>
      <c r="V541" s="93"/>
      <c r="W541" s="93"/>
      <c r="X541" s="93"/>
      <c r="Y541" s="93"/>
      <c r="Z541" s="93"/>
      <c r="AA541" s="93"/>
      <c r="AB541" s="93"/>
      <c r="AC541" s="93"/>
      <c r="AD541" s="93"/>
      <c r="AE541" s="93"/>
      <c r="AF541" s="93"/>
      <c r="AG541" s="93"/>
      <c r="AH541" s="94"/>
      <c r="AI541" s="93"/>
      <c r="AJ541" s="93"/>
      <c r="AK541" s="93"/>
      <c r="AL541" s="93"/>
      <c r="AM541" s="93"/>
      <c r="AN541" s="93"/>
      <c r="AO541" s="93"/>
      <c r="AP541" s="93"/>
      <c r="AQ541" s="93"/>
      <c r="AR541" s="93"/>
      <c r="AS541" s="93"/>
      <c r="AT541" s="93"/>
      <c r="AU541" s="93"/>
      <c r="AV541" s="93"/>
      <c r="AW541" s="93"/>
      <c r="AX541" s="93"/>
      <c r="AY541" s="93"/>
      <c r="AZ541" s="93"/>
      <c r="BA541" s="93"/>
      <c r="BB541" s="93"/>
      <c r="BC541" s="93"/>
      <c r="BD541" s="93"/>
      <c r="BE541" s="93"/>
      <c r="BF541" s="93"/>
      <c r="BG541" s="93"/>
      <c r="BH541" s="93"/>
      <c r="BI541" s="93"/>
      <c r="BJ541" s="93"/>
      <c r="BK541" s="93"/>
      <c r="BL541" s="93"/>
      <c r="BM541" s="93"/>
      <c r="BN541" s="93"/>
      <c r="BO541" s="93"/>
      <c r="BP541" s="93"/>
      <c r="BQ541" s="93"/>
      <c r="BR541" s="93"/>
      <c r="BS541" s="93"/>
      <c r="BT541" s="93"/>
      <c r="BU541" s="93"/>
      <c r="BV541" s="93"/>
      <c r="BW541" s="93"/>
      <c r="BX541" s="93"/>
      <c r="BY541" s="93"/>
      <c r="BZ541" s="93"/>
    </row>
    <row r="542">
      <c r="B542" t="s">
        <v>2409</v>
      </c>
      <c r="C542" s="89" t="s">
        <v>2410</v>
      </c>
      <c r="D542" s="90" t="s">
        <v>2411</v>
      </c>
      <c r="E542" s="91">
        <v>2002.0</v>
      </c>
      <c r="F542" s="92">
        <v>1.0</v>
      </c>
      <c r="G542" s="93"/>
      <c r="H542" s="93"/>
      <c r="I542" s="93"/>
      <c r="J542" s="93"/>
      <c r="K542" s="93"/>
      <c r="L542" s="93"/>
      <c r="M542" s="93"/>
      <c r="N542" s="93"/>
      <c r="O542" s="93"/>
      <c r="P542" s="93"/>
      <c r="Q542" s="93"/>
      <c r="R542" s="93"/>
      <c r="S542" s="93"/>
      <c r="T542" s="93"/>
      <c r="U542" s="93"/>
      <c r="V542" s="93"/>
      <c r="W542" s="93"/>
      <c r="X542" s="93"/>
      <c r="Y542" s="93"/>
      <c r="Z542" s="93"/>
      <c r="AA542" s="93"/>
      <c r="AB542" s="93"/>
      <c r="AC542" s="93"/>
      <c r="AD542" s="93"/>
      <c r="AE542" s="93"/>
      <c r="AF542" s="93"/>
      <c r="AG542" s="93"/>
      <c r="AH542" s="94"/>
      <c r="AI542" s="93"/>
      <c r="AJ542" s="93"/>
      <c r="AK542" s="93"/>
      <c r="AL542" s="93"/>
      <c r="AM542" s="93"/>
      <c r="AN542" s="93"/>
      <c r="AO542" s="93"/>
      <c r="AP542" s="93"/>
      <c r="AQ542" s="93"/>
      <c r="AR542" s="93"/>
      <c r="AS542" s="93"/>
      <c r="AT542" s="93"/>
      <c r="AU542" s="93"/>
      <c r="AV542" s="93"/>
      <c r="AW542" s="93"/>
      <c r="AX542" s="93"/>
      <c r="AY542" s="93"/>
      <c r="AZ542" s="93"/>
      <c r="BA542" s="93"/>
      <c r="BB542" s="93"/>
      <c r="BC542" s="93"/>
      <c r="BD542" s="93"/>
      <c r="BE542" s="93"/>
      <c r="BF542" s="93"/>
      <c r="BG542" s="93"/>
      <c r="BH542" s="93"/>
      <c r="BI542" s="93"/>
      <c r="BJ542" s="93"/>
      <c r="BK542" s="93"/>
      <c r="BL542" s="93"/>
      <c r="BM542" s="93"/>
      <c r="BN542" s="93"/>
      <c r="BO542" s="93"/>
      <c r="BP542" s="93"/>
      <c r="BQ542" s="93"/>
      <c r="BR542" s="93"/>
      <c r="BS542" s="93"/>
      <c r="BT542" s="93"/>
      <c r="BU542" s="93"/>
      <c r="BV542" s="93"/>
      <c r="BW542" s="93"/>
      <c r="BX542" s="93"/>
      <c r="BY542" s="93"/>
      <c r="BZ542" s="93"/>
    </row>
    <row r="543">
      <c r="B543" t="s">
        <v>2412</v>
      </c>
      <c r="C543" s="89" t="s">
        <v>2413</v>
      </c>
      <c r="D543" s="90" t="s">
        <v>2414</v>
      </c>
      <c r="E543" s="91">
        <v>1999.0</v>
      </c>
      <c r="F543" s="92">
        <v>1.0</v>
      </c>
      <c r="G543" s="93"/>
      <c r="H543" s="93"/>
      <c r="I543" s="93"/>
      <c r="J543" s="93"/>
      <c r="K543" s="93"/>
      <c r="L543" s="93"/>
      <c r="M543" s="93"/>
      <c r="N543" s="93"/>
      <c r="O543" s="93"/>
      <c r="P543" s="93"/>
      <c r="Q543" s="93"/>
      <c r="R543" s="93"/>
      <c r="S543" s="93"/>
      <c r="T543" s="93"/>
      <c r="U543" s="93"/>
      <c r="V543" s="93"/>
      <c r="W543" s="93"/>
      <c r="X543" s="93"/>
      <c r="Y543" s="93"/>
      <c r="Z543" s="93"/>
      <c r="AA543" s="93"/>
      <c r="AB543" s="93"/>
      <c r="AC543" s="93"/>
      <c r="AD543" s="93"/>
      <c r="AE543" s="93"/>
      <c r="AF543" s="93"/>
      <c r="AG543" s="93"/>
      <c r="AH543" s="94"/>
      <c r="AI543" s="93"/>
      <c r="AJ543" s="93"/>
      <c r="AK543" s="93"/>
      <c r="AL543" s="93"/>
      <c r="AM543" s="93"/>
      <c r="AN543" s="93"/>
      <c r="AO543" s="93"/>
      <c r="AP543" s="93"/>
      <c r="AQ543" s="93"/>
      <c r="AR543" s="93"/>
      <c r="AS543" s="93"/>
      <c r="AT543" s="93"/>
      <c r="AU543" s="93"/>
      <c r="AV543" s="93"/>
      <c r="AW543" s="93"/>
      <c r="AX543" s="93"/>
      <c r="AY543" s="93"/>
      <c r="AZ543" s="93"/>
      <c r="BA543" s="93"/>
      <c r="BB543" s="93"/>
      <c r="BC543" s="93"/>
      <c r="BD543" s="93"/>
      <c r="BE543" s="93"/>
      <c r="BF543" s="93"/>
      <c r="BG543" s="93"/>
      <c r="BH543" s="93"/>
      <c r="BI543" s="93"/>
      <c r="BJ543" s="93"/>
      <c r="BK543" s="93"/>
      <c r="BL543" s="93"/>
      <c r="BM543" s="93"/>
      <c r="BN543" s="93"/>
      <c r="BO543" s="93"/>
      <c r="BP543" s="93"/>
      <c r="BQ543" s="93"/>
      <c r="BR543" s="93"/>
      <c r="BS543" s="93"/>
      <c r="BT543" s="93"/>
      <c r="BU543" s="93"/>
      <c r="BV543" s="93"/>
      <c r="BW543" s="93"/>
      <c r="BX543" s="93"/>
      <c r="BY543" s="93"/>
      <c r="BZ543" s="93"/>
    </row>
    <row r="544">
      <c r="B544" t="s">
        <v>2415</v>
      </c>
      <c r="C544" s="89" t="s">
        <v>2416</v>
      </c>
      <c r="D544" s="90" t="s">
        <v>503</v>
      </c>
      <c r="E544" s="91">
        <v>1999.0</v>
      </c>
      <c r="F544" s="97" t="s">
        <v>1777</v>
      </c>
      <c r="G544" s="93"/>
      <c r="H544" s="93"/>
      <c r="I544" s="93"/>
      <c r="J544" s="93"/>
      <c r="K544" s="93"/>
      <c r="L544" s="93"/>
      <c r="M544" s="93"/>
      <c r="N544" s="93"/>
      <c r="O544" s="93"/>
      <c r="P544" s="93"/>
      <c r="Q544" s="93"/>
      <c r="R544" s="93"/>
      <c r="S544" s="93"/>
      <c r="T544" s="93"/>
      <c r="U544" s="93"/>
      <c r="V544" s="93"/>
      <c r="W544" s="93"/>
      <c r="X544" s="93"/>
      <c r="Y544" s="93"/>
      <c r="Z544" s="93"/>
      <c r="AA544" s="93"/>
      <c r="AB544" s="93"/>
      <c r="AC544" s="93"/>
      <c r="AD544" s="93"/>
      <c r="AE544" s="93"/>
      <c r="AF544" s="93"/>
      <c r="AG544" s="93"/>
      <c r="AH544" s="94"/>
      <c r="AI544" s="93"/>
      <c r="AJ544" s="93"/>
      <c r="AK544" s="93"/>
      <c r="AL544" s="93"/>
      <c r="AM544" s="93"/>
      <c r="AN544" s="93"/>
      <c r="AO544" s="93"/>
      <c r="AP544" s="93"/>
      <c r="AQ544" s="93"/>
      <c r="AR544" s="93"/>
      <c r="AS544" s="93"/>
      <c r="AT544" s="93"/>
      <c r="AU544" s="93"/>
      <c r="AV544" s="93"/>
      <c r="AW544" s="93"/>
      <c r="AX544" s="93"/>
      <c r="AY544" s="93"/>
      <c r="AZ544" s="93"/>
      <c r="BA544" s="93"/>
      <c r="BB544" s="93"/>
      <c r="BC544" s="93"/>
      <c r="BD544" s="93"/>
      <c r="BE544" s="93"/>
      <c r="BF544" s="93"/>
      <c r="BG544" s="93"/>
      <c r="BH544" s="93"/>
      <c r="BI544" s="93"/>
      <c r="BJ544" s="93"/>
      <c r="BK544" s="93"/>
      <c r="BL544" s="93"/>
      <c r="BM544" s="93"/>
      <c r="BN544" s="93"/>
      <c r="BO544" s="93"/>
      <c r="BP544" s="93"/>
      <c r="BQ544" s="93"/>
      <c r="BR544" s="93"/>
      <c r="BS544" s="93"/>
      <c r="BT544" s="93"/>
      <c r="BU544" s="93"/>
      <c r="BV544" s="93"/>
      <c r="BW544" s="93"/>
      <c r="BX544" s="93"/>
      <c r="BY544" s="93"/>
      <c r="BZ544" s="93"/>
    </row>
    <row r="545">
      <c r="B545" t="s">
        <v>2417</v>
      </c>
      <c r="C545" s="89" t="s">
        <v>2418</v>
      </c>
      <c r="D545" s="90" t="s">
        <v>2419</v>
      </c>
      <c r="E545" s="91">
        <v>2010.0</v>
      </c>
      <c r="F545" s="92">
        <v>1.0</v>
      </c>
      <c r="G545" s="93"/>
      <c r="H545" s="93"/>
      <c r="I545" s="93"/>
      <c r="J545" s="93"/>
      <c r="K545" s="93"/>
      <c r="L545" s="93"/>
      <c r="M545" s="93"/>
      <c r="N545" s="93"/>
      <c r="O545" s="93"/>
      <c r="P545" s="93"/>
      <c r="Q545" s="93"/>
      <c r="R545" s="93"/>
      <c r="S545" s="93"/>
      <c r="T545" s="93"/>
      <c r="U545" s="93"/>
      <c r="V545" s="93"/>
      <c r="W545" s="93"/>
      <c r="X545" s="93"/>
      <c r="Y545" s="93"/>
      <c r="Z545" s="93"/>
      <c r="AA545" s="93"/>
      <c r="AB545" s="93"/>
      <c r="AC545" s="93"/>
      <c r="AD545" s="93"/>
      <c r="AE545" s="93"/>
      <c r="AF545" s="93"/>
      <c r="AG545" s="93"/>
      <c r="AH545" s="94"/>
      <c r="AI545" s="93"/>
      <c r="AJ545" s="93"/>
      <c r="AK545" s="93"/>
      <c r="AL545" s="93"/>
      <c r="AM545" s="93"/>
      <c r="AN545" s="93"/>
      <c r="AO545" s="93"/>
      <c r="AP545" s="93"/>
      <c r="AQ545" s="93"/>
      <c r="AR545" s="93"/>
      <c r="AS545" s="93"/>
      <c r="AT545" s="93"/>
      <c r="AU545" s="93"/>
      <c r="AV545" s="93"/>
      <c r="AW545" s="93"/>
      <c r="AX545" s="93"/>
      <c r="AY545" s="93"/>
      <c r="AZ545" s="93"/>
      <c r="BA545" s="93"/>
      <c r="BB545" s="93"/>
      <c r="BC545" s="93"/>
      <c r="BD545" s="93"/>
      <c r="BE545" s="93"/>
      <c r="BF545" s="93"/>
      <c r="BG545" s="93"/>
      <c r="BH545" s="93"/>
      <c r="BI545" s="93"/>
      <c r="BJ545" s="93"/>
      <c r="BK545" s="93"/>
      <c r="BL545" s="93"/>
      <c r="BM545" s="93"/>
      <c r="BN545" s="93"/>
      <c r="BO545" s="93"/>
      <c r="BP545" s="93"/>
      <c r="BQ545" s="93"/>
      <c r="BR545" s="93"/>
      <c r="BS545" s="93"/>
      <c r="BT545" s="93"/>
      <c r="BU545" s="93"/>
      <c r="BV545" s="93"/>
      <c r="BW545" s="93"/>
      <c r="BX545" s="93"/>
      <c r="BY545" s="93"/>
      <c r="BZ545" s="93"/>
    </row>
    <row r="546">
      <c r="A546" t="s">
        <v>116</v>
      </c>
      <c r="B546" t="s">
        <v>2420</v>
      </c>
      <c r="C546" s="89" t="s">
        <v>2421</v>
      </c>
      <c r="D546" s="90" t="s">
        <v>2422</v>
      </c>
      <c r="E546" s="91">
        <v>2012.0</v>
      </c>
      <c r="F546" s="92">
        <v>1.0</v>
      </c>
      <c r="G546" s="93"/>
      <c r="H546" s="93"/>
      <c r="I546" s="93"/>
      <c r="J546" s="93"/>
      <c r="K546" s="93"/>
      <c r="L546" s="93"/>
      <c r="M546" s="93"/>
      <c r="N546" s="93"/>
      <c r="O546" s="93"/>
      <c r="P546" s="93"/>
      <c r="Q546" s="93"/>
      <c r="R546" s="93"/>
      <c r="S546" s="93"/>
      <c r="T546" s="93"/>
      <c r="U546" s="93"/>
      <c r="V546" s="93"/>
      <c r="W546" s="93"/>
      <c r="X546" s="93"/>
      <c r="Y546" s="93"/>
      <c r="Z546" s="93"/>
      <c r="AA546" s="93"/>
      <c r="AB546" s="93"/>
      <c r="AC546" s="93"/>
      <c r="AD546" s="93"/>
      <c r="AE546" s="93"/>
      <c r="AF546" s="93"/>
      <c r="AG546" s="93"/>
      <c r="AH546" s="94"/>
      <c r="AI546" s="93"/>
      <c r="AJ546" s="93"/>
      <c r="AK546" s="93"/>
      <c r="AL546" s="93"/>
      <c r="AM546" s="93"/>
      <c r="AN546" s="93"/>
      <c r="AO546" s="93"/>
      <c r="AP546" s="93"/>
      <c r="AQ546" s="93"/>
      <c r="AR546" s="93"/>
      <c r="AS546" s="93"/>
      <c r="AT546" s="93"/>
      <c r="AU546" s="93"/>
      <c r="AV546" s="93"/>
      <c r="AW546" s="93"/>
      <c r="AX546" s="93"/>
      <c r="AY546" s="93"/>
      <c r="AZ546" s="93"/>
      <c r="BA546" s="93"/>
      <c r="BB546" s="93"/>
      <c r="BC546" s="93"/>
      <c r="BD546" s="93"/>
      <c r="BE546" s="93"/>
      <c r="BF546" s="93"/>
      <c r="BG546" s="93"/>
      <c r="BH546" s="93"/>
      <c r="BI546" s="93"/>
      <c r="BJ546" s="93"/>
      <c r="BK546" s="93"/>
      <c r="BL546" s="93"/>
      <c r="BM546" s="93"/>
      <c r="BN546" s="93"/>
      <c r="BO546" s="93"/>
      <c r="BP546" s="93"/>
      <c r="BQ546" s="93"/>
      <c r="BR546" s="93"/>
      <c r="BS546" s="93"/>
      <c r="BT546" s="93"/>
      <c r="BU546" s="93"/>
      <c r="BV546" s="93"/>
      <c r="BW546" s="93"/>
      <c r="BX546" s="93"/>
      <c r="BY546" s="93"/>
      <c r="BZ546" s="93"/>
    </row>
    <row r="547">
      <c r="A547" t="s">
        <v>1331</v>
      </c>
      <c r="B547" t="s">
        <v>2423</v>
      </c>
      <c r="C547" s="89" t="s">
        <v>2424</v>
      </c>
      <c r="D547" s="90" t="s">
        <v>2425</v>
      </c>
      <c r="E547" s="91">
        <v>2008.0</v>
      </c>
      <c r="F547" s="93"/>
      <c r="G547" s="92">
        <v>1.0</v>
      </c>
      <c r="H547" s="93"/>
      <c r="I547" s="93"/>
      <c r="J547" s="93"/>
      <c r="K547" s="93"/>
      <c r="L547" s="93"/>
      <c r="M547" s="92">
        <v>1.0</v>
      </c>
      <c r="N547" s="93"/>
      <c r="O547" s="93"/>
      <c r="P547" s="93"/>
      <c r="Q547" s="93"/>
      <c r="R547" s="93"/>
      <c r="S547" s="93"/>
      <c r="T547" s="93"/>
      <c r="U547" s="93"/>
      <c r="V547" s="93"/>
      <c r="W547" s="95" t="s">
        <v>2426</v>
      </c>
      <c r="X547" s="95" t="s">
        <v>2427</v>
      </c>
      <c r="Y547" s="95" t="s">
        <v>2428</v>
      </c>
      <c r="Z547" s="95" t="s">
        <v>2429</v>
      </c>
      <c r="AA547" s="92">
        <v>1.0</v>
      </c>
      <c r="AB547" s="93"/>
      <c r="AC547" s="92">
        <v>1.0</v>
      </c>
      <c r="AD547" s="93"/>
      <c r="AE547" s="93"/>
      <c r="AF547" s="93"/>
      <c r="AG547" s="93"/>
      <c r="AH547" s="96" t="s">
        <v>2430</v>
      </c>
      <c r="AI547" s="92">
        <v>1.0</v>
      </c>
      <c r="AJ547" s="93"/>
      <c r="AK547" s="93"/>
      <c r="AL547" s="93"/>
      <c r="AM547" s="93"/>
      <c r="AN547" s="93"/>
      <c r="AO547" s="93"/>
      <c r="AP547" s="93"/>
      <c r="AQ547" s="93"/>
      <c r="AR547" s="93"/>
      <c r="AS547" s="93"/>
      <c r="AT547" s="93"/>
      <c r="AU547" s="93"/>
      <c r="AV547" s="93"/>
      <c r="AW547" s="93"/>
      <c r="AX547" s="93"/>
      <c r="AY547" s="93"/>
      <c r="AZ547" s="93"/>
      <c r="BA547" s="93"/>
      <c r="BB547" s="93"/>
      <c r="BC547" s="93"/>
      <c r="BD547" s="93"/>
      <c r="BE547" s="93"/>
      <c r="BF547" s="93"/>
      <c r="BG547" s="93"/>
      <c r="BH547" s="93"/>
      <c r="BI547" s="92">
        <v>1.0</v>
      </c>
      <c r="BJ547" s="93"/>
      <c r="BK547" s="93"/>
      <c r="BL547" s="93"/>
      <c r="BM547" s="93"/>
      <c r="BN547" s="93"/>
      <c r="BO547" s="93"/>
      <c r="BP547" s="93"/>
      <c r="BQ547" s="93"/>
      <c r="BR547" s="93"/>
      <c r="BS547" s="93"/>
      <c r="BT547" s="93"/>
      <c r="BU547" s="93"/>
      <c r="BV547" s="93"/>
      <c r="BW547" s="93"/>
      <c r="BX547" s="93"/>
      <c r="BY547" s="92">
        <v>1.0</v>
      </c>
      <c r="BZ547" s="93"/>
    </row>
    <row r="548">
      <c r="B548" t="s">
        <v>2431</v>
      </c>
      <c r="C548" s="89" t="s">
        <v>2432</v>
      </c>
      <c r="D548" s="90" t="s">
        <v>2433</v>
      </c>
      <c r="E548" s="91">
        <v>1993.0</v>
      </c>
      <c r="F548" s="92">
        <v>1.0</v>
      </c>
      <c r="G548" s="93"/>
      <c r="H548" s="93"/>
      <c r="I548" s="93"/>
      <c r="J548" s="93"/>
      <c r="K548" s="93"/>
      <c r="L548" s="93"/>
      <c r="M548" s="93"/>
      <c r="N548" s="93"/>
      <c r="O548" s="93"/>
      <c r="P548" s="93"/>
      <c r="Q548" s="93"/>
      <c r="R548" s="93"/>
      <c r="S548" s="93"/>
      <c r="T548" s="93"/>
      <c r="U548" s="93"/>
      <c r="V548" s="93"/>
      <c r="W548" s="93"/>
      <c r="X548" s="93"/>
      <c r="Y548" s="93"/>
      <c r="Z548" s="93"/>
      <c r="AA548" s="93"/>
      <c r="AB548" s="93"/>
      <c r="AC548" s="93"/>
      <c r="AD548" s="93"/>
      <c r="AE548" s="93"/>
      <c r="AF548" s="93"/>
      <c r="AG548" s="93"/>
      <c r="AH548" s="94"/>
      <c r="AI548" s="93"/>
      <c r="AJ548" s="93"/>
      <c r="AK548" s="93"/>
      <c r="AL548" s="93"/>
      <c r="AM548" s="93"/>
      <c r="AN548" s="93"/>
      <c r="AO548" s="93"/>
      <c r="AP548" s="93"/>
      <c r="AQ548" s="93"/>
      <c r="AR548" s="93"/>
      <c r="AS548" s="93"/>
      <c r="AT548" s="93"/>
      <c r="AU548" s="93"/>
      <c r="AV548" s="93"/>
      <c r="AW548" s="93"/>
      <c r="AX548" s="93"/>
      <c r="AY548" s="93"/>
      <c r="AZ548" s="93"/>
      <c r="BA548" s="93"/>
      <c r="BB548" s="93"/>
      <c r="BC548" s="93"/>
      <c r="BD548" s="93"/>
      <c r="BE548" s="93"/>
      <c r="BF548" s="93"/>
      <c r="BG548" s="93"/>
      <c r="BH548" s="93"/>
      <c r="BI548" s="93"/>
      <c r="BJ548" s="93"/>
      <c r="BK548" s="93"/>
      <c r="BL548" s="93"/>
      <c r="BM548" s="93"/>
      <c r="BN548" s="93"/>
      <c r="BO548" s="93"/>
      <c r="BP548" s="93"/>
      <c r="BQ548" s="93"/>
      <c r="BR548" s="93"/>
      <c r="BS548" s="93"/>
      <c r="BT548" s="93"/>
      <c r="BU548" s="93"/>
      <c r="BV548" s="93"/>
      <c r="BW548" s="93"/>
      <c r="BX548" s="93"/>
      <c r="BY548" s="93"/>
      <c r="BZ548" s="93"/>
    </row>
    <row r="549">
      <c r="B549" t="s">
        <v>2434</v>
      </c>
      <c r="C549" s="89" t="s">
        <v>2435</v>
      </c>
      <c r="D549" s="90" t="s">
        <v>2390</v>
      </c>
      <c r="E549" s="91">
        <v>2007.0</v>
      </c>
      <c r="F549" s="92">
        <v>1.0</v>
      </c>
      <c r="G549" s="93"/>
      <c r="H549" s="93"/>
      <c r="I549" s="93"/>
      <c r="J549" s="93"/>
      <c r="K549" s="93"/>
      <c r="L549" s="93"/>
      <c r="M549" s="93"/>
      <c r="N549" s="93"/>
      <c r="O549" s="93"/>
      <c r="P549" s="93"/>
      <c r="Q549" s="93"/>
      <c r="R549" s="93"/>
      <c r="S549" s="93"/>
      <c r="T549" s="93"/>
      <c r="U549" s="93"/>
      <c r="V549" s="93"/>
      <c r="W549" s="93"/>
      <c r="X549" s="93"/>
      <c r="Y549" s="93"/>
      <c r="Z549" s="93"/>
      <c r="AA549" s="93"/>
      <c r="AB549" s="93"/>
      <c r="AC549" s="93"/>
      <c r="AD549" s="93"/>
      <c r="AE549" s="93"/>
      <c r="AF549" s="93"/>
      <c r="AG549" s="93"/>
      <c r="AH549" s="94"/>
      <c r="AI549" s="93"/>
      <c r="AJ549" s="93"/>
      <c r="AK549" s="93"/>
      <c r="AL549" s="93"/>
      <c r="AM549" s="93"/>
      <c r="AN549" s="93"/>
      <c r="AO549" s="93"/>
      <c r="AP549" s="93"/>
      <c r="AQ549" s="93"/>
      <c r="AR549" s="93"/>
      <c r="AS549" s="93"/>
      <c r="AT549" s="93"/>
      <c r="AU549" s="93"/>
      <c r="AV549" s="93"/>
      <c r="AW549" s="93"/>
      <c r="AX549" s="93"/>
      <c r="AY549" s="93"/>
      <c r="AZ549" s="93"/>
      <c r="BA549" s="93"/>
      <c r="BB549" s="93"/>
      <c r="BC549" s="93"/>
      <c r="BD549" s="93"/>
      <c r="BE549" s="93"/>
      <c r="BF549" s="93"/>
      <c r="BG549" s="93"/>
      <c r="BH549" s="93"/>
      <c r="BI549" s="93"/>
      <c r="BJ549" s="93"/>
      <c r="BK549" s="93"/>
      <c r="BL549" s="93"/>
      <c r="BM549" s="93"/>
      <c r="BN549" s="93"/>
      <c r="BO549" s="93"/>
      <c r="BP549" s="93"/>
      <c r="BQ549" s="93"/>
      <c r="BR549" s="93"/>
      <c r="BS549" s="93"/>
      <c r="BT549" s="93"/>
      <c r="BU549" s="93"/>
      <c r="BV549" s="93"/>
      <c r="BW549" s="93"/>
      <c r="BX549" s="93"/>
      <c r="BY549" s="93"/>
      <c r="BZ549" s="93"/>
    </row>
    <row r="550">
      <c r="B550" t="s">
        <v>2436</v>
      </c>
      <c r="C550" s="89" t="s">
        <v>2437</v>
      </c>
      <c r="D550" s="90" t="s">
        <v>2438</v>
      </c>
      <c r="E550" s="91">
        <v>2009.0</v>
      </c>
      <c r="F550" s="92">
        <v>1.0</v>
      </c>
      <c r="G550" s="93"/>
      <c r="H550" s="93"/>
      <c r="I550" s="93"/>
      <c r="J550" s="93"/>
      <c r="K550" s="93"/>
      <c r="L550" s="93"/>
      <c r="M550" s="93"/>
      <c r="N550" s="93"/>
      <c r="O550" s="93"/>
      <c r="P550" s="93"/>
      <c r="Q550" s="93"/>
      <c r="R550" s="93"/>
      <c r="S550" s="93"/>
      <c r="T550" s="93"/>
      <c r="U550" s="93"/>
      <c r="V550" s="93"/>
      <c r="W550" s="93"/>
      <c r="X550" s="93"/>
      <c r="Y550" s="93"/>
      <c r="Z550" s="93"/>
      <c r="AA550" s="93"/>
      <c r="AB550" s="93"/>
      <c r="AC550" s="93"/>
      <c r="AD550" s="93"/>
      <c r="AE550" s="93"/>
      <c r="AF550" s="93"/>
      <c r="AG550" s="93"/>
      <c r="AH550" s="94"/>
      <c r="AI550" s="93"/>
      <c r="AJ550" s="93"/>
      <c r="AK550" s="93"/>
      <c r="AL550" s="93"/>
      <c r="AM550" s="93"/>
      <c r="AN550" s="93"/>
      <c r="AO550" s="93"/>
      <c r="AP550" s="93"/>
      <c r="AQ550" s="93"/>
      <c r="AR550" s="93"/>
      <c r="AS550" s="93"/>
      <c r="AT550" s="93"/>
      <c r="AU550" s="93"/>
      <c r="AV550" s="93"/>
      <c r="AW550" s="93"/>
      <c r="AX550" s="93"/>
      <c r="AY550" s="93"/>
      <c r="AZ550" s="93"/>
      <c r="BA550" s="93"/>
      <c r="BB550" s="93"/>
      <c r="BC550" s="93"/>
      <c r="BD550" s="93"/>
      <c r="BE550" s="93"/>
      <c r="BF550" s="93"/>
      <c r="BG550" s="93"/>
      <c r="BH550" s="93"/>
      <c r="BI550" s="93"/>
      <c r="BJ550" s="93"/>
      <c r="BK550" s="93"/>
      <c r="BL550" s="93"/>
      <c r="BM550" s="93"/>
      <c r="BN550" s="93"/>
      <c r="BO550" s="93"/>
      <c r="BP550" s="93"/>
      <c r="BQ550" s="93"/>
      <c r="BR550" s="93"/>
      <c r="BS550" s="93"/>
      <c r="BT550" s="93"/>
      <c r="BU550" s="93"/>
      <c r="BV550" s="93"/>
      <c r="BW550" s="93"/>
      <c r="BX550" s="93"/>
      <c r="BY550" s="93"/>
      <c r="BZ550" s="93"/>
    </row>
    <row r="551">
      <c r="B551" t="s">
        <v>2439</v>
      </c>
      <c r="C551" s="89" t="s">
        <v>2440</v>
      </c>
      <c r="D551" s="90" t="s">
        <v>2441</v>
      </c>
      <c r="E551" s="91">
        <v>2004.0</v>
      </c>
      <c r="F551" s="92">
        <v>1.0</v>
      </c>
      <c r="G551" s="93"/>
      <c r="H551" s="93"/>
      <c r="I551" s="93"/>
      <c r="J551" s="93"/>
      <c r="K551" s="93"/>
      <c r="L551" s="93"/>
      <c r="M551" s="93"/>
      <c r="N551" s="93"/>
      <c r="O551" s="93"/>
      <c r="P551" s="93"/>
      <c r="Q551" s="93"/>
      <c r="R551" s="93"/>
      <c r="S551" s="93"/>
      <c r="T551" s="93"/>
      <c r="U551" s="93"/>
      <c r="V551" s="93"/>
      <c r="W551" s="93"/>
      <c r="X551" s="93"/>
      <c r="Y551" s="93"/>
      <c r="Z551" s="93"/>
      <c r="AA551" s="93"/>
      <c r="AB551" s="93"/>
      <c r="AC551" s="93"/>
      <c r="AD551" s="93"/>
      <c r="AE551" s="93"/>
      <c r="AF551" s="93"/>
      <c r="AG551" s="93"/>
      <c r="AH551" s="94"/>
      <c r="AI551" s="93"/>
      <c r="AJ551" s="93"/>
      <c r="AK551" s="93"/>
      <c r="AL551" s="93"/>
      <c r="AM551" s="93"/>
      <c r="AN551" s="93"/>
      <c r="AO551" s="93"/>
      <c r="AP551" s="93"/>
      <c r="AQ551" s="93"/>
      <c r="AR551" s="93"/>
      <c r="AS551" s="93"/>
      <c r="AT551" s="93"/>
      <c r="AU551" s="93"/>
      <c r="AV551" s="93"/>
      <c r="AW551" s="93"/>
      <c r="AX551" s="93"/>
      <c r="AY551" s="93"/>
      <c r="AZ551" s="93"/>
      <c r="BA551" s="93"/>
      <c r="BB551" s="93"/>
      <c r="BC551" s="93"/>
      <c r="BD551" s="93"/>
      <c r="BE551" s="93"/>
      <c r="BF551" s="93"/>
      <c r="BG551" s="93"/>
      <c r="BH551" s="93"/>
      <c r="BI551" s="93"/>
      <c r="BJ551" s="93"/>
      <c r="BK551" s="93"/>
      <c r="BL551" s="93"/>
      <c r="BM551" s="93"/>
      <c r="BN551" s="93"/>
      <c r="BO551" s="93"/>
      <c r="BP551" s="93"/>
      <c r="BQ551" s="93"/>
      <c r="BR551" s="93"/>
      <c r="BS551" s="93"/>
      <c r="BT551" s="93"/>
      <c r="BU551" s="93"/>
      <c r="BV551" s="93"/>
      <c r="BW551" s="93"/>
      <c r="BX551" s="93"/>
      <c r="BY551" s="93"/>
      <c r="BZ551" s="93"/>
    </row>
    <row r="552">
      <c r="B552" t="s">
        <v>2442</v>
      </c>
      <c r="C552" s="89" t="s">
        <v>2443</v>
      </c>
      <c r="D552" s="90" t="s">
        <v>1756</v>
      </c>
      <c r="E552" s="91">
        <v>2013.0</v>
      </c>
      <c r="F552" s="92">
        <v>1.0</v>
      </c>
      <c r="G552" s="93"/>
      <c r="H552" s="93"/>
      <c r="I552" s="93"/>
      <c r="J552" s="93"/>
      <c r="K552" s="93"/>
      <c r="L552" s="93"/>
      <c r="M552" s="93"/>
      <c r="N552" s="93"/>
      <c r="O552" s="93"/>
      <c r="P552" s="93"/>
      <c r="Q552" s="93"/>
      <c r="R552" s="93"/>
      <c r="S552" s="93"/>
      <c r="T552" s="93"/>
      <c r="U552" s="93"/>
      <c r="V552" s="93"/>
      <c r="W552" s="93"/>
      <c r="X552" s="93"/>
      <c r="Y552" s="93"/>
      <c r="Z552" s="93"/>
      <c r="AA552" s="93"/>
      <c r="AB552" s="93"/>
      <c r="AC552" s="93"/>
      <c r="AD552" s="93"/>
      <c r="AE552" s="93"/>
      <c r="AF552" s="93"/>
      <c r="AG552" s="93"/>
      <c r="AH552" s="94"/>
      <c r="AI552" s="93"/>
      <c r="AJ552" s="93"/>
      <c r="AK552" s="93"/>
      <c r="AL552" s="93"/>
      <c r="AM552" s="93"/>
      <c r="AN552" s="93"/>
      <c r="AO552" s="93"/>
      <c r="AP552" s="93"/>
      <c r="AQ552" s="93"/>
      <c r="AR552" s="93"/>
      <c r="AS552" s="93"/>
      <c r="AT552" s="93"/>
      <c r="AU552" s="93"/>
      <c r="AV552" s="93"/>
      <c r="AW552" s="93"/>
      <c r="AX552" s="93"/>
      <c r="AY552" s="93"/>
      <c r="AZ552" s="93"/>
      <c r="BA552" s="93"/>
      <c r="BB552" s="93"/>
      <c r="BC552" s="93"/>
      <c r="BD552" s="93"/>
      <c r="BE552" s="93"/>
      <c r="BF552" s="93"/>
      <c r="BG552" s="93"/>
      <c r="BH552" s="93"/>
      <c r="BI552" s="93"/>
      <c r="BJ552" s="93"/>
      <c r="BK552" s="93"/>
      <c r="BL552" s="93"/>
      <c r="BM552" s="93"/>
      <c r="BN552" s="93"/>
      <c r="BO552" s="93"/>
      <c r="BP552" s="93"/>
      <c r="BQ552" s="93"/>
      <c r="BR552" s="93"/>
      <c r="BS552" s="93"/>
      <c r="BT552" s="93"/>
      <c r="BU552" s="93"/>
      <c r="BV552" s="93"/>
      <c r="BW552" s="93"/>
      <c r="BX552" s="93"/>
      <c r="BY552" s="93"/>
      <c r="BZ552" s="93"/>
    </row>
    <row r="553">
      <c r="B553" t="s">
        <v>2444</v>
      </c>
      <c r="C553" s="89" t="s">
        <v>2445</v>
      </c>
      <c r="D553" s="90" t="s">
        <v>2446</v>
      </c>
      <c r="E553" s="91">
        <v>2014.0</v>
      </c>
      <c r="F553" s="92">
        <v>1.0</v>
      </c>
      <c r="G553" s="93"/>
      <c r="H553" s="93"/>
      <c r="I553" s="93"/>
      <c r="J553" s="93"/>
      <c r="K553" s="93"/>
      <c r="L553" s="93"/>
      <c r="M553" s="93"/>
      <c r="N553" s="93"/>
      <c r="O553" s="93"/>
      <c r="P553" s="93"/>
      <c r="Q553" s="93"/>
      <c r="R553" s="93"/>
      <c r="S553" s="93"/>
      <c r="T553" s="93"/>
      <c r="U553" s="93"/>
      <c r="V553" s="93"/>
      <c r="W553" s="93"/>
      <c r="X553" s="93"/>
      <c r="Y553" s="93"/>
      <c r="Z553" s="93"/>
      <c r="AA553" s="93"/>
      <c r="AB553" s="93"/>
      <c r="AC553" s="93"/>
      <c r="AD553" s="93"/>
      <c r="AE553" s="93"/>
      <c r="AF553" s="93"/>
      <c r="AG553" s="93"/>
      <c r="AH553" s="94"/>
      <c r="AI553" s="93"/>
      <c r="AJ553" s="93"/>
      <c r="AK553" s="93"/>
      <c r="AL553" s="93"/>
      <c r="AM553" s="93"/>
      <c r="AN553" s="93"/>
      <c r="AO553" s="93"/>
      <c r="AP553" s="93"/>
      <c r="AQ553" s="93"/>
      <c r="AR553" s="93"/>
      <c r="AS553" s="93"/>
      <c r="AT553" s="93"/>
      <c r="AU553" s="93"/>
      <c r="AV553" s="93"/>
      <c r="AW553" s="93"/>
      <c r="AX553" s="93"/>
      <c r="AY553" s="93"/>
      <c r="AZ553" s="93"/>
      <c r="BA553" s="93"/>
      <c r="BB553" s="93"/>
      <c r="BC553" s="93"/>
      <c r="BD553" s="93"/>
      <c r="BE553" s="93"/>
      <c r="BF553" s="93"/>
      <c r="BG553" s="93"/>
      <c r="BH553" s="93"/>
      <c r="BI553" s="93"/>
      <c r="BJ553" s="93"/>
      <c r="BK553" s="93"/>
      <c r="BL553" s="93"/>
      <c r="BM553" s="93"/>
      <c r="BN553" s="93"/>
      <c r="BO553" s="93"/>
      <c r="BP553" s="93"/>
      <c r="BQ553" s="93"/>
      <c r="BR553" s="93"/>
      <c r="BS553" s="93"/>
      <c r="BT553" s="93"/>
      <c r="BU553" s="93"/>
      <c r="BV553" s="93"/>
      <c r="BW553" s="93"/>
      <c r="BX553" s="93"/>
      <c r="BY553" s="93"/>
      <c r="BZ553" s="93"/>
    </row>
    <row r="554">
      <c r="A554" t="s">
        <v>1340</v>
      </c>
      <c r="B554" t="s">
        <v>2447</v>
      </c>
      <c r="C554" s="89" t="s">
        <v>2448</v>
      </c>
      <c r="D554" s="90" t="s">
        <v>2449</v>
      </c>
      <c r="E554" s="91">
        <v>2013.0</v>
      </c>
      <c r="F554" s="92">
        <v>1.0</v>
      </c>
      <c r="G554" s="93"/>
      <c r="H554" s="93"/>
      <c r="I554" s="93"/>
      <c r="J554" s="93"/>
      <c r="K554" s="93"/>
      <c r="L554" s="93"/>
      <c r="M554" s="92">
        <v>1.0</v>
      </c>
      <c r="N554" s="93"/>
      <c r="O554" s="93"/>
      <c r="P554" s="93"/>
      <c r="Q554" s="92">
        <v>1.0</v>
      </c>
      <c r="R554" s="93"/>
      <c r="S554" s="93"/>
      <c r="T554" s="93"/>
      <c r="U554" s="93"/>
      <c r="V554" s="98" t="s">
        <v>2450</v>
      </c>
      <c r="W554" s="98" t="s">
        <v>2451</v>
      </c>
      <c r="X554" s="98" t="s">
        <v>2452</v>
      </c>
      <c r="Y554" s="98" t="s">
        <v>2453</v>
      </c>
      <c r="Z554" s="98" t="s">
        <v>2454</v>
      </c>
      <c r="AA554" s="93"/>
      <c r="AB554" s="92">
        <v>1.0</v>
      </c>
      <c r="AC554" s="93"/>
      <c r="AD554" s="92">
        <v>1.0</v>
      </c>
      <c r="AE554" s="93"/>
      <c r="AF554" s="92">
        <v>1.0</v>
      </c>
      <c r="AG554" s="93"/>
      <c r="AH554" s="96" t="s">
        <v>2455</v>
      </c>
      <c r="AI554" s="92">
        <v>1.0</v>
      </c>
      <c r="AJ554" s="93"/>
      <c r="AK554" s="93"/>
      <c r="AL554" s="93"/>
      <c r="AM554" s="93"/>
      <c r="AN554" s="93"/>
      <c r="AO554" s="93"/>
      <c r="AP554" s="93"/>
      <c r="AQ554" s="93"/>
      <c r="AR554" s="93"/>
      <c r="AS554" s="93"/>
      <c r="AT554" s="93"/>
      <c r="AU554" s="93"/>
      <c r="AV554" s="92">
        <v>1.0</v>
      </c>
      <c r="AW554" s="93"/>
      <c r="AX554" s="93"/>
      <c r="AY554" s="93"/>
      <c r="AZ554" s="93"/>
      <c r="BA554" s="93"/>
      <c r="BB554" s="93"/>
      <c r="BC554" s="92">
        <v>1.0</v>
      </c>
      <c r="BD554" s="93"/>
      <c r="BE554" s="93"/>
      <c r="BF554" s="93"/>
      <c r="BG554" s="93"/>
      <c r="BH554" s="93"/>
      <c r="BI554" s="93"/>
      <c r="BJ554" s="93"/>
      <c r="BK554" s="93"/>
      <c r="BL554" s="93"/>
      <c r="BM554" s="93"/>
      <c r="BN554" s="93"/>
      <c r="BO554" s="93"/>
      <c r="BP554" s="93"/>
      <c r="BQ554" s="93"/>
      <c r="BR554" s="93"/>
      <c r="BS554" s="93"/>
      <c r="BT554" s="93"/>
      <c r="BU554" s="93"/>
      <c r="BV554" s="92">
        <v>1.0</v>
      </c>
      <c r="BW554" s="93"/>
      <c r="BX554" s="93"/>
      <c r="BY554" s="92">
        <v>1.0</v>
      </c>
      <c r="BZ554" s="93"/>
    </row>
    <row r="555">
      <c r="A555" t="s">
        <v>1354</v>
      </c>
      <c r="B555" t="s">
        <v>2456</v>
      </c>
      <c r="C555" s="89" t="s">
        <v>2457</v>
      </c>
      <c r="D555" s="90" t="s">
        <v>2458</v>
      </c>
      <c r="E555" s="91">
        <v>2008.0</v>
      </c>
      <c r="F555" s="98"/>
      <c r="G555" s="93"/>
      <c r="H555" s="93"/>
      <c r="I555" s="93"/>
      <c r="J555" s="93"/>
      <c r="K555" s="93"/>
      <c r="L555" s="93"/>
      <c r="M555" s="99">
        <v>1.0</v>
      </c>
      <c r="N555" s="93"/>
      <c r="O555" s="93"/>
      <c r="P555" s="93"/>
      <c r="Q555" s="93"/>
      <c r="R555" s="93"/>
      <c r="S555" s="93"/>
      <c r="T555" s="93"/>
      <c r="U555" s="93"/>
      <c r="V555" s="93"/>
      <c r="W555" s="98" t="s">
        <v>2459</v>
      </c>
      <c r="X555" s="98" t="s">
        <v>2460</v>
      </c>
      <c r="Y555" s="98" t="s">
        <v>2461</v>
      </c>
      <c r="Z555" s="98" t="s">
        <v>2462</v>
      </c>
      <c r="AA555" s="93"/>
      <c r="AB555" s="99">
        <v>1.0</v>
      </c>
      <c r="AC555" s="99">
        <v>1.0</v>
      </c>
      <c r="AD555" s="93"/>
      <c r="AE555" s="93"/>
      <c r="AF555" s="93"/>
      <c r="AG555" s="93"/>
      <c r="AH555" s="96" t="s">
        <v>2463</v>
      </c>
      <c r="AI555" s="99">
        <v>1.0</v>
      </c>
      <c r="AJ555" s="93"/>
      <c r="AK555" s="93"/>
      <c r="AL555" s="93"/>
      <c r="AM555" s="93"/>
      <c r="AN555" s="93"/>
      <c r="AO555" s="93"/>
      <c r="AP555" s="93"/>
      <c r="AQ555" s="93"/>
      <c r="AR555" s="93"/>
      <c r="AS555" s="93"/>
      <c r="AT555" s="93"/>
      <c r="AU555" s="93"/>
      <c r="AV555" s="93"/>
      <c r="AW555" s="93"/>
      <c r="AX555" s="93"/>
      <c r="AY555" s="93"/>
      <c r="AZ555" s="93"/>
      <c r="BA555" s="93"/>
      <c r="BB555" s="93"/>
      <c r="BC555" s="93"/>
      <c r="BD555" s="93"/>
      <c r="BE555" s="93"/>
      <c r="BF555" s="99">
        <v>1.0</v>
      </c>
      <c r="BG555" s="93"/>
      <c r="BH555" s="93"/>
      <c r="BI555" s="99">
        <v>1.0</v>
      </c>
      <c r="BJ555" s="93"/>
      <c r="BK555" s="93"/>
      <c r="BL555" s="93"/>
      <c r="BM555" s="93"/>
      <c r="BN555" s="93"/>
      <c r="BO555" s="93"/>
      <c r="BP555" s="93"/>
      <c r="BQ555" s="93"/>
      <c r="BR555" s="99">
        <v>1.0</v>
      </c>
      <c r="BS555" s="93"/>
      <c r="BT555" s="99">
        <v>1.0</v>
      </c>
      <c r="BU555" s="99">
        <v>1.0</v>
      </c>
      <c r="BV555" s="93"/>
      <c r="BW555" s="99">
        <v>1.0</v>
      </c>
      <c r="BX555" s="93"/>
      <c r="BY555" s="93"/>
      <c r="BZ555" s="93"/>
    </row>
    <row r="556">
      <c r="B556" t="s">
        <v>2464</v>
      </c>
      <c r="C556" s="89" t="s">
        <v>2465</v>
      </c>
      <c r="D556" s="90" t="s">
        <v>503</v>
      </c>
      <c r="E556" s="91">
        <v>2008.0</v>
      </c>
      <c r="F556" s="92">
        <v>1.0</v>
      </c>
      <c r="G556" s="93"/>
      <c r="H556" s="93"/>
      <c r="I556" s="93"/>
      <c r="J556" s="93"/>
      <c r="K556" s="93"/>
      <c r="L556" s="93"/>
      <c r="M556" s="93"/>
      <c r="N556" s="93"/>
      <c r="O556" s="93"/>
      <c r="P556" s="93"/>
      <c r="Q556" s="93"/>
      <c r="R556" s="93"/>
      <c r="S556" s="93"/>
      <c r="T556" s="93"/>
      <c r="U556" s="93"/>
      <c r="V556" s="93"/>
      <c r="W556" s="93"/>
      <c r="X556" s="93"/>
      <c r="Y556" s="93"/>
      <c r="Z556" s="93"/>
      <c r="AA556" s="93"/>
      <c r="AB556" s="93"/>
      <c r="AC556" s="93"/>
      <c r="AD556" s="93"/>
      <c r="AE556" s="93"/>
      <c r="AF556" s="93"/>
      <c r="AG556" s="93"/>
      <c r="AH556" s="94"/>
      <c r="AI556" s="93"/>
      <c r="AJ556" s="93"/>
      <c r="AK556" s="93"/>
      <c r="AL556" s="93"/>
      <c r="AM556" s="93"/>
      <c r="AN556" s="93"/>
      <c r="AO556" s="93"/>
      <c r="AP556" s="93"/>
      <c r="AQ556" s="93"/>
      <c r="AR556" s="93"/>
      <c r="AS556" s="93"/>
      <c r="AT556" s="93"/>
      <c r="AU556" s="93"/>
      <c r="AV556" s="93"/>
      <c r="AW556" s="93"/>
      <c r="AX556" s="93"/>
      <c r="AY556" s="93"/>
      <c r="AZ556" s="93"/>
      <c r="BA556" s="93"/>
      <c r="BB556" s="93"/>
      <c r="BC556" s="93"/>
      <c r="BD556" s="93"/>
      <c r="BE556" s="93"/>
      <c r="BF556" s="93"/>
      <c r="BG556" s="93"/>
      <c r="BH556" s="93"/>
      <c r="BI556" s="93"/>
      <c r="BJ556" s="93"/>
      <c r="BK556" s="93"/>
      <c r="BL556" s="93"/>
      <c r="BM556" s="93"/>
      <c r="BN556" s="93"/>
      <c r="BO556" s="93"/>
      <c r="BP556" s="93"/>
      <c r="BQ556" s="93"/>
      <c r="BR556" s="93"/>
      <c r="BS556" s="93"/>
      <c r="BT556" s="93"/>
      <c r="BU556" s="93"/>
      <c r="BV556" s="93"/>
      <c r="BW556" s="93"/>
      <c r="BX556" s="93"/>
      <c r="BY556" s="93"/>
      <c r="BZ556" s="93"/>
    </row>
    <row r="557">
      <c r="B557" t="s">
        <v>2466</v>
      </c>
      <c r="C557" s="89" t="s">
        <v>2467</v>
      </c>
      <c r="D557" s="90" t="s">
        <v>2468</v>
      </c>
      <c r="E557" s="91">
        <v>2015.0</v>
      </c>
      <c r="F557" s="92">
        <v>1.0</v>
      </c>
      <c r="G557" s="93"/>
      <c r="H557" s="93"/>
      <c r="I557" s="93"/>
      <c r="J557" s="93"/>
      <c r="K557" s="93"/>
      <c r="L557" s="93"/>
      <c r="M557" s="93"/>
      <c r="N557" s="93"/>
      <c r="O557" s="93"/>
      <c r="P557" s="93"/>
      <c r="Q557" s="93"/>
      <c r="R557" s="93"/>
      <c r="S557" s="93"/>
      <c r="T557" s="93"/>
      <c r="U557" s="93"/>
      <c r="V557" s="93"/>
      <c r="W557" s="93"/>
      <c r="X557" s="93"/>
      <c r="Y557" s="93"/>
      <c r="Z557" s="93"/>
      <c r="AA557" s="93"/>
      <c r="AB557" s="93"/>
      <c r="AC557" s="93"/>
      <c r="AD557" s="93"/>
      <c r="AE557" s="93"/>
      <c r="AF557" s="93"/>
      <c r="AG557" s="93"/>
      <c r="AH557" s="94"/>
      <c r="AI557" s="93"/>
      <c r="AJ557" s="93"/>
      <c r="AK557" s="93"/>
      <c r="AL557" s="93"/>
      <c r="AM557" s="93"/>
      <c r="AN557" s="93"/>
      <c r="AO557" s="93"/>
      <c r="AP557" s="93"/>
      <c r="AQ557" s="93"/>
      <c r="AR557" s="93"/>
      <c r="AS557" s="93"/>
      <c r="AT557" s="93"/>
      <c r="AU557" s="93"/>
      <c r="AV557" s="93"/>
      <c r="AW557" s="93"/>
      <c r="AX557" s="93"/>
      <c r="AY557" s="93"/>
      <c r="AZ557" s="93"/>
      <c r="BA557" s="93"/>
      <c r="BB557" s="93"/>
      <c r="BC557" s="93"/>
      <c r="BD557" s="93"/>
      <c r="BE557" s="93"/>
      <c r="BF557" s="93"/>
      <c r="BG557" s="93"/>
      <c r="BH557" s="93"/>
      <c r="BI557" s="93"/>
      <c r="BJ557" s="93"/>
      <c r="BK557" s="93"/>
      <c r="BL557" s="93"/>
      <c r="BM557" s="93"/>
      <c r="BN557" s="93"/>
      <c r="BO557" s="93"/>
      <c r="BP557" s="93"/>
      <c r="BQ557" s="93"/>
      <c r="BR557" s="93"/>
      <c r="BS557" s="93"/>
      <c r="BT557" s="93"/>
      <c r="BU557" s="93"/>
      <c r="BV557" s="93"/>
      <c r="BW557" s="93"/>
      <c r="BX557" s="93"/>
      <c r="BY557" s="93"/>
      <c r="BZ557" s="93"/>
    </row>
    <row r="558">
      <c r="B558" t="s">
        <v>2469</v>
      </c>
      <c r="C558" s="89" t="s">
        <v>2470</v>
      </c>
      <c r="D558" s="90" t="s">
        <v>2471</v>
      </c>
      <c r="E558" s="91">
        <v>2011.0</v>
      </c>
      <c r="F558" s="92">
        <v>1.0</v>
      </c>
      <c r="G558" s="93"/>
      <c r="H558" s="93"/>
      <c r="I558" s="93"/>
      <c r="J558" s="93"/>
      <c r="K558" s="93"/>
      <c r="L558" s="93"/>
      <c r="M558" s="93"/>
      <c r="N558" s="93"/>
      <c r="O558" s="93"/>
      <c r="P558" s="93"/>
      <c r="Q558" s="93"/>
      <c r="R558" s="93"/>
      <c r="S558" s="93"/>
      <c r="T558" s="93"/>
      <c r="U558" s="93"/>
      <c r="V558" s="93"/>
      <c r="W558" s="93"/>
      <c r="X558" s="93"/>
      <c r="Y558" s="93"/>
      <c r="Z558" s="93"/>
      <c r="AA558" s="93"/>
      <c r="AB558" s="93"/>
      <c r="AC558" s="93"/>
      <c r="AD558" s="93"/>
      <c r="AE558" s="93"/>
      <c r="AF558" s="93"/>
      <c r="AG558" s="93"/>
      <c r="AH558" s="94"/>
      <c r="AI558" s="93"/>
      <c r="AJ558" s="93"/>
      <c r="AK558" s="93"/>
      <c r="AL558" s="93"/>
      <c r="AM558" s="93"/>
      <c r="AN558" s="93"/>
      <c r="AO558" s="93"/>
      <c r="AP558" s="93"/>
      <c r="AQ558" s="93"/>
      <c r="AR558" s="93"/>
      <c r="AS558" s="93"/>
      <c r="AT558" s="93"/>
      <c r="AU558" s="93"/>
      <c r="AV558" s="93"/>
      <c r="AW558" s="93"/>
      <c r="AX558" s="93"/>
      <c r="AY558" s="93"/>
      <c r="AZ558" s="93"/>
      <c r="BA558" s="93"/>
      <c r="BB558" s="93"/>
      <c r="BC558" s="93"/>
      <c r="BD558" s="93"/>
      <c r="BE558" s="93"/>
      <c r="BF558" s="93"/>
      <c r="BG558" s="93"/>
      <c r="BH558" s="93"/>
      <c r="BI558" s="93"/>
      <c r="BJ558" s="93"/>
      <c r="BK558" s="93"/>
      <c r="BL558" s="93"/>
      <c r="BM558" s="93"/>
      <c r="BN558" s="93"/>
      <c r="BO558" s="93"/>
      <c r="BP558" s="93"/>
      <c r="BQ558" s="93"/>
      <c r="BR558" s="93"/>
      <c r="BS558" s="93"/>
      <c r="BT558" s="93"/>
      <c r="BU558" s="93"/>
      <c r="BV558" s="93"/>
      <c r="BW558" s="93"/>
      <c r="BX558" s="93"/>
      <c r="BY558" s="93"/>
      <c r="BZ558" s="93"/>
    </row>
    <row r="559">
      <c r="A559" t="s">
        <v>116</v>
      </c>
      <c r="B559" t="s">
        <v>2472</v>
      </c>
      <c r="C559" s="89" t="s">
        <v>2473</v>
      </c>
      <c r="D559" s="90" t="s">
        <v>2474</v>
      </c>
      <c r="E559" s="91">
        <v>1999.0</v>
      </c>
      <c r="F559" s="92">
        <v>1.0</v>
      </c>
      <c r="G559" s="93"/>
      <c r="H559" s="93"/>
      <c r="I559" s="93"/>
      <c r="J559" s="93"/>
      <c r="K559" s="93"/>
      <c r="L559" s="93"/>
      <c r="M559" s="93"/>
      <c r="N559" s="93"/>
      <c r="O559" s="93"/>
      <c r="P559" s="93"/>
      <c r="Q559" s="93"/>
      <c r="R559" s="93"/>
      <c r="S559" s="93"/>
      <c r="T559" s="93"/>
      <c r="U559" s="93"/>
      <c r="V559" s="93"/>
      <c r="W559" s="93"/>
      <c r="X559" s="93"/>
      <c r="Y559" s="93"/>
      <c r="Z559" s="93"/>
      <c r="AA559" s="93"/>
      <c r="AB559" s="93"/>
      <c r="AC559" s="93"/>
      <c r="AD559" s="93"/>
      <c r="AE559" s="93"/>
      <c r="AF559" s="93"/>
      <c r="AG559" s="93"/>
      <c r="AH559" s="94"/>
      <c r="AI559" s="93"/>
      <c r="AJ559" s="93"/>
      <c r="AK559" s="93"/>
      <c r="AL559" s="93"/>
      <c r="AM559" s="93"/>
      <c r="AN559" s="93"/>
      <c r="AO559" s="93"/>
      <c r="AP559" s="93"/>
      <c r="AQ559" s="93"/>
      <c r="AR559" s="93"/>
      <c r="AS559" s="93"/>
      <c r="AT559" s="93"/>
      <c r="AU559" s="93"/>
      <c r="AV559" s="93"/>
      <c r="AW559" s="93"/>
      <c r="AX559" s="93"/>
      <c r="AY559" s="93"/>
      <c r="AZ559" s="93"/>
      <c r="BA559" s="93"/>
      <c r="BB559" s="93"/>
      <c r="BC559" s="93"/>
      <c r="BD559" s="93"/>
      <c r="BE559" s="93"/>
      <c r="BF559" s="93"/>
      <c r="BG559" s="93"/>
      <c r="BH559" s="93"/>
      <c r="BI559" s="93"/>
      <c r="BJ559" s="93"/>
      <c r="BK559" s="93"/>
      <c r="BL559" s="93"/>
      <c r="BM559" s="93"/>
      <c r="BN559" s="93"/>
      <c r="BO559" s="93"/>
      <c r="BP559" s="93"/>
      <c r="BQ559" s="93"/>
      <c r="BR559" s="93"/>
      <c r="BS559" s="93"/>
      <c r="BT559" s="93"/>
      <c r="BU559" s="93"/>
      <c r="BV559" s="93"/>
      <c r="BW559" s="93"/>
      <c r="BX559" s="93"/>
      <c r="BY559" s="93"/>
      <c r="BZ559" s="93"/>
    </row>
    <row r="560">
      <c r="B560" t="s">
        <v>2475</v>
      </c>
      <c r="C560" s="89" t="s">
        <v>2476</v>
      </c>
      <c r="D560" s="90" t="s">
        <v>2477</v>
      </c>
      <c r="E560" s="91">
        <v>2003.0</v>
      </c>
      <c r="F560" s="92">
        <v>1.0</v>
      </c>
      <c r="G560" s="93"/>
      <c r="H560" s="93"/>
      <c r="I560" s="93"/>
      <c r="J560" s="93"/>
      <c r="K560" s="93"/>
      <c r="L560" s="93"/>
      <c r="M560" s="93"/>
      <c r="N560" s="93"/>
      <c r="O560" s="93"/>
      <c r="P560" s="93"/>
      <c r="Q560" s="93"/>
      <c r="R560" s="93"/>
      <c r="S560" s="93"/>
      <c r="T560" s="93"/>
      <c r="U560" s="93"/>
      <c r="V560" s="93"/>
      <c r="W560" s="93"/>
      <c r="X560" s="93"/>
      <c r="Y560" s="93"/>
      <c r="Z560" s="93"/>
      <c r="AA560" s="93"/>
      <c r="AB560" s="93"/>
      <c r="AC560" s="93"/>
      <c r="AD560" s="93"/>
      <c r="AE560" s="93"/>
      <c r="AF560" s="93"/>
      <c r="AG560" s="93"/>
      <c r="AH560" s="94"/>
      <c r="AI560" s="93"/>
      <c r="AJ560" s="93"/>
      <c r="AK560" s="93"/>
      <c r="AL560" s="93"/>
      <c r="AM560" s="93"/>
      <c r="AN560" s="93"/>
      <c r="AO560" s="93"/>
      <c r="AP560" s="93"/>
      <c r="AQ560" s="93"/>
      <c r="AR560" s="93"/>
      <c r="AS560" s="93"/>
      <c r="AT560" s="93"/>
      <c r="AU560" s="93"/>
      <c r="AV560" s="93"/>
      <c r="AW560" s="93"/>
      <c r="AX560" s="93"/>
      <c r="AY560" s="93"/>
      <c r="AZ560" s="93"/>
      <c r="BA560" s="93"/>
      <c r="BB560" s="93"/>
      <c r="BC560" s="93"/>
      <c r="BD560" s="93"/>
      <c r="BE560" s="93"/>
      <c r="BF560" s="93"/>
      <c r="BG560" s="93"/>
      <c r="BH560" s="93"/>
      <c r="BI560" s="93"/>
      <c r="BJ560" s="93"/>
      <c r="BK560" s="93"/>
      <c r="BL560" s="93"/>
      <c r="BM560" s="93"/>
      <c r="BN560" s="93"/>
      <c r="BO560" s="93"/>
      <c r="BP560" s="93"/>
      <c r="BQ560" s="93"/>
      <c r="BR560" s="93"/>
      <c r="BS560" s="93"/>
      <c r="BT560" s="93"/>
      <c r="BU560" s="93"/>
      <c r="BV560" s="93"/>
      <c r="BW560" s="93"/>
      <c r="BX560" s="93"/>
      <c r="BY560" s="93"/>
      <c r="BZ560" s="93"/>
    </row>
    <row r="561">
      <c r="B561" t="s">
        <v>2478</v>
      </c>
      <c r="C561" s="89" t="s">
        <v>2479</v>
      </c>
      <c r="D561" s="90" t="s">
        <v>2480</v>
      </c>
      <c r="E561" s="91">
        <v>2005.0</v>
      </c>
      <c r="F561" s="92">
        <v>1.0</v>
      </c>
      <c r="G561" s="93"/>
      <c r="H561" s="93"/>
      <c r="I561" s="93"/>
      <c r="J561" s="93"/>
      <c r="K561" s="93"/>
      <c r="L561" s="93"/>
      <c r="M561" s="93"/>
      <c r="N561" s="93"/>
      <c r="O561" s="93"/>
      <c r="P561" s="93"/>
      <c r="Q561" s="93"/>
      <c r="R561" s="93"/>
      <c r="S561" s="93"/>
      <c r="T561" s="93"/>
      <c r="U561" s="93"/>
      <c r="V561" s="93"/>
      <c r="W561" s="93"/>
      <c r="X561" s="93"/>
      <c r="Y561" s="93"/>
      <c r="Z561" s="93"/>
      <c r="AA561" s="93"/>
      <c r="AB561" s="93"/>
      <c r="AC561" s="93"/>
      <c r="AD561" s="93"/>
      <c r="AE561" s="93"/>
      <c r="AF561" s="93"/>
      <c r="AG561" s="93"/>
      <c r="AH561" s="94"/>
      <c r="AI561" s="93"/>
      <c r="AJ561" s="93"/>
      <c r="AK561" s="93"/>
      <c r="AL561" s="93"/>
      <c r="AM561" s="93"/>
      <c r="AN561" s="93"/>
      <c r="AO561" s="93"/>
      <c r="AP561" s="93"/>
      <c r="AQ561" s="93"/>
      <c r="AR561" s="93"/>
      <c r="AS561" s="93"/>
      <c r="AT561" s="93"/>
      <c r="AU561" s="93"/>
      <c r="AV561" s="93"/>
      <c r="AW561" s="93"/>
      <c r="AX561" s="93"/>
      <c r="AY561" s="93"/>
      <c r="AZ561" s="93"/>
      <c r="BA561" s="93"/>
      <c r="BB561" s="93"/>
      <c r="BC561" s="93"/>
      <c r="BD561" s="93"/>
      <c r="BE561" s="93"/>
      <c r="BF561" s="93"/>
      <c r="BG561" s="93"/>
      <c r="BH561" s="93"/>
      <c r="BI561" s="93"/>
      <c r="BJ561" s="93"/>
      <c r="BK561" s="93"/>
      <c r="BL561" s="93"/>
      <c r="BM561" s="93"/>
      <c r="BN561" s="93"/>
      <c r="BO561" s="93"/>
      <c r="BP561" s="93"/>
      <c r="BQ561" s="93"/>
      <c r="BR561" s="93"/>
      <c r="BS561" s="93"/>
      <c r="BT561" s="93"/>
      <c r="BU561" s="93"/>
      <c r="BV561" s="93"/>
      <c r="BW561" s="93"/>
      <c r="BX561" s="93"/>
      <c r="BY561" s="93"/>
      <c r="BZ561" s="93"/>
    </row>
    <row r="562">
      <c r="B562" t="s">
        <v>2481</v>
      </c>
      <c r="C562" s="89" t="s">
        <v>1086</v>
      </c>
      <c r="D562" s="90" t="s">
        <v>2482</v>
      </c>
      <c r="E562" s="91">
        <v>2005.0</v>
      </c>
      <c r="F562" s="97" t="s">
        <v>1777</v>
      </c>
      <c r="G562" s="93"/>
      <c r="H562" s="93"/>
      <c r="I562" s="93"/>
      <c r="J562" s="93"/>
      <c r="K562" s="93"/>
      <c r="L562" s="93"/>
      <c r="M562" s="93"/>
      <c r="N562" s="93"/>
      <c r="O562" s="93"/>
      <c r="P562" s="93"/>
      <c r="Q562" s="93"/>
      <c r="R562" s="93"/>
      <c r="S562" s="93"/>
      <c r="T562" s="93"/>
      <c r="U562" s="93"/>
      <c r="V562" s="93"/>
      <c r="W562" s="93"/>
      <c r="X562" s="93"/>
      <c r="Y562" s="93"/>
      <c r="Z562" s="93"/>
      <c r="AA562" s="93"/>
      <c r="AB562" s="93"/>
      <c r="AC562" s="93"/>
      <c r="AD562" s="93"/>
      <c r="AE562" s="93"/>
      <c r="AF562" s="93"/>
      <c r="AG562" s="93"/>
      <c r="AH562" s="94"/>
      <c r="AI562" s="93"/>
      <c r="AJ562" s="93"/>
      <c r="AK562" s="93"/>
      <c r="AL562" s="93"/>
      <c r="AM562" s="93"/>
      <c r="AN562" s="93"/>
      <c r="AO562" s="93"/>
      <c r="AP562" s="93"/>
      <c r="AQ562" s="93"/>
      <c r="AR562" s="93"/>
      <c r="AS562" s="93"/>
      <c r="AT562" s="93"/>
      <c r="AU562" s="93"/>
      <c r="AV562" s="93"/>
      <c r="AW562" s="93"/>
      <c r="AX562" s="93"/>
      <c r="AY562" s="93"/>
      <c r="AZ562" s="93"/>
      <c r="BA562" s="93"/>
      <c r="BB562" s="93"/>
      <c r="BC562" s="93"/>
      <c r="BD562" s="93"/>
      <c r="BE562" s="93"/>
      <c r="BF562" s="93"/>
      <c r="BG562" s="93"/>
      <c r="BH562" s="93"/>
      <c r="BI562" s="93"/>
      <c r="BJ562" s="93"/>
      <c r="BK562" s="93"/>
      <c r="BL562" s="93"/>
      <c r="BM562" s="93"/>
      <c r="BN562" s="93"/>
      <c r="BO562" s="93"/>
      <c r="BP562" s="93"/>
      <c r="BQ562" s="93"/>
      <c r="BR562" s="93"/>
      <c r="BS562" s="93"/>
      <c r="BT562" s="93"/>
      <c r="BU562" s="93"/>
      <c r="BV562" s="93"/>
      <c r="BW562" s="93"/>
      <c r="BX562" s="93"/>
      <c r="BY562" s="93"/>
      <c r="BZ562" s="93"/>
    </row>
    <row r="563">
      <c r="A563" t="s">
        <v>1331</v>
      </c>
      <c r="B563" t="s">
        <v>2483</v>
      </c>
      <c r="C563" s="89" t="s">
        <v>2484</v>
      </c>
      <c r="D563" s="90" t="s">
        <v>2485</v>
      </c>
      <c r="E563" s="91">
        <v>2002.0</v>
      </c>
      <c r="F563" s="92">
        <v>1.0</v>
      </c>
      <c r="G563" s="93"/>
      <c r="H563" s="93"/>
      <c r="I563" s="93"/>
      <c r="J563" s="93"/>
      <c r="K563" s="93"/>
      <c r="L563" s="93"/>
      <c r="M563" s="95"/>
      <c r="N563" s="95"/>
      <c r="O563" s="93"/>
      <c r="P563" s="93"/>
      <c r="Q563" s="93"/>
      <c r="R563" s="93"/>
      <c r="S563" s="93"/>
      <c r="T563" s="93"/>
      <c r="U563" s="93"/>
      <c r="V563" s="93"/>
      <c r="W563" s="95"/>
      <c r="X563" s="93"/>
      <c r="Y563" s="93"/>
      <c r="Z563" s="93"/>
      <c r="AA563" s="93"/>
      <c r="AB563" s="95"/>
      <c r="AC563" s="95"/>
      <c r="AD563" s="95"/>
      <c r="AE563" s="93"/>
      <c r="AF563" s="93"/>
      <c r="AG563" s="93"/>
      <c r="AH563" s="94"/>
      <c r="AI563" s="95"/>
      <c r="AJ563" s="93"/>
      <c r="AK563" s="93"/>
      <c r="AL563" s="93"/>
      <c r="AM563" s="93"/>
      <c r="AN563" s="93"/>
      <c r="AO563" s="93"/>
      <c r="AP563" s="93"/>
      <c r="AQ563" s="93"/>
      <c r="AR563" s="93"/>
      <c r="AS563" s="93"/>
      <c r="AT563" s="93"/>
      <c r="AU563" s="93"/>
      <c r="AV563" s="93"/>
      <c r="AW563" s="93"/>
      <c r="AX563" s="93"/>
      <c r="AY563" s="93"/>
      <c r="AZ563" s="93"/>
      <c r="BA563" s="93"/>
      <c r="BB563" s="93"/>
      <c r="BC563" s="93"/>
      <c r="BD563" s="93"/>
      <c r="BE563" s="93"/>
      <c r="BF563" s="95"/>
      <c r="BG563" s="93"/>
      <c r="BH563" s="93"/>
      <c r="BI563" s="95"/>
      <c r="BJ563" s="93"/>
      <c r="BK563" s="93"/>
      <c r="BL563" s="93"/>
      <c r="BM563" s="93"/>
      <c r="BN563" s="93"/>
      <c r="BO563" s="93"/>
      <c r="BP563" s="93"/>
      <c r="BQ563" s="93"/>
      <c r="BR563" s="93"/>
      <c r="BS563" s="95"/>
      <c r="BT563" s="93"/>
      <c r="BU563" s="93"/>
      <c r="BV563" s="93"/>
      <c r="BW563" s="95"/>
      <c r="BX563" s="93"/>
      <c r="BY563" s="95"/>
      <c r="BZ563" s="93"/>
    </row>
    <row r="564">
      <c r="B564" t="s">
        <v>2486</v>
      </c>
      <c r="C564" s="89" t="s">
        <v>2487</v>
      </c>
      <c r="D564" s="90" t="s">
        <v>2488</v>
      </c>
      <c r="E564" s="91">
        <v>2007.0</v>
      </c>
      <c r="F564" s="92">
        <v>1.0</v>
      </c>
      <c r="G564" s="93"/>
      <c r="H564" s="93"/>
      <c r="I564" s="93"/>
      <c r="J564" s="93"/>
      <c r="K564" s="93"/>
      <c r="L564" s="93"/>
      <c r="M564" s="93"/>
      <c r="N564" s="93"/>
      <c r="O564" s="93"/>
      <c r="P564" s="93"/>
      <c r="Q564" s="93"/>
      <c r="R564" s="93"/>
      <c r="S564" s="93"/>
      <c r="T564" s="93"/>
      <c r="U564" s="93"/>
      <c r="V564" s="93"/>
      <c r="W564" s="93"/>
      <c r="X564" s="93"/>
      <c r="Y564" s="93"/>
      <c r="Z564" s="93"/>
      <c r="AA564" s="93"/>
      <c r="AB564" s="93"/>
      <c r="AC564" s="93"/>
      <c r="AD564" s="93"/>
      <c r="AE564" s="93"/>
      <c r="AF564" s="93"/>
      <c r="AG564" s="93"/>
      <c r="AH564" s="94"/>
      <c r="AI564" s="93"/>
      <c r="AJ564" s="93"/>
      <c r="AK564" s="93"/>
      <c r="AL564" s="93"/>
      <c r="AM564" s="93"/>
      <c r="AN564" s="93"/>
      <c r="AO564" s="93"/>
      <c r="AP564" s="93"/>
      <c r="AQ564" s="93"/>
      <c r="AR564" s="93"/>
      <c r="AS564" s="93"/>
      <c r="AT564" s="93"/>
      <c r="AU564" s="93"/>
      <c r="AV564" s="93"/>
      <c r="AW564" s="93"/>
      <c r="AX564" s="93"/>
      <c r="AY564" s="93"/>
      <c r="AZ564" s="93"/>
      <c r="BA564" s="93"/>
      <c r="BB564" s="93"/>
      <c r="BC564" s="93"/>
      <c r="BD564" s="93"/>
      <c r="BE564" s="93"/>
      <c r="BF564" s="93"/>
      <c r="BG564" s="93"/>
      <c r="BH564" s="93"/>
      <c r="BI564" s="93"/>
      <c r="BJ564" s="93"/>
      <c r="BK564" s="93"/>
      <c r="BL564" s="93"/>
      <c r="BM564" s="93"/>
      <c r="BN564" s="93"/>
      <c r="BO564" s="93"/>
      <c r="BP564" s="93"/>
      <c r="BQ564" s="93"/>
      <c r="BR564" s="93"/>
      <c r="BS564" s="93"/>
      <c r="BT564" s="93"/>
      <c r="BU564" s="93"/>
      <c r="BV564" s="93"/>
      <c r="BW564" s="93"/>
      <c r="BX564" s="93"/>
      <c r="BY564" s="93"/>
      <c r="BZ564" s="93"/>
    </row>
    <row r="565">
      <c r="A565" t="s">
        <v>1340</v>
      </c>
      <c r="B565" t="s">
        <v>2489</v>
      </c>
      <c r="C565" s="89" t="s">
        <v>2490</v>
      </c>
      <c r="D565" s="90" t="s">
        <v>2491</v>
      </c>
      <c r="E565" s="91">
        <v>1996.0</v>
      </c>
      <c r="F565" s="92">
        <v>1.0</v>
      </c>
      <c r="G565" s="93"/>
      <c r="H565" s="93"/>
      <c r="I565" s="93"/>
      <c r="J565" s="93"/>
      <c r="K565" s="93"/>
      <c r="L565" s="93"/>
      <c r="M565" s="93"/>
      <c r="N565" s="93"/>
      <c r="O565" s="93"/>
      <c r="P565" s="93"/>
      <c r="Q565" s="93"/>
      <c r="R565" s="93"/>
      <c r="S565" s="93"/>
      <c r="T565" s="93"/>
      <c r="U565" s="93"/>
      <c r="V565" s="93"/>
      <c r="W565" s="93"/>
      <c r="X565" s="93"/>
      <c r="Y565" s="93"/>
      <c r="Z565" s="93"/>
      <c r="AA565" s="93"/>
      <c r="AB565" s="93"/>
      <c r="AC565" s="93"/>
      <c r="AD565" s="93"/>
      <c r="AE565" s="93"/>
      <c r="AF565" s="93"/>
      <c r="AG565" s="93"/>
      <c r="AH565" s="94"/>
      <c r="AI565" s="93"/>
      <c r="AJ565" s="93"/>
      <c r="AK565" s="93"/>
      <c r="AL565" s="93"/>
      <c r="AM565" s="93"/>
      <c r="AN565" s="93"/>
      <c r="AO565" s="93"/>
      <c r="AP565" s="93"/>
      <c r="AQ565" s="93"/>
      <c r="AR565" s="93"/>
      <c r="AS565" s="93"/>
      <c r="AT565" s="93"/>
      <c r="AU565" s="93"/>
      <c r="AV565" s="93"/>
      <c r="AW565" s="93"/>
      <c r="AX565" s="93"/>
      <c r="AY565" s="93"/>
      <c r="AZ565" s="93"/>
      <c r="BA565" s="93"/>
      <c r="BB565" s="93"/>
      <c r="BC565" s="93"/>
      <c r="BD565" s="93"/>
      <c r="BE565" s="93"/>
      <c r="BF565" s="93"/>
      <c r="BG565" s="93"/>
      <c r="BH565" s="93"/>
      <c r="BI565" s="93"/>
      <c r="BJ565" s="93"/>
      <c r="BK565" s="93"/>
      <c r="BL565" s="93"/>
      <c r="BM565" s="93"/>
      <c r="BN565" s="93"/>
      <c r="BO565" s="93"/>
      <c r="BP565" s="93"/>
      <c r="BQ565" s="93"/>
      <c r="BR565" s="93"/>
      <c r="BS565" s="93"/>
      <c r="BT565" s="93"/>
      <c r="BU565" s="93"/>
      <c r="BV565" s="93"/>
      <c r="BW565" s="93"/>
      <c r="BX565" s="93"/>
      <c r="BY565" s="93"/>
      <c r="BZ565" s="93"/>
    </row>
    <row r="566">
      <c r="B566" t="s">
        <v>2492</v>
      </c>
      <c r="C566" s="89" t="s">
        <v>2493</v>
      </c>
      <c r="D566" s="90" t="s">
        <v>2458</v>
      </c>
      <c r="E566" s="91">
        <v>2008.0</v>
      </c>
      <c r="F566" s="92">
        <v>1.0</v>
      </c>
      <c r="G566" s="93"/>
      <c r="H566" s="93"/>
      <c r="I566" s="93"/>
      <c r="J566" s="93"/>
      <c r="K566" s="93"/>
      <c r="L566" s="93"/>
      <c r="M566" s="93"/>
      <c r="N566" s="93"/>
      <c r="O566" s="93"/>
      <c r="P566" s="93"/>
      <c r="Q566" s="93"/>
      <c r="R566" s="93"/>
      <c r="S566" s="93"/>
      <c r="T566" s="93"/>
      <c r="U566" s="93"/>
      <c r="V566" s="93"/>
      <c r="W566" s="93"/>
      <c r="X566" s="93"/>
      <c r="Y566" s="93"/>
      <c r="Z566" s="93"/>
      <c r="AA566" s="93"/>
      <c r="AB566" s="93"/>
      <c r="AC566" s="93"/>
      <c r="AD566" s="93"/>
      <c r="AE566" s="93"/>
      <c r="AF566" s="93"/>
      <c r="AG566" s="93"/>
      <c r="AH566" s="94"/>
      <c r="AI566" s="93"/>
      <c r="AJ566" s="93"/>
      <c r="AK566" s="93"/>
      <c r="AL566" s="93"/>
      <c r="AM566" s="93"/>
      <c r="AN566" s="93"/>
      <c r="AO566" s="93"/>
      <c r="AP566" s="93"/>
      <c r="AQ566" s="93"/>
      <c r="AR566" s="93"/>
      <c r="AS566" s="93"/>
      <c r="AT566" s="93"/>
      <c r="AU566" s="93"/>
      <c r="AV566" s="93"/>
      <c r="AW566" s="93"/>
      <c r="AX566" s="93"/>
      <c r="AY566" s="93"/>
      <c r="AZ566" s="93"/>
      <c r="BA566" s="93"/>
      <c r="BB566" s="93"/>
      <c r="BC566" s="93"/>
      <c r="BD566" s="93"/>
      <c r="BE566" s="93"/>
      <c r="BF566" s="93"/>
      <c r="BG566" s="93"/>
      <c r="BH566" s="93"/>
      <c r="BI566" s="93"/>
      <c r="BJ566" s="93"/>
      <c r="BK566" s="93"/>
      <c r="BL566" s="93"/>
      <c r="BM566" s="93"/>
      <c r="BN566" s="93"/>
      <c r="BO566" s="93"/>
      <c r="BP566" s="93"/>
      <c r="BQ566" s="93"/>
      <c r="BR566" s="93"/>
      <c r="BS566" s="93"/>
      <c r="BT566" s="93"/>
      <c r="BU566" s="93"/>
      <c r="BV566" s="93"/>
      <c r="BW566" s="93"/>
      <c r="BX566" s="93"/>
      <c r="BY566" s="93"/>
      <c r="BZ566" s="93"/>
    </row>
    <row r="567">
      <c r="A567" t="s">
        <v>1354</v>
      </c>
      <c r="B567" t="s">
        <v>2494</v>
      </c>
      <c r="C567" s="89" t="s">
        <v>2495</v>
      </c>
      <c r="D567" s="90" t="s">
        <v>2496</v>
      </c>
      <c r="E567" s="91">
        <v>2011.0</v>
      </c>
      <c r="F567" s="92">
        <v>1.0</v>
      </c>
      <c r="G567" s="93"/>
      <c r="H567" s="93"/>
      <c r="I567" s="93"/>
      <c r="J567" s="93"/>
      <c r="K567" s="93"/>
      <c r="L567" s="93"/>
      <c r="M567" s="93"/>
      <c r="N567" s="93"/>
      <c r="O567" s="93"/>
      <c r="P567" s="93"/>
      <c r="Q567" s="93"/>
      <c r="R567" s="93"/>
      <c r="S567" s="93"/>
      <c r="T567" s="93"/>
      <c r="U567" s="93"/>
      <c r="V567" s="93"/>
      <c r="W567" s="93"/>
      <c r="X567" s="93"/>
      <c r="Y567" s="93"/>
      <c r="Z567" s="93"/>
      <c r="AA567" s="93"/>
      <c r="AB567" s="93"/>
      <c r="AC567" s="93"/>
      <c r="AD567" s="93"/>
      <c r="AE567" s="93"/>
      <c r="AF567" s="93"/>
      <c r="AG567" s="93"/>
      <c r="AH567" s="94"/>
      <c r="AI567" s="93"/>
      <c r="AJ567" s="93"/>
      <c r="AK567" s="93"/>
      <c r="AL567" s="93"/>
      <c r="AM567" s="93"/>
      <c r="AN567" s="93"/>
      <c r="AO567" s="93"/>
      <c r="AP567" s="93"/>
      <c r="AQ567" s="93"/>
      <c r="AR567" s="93"/>
      <c r="AS567" s="93"/>
      <c r="AT567" s="93"/>
      <c r="AU567" s="93"/>
      <c r="AV567" s="93"/>
      <c r="AW567" s="93"/>
      <c r="AX567" s="93"/>
      <c r="AY567" s="93"/>
      <c r="AZ567" s="93"/>
      <c r="BA567" s="93"/>
      <c r="BB567" s="93"/>
      <c r="BC567" s="93"/>
      <c r="BD567" s="93"/>
      <c r="BE567" s="93"/>
      <c r="BF567" s="93"/>
      <c r="BG567" s="93"/>
      <c r="BH567" s="93"/>
      <c r="BI567" s="93"/>
      <c r="BJ567" s="93"/>
      <c r="BK567" s="93"/>
      <c r="BL567" s="93"/>
      <c r="BM567" s="93"/>
      <c r="BN567" s="93"/>
      <c r="BO567" s="93"/>
      <c r="BP567" s="93"/>
      <c r="BQ567" s="93"/>
      <c r="BR567" s="93"/>
      <c r="BS567" s="93"/>
      <c r="BT567" s="93"/>
      <c r="BU567" s="93"/>
      <c r="BV567" s="93"/>
      <c r="BW567" s="93"/>
      <c r="BX567" s="93"/>
      <c r="BY567" s="93"/>
      <c r="BZ567" s="93"/>
    </row>
    <row r="568">
      <c r="B568" t="s">
        <v>2497</v>
      </c>
      <c r="C568" s="89" t="s">
        <v>2498</v>
      </c>
      <c r="D568" s="90" t="s">
        <v>2499</v>
      </c>
      <c r="E568" s="91">
        <v>2017.0</v>
      </c>
      <c r="F568" s="92">
        <v>1.0</v>
      </c>
      <c r="G568" s="93"/>
      <c r="H568" s="93"/>
      <c r="I568" s="93"/>
      <c r="J568" s="93"/>
      <c r="K568" s="93"/>
      <c r="L568" s="93"/>
      <c r="M568" s="93"/>
      <c r="N568" s="93"/>
      <c r="O568" s="93"/>
      <c r="P568" s="93"/>
      <c r="Q568" s="93"/>
      <c r="R568" s="93"/>
      <c r="S568" s="93"/>
      <c r="T568" s="93"/>
      <c r="U568" s="93"/>
      <c r="V568" s="93"/>
      <c r="W568" s="93"/>
      <c r="X568" s="93"/>
      <c r="Y568" s="93"/>
      <c r="Z568" s="93"/>
      <c r="AA568" s="93"/>
      <c r="AB568" s="93"/>
      <c r="AC568" s="93"/>
      <c r="AD568" s="93"/>
      <c r="AE568" s="93"/>
      <c r="AF568" s="93"/>
      <c r="AG568" s="93"/>
      <c r="AH568" s="94"/>
      <c r="AI568" s="93"/>
      <c r="AJ568" s="93"/>
      <c r="AK568" s="93"/>
      <c r="AL568" s="93"/>
      <c r="AM568" s="93"/>
      <c r="AN568" s="93"/>
      <c r="AO568" s="93"/>
      <c r="AP568" s="93"/>
      <c r="AQ568" s="93"/>
      <c r="AR568" s="93"/>
      <c r="AS568" s="93"/>
      <c r="AT568" s="93"/>
      <c r="AU568" s="93"/>
      <c r="AV568" s="93"/>
      <c r="AW568" s="93"/>
      <c r="AX568" s="93"/>
      <c r="AY568" s="93"/>
      <c r="AZ568" s="93"/>
      <c r="BA568" s="93"/>
      <c r="BB568" s="93"/>
      <c r="BC568" s="93"/>
      <c r="BD568" s="93"/>
      <c r="BE568" s="93"/>
      <c r="BF568" s="93"/>
      <c r="BG568" s="93"/>
      <c r="BH568" s="93"/>
      <c r="BI568" s="93"/>
      <c r="BJ568" s="93"/>
      <c r="BK568" s="93"/>
      <c r="BL568" s="93"/>
      <c r="BM568" s="93"/>
      <c r="BN568" s="93"/>
      <c r="BO568" s="93"/>
      <c r="BP568" s="93"/>
      <c r="BQ568" s="93"/>
      <c r="BR568" s="93"/>
      <c r="BS568" s="93"/>
      <c r="BT568" s="93"/>
      <c r="BU568" s="93"/>
      <c r="BV568" s="93"/>
      <c r="BW568" s="93"/>
      <c r="BX568" s="93"/>
      <c r="BY568" s="93"/>
      <c r="BZ568" s="93"/>
    </row>
    <row r="569">
      <c r="B569" t="s">
        <v>2500</v>
      </c>
      <c r="C569" s="89" t="s">
        <v>2501</v>
      </c>
      <c r="D569" s="90" t="s">
        <v>2414</v>
      </c>
      <c r="E569" s="91">
        <v>1999.0</v>
      </c>
      <c r="F569" s="92">
        <v>1.0</v>
      </c>
      <c r="G569" s="93"/>
      <c r="H569" s="93"/>
      <c r="I569" s="93"/>
      <c r="J569" s="93"/>
      <c r="K569" s="93"/>
      <c r="L569" s="93"/>
      <c r="M569" s="93"/>
      <c r="N569" s="93"/>
      <c r="O569" s="93"/>
      <c r="P569" s="93"/>
      <c r="Q569" s="93"/>
      <c r="R569" s="93"/>
      <c r="S569" s="93"/>
      <c r="T569" s="93"/>
      <c r="U569" s="93"/>
      <c r="V569" s="93"/>
      <c r="W569" s="93"/>
      <c r="X569" s="93"/>
      <c r="Y569" s="93"/>
      <c r="Z569" s="93"/>
      <c r="AA569" s="93"/>
      <c r="AB569" s="93"/>
      <c r="AC569" s="93"/>
      <c r="AD569" s="93"/>
      <c r="AE569" s="93"/>
      <c r="AF569" s="93"/>
      <c r="AG569" s="93"/>
      <c r="AH569" s="94"/>
      <c r="AI569" s="93"/>
      <c r="AJ569" s="93"/>
      <c r="AK569" s="93"/>
      <c r="AL569" s="93"/>
      <c r="AM569" s="93"/>
      <c r="AN569" s="93"/>
      <c r="AO569" s="93"/>
      <c r="AP569" s="93"/>
      <c r="AQ569" s="93"/>
      <c r="AR569" s="93"/>
      <c r="AS569" s="93"/>
      <c r="AT569" s="93"/>
      <c r="AU569" s="93"/>
      <c r="AV569" s="93"/>
      <c r="AW569" s="93"/>
      <c r="AX569" s="93"/>
      <c r="AY569" s="93"/>
      <c r="AZ569" s="93"/>
      <c r="BA569" s="93"/>
      <c r="BB569" s="93"/>
      <c r="BC569" s="93"/>
      <c r="BD569" s="93"/>
      <c r="BE569" s="93"/>
      <c r="BF569" s="93"/>
      <c r="BG569" s="93"/>
      <c r="BH569" s="93"/>
      <c r="BI569" s="93"/>
      <c r="BJ569" s="93"/>
      <c r="BK569" s="93"/>
      <c r="BL569" s="93"/>
      <c r="BM569" s="93"/>
      <c r="BN569" s="93"/>
      <c r="BO569" s="93"/>
      <c r="BP569" s="93"/>
      <c r="BQ569" s="93"/>
      <c r="BR569" s="93"/>
      <c r="BS569" s="93"/>
      <c r="BT569" s="93"/>
      <c r="BU569" s="93"/>
      <c r="BV569" s="93"/>
      <c r="BW569" s="93"/>
      <c r="BX569" s="93"/>
      <c r="BY569" s="93"/>
      <c r="BZ569" s="93"/>
    </row>
    <row r="570">
      <c r="B570" t="s">
        <v>2502</v>
      </c>
      <c r="C570" s="89" t="s">
        <v>2503</v>
      </c>
      <c r="D570" s="90" t="s">
        <v>2504</v>
      </c>
      <c r="E570" s="91">
        <v>1990.0</v>
      </c>
      <c r="F570" s="92">
        <v>1.0</v>
      </c>
      <c r="G570" s="93"/>
      <c r="H570" s="93"/>
      <c r="I570" s="93"/>
      <c r="J570" s="93"/>
      <c r="K570" s="93"/>
      <c r="L570" s="93"/>
      <c r="M570" s="93"/>
      <c r="N570" s="93"/>
      <c r="O570" s="93"/>
      <c r="P570" s="93"/>
      <c r="Q570" s="93"/>
      <c r="R570" s="93"/>
      <c r="S570" s="93"/>
      <c r="T570" s="93"/>
      <c r="U570" s="93"/>
      <c r="V570" s="93"/>
      <c r="W570" s="93"/>
      <c r="X570" s="93"/>
      <c r="Y570" s="93"/>
      <c r="Z570" s="93"/>
      <c r="AA570" s="93"/>
      <c r="AB570" s="93"/>
      <c r="AC570" s="93"/>
      <c r="AD570" s="93"/>
      <c r="AE570" s="93"/>
      <c r="AF570" s="93"/>
      <c r="AG570" s="93"/>
      <c r="AH570" s="94"/>
      <c r="AI570" s="93"/>
      <c r="AJ570" s="93"/>
      <c r="AK570" s="93"/>
      <c r="AL570" s="93"/>
      <c r="AM570" s="93"/>
      <c r="AN570" s="93"/>
      <c r="AO570" s="93"/>
      <c r="AP570" s="93"/>
      <c r="AQ570" s="93"/>
      <c r="AR570" s="93"/>
      <c r="AS570" s="93"/>
      <c r="AT570" s="93"/>
      <c r="AU570" s="93"/>
      <c r="AV570" s="93"/>
      <c r="AW570" s="93"/>
      <c r="AX570" s="93"/>
      <c r="AY570" s="93"/>
      <c r="AZ570" s="93"/>
      <c r="BA570" s="93"/>
      <c r="BB570" s="93"/>
      <c r="BC570" s="93"/>
      <c r="BD570" s="93"/>
      <c r="BE570" s="93"/>
      <c r="BF570" s="93"/>
      <c r="BG570" s="93"/>
      <c r="BH570" s="93"/>
      <c r="BI570" s="93"/>
      <c r="BJ570" s="93"/>
      <c r="BK570" s="93"/>
      <c r="BL570" s="93"/>
      <c r="BM570" s="93"/>
      <c r="BN570" s="93"/>
      <c r="BO570" s="93"/>
      <c r="BP570" s="93"/>
      <c r="BQ570" s="93"/>
      <c r="BR570" s="93"/>
      <c r="BS570" s="93"/>
      <c r="BT570" s="93"/>
      <c r="BU570" s="93"/>
      <c r="BV570" s="93"/>
      <c r="BW570" s="93"/>
      <c r="BX570" s="93"/>
      <c r="BY570" s="93"/>
      <c r="BZ570" s="93"/>
    </row>
    <row r="571">
      <c r="A571" t="s">
        <v>116</v>
      </c>
      <c r="B571" t="s">
        <v>2505</v>
      </c>
      <c r="C571" s="89" t="s">
        <v>2506</v>
      </c>
      <c r="D571" s="90" t="s">
        <v>2507</v>
      </c>
      <c r="E571" s="91">
        <v>2017.0</v>
      </c>
      <c r="F571" s="95"/>
      <c r="G571" s="93"/>
      <c r="H571" s="92">
        <v>1.0</v>
      </c>
      <c r="I571" s="93"/>
      <c r="J571" s="93"/>
      <c r="K571" s="93"/>
      <c r="L571" s="93"/>
      <c r="M571" s="93"/>
      <c r="N571" s="93"/>
      <c r="O571" s="93"/>
      <c r="P571" s="93"/>
      <c r="Q571" s="93"/>
      <c r="R571" s="93"/>
      <c r="S571" s="93"/>
      <c r="T571" s="93"/>
      <c r="U571" s="93"/>
      <c r="V571" s="95" t="s">
        <v>2508</v>
      </c>
      <c r="W571" s="95" t="s">
        <v>774</v>
      </c>
      <c r="X571" s="95" t="s">
        <v>2509</v>
      </c>
      <c r="Y571" s="95" t="s">
        <v>2510</v>
      </c>
      <c r="Z571" s="97" t="s">
        <v>2511</v>
      </c>
      <c r="AA571" s="93"/>
      <c r="AB571" s="93"/>
      <c r="AC571" s="93"/>
      <c r="AD571" s="93"/>
      <c r="AE571" s="93"/>
      <c r="AF571" s="92">
        <v>1.0</v>
      </c>
      <c r="AG571" s="93"/>
      <c r="AH571" s="96" t="s">
        <v>2512</v>
      </c>
      <c r="AI571" s="93"/>
      <c r="AJ571" s="93"/>
      <c r="AK571" s="93"/>
      <c r="AL571" s="93"/>
      <c r="AM571" s="93"/>
      <c r="AN571" s="93"/>
      <c r="AO571" s="93"/>
      <c r="AP571" s="93"/>
      <c r="AQ571" s="93"/>
      <c r="AR571" s="93"/>
      <c r="AS571" s="93"/>
      <c r="AT571" s="93"/>
      <c r="AU571" s="93"/>
      <c r="AV571" s="93"/>
      <c r="AW571" s="93"/>
      <c r="AX571" s="93"/>
      <c r="AY571" s="93"/>
      <c r="AZ571" s="93"/>
      <c r="BA571" s="93"/>
      <c r="BB571" s="93"/>
      <c r="BC571" s="93"/>
      <c r="BD571" s="92">
        <v>1.0</v>
      </c>
      <c r="BE571" s="93"/>
      <c r="BF571" s="93"/>
      <c r="BG571" s="93"/>
      <c r="BH571" s="93"/>
      <c r="BI571" s="92">
        <v>1.0</v>
      </c>
      <c r="BJ571" s="93"/>
      <c r="BK571" s="93"/>
      <c r="BL571" s="93"/>
      <c r="BM571" s="93"/>
      <c r="BN571" s="93"/>
      <c r="BO571" s="93"/>
      <c r="BP571" s="93"/>
      <c r="BQ571" s="93"/>
      <c r="BR571" s="93"/>
      <c r="BS571" s="93"/>
      <c r="BT571" s="93"/>
      <c r="BU571" s="93"/>
      <c r="BV571" s="93"/>
      <c r="BW571" s="93"/>
      <c r="BX571" s="93"/>
      <c r="BY571" s="93"/>
      <c r="BZ571" s="93"/>
    </row>
    <row r="572">
      <c r="A572" t="s">
        <v>1331</v>
      </c>
      <c r="B572" t="s">
        <v>2513</v>
      </c>
      <c r="C572" s="89" t="s">
        <v>2514</v>
      </c>
      <c r="D572" s="90" t="s">
        <v>2515</v>
      </c>
      <c r="E572" s="91">
        <v>1993.0</v>
      </c>
      <c r="F572" s="92">
        <v>1.0</v>
      </c>
      <c r="G572" s="93"/>
      <c r="H572" s="95"/>
      <c r="I572" s="93"/>
      <c r="J572" s="93"/>
      <c r="K572" s="93"/>
      <c r="L572" s="93"/>
      <c r="M572" s="93"/>
      <c r="N572" s="93"/>
      <c r="O572" s="93"/>
      <c r="P572" s="93"/>
      <c r="Q572" s="93"/>
      <c r="R572" s="93"/>
      <c r="S572" s="93"/>
      <c r="T572" s="93"/>
      <c r="U572" s="93"/>
      <c r="V572" s="93"/>
      <c r="W572" s="93"/>
      <c r="X572" s="93"/>
      <c r="Y572" s="93"/>
      <c r="Z572" s="93"/>
      <c r="AA572" s="93"/>
      <c r="AB572" s="93"/>
      <c r="AC572" s="93"/>
      <c r="AD572" s="93"/>
      <c r="AE572" s="93"/>
      <c r="AF572" s="93"/>
      <c r="AG572" s="93"/>
      <c r="AH572" s="94"/>
      <c r="AI572" s="95"/>
      <c r="AJ572" s="93"/>
      <c r="AK572" s="93"/>
      <c r="AL572" s="93"/>
      <c r="AM572" s="93"/>
      <c r="AN572" s="93"/>
      <c r="AO572" s="93"/>
      <c r="AP572" s="93"/>
      <c r="AQ572" s="93"/>
      <c r="AR572" s="93"/>
      <c r="AS572" s="93"/>
      <c r="AT572" s="93"/>
      <c r="AU572" s="93"/>
      <c r="AV572" s="93"/>
      <c r="AW572" s="93"/>
      <c r="AX572" s="93"/>
      <c r="AY572" s="93"/>
      <c r="AZ572" s="93"/>
      <c r="BA572" s="93"/>
      <c r="BB572" s="93"/>
      <c r="BC572" s="93"/>
      <c r="BD572" s="93"/>
      <c r="BE572" s="95"/>
      <c r="BF572" s="93"/>
      <c r="BG572" s="93"/>
      <c r="BH572" s="93"/>
      <c r="BI572" s="95"/>
      <c r="BJ572" s="93"/>
      <c r="BK572" s="93"/>
      <c r="BL572" s="93"/>
      <c r="BM572" s="93"/>
      <c r="BN572" s="93"/>
      <c r="BO572" s="93"/>
      <c r="BP572" s="93"/>
      <c r="BQ572" s="93"/>
      <c r="BR572" s="93"/>
      <c r="BS572" s="93"/>
      <c r="BT572" s="93"/>
      <c r="BU572" s="93"/>
      <c r="BV572" s="93"/>
      <c r="BW572" s="93"/>
      <c r="BX572" s="93"/>
      <c r="BY572" s="93"/>
      <c r="BZ572" s="93"/>
    </row>
    <row r="573">
      <c r="B573" t="s">
        <v>2516</v>
      </c>
      <c r="C573" s="89" t="s">
        <v>2517</v>
      </c>
      <c r="D573" s="90" t="s">
        <v>2518</v>
      </c>
      <c r="E573" s="91">
        <v>2019.0</v>
      </c>
      <c r="F573" s="92">
        <v>1.0</v>
      </c>
      <c r="G573" s="93"/>
      <c r="H573" s="93"/>
      <c r="I573" s="93"/>
      <c r="J573" s="93"/>
      <c r="K573" s="93"/>
      <c r="L573" s="93"/>
      <c r="M573" s="93"/>
      <c r="N573" s="93"/>
      <c r="O573" s="93"/>
      <c r="P573" s="93"/>
      <c r="Q573" s="93"/>
      <c r="R573" s="93"/>
      <c r="S573" s="93"/>
      <c r="T573" s="93"/>
      <c r="U573" s="93"/>
      <c r="V573" s="93"/>
      <c r="W573" s="93"/>
      <c r="X573" s="93"/>
      <c r="Y573" s="93"/>
      <c r="Z573" s="93"/>
      <c r="AA573" s="93"/>
      <c r="AB573" s="93"/>
      <c r="AC573" s="93"/>
      <c r="AD573" s="93"/>
      <c r="AE573" s="93"/>
      <c r="AF573" s="93"/>
      <c r="AG573" s="93"/>
      <c r="AH573" s="94"/>
      <c r="AI573" s="93"/>
      <c r="AJ573" s="93"/>
      <c r="AK573" s="93"/>
      <c r="AL573" s="93"/>
      <c r="AM573" s="93"/>
      <c r="AN573" s="93"/>
      <c r="AO573" s="93"/>
      <c r="AP573" s="93"/>
      <c r="AQ573" s="93"/>
      <c r="AR573" s="93"/>
      <c r="AS573" s="93"/>
      <c r="AT573" s="93"/>
      <c r="AU573" s="93"/>
      <c r="AV573" s="93"/>
      <c r="AW573" s="93"/>
      <c r="AX573" s="93"/>
      <c r="AY573" s="93"/>
      <c r="AZ573" s="93"/>
      <c r="BA573" s="93"/>
      <c r="BB573" s="93"/>
      <c r="BC573" s="93"/>
      <c r="BD573" s="93"/>
      <c r="BE573" s="93"/>
      <c r="BF573" s="93"/>
      <c r="BG573" s="93"/>
      <c r="BH573" s="93"/>
      <c r="BI573" s="93"/>
      <c r="BJ573" s="93"/>
      <c r="BK573" s="93"/>
      <c r="BL573" s="93"/>
      <c r="BM573" s="93"/>
      <c r="BN573" s="93"/>
      <c r="BO573" s="93"/>
      <c r="BP573" s="93"/>
      <c r="BQ573" s="93"/>
      <c r="BR573" s="93"/>
      <c r="BS573" s="93"/>
      <c r="BT573" s="93"/>
      <c r="BU573" s="93"/>
      <c r="BV573" s="93"/>
      <c r="BW573" s="93"/>
      <c r="BX573" s="93"/>
      <c r="BY573" s="93"/>
      <c r="BZ573" s="93"/>
    </row>
    <row r="574">
      <c r="B574" t="s">
        <v>2519</v>
      </c>
      <c r="C574" s="89" t="s">
        <v>2520</v>
      </c>
      <c r="D574" s="90" t="s">
        <v>2521</v>
      </c>
      <c r="E574" s="91">
        <v>2006.0</v>
      </c>
      <c r="F574" s="92">
        <v>1.0</v>
      </c>
      <c r="G574" s="93"/>
      <c r="H574" s="93"/>
      <c r="I574" s="93"/>
      <c r="J574" s="93"/>
      <c r="K574" s="93"/>
      <c r="L574" s="93"/>
      <c r="M574" s="93"/>
      <c r="N574" s="93"/>
      <c r="O574" s="93"/>
      <c r="P574" s="93"/>
      <c r="Q574" s="93"/>
      <c r="R574" s="93"/>
      <c r="S574" s="93"/>
      <c r="T574" s="93"/>
      <c r="U574" s="93"/>
      <c r="V574" s="93"/>
      <c r="W574" s="93"/>
      <c r="X574" s="93"/>
      <c r="Y574" s="93"/>
      <c r="Z574" s="93"/>
      <c r="AA574" s="93"/>
      <c r="AB574" s="93"/>
      <c r="AC574" s="93"/>
      <c r="AD574" s="93"/>
      <c r="AE574" s="93"/>
      <c r="AF574" s="93"/>
      <c r="AG574" s="93"/>
      <c r="AH574" s="94"/>
      <c r="AI574" s="93"/>
      <c r="AJ574" s="93"/>
      <c r="AK574" s="93"/>
      <c r="AL574" s="93"/>
      <c r="AM574" s="93"/>
      <c r="AN574" s="93"/>
      <c r="AO574" s="93"/>
      <c r="AP574" s="93"/>
      <c r="AQ574" s="93"/>
      <c r="AR574" s="93"/>
      <c r="AS574" s="93"/>
      <c r="AT574" s="93"/>
      <c r="AU574" s="93"/>
      <c r="AV574" s="93"/>
      <c r="AW574" s="93"/>
      <c r="AX574" s="93"/>
      <c r="AY574" s="93"/>
      <c r="AZ574" s="93"/>
      <c r="BA574" s="93"/>
      <c r="BB574" s="93"/>
      <c r="BC574" s="93"/>
      <c r="BD574" s="93"/>
      <c r="BE574" s="93"/>
      <c r="BF574" s="93"/>
      <c r="BG574" s="93"/>
      <c r="BH574" s="93"/>
      <c r="BI574" s="93"/>
      <c r="BJ574" s="93"/>
      <c r="BK574" s="93"/>
      <c r="BL574" s="93"/>
      <c r="BM574" s="93"/>
      <c r="BN574" s="93"/>
      <c r="BO574" s="93"/>
      <c r="BP574" s="93"/>
      <c r="BQ574" s="93"/>
      <c r="BR574" s="93"/>
      <c r="BS574" s="93"/>
      <c r="BT574" s="93"/>
      <c r="BU574" s="93"/>
      <c r="BV574" s="93"/>
      <c r="BW574" s="93"/>
      <c r="BX574" s="93"/>
      <c r="BY574" s="93"/>
      <c r="BZ574" s="93"/>
    </row>
    <row r="575">
      <c r="A575" t="s">
        <v>1340</v>
      </c>
      <c r="B575" t="s">
        <v>2522</v>
      </c>
      <c r="C575" s="89" t="s">
        <v>2523</v>
      </c>
      <c r="D575" s="90" t="s">
        <v>2524</v>
      </c>
      <c r="E575" s="91">
        <v>2017.0</v>
      </c>
      <c r="F575" s="92">
        <v>1.0</v>
      </c>
      <c r="G575" s="93"/>
      <c r="H575" s="93"/>
      <c r="I575" s="93"/>
      <c r="J575" s="93"/>
      <c r="K575" s="93"/>
      <c r="L575" s="93"/>
      <c r="M575" s="93"/>
      <c r="N575" s="93"/>
      <c r="O575" s="93"/>
      <c r="P575" s="93"/>
      <c r="Q575" s="93"/>
      <c r="R575" s="93"/>
      <c r="S575" s="93"/>
      <c r="T575" s="93"/>
      <c r="U575" s="93"/>
      <c r="V575" s="93"/>
      <c r="W575" s="93"/>
      <c r="X575" s="93"/>
      <c r="Y575" s="93"/>
      <c r="Z575" s="93"/>
      <c r="AA575" s="93"/>
      <c r="AB575" s="93"/>
      <c r="AC575" s="93"/>
      <c r="AD575" s="93"/>
      <c r="AE575" s="93"/>
      <c r="AF575" s="93"/>
      <c r="AG575" s="93"/>
      <c r="AH575" s="94"/>
      <c r="AI575" s="93"/>
      <c r="AJ575" s="93"/>
      <c r="AK575" s="93"/>
      <c r="AL575" s="93"/>
      <c r="AM575" s="93"/>
      <c r="AN575" s="93"/>
      <c r="AO575" s="93"/>
      <c r="AP575" s="93"/>
      <c r="AQ575" s="93"/>
      <c r="AR575" s="93"/>
      <c r="AS575" s="93"/>
      <c r="AT575" s="93"/>
      <c r="AU575" s="93"/>
      <c r="AV575" s="93"/>
      <c r="AW575" s="93"/>
      <c r="AX575" s="93"/>
      <c r="AY575" s="93"/>
      <c r="AZ575" s="93"/>
      <c r="BA575" s="93"/>
      <c r="BB575" s="93"/>
      <c r="BC575" s="93"/>
      <c r="BD575" s="93"/>
      <c r="BE575" s="93"/>
      <c r="BF575" s="93"/>
      <c r="BG575" s="93"/>
      <c r="BH575" s="93"/>
      <c r="BI575" s="93"/>
      <c r="BJ575" s="93"/>
      <c r="BK575" s="93"/>
      <c r="BL575" s="93"/>
      <c r="BM575" s="93"/>
      <c r="BN575" s="93"/>
      <c r="BO575" s="93"/>
      <c r="BP575" s="93"/>
      <c r="BQ575" s="93"/>
      <c r="BR575" s="93"/>
      <c r="BS575" s="93"/>
      <c r="BT575" s="93"/>
      <c r="BU575" s="93"/>
      <c r="BV575" s="93"/>
      <c r="BW575" s="93"/>
      <c r="BX575" s="93"/>
      <c r="BY575" s="93"/>
      <c r="BZ575" s="93"/>
    </row>
    <row r="576">
      <c r="B576" t="s">
        <v>2525</v>
      </c>
      <c r="C576" s="89" t="s">
        <v>2526</v>
      </c>
      <c r="D576" s="90" t="s">
        <v>2527</v>
      </c>
      <c r="E576" s="91">
        <v>2019.0</v>
      </c>
      <c r="F576" s="92">
        <v>1.0</v>
      </c>
      <c r="G576" s="93"/>
      <c r="H576" s="93"/>
      <c r="I576" s="93"/>
      <c r="J576" s="93"/>
      <c r="K576" s="93"/>
      <c r="L576" s="93"/>
      <c r="M576" s="93"/>
      <c r="N576" s="93"/>
      <c r="O576" s="93"/>
      <c r="P576" s="93"/>
      <c r="Q576" s="93"/>
      <c r="R576" s="93"/>
      <c r="S576" s="93"/>
      <c r="T576" s="93"/>
      <c r="U576" s="93"/>
      <c r="V576" s="93"/>
      <c r="W576" s="93"/>
      <c r="X576" s="93"/>
      <c r="Y576" s="93"/>
      <c r="Z576" s="93"/>
      <c r="AA576" s="93"/>
      <c r="AB576" s="93"/>
      <c r="AC576" s="93"/>
      <c r="AD576" s="93"/>
      <c r="AE576" s="93"/>
      <c r="AF576" s="93"/>
      <c r="AG576" s="93"/>
      <c r="AH576" s="94"/>
      <c r="AI576" s="93"/>
      <c r="AJ576" s="93"/>
      <c r="AK576" s="93"/>
      <c r="AL576" s="93"/>
      <c r="AM576" s="93"/>
      <c r="AN576" s="93"/>
      <c r="AO576" s="93"/>
      <c r="AP576" s="93"/>
      <c r="AQ576" s="93"/>
      <c r="AR576" s="93"/>
      <c r="AS576" s="93"/>
      <c r="AT576" s="93"/>
      <c r="AU576" s="93"/>
      <c r="AV576" s="93"/>
      <c r="AW576" s="93"/>
      <c r="AX576" s="93"/>
      <c r="AY576" s="93"/>
      <c r="AZ576" s="93"/>
      <c r="BA576" s="93"/>
      <c r="BB576" s="93"/>
      <c r="BC576" s="93"/>
      <c r="BD576" s="93"/>
      <c r="BE576" s="93"/>
      <c r="BF576" s="93"/>
      <c r="BG576" s="93"/>
      <c r="BH576" s="93"/>
      <c r="BI576" s="93"/>
      <c r="BJ576" s="93"/>
      <c r="BK576" s="93"/>
      <c r="BL576" s="93"/>
      <c r="BM576" s="93"/>
      <c r="BN576" s="93"/>
      <c r="BO576" s="93"/>
      <c r="BP576" s="93"/>
      <c r="BQ576" s="93"/>
      <c r="BR576" s="93"/>
      <c r="BS576" s="93"/>
      <c r="BT576" s="93"/>
      <c r="BU576" s="93"/>
      <c r="BV576" s="93"/>
      <c r="BW576" s="93"/>
      <c r="BX576" s="93"/>
      <c r="BY576" s="93"/>
      <c r="BZ576" s="93"/>
    </row>
    <row r="577">
      <c r="B577" t="s">
        <v>2528</v>
      </c>
      <c r="C577" s="89" t="s">
        <v>2529</v>
      </c>
      <c r="D577" s="90" t="s">
        <v>2425</v>
      </c>
      <c r="E577" s="91">
        <v>2008.0</v>
      </c>
      <c r="F577" s="92">
        <v>1.0</v>
      </c>
      <c r="G577" s="93"/>
      <c r="H577" s="93"/>
      <c r="I577" s="93"/>
      <c r="J577" s="93"/>
      <c r="K577" s="93"/>
      <c r="L577" s="93"/>
      <c r="M577" s="93"/>
      <c r="N577" s="93"/>
      <c r="O577" s="93"/>
      <c r="P577" s="93"/>
      <c r="Q577" s="93"/>
      <c r="R577" s="93"/>
      <c r="S577" s="93"/>
      <c r="T577" s="93"/>
      <c r="U577" s="93"/>
      <c r="V577" s="93"/>
      <c r="W577" s="93"/>
      <c r="X577" s="93"/>
      <c r="Y577" s="93"/>
      <c r="Z577" s="93"/>
      <c r="AA577" s="93"/>
      <c r="AB577" s="93"/>
      <c r="AC577" s="93"/>
      <c r="AD577" s="93"/>
      <c r="AE577" s="93"/>
      <c r="AF577" s="93"/>
      <c r="AG577" s="93"/>
      <c r="AH577" s="94"/>
      <c r="AI577" s="93"/>
      <c r="AJ577" s="93"/>
      <c r="AK577" s="93"/>
      <c r="AL577" s="93"/>
      <c r="AM577" s="93"/>
      <c r="AN577" s="93"/>
      <c r="AO577" s="93"/>
      <c r="AP577" s="93"/>
      <c r="AQ577" s="93"/>
      <c r="AR577" s="93"/>
      <c r="AS577" s="93"/>
      <c r="AT577" s="93"/>
      <c r="AU577" s="93"/>
      <c r="AV577" s="93"/>
      <c r="AW577" s="93"/>
      <c r="AX577" s="93"/>
      <c r="AY577" s="93"/>
      <c r="AZ577" s="93"/>
      <c r="BA577" s="93"/>
      <c r="BB577" s="93"/>
      <c r="BC577" s="93"/>
      <c r="BD577" s="93"/>
      <c r="BE577" s="93"/>
      <c r="BF577" s="93"/>
      <c r="BG577" s="93"/>
      <c r="BH577" s="93"/>
      <c r="BI577" s="93"/>
      <c r="BJ577" s="93"/>
      <c r="BK577" s="93"/>
      <c r="BL577" s="93"/>
      <c r="BM577" s="93"/>
      <c r="BN577" s="93"/>
      <c r="BO577" s="93"/>
      <c r="BP577" s="93"/>
      <c r="BQ577" s="93"/>
      <c r="BR577" s="93"/>
      <c r="BS577" s="93"/>
      <c r="BT577" s="93"/>
      <c r="BU577" s="93"/>
      <c r="BV577" s="93"/>
      <c r="BW577" s="93"/>
      <c r="BX577" s="93"/>
      <c r="BY577" s="93"/>
      <c r="BZ577" s="93"/>
    </row>
    <row r="578">
      <c r="B578" t="s">
        <v>2530</v>
      </c>
      <c r="C578" s="89" t="s">
        <v>2531</v>
      </c>
      <c r="D578" s="90" t="s">
        <v>2532</v>
      </c>
      <c r="E578" s="91">
        <v>2008.0</v>
      </c>
      <c r="F578" s="92">
        <v>1.0</v>
      </c>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3"/>
      <c r="AF578" s="93"/>
      <c r="AG578" s="93"/>
      <c r="AH578" s="94"/>
      <c r="AI578" s="93"/>
      <c r="AJ578" s="93"/>
      <c r="AK578" s="93"/>
      <c r="AL578" s="93"/>
      <c r="AM578" s="93"/>
      <c r="AN578" s="93"/>
      <c r="AO578" s="93"/>
      <c r="AP578" s="93"/>
      <c r="AQ578" s="93"/>
      <c r="AR578" s="93"/>
      <c r="AS578" s="93"/>
      <c r="AT578" s="93"/>
      <c r="AU578" s="93"/>
      <c r="AV578" s="93"/>
      <c r="AW578" s="93"/>
      <c r="AX578" s="93"/>
      <c r="AY578" s="93"/>
      <c r="AZ578" s="93"/>
      <c r="BA578" s="93"/>
      <c r="BB578" s="93"/>
      <c r="BC578" s="93"/>
      <c r="BD578" s="93"/>
      <c r="BE578" s="93"/>
      <c r="BF578" s="93"/>
      <c r="BG578" s="93"/>
      <c r="BH578" s="93"/>
      <c r="BI578" s="93"/>
      <c r="BJ578" s="93"/>
      <c r="BK578" s="93"/>
      <c r="BL578" s="93"/>
      <c r="BM578" s="93"/>
      <c r="BN578" s="93"/>
      <c r="BO578" s="93"/>
      <c r="BP578" s="93"/>
      <c r="BQ578" s="93"/>
      <c r="BR578" s="93"/>
      <c r="BS578" s="93"/>
      <c r="BT578" s="93"/>
      <c r="BU578" s="93"/>
      <c r="BV578" s="93"/>
      <c r="BW578" s="93"/>
      <c r="BX578" s="93"/>
      <c r="BY578" s="93"/>
      <c r="BZ578" s="93"/>
    </row>
    <row r="579">
      <c r="A579" t="s">
        <v>1354</v>
      </c>
      <c r="B579" t="s">
        <v>2533</v>
      </c>
      <c r="C579" s="89" t="s">
        <v>2534</v>
      </c>
      <c r="D579" s="90" t="s">
        <v>2535</v>
      </c>
      <c r="E579" s="91">
        <v>2017.0</v>
      </c>
      <c r="F579" s="93"/>
      <c r="G579" s="93"/>
      <c r="H579" s="93"/>
      <c r="I579" s="93"/>
      <c r="J579" s="99">
        <v>1.0</v>
      </c>
      <c r="K579" s="99">
        <v>1.0</v>
      </c>
      <c r="L579" s="93"/>
      <c r="M579" s="93"/>
      <c r="N579" s="93"/>
      <c r="O579" s="93"/>
      <c r="P579" s="93"/>
      <c r="Q579" s="93"/>
      <c r="R579" s="93"/>
      <c r="S579" s="93"/>
      <c r="T579" s="93"/>
      <c r="U579" s="93"/>
      <c r="V579" s="98" t="s">
        <v>2536</v>
      </c>
      <c r="W579" s="98" t="s">
        <v>2537</v>
      </c>
      <c r="X579" s="98" t="s">
        <v>2538</v>
      </c>
      <c r="Y579" s="98" t="s">
        <v>2539</v>
      </c>
      <c r="Z579" s="98" t="s">
        <v>2540</v>
      </c>
      <c r="AA579" s="99">
        <v>1.0</v>
      </c>
      <c r="AB579" s="93"/>
      <c r="AC579" s="93"/>
      <c r="AD579" s="99">
        <v>1.0</v>
      </c>
      <c r="AE579" s="93"/>
      <c r="AF579" s="93"/>
      <c r="AG579" s="93"/>
      <c r="AH579" s="96" t="s">
        <v>2541</v>
      </c>
      <c r="AI579" s="99">
        <v>1.0</v>
      </c>
      <c r="AJ579" s="93"/>
      <c r="AK579" s="93"/>
      <c r="AL579" s="93"/>
      <c r="AM579" s="93"/>
      <c r="AN579" s="93"/>
      <c r="AO579" s="93"/>
      <c r="AP579" s="93"/>
      <c r="AQ579" s="93"/>
      <c r="AR579" s="99">
        <v>1.0</v>
      </c>
      <c r="AS579" s="93"/>
      <c r="AT579" s="93"/>
      <c r="AU579" s="93"/>
      <c r="AV579" s="93"/>
      <c r="AW579" s="93"/>
      <c r="AX579" s="93"/>
      <c r="AY579" s="93"/>
      <c r="AZ579" s="93"/>
      <c r="BA579" s="93"/>
      <c r="BB579" s="93"/>
      <c r="BC579" s="93"/>
      <c r="BD579" s="99">
        <v>1.0</v>
      </c>
      <c r="BE579" s="93"/>
      <c r="BF579" s="93"/>
      <c r="BG579" s="93"/>
      <c r="BH579" s="93"/>
      <c r="BI579" s="93"/>
      <c r="BJ579" s="93"/>
      <c r="BK579" s="93"/>
      <c r="BL579" s="93"/>
      <c r="BM579" s="93"/>
      <c r="BN579" s="93"/>
      <c r="BO579" s="93"/>
      <c r="BP579" s="93"/>
      <c r="BQ579" s="93"/>
      <c r="BR579" s="93"/>
      <c r="BS579" s="93"/>
      <c r="BT579" s="98" t="s">
        <v>748</v>
      </c>
      <c r="BU579" s="93"/>
      <c r="BV579" s="99">
        <v>1.0</v>
      </c>
      <c r="BW579" s="99">
        <v>1.0</v>
      </c>
      <c r="BX579" s="93"/>
      <c r="BY579" s="93"/>
      <c r="BZ579" s="93"/>
    </row>
    <row r="580">
      <c r="B580" t="s">
        <v>2542</v>
      </c>
      <c r="C580" s="89" t="s">
        <v>242</v>
      </c>
      <c r="D580" s="90" t="s">
        <v>2543</v>
      </c>
      <c r="E580" s="91">
        <v>2002.0</v>
      </c>
      <c r="F580" s="97" t="s">
        <v>1777</v>
      </c>
      <c r="G580" s="93"/>
      <c r="H580" s="93"/>
      <c r="I580" s="93"/>
      <c r="J580" s="93"/>
      <c r="K580" s="93"/>
      <c r="L580" s="93"/>
      <c r="M580" s="93"/>
      <c r="N580" s="93"/>
      <c r="O580" s="93"/>
      <c r="P580" s="93"/>
      <c r="Q580" s="93"/>
      <c r="R580" s="93"/>
      <c r="S580" s="93"/>
      <c r="T580" s="93"/>
      <c r="U580" s="93"/>
      <c r="V580" s="93"/>
      <c r="W580" s="93"/>
      <c r="X580" s="93"/>
      <c r="Y580" s="93"/>
      <c r="Z580" s="93"/>
      <c r="AA580" s="93"/>
      <c r="AB580" s="93"/>
      <c r="AC580" s="93"/>
      <c r="AD580" s="93"/>
      <c r="AE580" s="93"/>
      <c r="AF580" s="93"/>
      <c r="AG580" s="93"/>
      <c r="AH580" s="94"/>
      <c r="AI580" s="93"/>
      <c r="AJ580" s="93"/>
      <c r="AK580" s="93"/>
      <c r="AL580" s="93"/>
      <c r="AM580" s="93"/>
      <c r="AN580" s="93"/>
      <c r="AO580" s="93"/>
      <c r="AP580" s="93"/>
      <c r="AQ580" s="93"/>
      <c r="AR580" s="93"/>
      <c r="AS580" s="93"/>
      <c r="AT580" s="93"/>
      <c r="AU580" s="93"/>
      <c r="AV580" s="93"/>
      <c r="AW580" s="93"/>
      <c r="AX580" s="93"/>
      <c r="AY580" s="93"/>
      <c r="AZ580" s="93"/>
      <c r="BA580" s="93"/>
      <c r="BB580" s="93"/>
      <c r="BC580" s="93"/>
      <c r="BD580" s="93"/>
      <c r="BE580" s="93"/>
      <c r="BF580" s="93"/>
      <c r="BG580" s="93"/>
      <c r="BH580" s="93"/>
      <c r="BI580" s="93"/>
      <c r="BJ580" s="93"/>
      <c r="BK580" s="93"/>
      <c r="BL580" s="93"/>
      <c r="BM580" s="93"/>
      <c r="BN580" s="93"/>
      <c r="BO580" s="93"/>
      <c r="BP580" s="93"/>
      <c r="BQ580" s="93"/>
      <c r="BR580" s="93"/>
      <c r="BS580" s="93"/>
      <c r="BT580" s="93"/>
      <c r="BU580" s="93"/>
      <c r="BV580" s="93"/>
      <c r="BW580" s="93"/>
      <c r="BX580" s="93"/>
      <c r="BY580" s="93"/>
      <c r="BZ580" s="93"/>
    </row>
    <row r="581">
      <c r="B581" t="s">
        <v>2544</v>
      </c>
      <c r="C581" s="89" t="s">
        <v>2545</v>
      </c>
      <c r="D581" s="90" t="s">
        <v>2518</v>
      </c>
      <c r="E581" s="91">
        <v>2018.0</v>
      </c>
      <c r="F581" s="92">
        <v>1.0</v>
      </c>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3"/>
      <c r="AF581" s="93"/>
      <c r="AG581" s="93"/>
      <c r="AH581" s="94"/>
      <c r="AI581" s="93"/>
      <c r="AJ581" s="93"/>
      <c r="AK581" s="93"/>
      <c r="AL581" s="93"/>
      <c r="AM581" s="93"/>
      <c r="AN581" s="93"/>
      <c r="AO581" s="93"/>
      <c r="AP581" s="93"/>
      <c r="AQ581" s="93"/>
      <c r="AR581" s="93"/>
      <c r="AS581" s="93"/>
      <c r="AT581" s="93"/>
      <c r="AU581" s="93"/>
      <c r="AV581" s="93"/>
      <c r="AW581" s="93"/>
      <c r="AX581" s="93"/>
      <c r="AY581" s="93"/>
      <c r="AZ581" s="93"/>
      <c r="BA581" s="93"/>
      <c r="BB581" s="93"/>
      <c r="BC581" s="93"/>
      <c r="BD581" s="93"/>
      <c r="BE581" s="93"/>
      <c r="BF581" s="93"/>
      <c r="BG581" s="93"/>
      <c r="BH581" s="93"/>
      <c r="BI581" s="93"/>
      <c r="BJ581" s="93"/>
      <c r="BK581" s="93"/>
      <c r="BL581" s="93"/>
      <c r="BM581" s="93"/>
      <c r="BN581" s="93"/>
      <c r="BO581" s="93"/>
      <c r="BP581" s="93"/>
      <c r="BQ581" s="93"/>
      <c r="BR581" s="93"/>
      <c r="BS581" s="93"/>
      <c r="BT581" s="93"/>
      <c r="BU581" s="93"/>
      <c r="BV581" s="93"/>
      <c r="BW581" s="93"/>
      <c r="BX581" s="93"/>
      <c r="BY581" s="93"/>
      <c r="BZ581" s="93"/>
    </row>
    <row r="582">
      <c r="A582" t="s">
        <v>116</v>
      </c>
      <c r="B582" t="s">
        <v>2546</v>
      </c>
      <c r="C582" s="89" t="s">
        <v>2547</v>
      </c>
      <c r="D582" s="90" t="s">
        <v>2548</v>
      </c>
      <c r="E582" s="91">
        <v>1993.0</v>
      </c>
      <c r="F582" s="92">
        <v>1.0</v>
      </c>
      <c r="G582" s="93"/>
      <c r="H582" s="93"/>
      <c r="I582" s="93"/>
      <c r="J582" s="93"/>
      <c r="K582" s="93"/>
      <c r="L582" s="93"/>
      <c r="M582" s="93"/>
      <c r="N582" s="93"/>
      <c r="O582" s="93"/>
      <c r="P582" s="93"/>
      <c r="Q582" s="93"/>
      <c r="R582" s="93"/>
      <c r="S582" s="93"/>
      <c r="T582" s="93"/>
      <c r="U582" s="93"/>
      <c r="V582" s="93"/>
      <c r="W582" s="93"/>
      <c r="X582" s="93"/>
      <c r="Y582" s="93"/>
      <c r="Z582" s="93"/>
      <c r="AA582" s="93"/>
      <c r="AB582" s="93"/>
      <c r="AC582" s="93"/>
      <c r="AD582" s="93"/>
      <c r="AE582" s="93"/>
      <c r="AF582" s="93"/>
      <c r="AG582" s="93"/>
      <c r="AH582" s="94"/>
      <c r="AI582" s="93"/>
      <c r="AJ582" s="93"/>
      <c r="AK582" s="93"/>
      <c r="AL582" s="93"/>
      <c r="AM582" s="93"/>
      <c r="AN582" s="93"/>
      <c r="AO582" s="93"/>
      <c r="AP582" s="93"/>
      <c r="AQ582" s="93"/>
      <c r="AR582" s="93"/>
      <c r="AS582" s="93"/>
      <c r="AT582" s="93"/>
      <c r="AU582" s="93"/>
      <c r="AV582" s="93"/>
      <c r="AW582" s="93"/>
      <c r="AX582" s="93"/>
      <c r="AY582" s="93"/>
      <c r="AZ582" s="93"/>
      <c r="BA582" s="93"/>
      <c r="BB582" s="93"/>
      <c r="BC582" s="93"/>
      <c r="BD582" s="93"/>
      <c r="BE582" s="93"/>
      <c r="BF582" s="93"/>
      <c r="BG582" s="93"/>
      <c r="BH582" s="93"/>
      <c r="BI582" s="93"/>
      <c r="BJ582" s="93"/>
      <c r="BK582" s="93"/>
      <c r="BL582" s="93"/>
      <c r="BM582" s="93"/>
      <c r="BN582" s="93"/>
      <c r="BO582" s="93"/>
      <c r="BP582" s="93"/>
      <c r="BQ582" s="93"/>
      <c r="BR582" s="93"/>
      <c r="BS582" s="93"/>
      <c r="BT582" s="93"/>
      <c r="BU582" s="93"/>
      <c r="BV582" s="93"/>
      <c r="BW582" s="93"/>
      <c r="BX582" s="93"/>
      <c r="BY582" s="93"/>
      <c r="BZ582" s="93"/>
    </row>
    <row r="583">
      <c r="B583" t="s">
        <v>2549</v>
      </c>
      <c r="C583" s="89" t="s">
        <v>332</v>
      </c>
      <c r="D583" s="90" t="s">
        <v>2550</v>
      </c>
      <c r="E583" s="91">
        <v>2013.0</v>
      </c>
      <c r="F583" s="97" t="s">
        <v>1777</v>
      </c>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c r="AD583" s="93"/>
      <c r="AE583" s="93"/>
      <c r="AF583" s="93"/>
      <c r="AG583" s="93"/>
      <c r="AH583" s="94"/>
      <c r="AI583" s="93"/>
      <c r="AJ583" s="93"/>
      <c r="AK583" s="93"/>
      <c r="AL583" s="93"/>
      <c r="AM583" s="93"/>
      <c r="AN583" s="93"/>
      <c r="AO583" s="93"/>
      <c r="AP583" s="93"/>
      <c r="AQ583" s="93"/>
      <c r="AR583" s="93"/>
      <c r="AS583" s="93"/>
      <c r="AT583" s="93"/>
      <c r="AU583" s="93"/>
      <c r="AV583" s="93"/>
      <c r="AW583" s="93"/>
      <c r="AX583" s="93"/>
      <c r="AY583" s="93"/>
      <c r="AZ583" s="93"/>
      <c r="BA583" s="93"/>
      <c r="BB583" s="93"/>
      <c r="BC583" s="93"/>
      <c r="BD583" s="93"/>
      <c r="BE583" s="93"/>
      <c r="BF583" s="93"/>
      <c r="BG583" s="93"/>
      <c r="BH583" s="93"/>
      <c r="BI583" s="93"/>
      <c r="BJ583" s="93"/>
      <c r="BK583" s="93"/>
      <c r="BL583" s="93"/>
      <c r="BM583" s="93"/>
      <c r="BN583" s="93"/>
      <c r="BO583" s="93"/>
      <c r="BP583" s="93"/>
      <c r="BQ583" s="93"/>
      <c r="BR583" s="93"/>
      <c r="BS583" s="93"/>
      <c r="BT583" s="93"/>
      <c r="BU583" s="93"/>
      <c r="BV583" s="93"/>
      <c r="BW583" s="93"/>
      <c r="BX583" s="93"/>
      <c r="BY583" s="93"/>
      <c r="BZ583" s="93"/>
    </row>
    <row r="584">
      <c r="A584" t="s">
        <v>1331</v>
      </c>
      <c r="B584" t="s">
        <v>2551</v>
      </c>
      <c r="C584" s="89" t="s">
        <v>2552</v>
      </c>
      <c r="D584" s="90" t="s">
        <v>2553</v>
      </c>
      <c r="E584" s="91">
        <v>2018.0</v>
      </c>
      <c r="F584" s="92">
        <v>1.0</v>
      </c>
      <c r="G584" s="95"/>
      <c r="H584" s="93"/>
      <c r="I584" s="93"/>
      <c r="J584" s="93"/>
      <c r="K584" s="93"/>
      <c r="L584" s="93"/>
      <c r="M584" s="93"/>
      <c r="N584" s="93"/>
      <c r="O584" s="93"/>
      <c r="P584" s="93"/>
      <c r="Q584" s="93"/>
      <c r="R584" s="93"/>
      <c r="S584" s="93"/>
      <c r="T584" s="93"/>
      <c r="U584" s="93"/>
      <c r="V584" s="95"/>
      <c r="W584" s="93"/>
      <c r="X584" s="93"/>
      <c r="Y584" s="93"/>
      <c r="Z584" s="93"/>
      <c r="AA584" s="93"/>
      <c r="AB584" s="93"/>
      <c r="AC584" s="93"/>
      <c r="AD584" s="93"/>
      <c r="AE584" s="93"/>
      <c r="AF584" s="93"/>
      <c r="AG584" s="93"/>
      <c r="AH584" s="94"/>
      <c r="AI584" s="93"/>
      <c r="AJ584" s="93"/>
      <c r="AK584" s="93"/>
      <c r="AL584" s="93"/>
      <c r="AM584" s="93"/>
      <c r="AN584" s="93"/>
      <c r="AO584" s="93"/>
      <c r="AP584" s="93"/>
      <c r="AQ584" s="93"/>
      <c r="AR584" s="93"/>
      <c r="AS584" s="93"/>
      <c r="AT584" s="93"/>
      <c r="AU584" s="93"/>
      <c r="AV584" s="93"/>
      <c r="AW584" s="93"/>
      <c r="AX584" s="93"/>
      <c r="AY584" s="93"/>
      <c r="AZ584" s="93"/>
      <c r="BA584" s="93"/>
      <c r="BB584" s="93"/>
      <c r="BC584" s="93"/>
      <c r="BD584" s="93"/>
      <c r="BE584" s="93"/>
      <c r="BF584" s="93"/>
      <c r="BG584" s="93"/>
      <c r="BH584" s="93"/>
      <c r="BI584" s="93"/>
      <c r="BJ584" s="93"/>
      <c r="BK584" s="93"/>
      <c r="BL584" s="93"/>
      <c r="BM584" s="93"/>
      <c r="BN584" s="93"/>
      <c r="BO584" s="93"/>
      <c r="BP584" s="93"/>
      <c r="BQ584" s="93"/>
      <c r="BR584" s="93"/>
      <c r="BS584" s="93"/>
      <c r="BT584" s="93"/>
      <c r="BU584" s="93"/>
      <c r="BV584" s="93"/>
      <c r="BW584" s="93"/>
      <c r="BX584" s="93"/>
      <c r="BY584" s="93"/>
      <c r="BZ584" s="93"/>
    </row>
    <row r="585">
      <c r="B585" t="s">
        <v>2554</v>
      </c>
      <c r="C585" s="89" t="s">
        <v>593</v>
      </c>
      <c r="D585" s="90" t="s">
        <v>2555</v>
      </c>
      <c r="E585" s="91">
        <v>1997.0</v>
      </c>
      <c r="F585" s="97" t="s">
        <v>1777</v>
      </c>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c r="AD585" s="93"/>
      <c r="AE585" s="93"/>
      <c r="AF585" s="93"/>
      <c r="AG585" s="93"/>
      <c r="AH585" s="94"/>
      <c r="AI585" s="93"/>
      <c r="AJ585" s="93"/>
      <c r="AK585" s="93"/>
      <c r="AL585" s="93"/>
      <c r="AM585" s="93"/>
      <c r="AN585" s="93"/>
      <c r="AO585" s="93"/>
      <c r="AP585" s="93"/>
      <c r="AQ585" s="93"/>
      <c r="AR585" s="93"/>
      <c r="AS585" s="93"/>
      <c r="AT585" s="93"/>
      <c r="AU585" s="93"/>
      <c r="AV585" s="93"/>
      <c r="AW585" s="93"/>
      <c r="AX585" s="93"/>
      <c r="AY585" s="93"/>
      <c r="AZ585" s="93"/>
      <c r="BA585" s="93"/>
      <c r="BB585" s="93"/>
      <c r="BC585" s="93"/>
      <c r="BD585" s="93"/>
      <c r="BE585" s="93"/>
      <c r="BF585" s="93"/>
      <c r="BG585" s="93"/>
      <c r="BH585" s="93"/>
      <c r="BI585" s="93"/>
      <c r="BJ585" s="93"/>
      <c r="BK585" s="93"/>
      <c r="BL585" s="93"/>
      <c r="BM585" s="93"/>
      <c r="BN585" s="93"/>
      <c r="BO585" s="93"/>
      <c r="BP585" s="93"/>
      <c r="BQ585" s="93"/>
      <c r="BR585" s="93"/>
      <c r="BS585" s="93"/>
      <c r="BT585" s="93"/>
      <c r="BU585" s="93"/>
      <c r="BV585" s="93"/>
      <c r="BW585" s="93"/>
      <c r="BX585" s="93"/>
      <c r="BY585" s="93"/>
      <c r="BZ585" s="93"/>
    </row>
    <row r="586">
      <c r="B586" t="s">
        <v>2556</v>
      </c>
      <c r="C586" s="89" t="s">
        <v>2557</v>
      </c>
      <c r="D586" s="90" t="s">
        <v>2558</v>
      </c>
      <c r="E586" s="91">
        <v>2006.0</v>
      </c>
      <c r="F586" s="92">
        <v>1.0</v>
      </c>
      <c r="G586" s="93"/>
      <c r="H586" s="93"/>
      <c r="I586" s="93"/>
      <c r="J586" s="93"/>
      <c r="K586" s="93"/>
      <c r="L586" s="93"/>
      <c r="M586" s="93"/>
      <c r="N586" s="93"/>
      <c r="O586" s="93"/>
      <c r="P586" s="93"/>
      <c r="Q586" s="93"/>
      <c r="R586" s="93"/>
      <c r="S586" s="93"/>
      <c r="T586" s="93"/>
      <c r="U586" s="93"/>
      <c r="V586" s="93"/>
      <c r="W586" s="93"/>
      <c r="X586" s="93"/>
      <c r="Y586" s="93"/>
      <c r="Z586" s="93"/>
      <c r="AA586" s="93"/>
      <c r="AB586" s="93"/>
      <c r="AC586" s="93"/>
      <c r="AD586" s="93"/>
      <c r="AE586" s="93"/>
      <c r="AF586" s="93"/>
      <c r="AG586" s="93"/>
      <c r="AH586" s="94"/>
      <c r="AI586" s="93"/>
      <c r="AJ586" s="93"/>
      <c r="AK586" s="93"/>
      <c r="AL586" s="93"/>
      <c r="AM586" s="93"/>
      <c r="AN586" s="93"/>
      <c r="AO586" s="93"/>
      <c r="AP586" s="93"/>
      <c r="AQ586" s="93"/>
      <c r="AR586" s="93"/>
      <c r="AS586" s="93"/>
      <c r="AT586" s="93"/>
      <c r="AU586" s="93"/>
      <c r="AV586" s="93"/>
      <c r="AW586" s="93"/>
      <c r="AX586" s="93"/>
      <c r="AY586" s="93"/>
      <c r="AZ586" s="93"/>
      <c r="BA586" s="93"/>
      <c r="BB586" s="93"/>
      <c r="BC586" s="93"/>
      <c r="BD586" s="93"/>
      <c r="BE586" s="93"/>
      <c r="BF586" s="93"/>
      <c r="BG586" s="93"/>
      <c r="BH586" s="93"/>
      <c r="BI586" s="93"/>
      <c r="BJ586" s="93"/>
      <c r="BK586" s="93"/>
      <c r="BL586" s="93"/>
      <c r="BM586" s="93"/>
      <c r="BN586" s="93"/>
      <c r="BO586" s="93"/>
      <c r="BP586" s="93"/>
      <c r="BQ586" s="93"/>
      <c r="BR586" s="93"/>
      <c r="BS586" s="93"/>
      <c r="BT586" s="93"/>
      <c r="BU586" s="93"/>
      <c r="BV586" s="93"/>
      <c r="BW586" s="93"/>
      <c r="BX586" s="93"/>
      <c r="BY586" s="93"/>
      <c r="BZ586" s="93"/>
    </row>
    <row r="587">
      <c r="B587" t="s">
        <v>2559</v>
      </c>
      <c r="C587" s="89" t="s">
        <v>2560</v>
      </c>
      <c r="D587" s="90" t="s">
        <v>2561</v>
      </c>
      <c r="E587" s="91">
        <v>2019.0</v>
      </c>
      <c r="F587" s="92">
        <v>1.0</v>
      </c>
      <c r="G587" s="93"/>
      <c r="H587" s="93"/>
      <c r="I587" s="93"/>
      <c r="J587" s="93"/>
      <c r="K587" s="93"/>
      <c r="L587" s="93"/>
      <c r="M587" s="93"/>
      <c r="N587" s="93"/>
      <c r="O587" s="93"/>
      <c r="P587" s="93"/>
      <c r="Q587" s="93"/>
      <c r="R587" s="93"/>
      <c r="S587" s="93"/>
      <c r="T587" s="93"/>
      <c r="U587" s="93"/>
      <c r="V587" s="93"/>
      <c r="W587" s="93"/>
      <c r="X587" s="93"/>
      <c r="Y587" s="93"/>
      <c r="Z587" s="93"/>
      <c r="AA587" s="93"/>
      <c r="AB587" s="93"/>
      <c r="AC587" s="93"/>
      <c r="AD587" s="93"/>
      <c r="AE587" s="93"/>
      <c r="AF587" s="93"/>
      <c r="AG587" s="93"/>
      <c r="AH587" s="94"/>
      <c r="AI587" s="93"/>
      <c r="AJ587" s="93"/>
      <c r="AK587" s="93"/>
      <c r="AL587" s="93"/>
      <c r="AM587" s="93"/>
      <c r="AN587" s="93"/>
      <c r="AO587" s="93"/>
      <c r="AP587" s="93"/>
      <c r="AQ587" s="93"/>
      <c r="AR587" s="93"/>
      <c r="AS587" s="93"/>
      <c r="AT587" s="93"/>
      <c r="AU587" s="93"/>
      <c r="AV587" s="93"/>
      <c r="AW587" s="93"/>
      <c r="AX587" s="93"/>
      <c r="AY587" s="93"/>
      <c r="AZ587" s="93"/>
      <c r="BA587" s="93"/>
      <c r="BB587" s="93"/>
      <c r="BC587" s="93"/>
      <c r="BD587" s="93"/>
      <c r="BE587" s="93"/>
      <c r="BF587" s="93"/>
      <c r="BG587" s="93"/>
      <c r="BH587" s="93"/>
      <c r="BI587" s="93"/>
      <c r="BJ587" s="93"/>
      <c r="BK587" s="93"/>
      <c r="BL587" s="93"/>
      <c r="BM587" s="93"/>
      <c r="BN587" s="93"/>
      <c r="BO587" s="93"/>
      <c r="BP587" s="93"/>
      <c r="BQ587" s="93"/>
      <c r="BR587" s="93"/>
      <c r="BS587" s="93"/>
      <c r="BT587" s="93"/>
      <c r="BU587" s="93"/>
      <c r="BV587" s="93"/>
      <c r="BW587" s="93"/>
      <c r="BX587" s="93"/>
      <c r="BY587" s="93"/>
      <c r="BZ587" s="93"/>
    </row>
    <row r="588">
      <c r="B588" t="s">
        <v>2562</v>
      </c>
      <c r="C588" s="89" t="s">
        <v>2563</v>
      </c>
      <c r="D588" s="90" t="s">
        <v>2564</v>
      </c>
      <c r="E588" s="91">
        <v>2017.0</v>
      </c>
      <c r="F588" s="92">
        <v>1.0</v>
      </c>
      <c r="G588" s="93"/>
      <c r="H588" s="93"/>
      <c r="I588" s="93"/>
      <c r="J588" s="93"/>
      <c r="K588" s="93"/>
      <c r="L588" s="93"/>
      <c r="M588" s="93"/>
      <c r="N588" s="93"/>
      <c r="O588" s="93"/>
      <c r="P588" s="93"/>
      <c r="Q588" s="93"/>
      <c r="R588" s="93"/>
      <c r="S588" s="93"/>
      <c r="T588" s="93"/>
      <c r="U588" s="93"/>
      <c r="V588" s="93"/>
      <c r="W588" s="93"/>
      <c r="X588" s="93"/>
      <c r="Y588" s="93"/>
      <c r="Z588" s="93"/>
      <c r="AA588" s="93"/>
      <c r="AB588" s="93"/>
      <c r="AC588" s="93"/>
      <c r="AD588" s="93"/>
      <c r="AE588" s="93"/>
      <c r="AF588" s="93"/>
      <c r="AG588" s="93"/>
      <c r="AH588" s="94"/>
      <c r="AI588" s="93"/>
      <c r="AJ588" s="93"/>
      <c r="AK588" s="93"/>
      <c r="AL588" s="93"/>
      <c r="AM588" s="93"/>
      <c r="AN588" s="93"/>
      <c r="AO588" s="93"/>
      <c r="AP588" s="93"/>
      <c r="AQ588" s="93"/>
      <c r="AR588" s="93"/>
      <c r="AS588" s="93"/>
      <c r="AT588" s="93"/>
      <c r="AU588" s="93"/>
      <c r="AV588" s="93"/>
      <c r="AW588" s="93"/>
      <c r="AX588" s="93"/>
      <c r="AY588" s="93"/>
      <c r="AZ588" s="93"/>
      <c r="BA588" s="93"/>
      <c r="BB588" s="93"/>
      <c r="BC588" s="93"/>
      <c r="BD588" s="93"/>
      <c r="BE588" s="93"/>
      <c r="BF588" s="93"/>
      <c r="BG588" s="93"/>
      <c r="BH588" s="93"/>
      <c r="BI588" s="93"/>
      <c r="BJ588" s="93"/>
      <c r="BK588" s="93"/>
      <c r="BL588" s="93"/>
      <c r="BM588" s="93"/>
      <c r="BN588" s="93"/>
      <c r="BO588" s="93"/>
      <c r="BP588" s="93"/>
      <c r="BQ588" s="93"/>
      <c r="BR588" s="93"/>
      <c r="BS588" s="93"/>
      <c r="BT588" s="93"/>
      <c r="BU588" s="93"/>
      <c r="BV588" s="93"/>
      <c r="BW588" s="93"/>
      <c r="BX588" s="93"/>
      <c r="BY588" s="93"/>
      <c r="BZ588" s="93"/>
    </row>
    <row r="589">
      <c r="B589" t="s">
        <v>2565</v>
      </c>
      <c r="C589" s="89" t="s">
        <v>357</v>
      </c>
      <c r="D589" s="90" t="s">
        <v>2566</v>
      </c>
      <c r="E589" s="91">
        <v>2012.0</v>
      </c>
      <c r="F589" s="97" t="s">
        <v>1777</v>
      </c>
      <c r="G589" s="93"/>
      <c r="H589" s="93"/>
      <c r="I589" s="93"/>
      <c r="J589" s="93"/>
      <c r="K589" s="93"/>
      <c r="L589" s="93"/>
      <c r="M589" s="93"/>
      <c r="N589" s="93"/>
      <c r="O589" s="93"/>
      <c r="P589" s="93"/>
      <c r="Q589" s="93"/>
      <c r="R589" s="93"/>
      <c r="S589" s="93"/>
      <c r="T589" s="93"/>
      <c r="U589" s="93"/>
      <c r="V589" s="93"/>
      <c r="W589" s="93"/>
      <c r="X589" s="93"/>
      <c r="Y589" s="93"/>
      <c r="Z589" s="93"/>
      <c r="AA589" s="93"/>
      <c r="AB589" s="93"/>
      <c r="AC589" s="93"/>
      <c r="AD589" s="93"/>
      <c r="AE589" s="93"/>
      <c r="AF589" s="93"/>
      <c r="AG589" s="93"/>
      <c r="AH589" s="94"/>
      <c r="AI589" s="93"/>
      <c r="AJ589" s="93"/>
      <c r="AK589" s="93"/>
      <c r="AL589" s="93"/>
      <c r="AM589" s="93"/>
      <c r="AN589" s="93"/>
      <c r="AO589" s="93"/>
      <c r="AP589" s="93"/>
      <c r="AQ589" s="93"/>
      <c r="AR589" s="93"/>
      <c r="AS589" s="93"/>
      <c r="AT589" s="93"/>
      <c r="AU589" s="93"/>
      <c r="AV589" s="93"/>
      <c r="AW589" s="93"/>
      <c r="AX589" s="93"/>
      <c r="AY589" s="93"/>
      <c r="AZ589" s="93"/>
      <c r="BA589" s="93"/>
      <c r="BB589" s="93"/>
      <c r="BC589" s="93"/>
      <c r="BD589" s="93"/>
      <c r="BE589" s="93"/>
      <c r="BF589" s="93"/>
      <c r="BG589" s="93"/>
      <c r="BH589" s="93"/>
      <c r="BI589" s="93"/>
      <c r="BJ589" s="93"/>
      <c r="BK589" s="93"/>
      <c r="BL589" s="93"/>
      <c r="BM589" s="93"/>
      <c r="BN589" s="93"/>
      <c r="BO589" s="93"/>
      <c r="BP589" s="93"/>
      <c r="BQ589" s="93"/>
      <c r="BR589" s="93"/>
      <c r="BS589" s="93"/>
      <c r="BT589" s="93"/>
      <c r="BU589" s="93"/>
      <c r="BV589" s="93"/>
      <c r="BW589" s="93"/>
      <c r="BX589" s="93"/>
      <c r="BY589" s="93"/>
      <c r="BZ589" s="93"/>
    </row>
    <row r="590">
      <c r="B590" t="s">
        <v>2567</v>
      </c>
      <c r="C590" s="89" t="s">
        <v>2568</v>
      </c>
      <c r="D590" s="90" t="s">
        <v>2569</v>
      </c>
      <c r="E590" s="91">
        <v>2006.0</v>
      </c>
      <c r="F590" s="97" t="s">
        <v>1777</v>
      </c>
      <c r="G590" s="93"/>
      <c r="H590" s="93"/>
      <c r="I590" s="93"/>
      <c r="J590" s="93"/>
      <c r="K590" s="93"/>
      <c r="L590" s="93"/>
      <c r="M590" s="93"/>
      <c r="N590" s="93"/>
      <c r="O590" s="93"/>
      <c r="P590" s="93"/>
      <c r="Q590" s="93"/>
      <c r="R590" s="93"/>
      <c r="S590" s="93"/>
      <c r="T590" s="93"/>
      <c r="U590" s="93"/>
      <c r="V590" s="93"/>
      <c r="W590" s="93"/>
      <c r="X590" s="93"/>
      <c r="Y590" s="93"/>
      <c r="Z590" s="93"/>
      <c r="AA590" s="93"/>
      <c r="AB590" s="93"/>
      <c r="AC590" s="93"/>
      <c r="AD590" s="93"/>
      <c r="AE590" s="93"/>
      <c r="AF590" s="93"/>
      <c r="AG590" s="93"/>
      <c r="AH590" s="94"/>
      <c r="AI590" s="93"/>
      <c r="AJ590" s="93"/>
      <c r="AK590" s="93"/>
      <c r="AL590" s="93"/>
      <c r="AM590" s="93"/>
      <c r="AN590" s="93"/>
      <c r="AO590" s="93"/>
      <c r="AP590" s="93"/>
      <c r="AQ590" s="93"/>
      <c r="AR590" s="93"/>
      <c r="AS590" s="93"/>
      <c r="AT590" s="93"/>
      <c r="AU590" s="93"/>
      <c r="AV590" s="93"/>
      <c r="AW590" s="93"/>
      <c r="AX590" s="93"/>
      <c r="AY590" s="93"/>
      <c r="AZ590" s="93"/>
      <c r="BA590" s="93"/>
      <c r="BB590" s="93"/>
      <c r="BC590" s="93"/>
      <c r="BD590" s="93"/>
      <c r="BE590" s="93"/>
      <c r="BF590" s="93"/>
      <c r="BG590" s="93"/>
      <c r="BH590" s="93"/>
      <c r="BI590" s="93"/>
      <c r="BJ590" s="93"/>
      <c r="BK590" s="93"/>
      <c r="BL590" s="93"/>
      <c r="BM590" s="93"/>
      <c r="BN590" s="93"/>
      <c r="BO590" s="93"/>
      <c r="BP590" s="93"/>
      <c r="BQ590" s="93"/>
      <c r="BR590" s="93"/>
      <c r="BS590" s="93"/>
      <c r="BT590" s="93"/>
      <c r="BU590" s="93"/>
      <c r="BV590" s="93"/>
      <c r="BW590" s="93"/>
      <c r="BX590" s="93"/>
      <c r="BY590" s="93"/>
      <c r="BZ590" s="93"/>
    </row>
    <row r="591">
      <c r="A591" t="s">
        <v>1340</v>
      </c>
      <c r="B591" t="s">
        <v>2570</v>
      </c>
      <c r="C591" s="89" t="s">
        <v>2571</v>
      </c>
      <c r="D591" s="90" t="s">
        <v>2572</v>
      </c>
      <c r="E591" s="91">
        <v>2017.0</v>
      </c>
      <c r="F591" s="93"/>
      <c r="G591" s="93"/>
      <c r="H591" s="93"/>
      <c r="I591" s="93"/>
      <c r="J591" s="93"/>
      <c r="K591" s="93"/>
      <c r="L591" s="93"/>
      <c r="M591" s="92">
        <v>1.0</v>
      </c>
      <c r="N591" s="93"/>
      <c r="O591" s="93"/>
      <c r="P591" s="93"/>
      <c r="Q591" s="92">
        <v>1.0</v>
      </c>
      <c r="R591" s="93"/>
      <c r="S591" s="93"/>
      <c r="T591" s="93"/>
      <c r="U591" s="93"/>
      <c r="V591" s="93"/>
      <c r="W591" s="98" t="s">
        <v>2573</v>
      </c>
      <c r="X591" s="98" t="s">
        <v>2574</v>
      </c>
      <c r="Y591" s="98" t="s">
        <v>2575</v>
      </c>
      <c r="Z591" s="98" t="s">
        <v>2576</v>
      </c>
      <c r="AA591" s="93"/>
      <c r="AB591" s="92">
        <v>1.0</v>
      </c>
      <c r="AC591" s="93"/>
      <c r="AD591" s="92">
        <v>1.0</v>
      </c>
      <c r="AE591" s="93"/>
      <c r="AF591" s="93"/>
      <c r="AG591" s="93"/>
      <c r="AH591" s="96" t="s">
        <v>2577</v>
      </c>
      <c r="AI591" s="92">
        <v>1.0</v>
      </c>
      <c r="AJ591" s="93"/>
      <c r="AK591" s="93"/>
      <c r="AL591" s="93"/>
      <c r="AM591" s="93"/>
      <c r="AN591" s="93"/>
      <c r="AO591" s="93"/>
      <c r="AP591" s="93"/>
      <c r="AQ591" s="93"/>
      <c r="AR591" s="92">
        <v>1.0</v>
      </c>
      <c r="AS591" s="93"/>
      <c r="AT591" s="93"/>
      <c r="AU591" s="93"/>
      <c r="AV591" s="93"/>
      <c r="AW591" s="93"/>
      <c r="AX591" s="93"/>
      <c r="AY591" s="93"/>
      <c r="AZ591" s="93"/>
      <c r="BA591" s="93"/>
      <c r="BB591" s="93"/>
      <c r="BC591" s="93"/>
      <c r="BD591" s="93"/>
      <c r="BE591" s="93"/>
      <c r="BF591" s="93"/>
      <c r="BG591" s="93"/>
      <c r="BH591" s="93"/>
      <c r="BI591" s="93"/>
      <c r="BJ591" s="93"/>
      <c r="BK591" s="93"/>
      <c r="BL591" s="93"/>
      <c r="BM591" s="93"/>
      <c r="BN591" s="93"/>
      <c r="BO591" s="93"/>
      <c r="BP591" s="93"/>
      <c r="BQ591" s="92">
        <v>1.0</v>
      </c>
      <c r="BR591" s="93"/>
      <c r="BS591" s="92">
        <v>1.0</v>
      </c>
      <c r="BT591" s="93"/>
      <c r="BU591" s="93"/>
      <c r="BV591" s="92">
        <v>1.0</v>
      </c>
      <c r="BW591" s="93"/>
      <c r="BX591" s="93"/>
      <c r="BY591" s="92">
        <v>1.0</v>
      </c>
      <c r="BZ591" s="93"/>
    </row>
    <row r="592">
      <c r="B592" t="s">
        <v>2578</v>
      </c>
      <c r="C592" s="89" t="s">
        <v>2579</v>
      </c>
      <c r="D592" s="90" t="s">
        <v>2580</v>
      </c>
      <c r="E592" s="91">
        <v>1992.0</v>
      </c>
      <c r="F592" s="92">
        <v>1.0</v>
      </c>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3"/>
      <c r="AF592" s="93"/>
      <c r="AG592" s="93"/>
      <c r="AH592" s="94"/>
      <c r="AI592" s="93"/>
      <c r="AJ592" s="93"/>
      <c r="AK592" s="93"/>
      <c r="AL592" s="93"/>
      <c r="AM592" s="93"/>
      <c r="AN592" s="93"/>
      <c r="AO592" s="93"/>
      <c r="AP592" s="93"/>
      <c r="AQ592" s="93"/>
      <c r="AR592" s="93"/>
      <c r="AS592" s="93"/>
      <c r="AT592" s="93"/>
      <c r="AU592" s="93"/>
      <c r="AV592" s="93"/>
      <c r="AW592" s="93"/>
      <c r="AX592" s="93"/>
      <c r="AY592" s="93"/>
      <c r="AZ592" s="93"/>
      <c r="BA592" s="93"/>
      <c r="BB592" s="93"/>
      <c r="BC592" s="93"/>
      <c r="BD592" s="93"/>
      <c r="BE592" s="93"/>
      <c r="BF592" s="93"/>
      <c r="BG592" s="93"/>
      <c r="BH592" s="93"/>
      <c r="BI592" s="93"/>
      <c r="BJ592" s="93"/>
      <c r="BK592" s="93"/>
      <c r="BL592" s="93"/>
      <c r="BM592" s="93"/>
      <c r="BN592" s="93"/>
      <c r="BO592" s="93"/>
      <c r="BP592" s="93"/>
      <c r="BQ592" s="93"/>
      <c r="BR592" s="93"/>
      <c r="BS592" s="93"/>
      <c r="BT592" s="93"/>
      <c r="BU592" s="93"/>
      <c r="BV592" s="93"/>
      <c r="BW592" s="93"/>
      <c r="BX592" s="93"/>
      <c r="BY592" s="93"/>
      <c r="BZ592" s="93"/>
    </row>
    <row r="593">
      <c r="A593" t="s">
        <v>1354</v>
      </c>
      <c r="B593" t="s">
        <v>2581</v>
      </c>
      <c r="C593" s="89" t="s">
        <v>2582</v>
      </c>
      <c r="D593" s="90" t="s">
        <v>2583</v>
      </c>
      <c r="E593" s="91">
        <v>2011.0</v>
      </c>
      <c r="F593" s="95" t="s">
        <v>1240</v>
      </c>
      <c r="G593" s="93"/>
      <c r="H593" s="93"/>
      <c r="I593" s="93"/>
      <c r="J593" s="93"/>
      <c r="K593" s="93"/>
      <c r="L593" s="93"/>
      <c r="M593" s="93"/>
      <c r="N593" s="93"/>
      <c r="O593" s="93"/>
      <c r="P593" s="95" t="s">
        <v>748</v>
      </c>
      <c r="Q593" s="93"/>
      <c r="R593" s="93"/>
      <c r="S593" s="93"/>
      <c r="T593" s="93"/>
      <c r="U593" s="93"/>
      <c r="V593" s="93"/>
      <c r="W593" s="93"/>
      <c r="X593" s="93"/>
      <c r="Y593" s="93"/>
      <c r="Z593" s="93"/>
      <c r="AA593" s="93"/>
      <c r="AB593" s="93"/>
      <c r="AC593" s="93"/>
      <c r="AD593" s="93"/>
      <c r="AE593" s="93"/>
      <c r="AF593" s="93"/>
      <c r="AG593" s="93"/>
      <c r="AH593" s="94"/>
      <c r="AI593" s="93"/>
      <c r="AJ593" s="93"/>
      <c r="AK593" s="93"/>
      <c r="AL593" s="93"/>
      <c r="AM593" s="93"/>
      <c r="AN593" s="93"/>
      <c r="AO593" s="93"/>
      <c r="AP593" s="93"/>
      <c r="AQ593" s="93"/>
      <c r="AR593" s="93"/>
      <c r="AS593" s="93"/>
      <c r="AT593" s="93"/>
      <c r="AU593" s="93"/>
      <c r="AV593" s="93"/>
      <c r="AW593" s="93"/>
      <c r="AX593" s="93"/>
      <c r="AY593" s="93"/>
      <c r="AZ593" s="93"/>
      <c r="BA593" s="93"/>
      <c r="BB593" s="93"/>
      <c r="BC593" s="93"/>
      <c r="BD593" s="93"/>
      <c r="BE593" s="93"/>
      <c r="BF593" s="93"/>
      <c r="BG593" s="93"/>
      <c r="BH593" s="93"/>
      <c r="BI593" s="93"/>
      <c r="BJ593" s="93"/>
      <c r="BK593" s="93"/>
      <c r="BL593" s="93"/>
      <c r="BM593" s="93"/>
      <c r="BN593" s="93"/>
      <c r="BO593" s="93"/>
      <c r="BP593" s="93"/>
      <c r="BQ593" s="93"/>
      <c r="BR593" s="93"/>
      <c r="BS593" s="93"/>
      <c r="BT593" s="93"/>
      <c r="BU593" s="93"/>
      <c r="BV593" s="93"/>
      <c r="BW593" s="93"/>
      <c r="BX593" s="93"/>
      <c r="BY593" s="93"/>
      <c r="BZ593" s="93"/>
    </row>
    <row r="594">
      <c r="A594" t="s">
        <v>116</v>
      </c>
      <c r="B594" t="s">
        <v>2584</v>
      </c>
      <c r="C594" s="89" t="s">
        <v>2585</v>
      </c>
      <c r="D594" s="90" t="s">
        <v>2586</v>
      </c>
      <c r="E594" s="91">
        <v>2012.0</v>
      </c>
      <c r="F594" s="92">
        <v>1.0</v>
      </c>
      <c r="G594" s="93"/>
      <c r="H594" s="93"/>
      <c r="I594" s="93"/>
      <c r="J594" s="93"/>
      <c r="K594" s="93"/>
      <c r="L594" s="93"/>
      <c r="M594" s="93"/>
      <c r="N594" s="93"/>
      <c r="O594" s="93"/>
      <c r="P594" s="93"/>
      <c r="Q594" s="93"/>
      <c r="R594" s="93"/>
      <c r="S594" s="93"/>
      <c r="T594" s="93"/>
      <c r="U594" s="93"/>
      <c r="V594" s="93"/>
      <c r="W594" s="93"/>
      <c r="X594" s="93"/>
      <c r="Y594" s="93"/>
      <c r="Z594" s="93"/>
      <c r="AA594" s="93"/>
      <c r="AB594" s="93"/>
      <c r="AC594" s="93"/>
      <c r="AD594" s="93"/>
      <c r="AE594" s="93"/>
      <c r="AF594" s="93"/>
      <c r="AG594" s="93"/>
      <c r="AH594" s="94"/>
      <c r="AI594" s="93"/>
      <c r="AJ594" s="93"/>
      <c r="AK594" s="93"/>
      <c r="AL594" s="93"/>
      <c r="AM594" s="93"/>
      <c r="AN594" s="93"/>
      <c r="AO594" s="93"/>
      <c r="AP594" s="93"/>
      <c r="AQ594" s="93"/>
      <c r="AR594" s="93"/>
      <c r="AS594" s="93"/>
      <c r="AT594" s="93"/>
      <c r="AU594" s="93"/>
      <c r="AV594" s="93"/>
      <c r="AW594" s="93"/>
      <c r="AX594" s="93"/>
      <c r="AY594" s="93"/>
      <c r="AZ594" s="93"/>
      <c r="BA594" s="93"/>
      <c r="BB594" s="93"/>
      <c r="BC594" s="93"/>
      <c r="BD594" s="93"/>
      <c r="BE594" s="93"/>
      <c r="BF594" s="93"/>
      <c r="BG594" s="93"/>
      <c r="BH594" s="93"/>
      <c r="BI594" s="93"/>
      <c r="BJ594" s="93"/>
      <c r="BK594" s="93"/>
      <c r="BL594" s="93"/>
      <c r="BM594" s="93"/>
      <c r="BN594" s="93"/>
      <c r="BO594" s="93"/>
      <c r="BP594" s="93"/>
      <c r="BQ594" s="93"/>
      <c r="BR594" s="93"/>
      <c r="BS594" s="93"/>
      <c r="BT594" s="93"/>
      <c r="BU594" s="93"/>
      <c r="BV594" s="93"/>
      <c r="BW594" s="93"/>
      <c r="BX594" s="93"/>
      <c r="BY594" s="93"/>
      <c r="BZ594" s="93"/>
    </row>
    <row r="595">
      <c r="B595" t="s">
        <v>2587</v>
      </c>
      <c r="C595" s="89" t="s">
        <v>2588</v>
      </c>
      <c r="D595" s="90" t="s">
        <v>2589</v>
      </c>
      <c r="E595" s="91">
        <v>2005.0</v>
      </c>
      <c r="F595" s="92">
        <v>1.0</v>
      </c>
      <c r="G595" s="93"/>
      <c r="H595" s="93"/>
      <c r="I595" s="93"/>
      <c r="J595" s="93"/>
      <c r="K595" s="93"/>
      <c r="L595" s="93"/>
      <c r="M595" s="93"/>
      <c r="N595" s="93"/>
      <c r="O595" s="93"/>
      <c r="P595" s="93"/>
      <c r="Q595" s="93"/>
      <c r="R595" s="93"/>
      <c r="S595" s="93"/>
      <c r="T595" s="93"/>
      <c r="U595" s="93"/>
      <c r="V595" s="93"/>
      <c r="W595" s="93"/>
      <c r="X595" s="93"/>
      <c r="Y595" s="93"/>
      <c r="Z595" s="93"/>
      <c r="AA595" s="93"/>
      <c r="AB595" s="93"/>
      <c r="AC595" s="93"/>
      <c r="AD595" s="93"/>
      <c r="AE595" s="93"/>
      <c r="AF595" s="93"/>
      <c r="AG595" s="93"/>
      <c r="AH595" s="94"/>
      <c r="AI595" s="93"/>
      <c r="AJ595" s="93"/>
      <c r="AK595" s="93"/>
      <c r="AL595" s="93"/>
      <c r="AM595" s="93"/>
      <c r="AN595" s="93"/>
      <c r="AO595" s="93"/>
      <c r="AP595" s="93"/>
      <c r="AQ595" s="93"/>
      <c r="AR595" s="93"/>
      <c r="AS595" s="93"/>
      <c r="AT595" s="93"/>
      <c r="AU595" s="93"/>
      <c r="AV595" s="93"/>
      <c r="AW595" s="93"/>
      <c r="AX595" s="93"/>
      <c r="AY595" s="93"/>
      <c r="AZ595" s="93"/>
      <c r="BA595" s="93"/>
      <c r="BB595" s="93"/>
      <c r="BC595" s="93"/>
      <c r="BD595" s="93"/>
      <c r="BE595" s="93"/>
      <c r="BF595" s="93"/>
      <c r="BG595" s="93"/>
      <c r="BH595" s="93"/>
      <c r="BI595" s="93"/>
      <c r="BJ595" s="93"/>
      <c r="BK595" s="93"/>
      <c r="BL595" s="93"/>
      <c r="BM595" s="93"/>
      <c r="BN595" s="93"/>
      <c r="BO595" s="93"/>
      <c r="BP595" s="93"/>
      <c r="BQ595" s="93"/>
      <c r="BR595" s="93"/>
      <c r="BS595" s="93"/>
      <c r="BT595" s="93"/>
      <c r="BU595" s="93"/>
      <c r="BV595" s="93"/>
      <c r="BW595" s="93"/>
      <c r="BX595" s="93"/>
      <c r="BY595" s="93"/>
      <c r="BZ595" s="93"/>
    </row>
    <row r="596">
      <c r="B596" t="s">
        <v>2590</v>
      </c>
      <c r="C596" s="89" t="s">
        <v>2591</v>
      </c>
      <c r="D596" s="90" t="s">
        <v>2592</v>
      </c>
      <c r="E596" s="91">
        <v>1997.0</v>
      </c>
      <c r="F596" s="92">
        <v>1.0</v>
      </c>
      <c r="G596" s="93"/>
      <c r="H596" s="93"/>
      <c r="I596" s="93"/>
      <c r="J596" s="93"/>
      <c r="K596" s="93"/>
      <c r="L596" s="93"/>
      <c r="M596" s="93"/>
      <c r="N596" s="93"/>
      <c r="O596" s="93"/>
      <c r="P596" s="93"/>
      <c r="Q596" s="93"/>
      <c r="R596" s="93"/>
      <c r="S596" s="93"/>
      <c r="T596" s="93"/>
      <c r="U596" s="93"/>
      <c r="V596" s="93"/>
      <c r="W596" s="93"/>
      <c r="X596" s="93"/>
      <c r="Y596" s="93"/>
      <c r="Z596" s="93"/>
      <c r="AA596" s="93"/>
      <c r="AB596" s="93"/>
      <c r="AC596" s="93"/>
      <c r="AD596" s="93"/>
      <c r="AE596" s="93"/>
      <c r="AF596" s="93"/>
      <c r="AG596" s="93"/>
      <c r="AH596" s="94"/>
      <c r="AI596" s="93"/>
      <c r="AJ596" s="93"/>
      <c r="AK596" s="93"/>
      <c r="AL596" s="93"/>
      <c r="AM596" s="93"/>
      <c r="AN596" s="93"/>
      <c r="AO596" s="93"/>
      <c r="AP596" s="93"/>
      <c r="AQ596" s="93"/>
      <c r="AR596" s="93"/>
      <c r="AS596" s="93"/>
      <c r="AT596" s="93"/>
      <c r="AU596" s="93"/>
      <c r="AV596" s="93"/>
      <c r="AW596" s="93"/>
      <c r="AX596" s="93"/>
      <c r="AY596" s="93"/>
      <c r="AZ596" s="93"/>
      <c r="BA596" s="93"/>
      <c r="BB596" s="93"/>
      <c r="BC596" s="93"/>
      <c r="BD596" s="93"/>
      <c r="BE596" s="93"/>
      <c r="BF596" s="93"/>
      <c r="BG596" s="93"/>
      <c r="BH596" s="93"/>
      <c r="BI596" s="93"/>
      <c r="BJ596" s="93"/>
      <c r="BK596" s="93"/>
      <c r="BL596" s="93"/>
      <c r="BM596" s="93"/>
      <c r="BN596" s="93"/>
      <c r="BO596" s="93"/>
      <c r="BP596" s="93"/>
      <c r="BQ596" s="93"/>
      <c r="BR596" s="93"/>
      <c r="BS596" s="93"/>
      <c r="BT596" s="93"/>
      <c r="BU596" s="93"/>
      <c r="BV596" s="93"/>
      <c r="BW596" s="93"/>
      <c r="BX596" s="93"/>
      <c r="BY596" s="93"/>
      <c r="BZ596" s="93"/>
    </row>
    <row r="597">
      <c r="B597" t="s">
        <v>2593</v>
      </c>
      <c r="C597" s="89" t="s">
        <v>2594</v>
      </c>
      <c r="D597" s="90" t="s">
        <v>2595</v>
      </c>
      <c r="E597" s="91">
        <v>2009.0</v>
      </c>
      <c r="F597" s="92">
        <v>1.0</v>
      </c>
      <c r="G597" s="93"/>
      <c r="H597" s="93"/>
      <c r="I597" s="93"/>
      <c r="J597" s="93"/>
      <c r="K597" s="93"/>
      <c r="L597" s="93"/>
      <c r="M597" s="93"/>
      <c r="N597" s="93"/>
      <c r="O597" s="93"/>
      <c r="P597" s="93"/>
      <c r="Q597" s="93"/>
      <c r="R597" s="93"/>
      <c r="S597" s="93"/>
      <c r="T597" s="93"/>
      <c r="U597" s="93"/>
      <c r="V597" s="93"/>
      <c r="W597" s="93"/>
      <c r="X597" s="93"/>
      <c r="Y597" s="93"/>
      <c r="Z597" s="93"/>
      <c r="AA597" s="93"/>
      <c r="AB597" s="93"/>
      <c r="AC597" s="93"/>
      <c r="AD597" s="93"/>
      <c r="AE597" s="93"/>
      <c r="AF597" s="93"/>
      <c r="AG597" s="93"/>
      <c r="AH597" s="94"/>
      <c r="AI597" s="93"/>
      <c r="AJ597" s="93"/>
      <c r="AK597" s="93"/>
      <c r="AL597" s="93"/>
      <c r="AM597" s="93"/>
      <c r="AN597" s="93"/>
      <c r="AO597" s="93"/>
      <c r="AP597" s="93"/>
      <c r="AQ597" s="93"/>
      <c r="AR597" s="93"/>
      <c r="AS597" s="93"/>
      <c r="AT597" s="93"/>
      <c r="AU597" s="93"/>
      <c r="AV597" s="93"/>
      <c r="AW597" s="93"/>
      <c r="AX597" s="93"/>
      <c r="AY597" s="93"/>
      <c r="AZ597" s="93"/>
      <c r="BA597" s="93"/>
      <c r="BB597" s="93"/>
      <c r="BC597" s="93"/>
      <c r="BD597" s="93"/>
      <c r="BE597" s="93"/>
      <c r="BF597" s="93"/>
      <c r="BG597" s="93"/>
      <c r="BH597" s="93"/>
      <c r="BI597" s="93"/>
      <c r="BJ597" s="93"/>
      <c r="BK597" s="93"/>
      <c r="BL597" s="93"/>
      <c r="BM597" s="93"/>
      <c r="BN597" s="93"/>
      <c r="BO597" s="93"/>
      <c r="BP597" s="93"/>
      <c r="BQ597" s="93"/>
      <c r="BR597" s="93"/>
      <c r="BS597" s="93"/>
      <c r="BT597" s="93"/>
      <c r="BU597" s="93"/>
      <c r="BV597" s="93"/>
      <c r="BW597" s="93"/>
      <c r="BX597" s="93"/>
      <c r="BY597" s="93"/>
      <c r="BZ597" s="93"/>
    </row>
    <row r="598">
      <c r="A598" t="s">
        <v>1331</v>
      </c>
      <c r="B598" t="s">
        <v>2596</v>
      </c>
      <c r="C598" s="89" t="s">
        <v>2597</v>
      </c>
      <c r="D598" s="90" t="s">
        <v>2395</v>
      </c>
      <c r="E598" s="91">
        <v>2006.0</v>
      </c>
      <c r="F598" s="92">
        <v>1.0</v>
      </c>
      <c r="G598" s="93"/>
      <c r="H598" s="93"/>
      <c r="I598" s="93"/>
      <c r="J598" s="95"/>
      <c r="K598" s="93"/>
      <c r="L598" s="93"/>
      <c r="M598" s="93"/>
      <c r="N598" s="93"/>
      <c r="O598" s="93"/>
      <c r="P598" s="93"/>
      <c r="Q598" s="93"/>
      <c r="R598" s="93"/>
      <c r="S598" s="93"/>
      <c r="T598" s="93"/>
      <c r="U598" s="93"/>
      <c r="V598" s="93"/>
      <c r="W598" s="93"/>
      <c r="X598" s="93"/>
      <c r="Y598" s="93"/>
      <c r="Z598" s="93"/>
      <c r="AA598" s="93"/>
      <c r="AB598" s="93"/>
      <c r="AC598" s="93"/>
      <c r="AD598" s="93"/>
      <c r="AE598" s="93"/>
      <c r="AF598" s="93"/>
      <c r="AG598" s="93"/>
      <c r="AH598" s="94"/>
      <c r="AI598" s="93"/>
      <c r="AJ598" s="93"/>
      <c r="AK598" s="93"/>
      <c r="AL598" s="93"/>
      <c r="AM598" s="93"/>
      <c r="AN598" s="93"/>
      <c r="AO598" s="93"/>
      <c r="AP598" s="93"/>
      <c r="AQ598" s="93"/>
      <c r="AR598" s="93"/>
      <c r="AS598" s="93"/>
      <c r="AT598" s="93"/>
      <c r="AU598" s="93"/>
      <c r="AV598" s="93"/>
      <c r="AW598" s="93"/>
      <c r="AX598" s="93"/>
      <c r="AY598" s="93"/>
      <c r="AZ598" s="93"/>
      <c r="BA598" s="93"/>
      <c r="BB598" s="93"/>
      <c r="BC598" s="93"/>
      <c r="BD598" s="93"/>
      <c r="BE598" s="93"/>
      <c r="BF598" s="93"/>
      <c r="BG598" s="93"/>
      <c r="BH598" s="93"/>
      <c r="BI598" s="93"/>
      <c r="BJ598" s="93"/>
      <c r="BK598" s="93"/>
      <c r="BL598" s="93"/>
      <c r="BM598" s="93"/>
      <c r="BN598" s="93"/>
      <c r="BO598" s="93"/>
      <c r="BP598" s="93"/>
      <c r="BQ598" s="93"/>
      <c r="BR598" s="93"/>
      <c r="BS598" s="93"/>
      <c r="BT598" s="93"/>
      <c r="BU598" s="93"/>
      <c r="BV598" s="93"/>
      <c r="BW598" s="93"/>
      <c r="BX598" s="93"/>
      <c r="BY598" s="93"/>
      <c r="BZ598" s="93"/>
    </row>
    <row r="599">
      <c r="B599" t="s">
        <v>2598</v>
      </c>
      <c r="C599" s="89" t="s">
        <v>2599</v>
      </c>
      <c r="D599" s="90" t="s">
        <v>2600</v>
      </c>
      <c r="E599" s="91">
        <v>2014.0</v>
      </c>
      <c r="F599" s="92">
        <v>1.0</v>
      </c>
      <c r="G599" s="93"/>
      <c r="H599" s="93"/>
      <c r="I599" s="93"/>
      <c r="J599" s="93"/>
      <c r="K599" s="93"/>
      <c r="L599" s="93"/>
      <c r="M599" s="93"/>
      <c r="N599" s="93"/>
      <c r="O599" s="93"/>
      <c r="P599" s="93"/>
      <c r="Q599" s="93"/>
      <c r="R599" s="93"/>
      <c r="S599" s="93"/>
      <c r="T599" s="93"/>
      <c r="U599" s="93"/>
      <c r="V599" s="93"/>
      <c r="W599" s="93"/>
      <c r="X599" s="93"/>
      <c r="Y599" s="93"/>
      <c r="Z599" s="93"/>
      <c r="AA599" s="93"/>
      <c r="AB599" s="93"/>
      <c r="AC599" s="93"/>
      <c r="AD599" s="93"/>
      <c r="AE599" s="93"/>
      <c r="AF599" s="93"/>
      <c r="AG599" s="93"/>
      <c r="AH599" s="94"/>
      <c r="AI599" s="93"/>
      <c r="AJ599" s="93"/>
      <c r="AK599" s="93"/>
      <c r="AL599" s="93"/>
      <c r="AM599" s="93"/>
      <c r="AN599" s="93"/>
      <c r="AO599" s="93"/>
      <c r="AP599" s="93"/>
      <c r="AQ599" s="93"/>
      <c r="AR599" s="93"/>
      <c r="AS599" s="93"/>
      <c r="AT599" s="93"/>
      <c r="AU599" s="93"/>
      <c r="AV599" s="93"/>
      <c r="AW599" s="93"/>
      <c r="AX599" s="93"/>
      <c r="AY599" s="93"/>
      <c r="AZ599" s="93"/>
      <c r="BA599" s="93"/>
      <c r="BB599" s="93"/>
      <c r="BC599" s="93"/>
      <c r="BD599" s="93"/>
      <c r="BE599" s="93"/>
      <c r="BF599" s="93"/>
      <c r="BG599" s="93"/>
      <c r="BH599" s="93"/>
      <c r="BI599" s="93"/>
      <c r="BJ599" s="93"/>
      <c r="BK599" s="93"/>
      <c r="BL599" s="93"/>
      <c r="BM599" s="93"/>
      <c r="BN599" s="93"/>
      <c r="BO599" s="93"/>
      <c r="BP599" s="93"/>
      <c r="BQ599" s="93"/>
      <c r="BR599" s="93"/>
      <c r="BS599" s="93"/>
      <c r="BT599" s="93"/>
      <c r="BU599" s="93"/>
      <c r="BV599" s="93"/>
      <c r="BW599" s="93"/>
      <c r="BX599" s="93"/>
      <c r="BY599" s="93"/>
      <c r="BZ599" s="93"/>
    </row>
    <row r="600">
      <c r="B600" t="s">
        <v>2601</v>
      </c>
      <c r="C600" s="89" t="s">
        <v>2602</v>
      </c>
      <c r="D600" s="90" t="s">
        <v>2603</v>
      </c>
      <c r="E600" s="91">
        <v>1998.0</v>
      </c>
      <c r="F600" s="92">
        <v>1.0</v>
      </c>
      <c r="G600" s="93"/>
      <c r="H600" s="93"/>
      <c r="I600" s="93"/>
      <c r="J600" s="93"/>
      <c r="K600" s="93"/>
      <c r="L600" s="93"/>
      <c r="M600" s="93"/>
      <c r="N600" s="93"/>
      <c r="O600" s="93"/>
      <c r="P600" s="93"/>
      <c r="Q600" s="93"/>
      <c r="R600" s="93"/>
      <c r="S600" s="93"/>
      <c r="T600" s="93"/>
      <c r="U600" s="93"/>
      <c r="V600" s="93"/>
      <c r="W600" s="93"/>
      <c r="X600" s="93"/>
      <c r="Y600" s="93"/>
      <c r="Z600" s="93"/>
      <c r="AA600" s="93"/>
      <c r="AB600" s="93"/>
      <c r="AC600" s="93"/>
      <c r="AD600" s="93"/>
      <c r="AE600" s="93"/>
      <c r="AF600" s="93"/>
      <c r="AG600" s="93"/>
      <c r="AH600" s="94"/>
      <c r="AI600" s="93"/>
      <c r="AJ600" s="93"/>
      <c r="AK600" s="93"/>
      <c r="AL600" s="93"/>
      <c r="AM600" s="93"/>
      <c r="AN600" s="93"/>
      <c r="AO600" s="93"/>
      <c r="AP600" s="93"/>
      <c r="AQ600" s="93"/>
      <c r="AR600" s="93"/>
      <c r="AS600" s="93"/>
      <c r="AT600" s="93"/>
      <c r="AU600" s="93"/>
      <c r="AV600" s="93"/>
      <c r="AW600" s="93"/>
      <c r="AX600" s="93"/>
      <c r="AY600" s="93"/>
      <c r="AZ600" s="93"/>
      <c r="BA600" s="93"/>
      <c r="BB600" s="93"/>
      <c r="BC600" s="93"/>
      <c r="BD600" s="93"/>
      <c r="BE600" s="93"/>
      <c r="BF600" s="93"/>
      <c r="BG600" s="93"/>
      <c r="BH600" s="93"/>
      <c r="BI600" s="93"/>
      <c r="BJ600" s="93"/>
      <c r="BK600" s="93"/>
      <c r="BL600" s="93"/>
      <c r="BM600" s="93"/>
      <c r="BN600" s="93"/>
      <c r="BO600" s="93"/>
      <c r="BP600" s="93"/>
      <c r="BQ600" s="93"/>
      <c r="BR600" s="93"/>
      <c r="BS600" s="93"/>
      <c r="BT600" s="93"/>
      <c r="BU600" s="93"/>
      <c r="BV600" s="93"/>
      <c r="BW600" s="93"/>
      <c r="BX600" s="93"/>
      <c r="BY600" s="93"/>
      <c r="BZ600" s="93"/>
    </row>
    <row r="601">
      <c r="B601" t="s">
        <v>2604</v>
      </c>
      <c r="C601" s="89" t="s">
        <v>419</v>
      </c>
      <c r="D601" s="90" t="s">
        <v>2605</v>
      </c>
      <c r="E601" s="91">
        <v>2015.0</v>
      </c>
      <c r="F601" s="97" t="s">
        <v>1777</v>
      </c>
      <c r="G601" s="93"/>
      <c r="H601" s="93"/>
      <c r="I601" s="93"/>
      <c r="J601" s="93"/>
      <c r="K601" s="93"/>
      <c r="L601" s="93"/>
      <c r="M601" s="93"/>
      <c r="N601" s="93"/>
      <c r="O601" s="93"/>
      <c r="P601" s="93"/>
      <c r="Q601" s="93"/>
      <c r="R601" s="93"/>
      <c r="S601" s="93"/>
      <c r="T601" s="93"/>
      <c r="U601" s="93"/>
      <c r="V601" s="93"/>
      <c r="W601" s="93"/>
      <c r="X601" s="93"/>
      <c r="Y601" s="93"/>
      <c r="Z601" s="93"/>
      <c r="AA601" s="93"/>
      <c r="AB601" s="93"/>
      <c r="AC601" s="93"/>
      <c r="AD601" s="93"/>
      <c r="AE601" s="93"/>
      <c r="AF601" s="93"/>
      <c r="AG601" s="93"/>
      <c r="AH601" s="94"/>
      <c r="AI601" s="93"/>
      <c r="AJ601" s="93"/>
      <c r="AK601" s="93"/>
      <c r="AL601" s="93"/>
      <c r="AM601" s="93"/>
      <c r="AN601" s="93"/>
      <c r="AO601" s="93"/>
      <c r="AP601" s="93"/>
      <c r="AQ601" s="93"/>
      <c r="AR601" s="93"/>
      <c r="AS601" s="93"/>
      <c r="AT601" s="93"/>
      <c r="AU601" s="93"/>
      <c r="AV601" s="93"/>
      <c r="AW601" s="93"/>
      <c r="AX601" s="93"/>
      <c r="AY601" s="93"/>
      <c r="AZ601" s="93"/>
      <c r="BA601" s="93"/>
      <c r="BB601" s="93"/>
      <c r="BC601" s="93"/>
      <c r="BD601" s="93"/>
      <c r="BE601" s="93"/>
      <c r="BF601" s="93"/>
      <c r="BG601" s="93"/>
      <c r="BH601" s="93"/>
      <c r="BI601" s="93"/>
      <c r="BJ601" s="93"/>
      <c r="BK601" s="93"/>
      <c r="BL601" s="93"/>
      <c r="BM601" s="93"/>
      <c r="BN601" s="93"/>
      <c r="BO601" s="93"/>
      <c r="BP601" s="93"/>
      <c r="BQ601" s="93"/>
      <c r="BR601" s="93"/>
      <c r="BS601" s="93"/>
      <c r="BT601" s="93"/>
      <c r="BU601" s="93"/>
      <c r="BV601" s="93"/>
      <c r="BW601" s="93"/>
      <c r="BX601" s="93"/>
      <c r="BY601" s="93"/>
      <c r="BZ601" s="93"/>
    </row>
    <row r="602">
      <c r="B602" t="s">
        <v>2606</v>
      </c>
      <c r="C602" s="89" t="s">
        <v>2607</v>
      </c>
      <c r="D602" s="90" t="s">
        <v>503</v>
      </c>
      <c r="E602" s="91">
        <v>1992.0</v>
      </c>
      <c r="F602" s="97" t="s">
        <v>1777</v>
      </c>
      <c r="G602" s="93"/>
      <c r="H602" s="93"/>
      <c r="I602" s="93"/>
      <c r="J602" s="93"/>
      <c r="K602" s="93"/>
      <c r="L602" s="93"/>
      <c r="M602" s="93"/>
      <c r="N602" s="93"/>
      <c r="O602" s="93"/>
      <c r="P602" s="93"/>
      <c r="Q602" s="93"/>
      <c r="R602" s="93"/>
      <c r="S602" s="93"/>
      <c r="T602" s="93"/>
      <c r="U602" s="93"/>
      <c r="V602" s="93"/>
      <c r="W602" s="93"/>
      <c r="X602" s="93"/>
      <c r="Y602" s="93"/>
      <c r="Z602" s="93"/>
      <c r="AA602" s="93"/>
      <c r="AB602" s="93"/>
      <c r="AC602" s="93"/>
      <c r="AD602" s="93"/>
      <c r="AE602" s="93"/>
      <c r="AF602" s="93"/>
      <c r="AG602" s="93"/>
      <c r="AH602" s="94"/>
      <c r="AI602" s="93"/>
      <c r="AJ602" s="93"/>
      <c r="AK602" s="93"/>
      <c r="AL602" s="93"/>
      <c r="AM602" s="93"/>
      <c r="AN602" s="93"/>
      <c r="AO602" s="93"/>
      <c r="AP602" s="93"/>
      <c r="AQ602" s="93"/>
      <c r="AR602" s="93"/>
      <c r="AS602" s="93"/>
      <c r="AT602" s="93"/>
      <c r="AU602" s="93"/>
      <c r="AV602" s="93"/>
      <c r="AW602" s="93"/>
      <c r="AX602" s="93"/>
      <c r="AY602" s="93"/>
      <c r="AZ602" s="93"/>
      <c r="BA602" s="93"/>
      <c r="BB602" s="93"/>
      <c r="BC602" s="93"/>
      <c r="BD602" s="93"/>
      <c r="BE602" s="93"/>
      <c r="BF602" s="93"/>
      <c r="BG602" s="93"/>
      <c r="BH602" s="93"/>
      <c r="BI602" s="93"/>
      <c r="BJ602" s="93"/>
      <c r="BK602" s="93"/>
      <c r="BL602" s="93"/>
      <c r="BM602" s="93"/>
      <c r="BN602" s="93"/>
      <c r="BO602" s="93"/>
      <c r="BP602" s="93"/>
      <c r="BQ602" s="93"/>
      <c r="BR602" s="93"/>
      <c r="BS602" s="93"/>
      <c r="BT602" s="93"/>
      <c r="BU602" s="93"/>
      <c r="BV602" s="93"/>
      <c r="BW602" s="93"/>
      <c r="BX602" s="93"/>
      <c r="BY602" s="93"/>
      <c r="BZ602" s="93"/>
    </row>
    <row r="603">
      <c r="B603" t="s">
        <v>2608</v>
      </c>
      <c r="C603" s="89" t="s">
        <v>2609</v>
      </c>
      <c r="D603" s="90" t="s">
        <v>2610</v>
      </c>
      <c r="E603" s="91">
        <v>2011.0</v>
      </c>
      <c r="F603" s="92">
        <v>1.0</v>
      </c>
      <c r="G603" s="93"/>
      <c r="H603" s="93"/>
      <c r="I603" s="93"/>
      <c r="J603" s="93"/>
      <c r="K603" s="93"/>
      <c r="L603" s="93"/>
      <c r="M603" s="93"/>
      <c r="N603" s="93"/>
      <c r="O603" s="93"/>
      <c r="P603" s="93"/>
      <c r="Q603" s="93"/>
      <c r="R603" s="93"/>
      <c r="S603" s="93"/>
      <c r="T603" s="93"/>
      <c r="U603" s="93"/>
      <c r="V603" s="93"/>
      <c r="W603" s="93"/>
      <c r="X603" s="93"/>
      <c r="Y603" s="93"/>
      <c r="Z603" s="93"/>
      <c r="AA603" s="93"/>
      <c r="AB603" s="93"/>
      <c r="AC603" s="93"/>
      <c r="AD603" s="93"/>
      <c r="AE603" s="93"/>
      <c r="AF603" s="93"/>
      <c r="AG603" s="93"/>
      <c r="AH603" s="94"/>
      <c r="AI603" s="93"/>
      <c r="AJ603" s="93"/>
      <c r="AK603" s="93"/>
      <c r="AL603" s="93"/>
      <c r="AM603" s="93"/>
      <c r="AN603" s="93"/>
      <c r="AO603" s="93"/>
      <c r="AP603" s="93"/>
      <c r="AQ603" s="93"/>
      <c r="AR603" s="93"/>
      <c r="AS603" s="93"/>
      <c r="AT603" s="93"/>
      <c r="AU603" s="93"/>
      <c r="AV603" s="93"/>
      <c r="AW603" s="93"/>
      <c r="AX603" s="93"/>
      <c r="AY603" s="93"/>
      <c r="AZ603" s="93"/>
      <c r="BA603" s="93"/>
      <c r="BB603" s="93"/>
      <c r="BC603" s="93"/>
      <c r="BD603" s="93"/>
      <c r="BE603" s="93"/>
      <c r="BF603" s="93"/>
      <c r="BG603" s="93"/>
      <c r="BH603" s="93"/>
      <c r="BI603" s="93"/>
      <c r="BJ603" s="93"/>
      <c r="BK603" s="93"/>
      <c r="BL603" s="93"/>
      <c r="BM603" s="93"/>
      <c r="BN603" s="93"/>
      <c r="BO603" s="93"/>
      <c r="BP603" s="93"/>
      <c r="BQ603" s="93"/>
      <c r="BR603" s="93"/>
      <c r="BS603" s="93"/>
      <c r="BT603" s="93"/>
      <c r="BU603" s="93"/>
      <c r="BV603" s="93"/>
      <c r="BW603" s="93"/>
      <c r="BX603" s="93"/>
      <c r="BY603" s="93"/>
      <c r="BZ603" s="93"/>
    </row>
    <row r="604">
      <c r="B604" t="s">
        <v>2611</v>
      </c>
      <c r="C604" s="89" t="s">
        <v>2612</v>
      </c>
      <c r="D604" s="90" t="s">
        <v>503</v>
      </c>
      <c r="E604" s="91">
        <v>1981.0</v>
      </c>
      <c r="F604" s="92">
        <v>1.0</v>
      </c>
      <c r="G604" s="93"/>
      <c r="H604" s="93"/>
      <c r="I604" s="93"/>
      <c r="J604" s="93"/>
      <c r="K604" s="93"/>
      <c r="L604" s="93"/>
      <c r="M604" s="93"/>
      <c r="N604" s="93"/>
      <c r="O604" s="93"/>
      <c r="P604" s="93"/>
      <c r="Q604" s="93"/>
      <c r="R604" s="93"/>
      <c r="S604" s="93"/>
      <c r="T604" s="93"/>
      <c r="U604" s="93"/>
      <c r="V604" s="93"/>
      <c r="W604" s="93"/>
      <c r="X604" s="93"/>
      <c r="Y604" s="93"/>
      <c r="Z604" s="93"/>
      <c r="AA604" s="93"/>
      <c r="AB604" s="93"/>
      <c r="AC604" s="93"/>
      <c r="AD604" s="93"/>
      <c r="AE604" s="93"/>
      <c r="AF604" s="93"/>
      <c r="AG604" s="93"/>
      <c r="AH604" s="94"/>
      <c r="AI604" s="93"/>
      <c r="AJ604" s="93"/>
      <c r="AK604" s="93"/>
      <c r="AL604" s="93"/>
      <c r="AM604" s="93"/>
      <c r="AN604" s="93"/>
      <c r="AO604" s="93"/>
      <c r="AP604" s="93"/>
      <c r="AQ604" s="93"/>
      <c r="AR604" s="93"/>
      <c r="AS604" s="93"/>
      <c r="AT604" s="93"/>
      <c r="AU604" s="93"/>
      <c r="AV604" s="93"/>
      <c r="AW604" s="93"/>
      <c r="AX604" s="93"/>
      <c r="AY604" s="93"/>
      <c r="AZ604" s="93"/>
      <c r="BA604" s="93"/>
      <c r="BB604" s="93"/>
      <c r="BC604" s="93"/>
      <c r="BD604" s="93"/>
      <c r="BE604" s="93"/>
      <c r="BF604" s="93"/>
      <c r="BG604" s="93"/>
      <c r="BH604" s="93"/>
      <c r="BI604" s="93"/>
      <c r="BJ604" s="93"/>
      <c r="BK604" s="93"/>
      <c r="BL604" s="93"/>
      <c r="BM604" s="93"/>
      <c r="BN604" s="93"/>
      <c r="BO604" s="93"/>
      <c r="BP604" s="93"/>
      <c r="BQ604" s="93"/>
      <c r="BR604" s="93"/>
      <c r="BS604" s="93"/>
      <c r="BT604" s="93"/>
      <c r="BU604" s="93"/>
      <c r="BV604" s="93"/>
      <c r="BW604" s="93"/>
      <c r="BX604" s="93"/>
      <c r="BY604" s="93"/>
      <c r="BZ604" s="93"/>
    </row>
    <row r="605">
      <c r="A605" t="s">
        <v>1340</v>
      </c>
      <c r="B605" t="s">
        <v>2613</v>
      </c>
      <c r="C605" s="89" t="s">
        <v>2614</v>
      </c>
      <c r="D605" s="90" t="s">
        <v>2615</v>
      </c>
      <c r="E605" s="91">
        <v>1993.0</v>
      </c>
      <c r="F605" s="95"/>
      <c r="G605" s="93"/>
      <c r="H605" s="92">
        <v>1.0</v>
      </c>
      <c r="I605" s="93"/>
      <c r="J605" s="93"/>
      <c r="K605" s="93"/>
      <c r="L605" s="93"/>
      <c r="M605" s="93"/>
      <c r="N605" s="93"/>
      <c r="O605" s="93"/>
      <c r="P605" s="93"/>
      <c r="Q605" s="93"/>
      <c r="R605" s="93"/>
      <c r="S605" s="93"/>
      <c r="T605" s="93"/>
      <c r="U605" s="93"/>
      <c r="V605" s="93"/>
      <c r="W605" s="98" t="s">
        <v>2616</v>
      </c>
      <c r="X605" s="98" t="s">
        <v>2003</v>
      </c>
      <c r="Y605" s="98" t="s">
        <v>2003</v>
      </c>
      <c r="Z605" s="98" t="s">
        <v>2617</v>
      </c>
      <c r="AA605" s="93"/>
      <c r="AB605" s="92">
        <v>1.0</v>
      </c>
      <c r="AC605" s="93"/>
      <c r="AD605" s="93"/>
      <c r="AE605" s="92">
        <v>1.0</v>
      </c>
      <c r="AF605" s="93"/>
      <c r="AG605" s="93"/>
      <c r="AH605" s="96" t="s">
        <v>2618</v>
      </c>
      <c r="AI605" s="92">
        <v>1.0</v>
      </c>
      <c r="AJ605" s="93"/>
      <c r="AK605" s="93"/>
      <c r="AL605" s="93"/>
      <c r="AM605" s="93"/>
      <c r="AN605" s="93"/>
      <c r="AO605" s="93"/>
      <c r="AP605" s="93"/>
      <c r="AQ605" s="93"/>
      <c r="AR605" s="93"/>
      <c r="AS605" s="93"/>
      <c r="AT605" s="93"/>
      <c r="AU605" s="93"/>
      <c r="AV605" s="93"/>
      <c r="AW605" s="93"/>
      <c r="AX605" s="93"/>
      <c r="AY605" s="93"/>
      <c r="AZ605" s="93"/>
      <c r="BA605" s="93"/>
      <c r="BB605" s="93"/>
      <c r="BC605" s="93"/>
      <c r="BD605" s="93"/>
      <c r="BE605" s="93"/>
      <c r="BF605" s="93"/>
      <c r="BG605" s="93"/>
      <c r="BH605" s="93"/>
      <c r="BI605" s="92">
        <v>1.0</v>
      </c>
      <c r="BJ605" s="93"/>
      <c r="BK605" s="93"/>
      <c r="BL605" s="93"/>
      <c r="BM605" s="93"/>
      <c r="BN605" s="93"/>
      <c r="BO605" s="93"/>
      <c r="BP605" s="93"/>
      <c r="BQ605" s="93"/>
      <c r="BR605" s="93"/>
      <c r="BS605" s="93"/>
      <c r="BT605" s="93"/>
      <c r="BU605" s="93"/>
      <c r="BV605" s="93"/>
      <c r="BW605" s="93"/>
      <c r="BX605" s="93"/>
      <c r="BY605" s="93"/>
      <c r="BZ605" s="93"/>
    </row>
    <row r="606">
      <c r="B606" t="s">
        <v>2619</v>
      </c>
      <c r="C606" s="89" t="s">
        <v>2620</v>
      </c>
      <c r="D606" s="90" t="s">
        <v>2621</v>
      </c>
      <c r="E606" s="91">
        <v>2009.0</v>
      </c>
      <c r="F606" s="92">
        <v>1.0</v>
      </c>
      <c r="G606" s="93"/>
      <c r="H606" s="93"/>
      <c r="I606" s="93"/>
      <c r="J606" s="93"/>
      <c r="K606" s="93"/>
      <c r="L606" s="93"/>
      <c r="M606" s="93"/>
      <c r="N606" s="93"/>
      <c r="O606" s="93"/>
      <c r="P606" s="93"/>
      <c r="Q606" s="93"/>
      <c r="R606" s="93"/>
      <c r="S606" s="93"/>
      <c r="T606" s="93"/>
      <c r="U606" s="93"/>
      <c r="V606" s="93"/>
      <c r="W606" s="93"/>
      <c r="X606" s="93"/>
      <c r="Y606" s="93"/>
      <c r="Z606" s="93"/>
      <c r="AA606" s="93"/>
      <c r="AB606" s="93"/>
      <c r="AC606" s="93"/>
      <c r="AD606" s="93"/>
      <c r="AE606" s="93"/>
      <c r="AF606" s="93"/>
      <c r="AG606" s="93"/>
      <c r="AH606" s="94"/>
      <c r="AI606" s="93"/>
      <c r="AJ606" s="93"/>
      <c r="AK606" s="93"/>
      <c r="AL606" s="93"/>
      <c r="AM606" s="93"/>
      <c r="AN606" s="93"/>
      <c r="AO606" s="93"/>
      <c r="AP606" s="93"/>
      <c r="AQ606" s="93"/>
      <c r="AR606" s="93"/>
      <c r="AS606" s="93"/>
      <c r="AT606" s="93"/>
      <c r="AU606" s="93"/>
      <c r="AV606" s="93"/>
      <c r="AW606" s="93"/>
      <c r="AX606" s="93"/>
      <c r="AY606" s="93"/>
      <c r="AZ606" s="93"/>
      <c r="BA606" s="93"/>
      <c r="BB606" s="93"/>
      <c r="BC606" s="93"/>
      <c r="BD606" s="93"/>
      <c r="BE606" s="93"/>
      <c r="BF606" s="93"/>
      <c r="BG606" s="93"/>
      <c r="BH606" s="93"/>
      <c r="BI606" s="93"/>
      <c r="BJ606" s="93"/>
      <c r="BK606" s="93"/>
      <c r="BL606" s="93"/>
      <c r="BM606" s="93"/>
      <c r="BN606" s="93"/>
      <c r="BO606" s="93"/>
      <c r="BP606" s="93"/>
      <c r="BQ606" s="93"/>
      <c r="BR606" s="93"/>
      <c r="BS606" s="93"/>
      <c r="BT606" s="93"/>
      <c r="BU606" s="93"/>
      <c r="BV606" s="93"/>
      <c r="BW606" s="93"/>
      <c r="BX606" s="93"/>
      <c r="BY606" s="93"/>
      <c r="BZ606" s="93"/>
    </row>
    <row r="607">
      <c r="B607" t="s">
        <v>2622</v>
      </c>
      <c r="C607" s="89" t="s">
        <v>2623</v>
      </c>
      <c r="D607" s="90" t="s">
        <v>2624</v>
      </c>
      <c r="E607" s="91">
        <v>2006.0</v>
      </c>
      <c r="F607" s="92">
        <v>1.0</v>
      </c>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3"/>
      <c r="AF607" s="93"/>
      <c r="AG607" s="93"/>
      <c r="AH607" s="94"/>
      <c r="AI607" s="93"/>
      <c r="AJ607" s="93"/>
      <c r="AK607" s="93"/>
      <c r="AL607" s="93"/>
      <c r="AM607" s="93"/>
      <c r="AN607" s="93"/>
      <c r="AO607" s="93"/>
      <c r="AP607" s="93"/>
      <c r="AQ607" s="93"/>
      <c r="AR607" s="93"/>
      <c r="AS607" s="93"/>
      <c r="AT607" s="93"/>
      <c r="AU607" s="93"/>
      <c r="AV607" s="93"/>
      <c r="AW607" s="93"/>
      <c r="AX607" s="93"/>
      <c r="AY607" s="93"/>
      <c r="AZ607" s="93"/>
      <c r="BA607" s="93"/>
      <c r="BB607" s="93"/>
      <c r="BC607" s="93"/>
      <c r="BD607" s="93"/>
      <c r="BE607" s="93"/>
      <c r="BF607" s="93"/>
      <c r="BG607" s="93"/>
      <c r="BH607" s="93"/>
      <c r="BI607" s="93"/>
      <c r="BJ607" s="93"/>
      <c r="BK607" s="93"/>
      <c r="BL607" s="93"/>
      <c r="BM607" s="93"/>
      <c r="BN607" s="93"/>
      <c r="BO607" s="93"/>
      <c r="BP607" s="93"/>
      <c r="BQ607" s="93"/>
      <c r="BR607" s="93"/>
      <c r="BS607" s="93"/>
      <c r="BT607" s="93"/>
      <c r="BU607" s="93"/>
      <c r="BV607" s="93"/>
      <c r="BW607" s="93"/>
      <c r="BX607" s="93"/>
      <c r="BY607" s="93"/>
      <c r="BZ607" s="93"/>
    </row>
    <row r="608">
      <c r="B608" t="s">
        <v>2625</v>
      </c>
      <c r="C608" s="89" t="s">
        <v>2626</v>
      </c>
      <c r="D608" s="90" t="s">
        <v>2627</v>
      </c>
      <c r="E608" s="91">
        <v>1991.0</v>
      </c>
      <c r="F608" s="92">
        <v>1.0</v>
      </c>
      <c r="G608" s="93"/>
      <c r="H608" s="93"/>
      <c r="I608" s="93"/>
      <c r="J608" s="93"/>
      <c r="K608" s="93"/>
      <c r="L608" s="93"/>
      <c r="M608" s="93"/>
      <c r="N608" s="93"/>
      <c r="O608" s="93"/>
      <c r="P608" s="93"/>
      <c r="Q608" s="93"/>
      <c r="R608" s="93"/>
      <c r="S608" s="93"/>
      <c r="T608" s="93"/>
      <c r="U608" s="93"/>
      <c r="V608" s="93"/>
      <c r="W608" s="93"/>
      <c r="X608" s="93"/>
      <c r="Y608" s="93"/>
      <c r="Z608" s="93"/>
      <c r="AA608" s="93"/>
      <c r="AB608" s="93"/>
      <c r="AC608" s="93"/>
      <c r="AD608" s="93"/>
      <c r="AE608" s="93"/>
      <c r="AF608" s="93"/>
      <c r="AG608" s="93"/>
      <c r="AH608" s="94"/>
      <c r="AI608" s="93"/>
      <c r="AJ608" s="93"/>
      <c r="AK608" s="93"/>
      <c r="AL608" s="93"/>
      <c r="AM608" s="93"/>
      <c r="AN608" s="93"/>
      <c r="AO608" s="93"/>
      <c r="AP608" s="93"/>
      <c r="AQ608" s="93"/>
      <c r="AR608" s="93"/>
      <c r="AS608" s="93"/>
      <c r="AT608" s="93"/>
      <c r="AU608" s="93"/>
      <c r="AV608" s="93"/>
      <c r="AW608" s="93"/>
      <c r="AX608" s="93"/>
      <c r="AY608" s="93"/>
      <c r="AZ608" s="93"/>
      <c r="BA608" s="93"/>
      <c r="BB608" s="93"/>
      <c r="BC608" s="93"/>
      <c r="BD608" s="93"/>
      <c r="BE608" s="93"/>
      <c r="BF608" s="93"/>
      <c r="BG608" s="93"/>
      <c r="BH608" s="93"/>
      <c r="BI608" s="93"/>
      <c r="BJ608" s="93"/>
      <c r="BK608" s="93"/>
      <c r="BL608" s="93"/>
      <c r="BM608" s="93"/>
      <c r="BN608" s="93"/>
      <c r="BO608" s="93"/>
      <c r="BP608" s="93"/>
      <c r="BQ608" s="93"/>
      <c r="BR608" s="93"/>
      <c r="BS608" s="93"/>
      <c r="BT608" s="93"/>
      <c r="BU608" s="93"/>
      <c r="BV608" s="93"/>
      <c r="BW608" s="93"/>
      <c r="BX608" s="93"/>
      <c r="BY608" s="93"/>
      <c r="BZ608" s="93"/>
    </row>
    <row r="609">
      <c r="B609" t="s">
        <v>2628</v>
      </c>
      <c r="C609" s="89" t="s">
        <v>2629</v>
      </c>
      <c r="D609" s="90" t="s">
        <v>2630</v>
      </c>
      <c r="E609" s="91">
        <v>2009.0</v>
      </c>
      <c r="F609" s="92">
        <v>1.0</v>
      </c>
      <c r="G609" s="93"/>
      <c r="H609" s="93"/>
      <c r="I609" s="93"/>
      <c r="J609" s="93"/>
      <c r="K609" s="93"/>
      <c r="L609" s="93"/>
      <c r="M609" s="93"/>
      <c r="N609" s="93"/>
      <c r="O609" s="93"/>
      <c r="P609" s="93"/>
      <c r="Q609" s="93"/>
      <c r="R609" s="93"/>
      <c r="S609" s="93"/>
      <c r="T609" s="93"/>
      <c r="U609" s="93"/>
      <c r="V609" s="93"/>
      <c r="W609" s="93"/>
      <c r="X609" s="93"/>
      <c r="Y609" s="93"/>
      <c r="Z609" s="93"/>
      <c r="AA609" s="93"/>
      <c r="AB609" s="93"/>
      <c r="AC609" s="93"/>
      <c r="AD609" s="93"/>
      <c r="AE609" s="93"/>
      <c r="AF609" s="93"/>
      <c r="AG609" s="93"/>
      <c r="AH609" s="94"/>
      <c r="AI609" s="93"/>
      <c r="AJ609" s="93"/>
      <c r="AK609" s="93"/>
      <c r="AL609" s="93"/>
      <c r="AM609" s="93"/>
      <c r="AN609" s="93"/>
      <c r="AO609" s="93"/>
      <c r="AP609" s="93"/>
      <c r="AQ609" s="93"/>
      <c r="AR609" s="93"/>
      <c r="AS609" s="93"/>
      <c r="AT609" s="93"/>
      <c r="AU609" s="93"/>
      <c r="AV609" s="93"/>
      <c r="AW609" s="93"/>
      <c r="AX609" s="93"/>
      <c r="AY609" s="93"/>
      <c r="AZ609" s="93"/>
      <c r="BA609" s="93"/>
      <c r="BB609" s="93"/>
      <c r="BC609" s="93"/>
      <c r="BD609" s="93"/>
      <c r="BE609" s="93"/>
      <c r="BF609" s="93"/>
      <c r="BG609" s="93"/>
      <c r="BH609" s="93"/>
      <c r="BI609" s="93"/>
      <c r="BJ609" s="93"/>
      <c r="BK609" s="93"/>
      <c r="BL609" s="93"/>
      <c r="BM609" s="93"/>
      <c r="BN609" s="93"/>
      <c r="BO609" s="93"/>
      <c r="BP609" s="93"/>
      <c r="BQ609" s="93"/>
      <c r="BR609" s="93"/>
      <c r="BS609" s="93"/>
      <c r="BT609" s="93"/>
      <c r="BU609" s="93"/>
      <c r="BV609" s="93"/>
      <c r="BW609" s="93"/>
      <c r="BX609" s="93"/>
      <c r="BY609" s="93"/>
      <c r="BZ609" s="93"/>
    </row>
    <row r="610">
      <c r="B610" t="s">
        <v>2631</v>
      </c>
      <c r="C610" s="89" t="s">
        <v>2632</v>
      </c>
      <c r="D610" s="90" t="s">
        <v>1570</v>
      </c>
      <c r="E610" s="91">
        <v>2018.0</v>
      </c>
      <c r="F610" s="92">
        <v>1.0</v>
      </c>
      <c r="G610" s="93"/>
      <c r="H610" s="93"/>
      <c r="I610" s="93"/>
      <c r="J610" s="93"/>
      <c r="K610" s="93"/>
      <c r="L610" s="93"/>
      <c r="M610" s="93"/>
      <c r="N610" s="93"/>
      <c r="O610" s="93"/>
      <c r="P610" s="93"/>
      <c r="Q610" s="93"/>
      <c r="R610" s="93"/>
      <c r="S610" s="93"/>
      <c r="T610" s="93"/>
      <c r="U610" s="93"/>
      <c r="V610" s="93"/>
      <c r="W610" s="93"/>
      <c r="X610" s="93"/>
      <c r="Y610" s="93"/>
      <c r="Z610" s="93"/>
      <c r="AA610" s="93"/>
      <c r="AB610" s="93"/>
      <c r="AC610" s="93"/>
      <c r="AD610" s="93"/>
      <c r="AE610" s="93"/>
      <c r="AF610" s="93"/>
      <c r="AG610" s="93"/>
      <c r="AH610" s="94"/>
      <c r="AI610" s="93"/>
      <c r="AJ610" s="93"/>
      <c r="AK610" s="93"/>
      <c r="AL610" s="93"/>
      <c r="AM610" s="93"/>
      <c r="AN610" s="93"/>
      <c r="AO610" s="93"/>
      <c r="AP610" s="93"/>
      <c r="AQ610" s="93"/>
      <c r="AR610" s="93"/>
      <c r="AS610" s="93"/>
      <c r="AT610" s="93"/>
      <c r="AU610" s="93"/>
      <c r="AV610" s="93"/>
      <c r="AW610" s="93"/>
      <c r="AX610" s="93"/>
      <c r="AY610" s="93"/>
      <c r="AZ610" s="93"/>
      <c r="BA610" s="93"/>
      <c r="BB610" s="93"/>
      <c r="BC610" s="93"/>
      <c r="BD610" s="93"/>
      <c r="BE610" s="93"/>
      <c r="BF610" s="93"/>
      <c r="BG610" s="93"/>
      <c r="BH610" s="93"/>
      <c r="BI610" s="93"/>
      <c r="BJ610" s="93"/>
      <c r="BK610" s="93"/>
      <c r="BL610" s="93"/>
      <c r="BM610" s="93"/>
      <c r="BN610" s="93"/>
      <c r="BO610" s="93"/>
      <c r="BP610" s="93"/>
      <c r="BQ610" s="93"/>
      <c r="BR610" s="93"/>
      <c r="BS610" s="93"/>
      <c r="BT610" s="93"/>
      <c r="BU610" s="93"/>
      <c r="BV610" s="93"/>
      <c r="BW610" s="93"/>
      <c r="BX610" s="93"/>
      <c r="BY610" s="93"/>
      <c r="BZ610" s="93"/>
    </row>
    <row r="611">
      <c r="B611" t="s">
        <v>2633</v>
      </c>
      <c r="C611" s="89" t="s">
        <v>2634</v>
      </c>
      <c r="D611" s="90" t="s">
        <v>560</v>
      </c>
      <c r="E611" s="91">
        <v>2007.0</v>
      </c>
      <c r="F611" s="97" t="s">
        <v>1777</v>
      </c>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c r="AD611" s="93"/>
      <c r="AE611" s="93"/>
      <c r="AF611" s="93"/>
      <c r="AG611" s="93"/>
      <c r="AH611" s="94"/>
      <c r="AI611" s="93"/>
      <c r="AJ611" s="93"/>
      <c r="AK611" s="93"/>
      <c r="AL611" s="93"/>
      <c r="AM611" s="93"/>
      <c r="AN611" s="93"/>
      <c r="AO611" s="93"/>
      <c r="AP611" s="93"/>
      <c r="AQ611" s="93"/>
      <c r="AR611" s="93"/>
      <c r="AS611" s="93"/>
      <c r="AT611" s="93"/>
      <c r="AU611" s="93"/>
      <c r="AV611" s="93"/>
      <c r="AW611" s="93"/>
      <c r="AX611" s="93"/>
      <c r="AY611" s="93"/>
      <c r="AZ611" s="93"/>
      <c r="BA611" s="93"/>
      <c r="BB611" s="93"/>
      <c r="BC611" s="93"/>
      <c r="BD611" s="93"/>
      <c r="BE611" s="93"/>
      <c r="BF611" s="93"/>
      <c r="BG611" s="93"/>
      <c r="BH611" s="93"/>
      <c r="BI611" s="93"/>
      <c r="BJ611" s="93"/>
      <c r="BK611" s="93"/>
      <c r="BL611" s="93"/>
      <c r="BM611" s="93"/>
      <c r="BN611" s="93"/>
      <c r="BO611" s="93"/>
      <c r="BP611" s="93"/>
      <c r="BQ611" s="93"/>
      <c r="BR611" s="93"/>
      <c r="BS611" s="93"/>
      <c r="BT611" s="93"/>
      <c r="BU611" s="93"/>
      <c r="BV611" s="93"/>
      <c r="BW611" s="93"/>
      <c r="BX611" s="93"/>
      <c r="BY611" s="93"/>
      <c r="BZ611" s="93"/>
    </row>
    <row r="612">
      <c r="B612" t="s">
        <v>2635</v>
      </c>
      <c r="C612" s="89" t="s">
        <v>2636</v>
      </c>
      <c r="D612" s="90" t="s">
        <v>2637</v>
      </c>
      <c r="E612" s="91">
        <v>2015.0</v>
      </c>
      <c r="F612" s="92">
        <v>1.0</v>
      </c>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c r="AD612" s="93"/>
      <c r="AE612" s="93"/>
      <c r="AF612" s="93"/>
      <c r="AG612" s="93"/>
      <c r="AH612" s="94"/>
      <c r="AI612" s="93"/>
      <c r="AJ612" s="93"/>
      <c r="AK612" s="93"/>
      <c r="AL612" s="93"/>
      <c r="AM612" s="93"/>
      <c r="AN612" s="93"/>
      <c r="AO612" s="93"/>
      <c r="AP612" s="93"/>
      <c r="AQ612" s="93"/>
      <c r="AR612" s="93"/>
      <c r="AS612" s="93"/>
      <c r="AT612" s="93"/>
      <c r="AU612" s="93"/>
      <c r="AV612" s="93"/>
      <c r="AW612" s="93"/>
      <c r="AX612" s="93"/>
      <c r="AY612" s="93"/>
      <c r="AZ612" s="93"/>
      <c r="BA612" s="93"/>
      <c r="BB612" s="93"/>
      <c r="BC612" s="93"/>
      <c r="BD612" s="93"/>
      <c r="BE612" s="93"/>
      <c r="BF612" s="93"/>
      <c r="BG612" s="93"/>
      <c r="BH612" s="93"/>
      <c r="BI612" s="93"/>
      <c r="BJ612" s="93"/>
      <c r="BK612" s="93"/>
      <c r="BL612" s="93"/>
      <c r="BM612" s="93"/>
      <c r="BN612" s="93"/>
      <c r="BO612" s="93"/>
      <c r="BP612" s="93"/>
      <c r="BQ612" s="93"/>
      <c r="BR612" s="93"/>
      <c r="BS612" s="93"/>
      <c r="BT612" s="93"/>
      <c r="BU612" s="93"/>
      <c r="BV612" s="93"/>
      <c r="BW612" s="93"/>
      <c r="BX612" s="93"/>
      <c r="BY612" s="93"/>
      <c r="BZ612" s="93"/>
    </row>
    <row r="613">
      <c r="B613" t="s">
        <v>2638</v>
      </c>
      <c r="C613" s="89" t="s">
        <v>2639</v>
      </c>
      <c r="D613" s="90" t="s">
        <v>2640</v>
      </c>
      <c r="E613" s="91">
        <v>2019.0</v>
      </c>
      <c r="F613" s="92">
        <v>1.0</v>
      </c>
      <c r="G613" s="93"/>
      <c r="H613" s="93"/>
      <c r="I613" s="93"/>
      <c r="J613" s="93"/>
      <c r="K613" s="93"/>
      <c r="L613" s="93"/>
      <c r="M613" s="93"/>
      <c r="N613" s="93"/>
      <c r="O613" s="93"/>
      <c r="P613" s="93"/>
      <c r="Q613" s="93"/>
      <c r="R613" s="93"/>
      <c r="S613" s="93"/>
      <c r="T613" s="93"/>
      <c r="U613" s="93"/>
      <c r="V613" s="93"/>
      <c r="W613" s="93"/>
      <c r="X613" s="93"/>
      <c r="Y613" s="93"/>
      <c r="Z613" s="93"/>
      <c r="AA613" s="93"/>
      <c r="AB613" s="93"/>
      <c r="AC613" s="93"/>
      <c r="AD613" s="93"/>
      <c r="AE613" s="93"/>
      <c r="AF613" s="93"/>
      <c r="AG613" s="93"/>
      <c r="AH613" s="94"/>
      <c r="AI613" s="93"/>
      <c r="AJ613" s="93"/>
      <c r="AK613" s="93"/>
      <c r="AL613" s="93"/>
      <c r="AM613" s="93"/>
      <c r="AN613" s="93"/>
      <c r="AO613" s="93"/>
      <c r="AP613" s="93"/>
      <c r="AQ613" s="93"/>
      <c r="AR613" s="93"/>
      <c r="AS613" s="93"/>
      <c r="AT613" s="93"/>
      <c r="AU613" s="93"/>
      <c r="AV613" s="93"/>
      <c r="AW613" s="93"/>
      <c r="AX613" s="93"/>
      <c r="AY613" s="93"/>
      <c r="AZ613" s="93"/>
      <c r="BA613" s="93"/>
      <c r="BB613" s="93"/>
      <c r="BC613" s="93"/>
      <c r="BD613" s="93"/>
      <c r="BE613" s="93"/>
      <c r="BF613" s="93"/>
      <c r="BG613" s="93"/>
      <c r="BH613" s="93"/>
      <c r="BI613" s="93"/>
      <c r="BJ613" s="93"/>
      <c r="BK613" s="93"/>
      <c r="BL613" s="93"/>
      <c r="BM613" s="93"/>
      <c r="BN613" s="93"/>
      <c r="BO613" s="93"/>
      <c r="BP613" s="93"/>
      <c r="BQ613" s="93"/>
      <c r="BR613" s="93"/>
      <c r="BS613" s="93"/>
      <c r="BT613" s="93"/>
      <c r="BU613" s="93"/>
      <c r="BV613" s="93"/>
      <c r="BW613" s="93"/>
      <c r="BX613" s="93"/>
      <c r="BY613" s="93"/>
      <c r="BZ613" s="93"/>
    </row>
    <row r="614">
      <c r="B614" t="s">
        <v>2641</v>
      </c>
      <c r="C614" s="89" t="s">
        <v>2642</v>
      </c>
      <c r="D614" s="90" t="s">
        <v>2643</v>
      </c>
      <c r="E614" s="91">
        <v>2004.0</v>
      </c>
      <c r="F614" s="92">
        <v>1.0</v>
      </c>
      <c r="G614" s="93"/>
      <c r="H614" s="93"/>
      <c r="I614" s="93"/>
      <c r="J614" s="93"/>
      <c r="K614" s="93"/>
      <c r="L614" s="93"/>
      <c r="M614" s="93"/>
      <c r="N614" s="93"/>
      <c r="O614" s="93"/>
      <c r="P614" s="93"/>
      <c r="Q614" s="93"/>
      <c r="R614" s="93"/>
      <c r="S614" s="93"/>
      <c r="T614" s="93"/>
      <c r="U614" s="93"/>
      <c r="V614" s="93"/>
      <c r="W614" s="93"/>
      <c r="X614" s="93"/>
      <c r="Y614" s="93"/>
      <c r="Z614" s="93"/>
      <c r="AA614" s="93"/>
      <c r="AB614" s="93"/>
      <c r="AC614" s="93"/>
      <c r="AD614" s="93"/>
      <c r="AE614" s="93"/>
      <c r="AF614" s="93"/>
      <c r="AG614" s="93"/>
      <c r="AH614" s="94"/>
      <c r="AI614" s="93"/>
      <c r="AJ614" s="93"/>
      <c r="AK614" s="93"/>
      <c r="AL614" s="93"/>
      <c r="AM614" s="93"/>
      <c r="AN614" s="93"/>
      <c r="AO614" s="93"/>
      <c r="AP614" s="93"/>
      <c r="AQ614" s="93"/>
      <c r="AR614" s="93"/>
      <c r="AS614" s="93"/>
      <c r="AT614" s="93"/>
      <c r="AU614" s="93"/>
      <c r="AV614" s="93"/>
      <c r="AW614" s="93"/>
      <c r="AX614" s="93"/>
      <c r="AY614" s="93"/>
      <c r="AZ614" s="93"/>
      <c r="BA614" s="93"/>
      <c r="BB614" s="93"/>
      <c r="BC614" s="93"/>
      <c r="BD614" s="93"/>
      <c r="BE614" s="93"/>
      <c r="BF614" s="93"/>
      <c r="BG614" s="93"/>
      <c r="BH614" s="93"/>
      <c r="BI614" s="93"/>
      <c r="BJ614" s="93"/>
      <c r="BK614" s="93"/>
      <c r="BL614" s="93"/>
      <c r="BM614" s="93"/>
      <c r="BN614" s="93"/>
      <c r="BO614" s="93"/>
      <c r="BP614" s="93"/>
      <c r="BQ614" s="93"/>
      <c r="BR614" s="93"/>
      <c r="BS614" s="93"/>
      <c r="BT614" s="93"/>
      <c r="BU614" s="93"/>
      <c r="BV614" s="93"/>
      <c r="BW614" s="93"/>
      <c r="BX614" s="93"/>
      <c r="BY614" s="93"/>
      <c r="BZ614" s="93"/>
    </row>
    <row r="615">
      <c r="A615" t="s">
        <v>1354</v>
      </c>
      <c r="B615" t="s">
        <v>2644</v>
      </c>
      <c r="C615" s="89" t="s">
        <v>2645</v>
      </c>
      <c r="D615" s="90" t="s">
        <v>2349</v>
      </c>
      <c r="E615" s="91">
        <v>2002.0</v>
      </c>
      <c r="F615" s="92">
        <v>1.0</v>
      </c>
      <c r="G615" s="93"/>
      <c r="H615" s="93"/>
      <c r="I615" s="93"/>
      <c r="J615" s="93"/>
      <c r="K615" s="93"/>
      <c r="L615" s="93"/>
      <c r="M615" s="93"/>
      <c r="N615" s="93"/>
      <c r="O615" s="93"/>
      <c r="P615" s="93"/>
      <c r="Q615" s="93"/>
      <c r="R615" s="93"/>
      <c r="S615" s="93"/>
      <c r="T615" s="93"/>
      <c r="U615" s="93"/>
      <c r="V615" s="93"/>
      <c r="W615" s="93"/>
      <c r="X615" s="93"/>
      <c r="Y615" s="93"/>
      <c r="Z615" s="93"/>
      <c r="AA615" s="93"/>
      <c r="AB615" s="93"/>
      <c r="AC615" s="93"/>
      <c r="AD615" s="93"/>
      <c r="AE615" s="93"/>
      <c r="AF615" s="93"/>
      <c r="AG615" s="93"/>
      <c r="AH615" s="94"/>
      <c r="AI615" s="93"/>
      <c r="AJ615" s="93"/>
      <c r="AK615" s="93"/>
      <c r="AL615" s="93"/>
      <c r="AM615" s="93"/>
      <c r="AN615" s="93"/>
      <c r="AO615" s="93"/>
      <c r="AP615" s="93"/>
      <c r="AQ615" s="93"/>
      <c r="AR615" s="93"/>
      <c r="AS615" s="93"/>
      <c r="AT615" s="93"/>
      <c r="AU615" s="93"/>
      <c r="AV615" s="93"/>
      <c r="AW615" s="93"/>
      <c r="AX615" s="93"/>
      <c r="AY615" s="93"/>
      <c r="AZ615" s="93"/>
      <c r="BA615" s="93"/>
      <c r="BB615" s="93"/>
      <c r="BC615" s="93"/>
      <c r="BD615" s="93"/>
      <c r="BE615" s="93"/>
      <c r="BF615" s="93"/>
      <c r="BG615" s="93"/>
      <c r="BH615" s="93"/>
      <c r="BI615" s="93"/>
      <c r="BJ615" s="93"/>
      <c r="BK615" s="93"/>
      <c r="BL615" s="93"/>
      <c r="BM615" s="93"/>
      <c r="BN615" s="93"/>
      <c r="BO615" s="93"/>
      <c r="BP615" s="93"/>
      <c r="BQ615" s="93"/>
      <c r="BR615" s="93"/>
      <c r="BS615" s="93"/>
      <c r="BT615" s="93"/>
      <c r="BU615" s="93"/>
      <c r="BV615" s="93"/>
      <c r="BW615" s="93"/>
      <c r="BX615" s="93"/>
      <c r="BY615" s="93"/>
      <c r="BZ615" s="93"/>
    </row>
    <row r="616">
      <c r="B616" t="s">
        <v>2646</v>
      </c>
      <c r="C616" s="89" t="s">
        <v>2647</v>
      </c>
      <c r="D616" s="90" t="s">
        <v>2395</v>
      </c>
      <c r="E616" s="91">
        <v>2006.0</v>
      </c>
      <c r="F616" s="92">
        <v>1.0</v>
      </c>
      <c r="G616" s="93"/>
      <c r="H616" s="93"/>
      <c r="I616" s="93"/>
      <c r="J616" s="93"/>
      <c r="K616" s="93"/>
      <c r="L616" s="93"/>
      <c r="M616" s="93"/>
      <c r="N616" s="93"/>
      <c r="O616" s="93"/>
      <c r="P616" s="93"/>
      <c r="Q616" s="93"/>
      <c r="R616" s="93"/>
      <c r="S616" s="93"/>
      <c r="T616" s="93"/>
      <c r="U616" s="93"/>
      <c r="V616" s="93"/>
      <c r="W616" s="93"/>
      <c r="X616" s="93"/>
      <c r="Y616" s="93"/>
      <c r="Z616" s="93"/>
      <c r="AA616" s="93"/>
      <c r="AB616" s="93"/>
      <c r="AC616" s="93"/>
      <c r="AD616" s="93"/>
      <c r="AE616" s="93"/>
      <c r="AF616" s="93"/>
      <c r="AG616" s="93"/>
      <c r="AH616" s="94"/>
      <c r="AI616" s="93"/>
      <c r="AJ616" s="93"/>
      <c r="AK616" s="93"/>
      <c r="AL616" s="93"/>
      <c r="AM616" s="93"/>
      <c r="AN616" s="93"/>
      <c r="AO616" s="93"/>
      <c r="AP616" s="93"/>
      <c r="AQ616" s="93"/>
      <c r="AR616" s="93"/>
      <c r="AS616" s="93"/>
      <c r="AT616" s="93"/>
      <c r="AU616" s="93"/>
      <c r="AV616" s="93"/>
      <c r="AW616" s="93"/>
      <c r="AX616" s="93"/>
      <c r="AY616" s="93"/>
      <c r="AZ616" s="93"/>
      <c r="BA616" s="93"/>
      <c r="BB616" s="93"/>
      <c r="BC616" s="93"/>
      <c r="BD616" s="93"/>
      <c r="BE616" s="93"/>
      <c r="BF616" s="93"/>
      <c r="BG616" s="93"/>
      <c r="BH616" s="93"/>
      <c r="BI616" s="93"/>
      <c r="BJ616" s="93"/>
      <c r="BK616" s="93"/>
      <c r="BL616" s="93"/>
      <c r="BM616" s="93"/>
      <c r="BN616" s="93"/>
      <c r="BO616" s="93"/>
      <c r="BP616" s="93"/>
      <c r="BQ616" s="93"/>
      <c r="BR616" s="93"/>
      <c r="BS616" s="93"/>
      <c r="BT616" s="93"/>
      <c r="BU616" s="93"/>
      <c r="BV616" s="93"/>
      <c r="BW616" s="93"/>
      <c r="BX616" s="93"/>
      <c r="BY616" s="93"/>
      <c r="BZ616" s="93"/>
    </row>
    <row r="617">
      <c r="B617" t="s">
        <v>2648</v>
      </c>
      <c r="C617" s="89" t="s">
        <v>2649</v>
      </c>
      <c r="D617" s="90" t="s">
        <v>2059</v>
      </c>
      <c r="E617" s="91">
        <v>2016.0</v>
      </c>
      <c r="F617" s="92">
        <v>1.0</v>
      </c>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3"/>
      <c r="AF617" s="93"/>
      <c r="AG617" s="93"/>
      <c r="AH617" s="94"/>
      <c r="AI617" s="93"/>
      <c r="AJ617" s="93"/>
      <c r="AK617" s="93"/>
      <c r="AL617" s="93"/>
      <c r="AM617" s="93"/>
      <c r="AN617" s="93"/>
      <c r="AO617" s="93"/>
      <c r="AP617" s="93"/>
      <c r="AQ617" s="93"/>
      <c r="AR617" s="93"/>
      <c r="AS617" s="93"/>
      <c r="AT617" s="93"/>
      <c r="AU617" s="93"/>
      <c r="AV617" s="93"/>
      <c r="AW617" s="93"/>
      <c r="AX617" s="93"/>
      <c r="AY617" s="93"/>
      <c r="AZ617" s="93"/>
      <c r="BA617" s="93"/>
      <c r="BB617" s="93"/>
      <c r="BC617" s="93"/>
      <c r="BD617" s="93"/>
      <c r="BE617" s="93"/>
      <c r="BF617" s="93"/>
      <c r="BG617" s="93"/>
      <c r="BH617" s="93"/>
      <c r="BI617" s="93"/>
      <c r="BJ617" s="93"/>
      <c r="BK617" s="93"/>
      <c r="BL617" s="93"/>
      <c r="BM617" s="93"/>
      <c r="BN617" s="93"/>
      <c r="BO617" s="93"/>
      <c r="BP617" s="93"/>
      <c r="BQ617" s="93"/>
      <c r="BR617" s="93"/>
      <c r="BS617" s="93"/>
      <c r="BT617" s="93"/>
      <c r="BU617" s="93"/>
      <c r="BV617" s="93"/>
      <c r="BW617" s="93"/>
      <c r="BX617" s="93"/>
      <c r="BY617" s="93"/>
      <c r="BZ617" s="93"/>
    </row>
    <row r="618">
      <c r="B618" t="s">
        <v>2650</v>
      </c>
      <c r="C618" s="89" t="s">
        <v>2651</v>
      </c>
      <c r="D618" s="90" t="s">
        <v>2652</v>
      </c>
      <c r="E618" s="91">
        <v>2020.0</v>
      </c>
      <c r="F618" s="92">
        <v>1.0</v>
      </c>
      <c r="G618" s="93"/>
      <c r="H618" s="93"/>
      <c r="I618" s="93"/>
      <c r="J618" s="93"/>
      <c r="K618" s="93"/>
      <c r="L618" s="93"/>
      <c r="M618" s="93"/>
      <c r="N618" s="93"/>
      <c r="O618" s="93"/>
      <c r="P618" s="93"/>
      <c r="Q618" s="93"/>
      <c r="R618" s="93"/>
      <c r="S618" s="93"/>
      <c r="T618" s="93"/>
      <c r="U618" s="93"/>
      <c r="V618" s="93"/>
      <c r="W618" s="93"/>
      <c r="X618" s="93"/>
      <c r="Y618" s="93"/>
      <c r="Z618" s="93"/>
      <c r="AA618" s="93"/>
      <c r="AB618" s="93"/>
      <c r="AC618" s="93"/>
      <c r="AD618" s="93"/>
      <c r="AE618" s="93"/>
      <c r="AF618" s="93"/>
      <c r="AG618" s="93"/>
      <c r="AH618" s="94"/>
      <c r="AI618" s="93"/>
      <c r="AJ618" s="93"/>
      <c r="AK618" s="93"/>
      <c r="AL618" s="93"/>
      <c r="AM618" s="93"/>
      <c r="AN618" s="93"/>
      <c r="AO618" s="93"/>
      <c r="AP618" s="93"/>
      <c r="AQ618" s="93"/>
      <c r="AR618" s="93"/>
      <c r="AS618" s="93"/>
      <c r="AT618" s="93"/>
      <c r="AU618" s="93"/>
      <c r="AV618" s="93"/>
      <c r="AW618" s="93"/>
      <c r="AX618" s="93"/>
      <c r="AY618" s="93"/>
      <c r="AZ618" s="93"/>
      <c r="BA618" s="93"/>
      <c r="BB618" s="93"/>
      <c r="BC618" s="93"/>
      <c r="BD618" s="93"/>
      <c r="BE618" s="93"/>
      <c r="BF618" s="93"/>
      <c r="BG618" s="93"/>
      <c r="BH618" s="93"/>
      <c r="BI618" s="93"/>
      <c r="BJ618" s="93"/>
      <c r="BK618" s="93"/>
      <c r="BL618" s="93"/>
      <c r="BM618" s="93"/>
      <c r="BN618" s="93"/>
      <c r="BO618" s="93"/>
      <c r="BP618" s="93"/>
      <c r="BQ618" s="93"/>
      <c r="BR618" s="93"/>
      <c r="BS618" s="93"/>
      <c r="BT618" s="93"/>
      <c r="BU618" s="93"/>
      <c r="BV618" s="93"/>
      <c r="BW618" s="93"/>
      <c r="BX618" s="93"/>
      <c r="BY618" s="93"/>
      <c r="BZ618" s="93"/>
    </row>
    <row r="619">
      <c r="B619" t="s">
        <v>2653</v>
      </c>
      <c r="C619" s="89" t="s">
        <v>868</v>
      </c>
      <c r="D619" s="90" t="s">
        <v>2654</v>
      </c>
      <c r="E619" s="91">
        <v>1999.0</v>
      </c>
      <c r="F619" s="97" t="s">
        <v>1777</v>
      </c>
      <c r="G619" s="93"/>
      <c r="H619" s="93"/>
      <c r="I619" s="93"/>
      <c r="J619" s="93"/>
      <c r="K619" s="93"/>
      <c r="L619" s="93"/>
      <c r="M619" s="93"/>
      <c r="N619" s="93"/>
      <c r="O619" s="93"/>
      <c r="P619" s="93"/>
      <c r="Q619" s="93"/>
      <c r="R619" s="93"/>
      <c r="S619" s="93"/>
      <c r="T619" s="93"/>
      <c r="U619" s="93"/>
      <c r="V619" s="93"/>
      <c r="W619" s="93"/>
      <c r="X619" s="93"/>
      <c r="Y619" s="93"/>
      <c r="Z619" s="93"/>
      <c r="AA619" s="93"/>
      <c r="AB619" s="93"/>
      <c r="AC619" s="93"/>
      <c r="AD619" s="93"/>
      <c r="AE619" s="93"/>
      <c r="AF619" s="93"/>
      <c r="AG619" s="93"/>
      <c r="AH619" s="94"/>
      <c r="AI619" s="93"/>
      <c r="AJ619" s="93"/>
      <c r="AK619" s="93"/>
      <c r="AL619" s="93"/>
      <c r="AM619" s="93"/>
      <c r="AN619" s="93"/>
      <c r="AO619" s="93"/>
      <c r="AP619" s="93"/>
      <c r="AQ619" s="93"/>
      <c r="AR619" s="93"/>
      <c r="AS619" s="93"/>
      <c r="AT619" s="93"/>
      <c r="AU619" s="93"/>
      <c r="AV619" s="93"/>
      <c r="AW619" s="93"/>
      <c r="AX619" s="93"/>
      <c r="AY619" s="93"/>
      <c r="AZ619" s="93"/>
      <c r="BA619" s="93"/>
      <c r="BB619" s="93"/>
      <c r="BC619" s="93"/>
      <c r="BD619" s="93"/>
      <c r="BE619" s="93"/>
      <c r="BF619" s="93"/>
      <c r="BG619" s="93"/>
      <c r="BH619" s="93"/>
      <c r="BI619" s="93"/>
      <c r="BJ619" s="93"/>
      <c r="BK619" s="93"/>
      <c r="BL619" s="93"/>
      <c r="BM619" s="93"/>
      <c r="BN619" s="93"/>
      <c r="BO619" s="93"/>
      <c r="BP619" s="93"/>
      <c r="BQ619" s="93"/>
      <c r="BR619" s="93"/>
      <c r="BS619" s="93"/>
      <c r="BT619" s="93"/>
      <c r="BU619" s="93"/>
      <c r="BV619" s="93"/>
      <c r="BW619" s="93"/>
      <c r="BX619" s="93"/>
      <c r="BY619" s="93"/>
      <c r="BZ619" s="93"/>
    </row>
    <row r="620">
      <c r="A620" t="s">
        <v>116</v>
      </c>
      <c r="B620" t="s">
        <v>2655</v>
      </c>
      <c r="C620" s="89" t="s">
        <v>2656</v>
      </c>
      <c r="D620" s="90" t="s">
        <v>503</v>
      </c>
      <c r="E620" s="91">
        <v>2019.0</v>
      </c>
      <c r="F620" s="95"/>
      <c r="G620" s="92">
        <v>1.0</v>
      </c>
      <c r="H620" s="93"/>
      <c r="I620" s="93"/>
      <c r="J620" s="93"/>
      <c r="K620" s="93"/>
      <c r="L620" s="93"/>
      <c r="M620" s="93"/>
      <c r="N620" s="93"/>
      <c r="O620" s="93"/>
      <c r="P620" s="93"/>
      <c r="Q620" s="93"/>
      <c r="R620" s="93"/>
      <c r="S620" s="93"/>
      <c r="T620" s="93"/>
      <c r="U620" s="93"/>
      <c r="V620" s="93"/>
      <c r="W620" s="95" t="s">
        <v>2657</v>
      </c>
      <c r="X620" s="95" t="s">
        <v>759</v>
      </c>
      <c r="Y620" s="95" t="s">
        <v>2658</v>
      </c>
      <c r="Z620" s="95" t="s">
        <v>122</v>
      </c>
      <c r="AA620" s="92">
        <v>1.0</v>
      </c>
      <c r="AB620" s="93"/>
      <c r="AC620" s="93"/>
      <c r="AD620" s="92">
        <v>1.0</v>
      </c>
      <c r="AE620" s="93"/>
      <c r="AF620" s="93"/>
      <c r="AG620" s="93"/>
      <c r="AH620" s="96" t="s">
        <v>2659</v>
      </c>
      <c r="AI620" s="92">
        <v>1.0</v>
      </c>
      <c r="AJ620" s="93"/>
      <c r="AK620" s="93"/>
      <c r="AL620" s="93"/>
      <c r="AM620" s="93"/>
      <c r="AN620" s="93"/>
      <c r="AO620" s="93"/>
      <c r="AP620" s="93"/>
      <c r="AQ620" s="93"/>
      <c r="AR620" s="93"/>
      <c r="AS620" s="93"/>
      <c r="AT620" s="93"/>
      <c r="AU620" s="93"/>
      <c r="AV620" s="93"/>
      <c r="AW620" s="93"/>
      <c r="AX620" s="93"/>
      <c r="AY620" s="93"/>
      <c r="AZ620" s="93"/>
      <c r="BA620" s="93"/>
      <c r="BB620" s="93"/>
      <c r="BC620" s="93"/>
      <c r="BD620" s="93"/>
      <c r="BE620" s="92">
        <v>1.0</v>
      </c>
      <c r="BF620" s="93"/>
      <c r="BG620" s="93"/>
      <c r="BH620" s="92">
        <v>1.0</v>
      </c>
      <c r="BI620" s="93"/>
      <c r="BJ620" s="93"/>
      <c r="BK620" s="93"/>
      <c r="BL620" s="93"/>
      <c r="BM620" s="93"/>
      <c r="BN620" s="93"/>
      <c r="BO620" s="93"/>
      <c r="BP620" s="93"/>
      <c r="BQ620" s="93"/>
      <c r="BR620" s="93"/>
      <c r="BS620" s="93"/>
      <c r="BT620" s="93"/>
      <c r="BU620" s="93"/>
      <c r="BV620" s="93"/>
      <c r="BW620" s="93"/>
      <c r="BX620" s="93"/>
      <c r="BY620" s="92">
        <v>1.0</v>
      </c>
      <c r="BZ620" s="93"/>
    </row>
    <row r="621">
      <c r="B621" t="s">
        <v>2660</v>
      </c>
      <c r="C621" s="89" t="s">
        <v>2661</v>
      </c>
      <c r="D621" s="90" t="s">
        <v>2662</v>
      </c>
      <c r="E621" s="91">
        <v>2010.0</v>
      </c>
      <c r="F621" s="92">
        <v>1.0</v>
      </c>
      <c r="G621" s="93"/>
      <c r="H621" s="93"/>
      <c r="I621" s="93"/>
      <c r="J621" s="93"/>
      <c r="K621" s="93"/>
      <c r="L621" s="93"/>
      <c r="M621" s="93"/>
      <c r="N621" s="93"/>
      <c r="O621" s="93"/>
      <c r="P621" s="93"/>
      <c r="Q621" s="93"/>
      <c r="R621" s="93"/>
      <c r="S621" s="93"/>
      <c r="T621" s="93"/>
      <c r="U621" s="93"/>
      <c r="V621" s="93"/>
      <c r="W621" s="93"/>
      <c r="X621" s="93"/>
      <c r="Y621" s="93"/>
      <c r="Z621" s="93"/>
      <c r="AA621" s="93"/>
      <c r="AB621" s="93"/>
      <c r="AC621" s="93"/>
      <c r="AD621" s="93"/>
      <c r="AE621" s="93"/>
      <c r="AF621" s="93"/>
      <c r="AG621" s="93"/>
      <c r="AH621" s="94"/>
      <c r="AI621" s="93"/>
      <c r="AJ621" s="93"/>
      <c r="AK621" s="93"/>
      <c r="AL621" s="93"/>
      <c r="AM621" s="93"/>
      <c r="AN621" s="93"/>
      <c r="AO621" s="93"/>
      <c r="AP621" s="93"/>
      <c r="AQ621" s="93"/>
      <c r="AR621" s="93"/>
      <c r="AS621" s="93"/>
      <c r="AT621" s="93"/>
      <c r="AU621" s="93"/>
      <c r="AV621" s="93"/>
      <c r="AW621" s="93"/>
      <c r="AX621" s="93"/>
      <c r="AY621" s="93"/>
      <c r="AZ621" s="93"/>
      <c r="BA621" s="93"/>
      <c r="BB621" s="93"/>
      <c r="BC621" s="93"/>
      <c r="BD621" s="93"/>
      <c r="BE621" s="93"/>
      <c r="BF621" s="93"/>
      <c r="BG621" s="93"/>
      <c r="BH621" s="93"/>
      <c r="BI621" s="93"/>
      <c r="BJ621" s="93"/>
      <c r="BK621" s="93"/>
      <c r="BL621" s="93"/>
      <c r="BM621" s="93"/>
      <c r="BN621" s="93"/>
      <c r="BO621" s="93"/>
      <c r="BP621" s="93"/>
      <c r="BQ621" s="93"/>
      <c r="BR621" s="93"/>
      <c r="BS621" s="93"/>
      <c r="BT621" s="93"/>
      <c r="BU621" s="93"/>
      <c r="BV621" s="93"/>
      <c r="BW621" s="93"/>
      <c r="BX621" s="93"/>
      <c r="BY621" s="93"/>
      <c r="BZ621" s="93"/>
    </row>
    <row r="622">
      <c r="A622" t="s">
        <v>1331</v>
      </c>
      <c r="B622" t="s">
        <v>2663</v>
      </c>
      <c r="C622" s="89" t="s">
        <v>2664</v>
      </c>
      <c r="D622" s="90" t="s">
        <v>2665</v>
      </c>
      <c r="E622" s="91">
        <v>2015.0</v>
      </c>
      <c r="F622" s="92">
        <v>1.0</v>
      </c>
      <c r="G622" s="93"/>
      <c r="H622" s="93"/>
      <c r="I622" s="93"/>
      <c r="J622" s="93"/>
      <c r="K622" s="93"/>
      <c r="L622" s="93"/>
      <c r="M622" s="93"/>
      <c r="N622" s="93"/>
      <c r="O622" s="93"/>
      <c r="P622" s="93"/>
      <c r="Q622" s="93"/>
      <c r="R622" s="93"/>
      <c r="S622" s="93"/>
      <c r="T622" s="93"/>
      <c r="U622" s="93"/>
      <c r="V622" s="93"/>
      <c r="W622" s="93"/>
      <c r="X622" s="93"/>
      <c r="Y622" s="93"/>
      <c r="Z622" s="93"/>
      <c r="AA622" s="93"/>
      <c r="AB622" s="93"/>
      <c r="AC622" s="93"/>
      <c r="AD622" s="93"/>
      <c r="AE622" s="93"/>
      <c r="AF622" s="93"/>
      <c r="AG622" s="93"/>
      <c r="AH622" s="94"/>
      <c r="AI622" s="93"/>
      <c r="AJ622" s="93"/>
      <c r="AK622" s="93"/>
      <c r="AL622" s="93"/>
      <c r="AM622" s="93"/>
      <c r="AN622" s="93"/>
      <c r="AO622" s="93"/>
      <c r="AP622" s="93"/>
      <c r="AQ622" s="93"/>
      <c r="AR622" s="93"/>
      <c r="AS622" s="93"/>
      <c r="AT622" s="93"/>
      <c r="AU622" s="93"/>
      <c r="AV622" s="93"/>
      <c r="AW622" s="93"/>
      <c r="AX622" s="93"/>
      <c r="AY622" s="93"/>
      <c r="AZ622" s="93"/>
      <c r="BA622" s="93"/>
      <c r="BB622" s="93"/>
      <c r="BC622" s="93"/>
      <c r="BD622" s="93"/>
      <c r="BE622" s="93"/>
      <c r="BF622" s="93"/>
      <c r="BG622" s="93"/>
      <c r="BH622" s="93"/>
      <c r="BI622" s="93"/>
      <c r="BJ622" s="93"/>
      <c r="BK622" s="93"/>
      <c r="BL622" s="93"/>
      <c r="BM622" s="93"/>
      <c r="BN622" s="93"/>
      <c r="BO622" s="93"/>
      <c r="BP622" s="93"/>
      <c r="BQ622" s="93"/>
      <c r="BR622" s="93"/>
      <c r="BS622" s="93"/>
      <c r="BT622" s="93"/>
      <c r="BU622" s="93"/>
      <c r="BV622" s="93"/>
      <c r="BW622" s="93"/>
      <c r="BX622" s="93"/>
      <c r="BY622" s="93"/>
      <c r="BZ622" s="93"/>
    </row>
    <row r="623">
      <c r="A623" t="s">
        <v>1340</v>
      </c>
      <c r="B623" t="s">
        <v>2666</v>
      </c>
      <c r="C623" s="89" t="s">
        <v>2667</v>
      </c>
      <c r="D623" s="90" t="s">
        <v>2668</v>
      </c>
      <c r="E623" s="91">
        <v>1999.0</v>
      </c>
      <c r="F623" s="92">
        <v>1.0</v>
      </c>
      <c r="G623" s="93"/>
      <c r="H623" s="93"/>
      <c r="I623" s="93"/>
      <c r="J623" s="93"/>
      <c r="K623" s="93"/>
      <c r="L623" s="93"/>
      <c r="M623" s="95"/>
      <c r="N623" s="93"/>
      <c r="O623" s="93"/>
      <c r="P623" s="93"/>
      <c r="Q623" s="93"/>
      <c r="R623" s="93"/>
      <c r="S623" s="93"/>
      <c r="T623" s="93"/>
      <c r="U623" s="93"/>
      <c r="V623" s="93"/>
      <c r="W623" s="93"/>
      <c r="X623" s="93"/>
      <c r="Y623" s="93"/>
      <c r="Z623" s="93"/>
      <c r="AA623" s="93"/>
      <c r="AB623" s="93"/>
      <c r="AC623" s="93"/>
      <c r="AD623" s="93"/>
      <c r="AE623" s="93"/>
      <c r="AF623" s="93"/>
      <c r="AG623" s="93"/>
      <c r="AH623" s="94"/>
      <c r="AI623" s="93"/>
      <c r="AJ623" s="93"/>
      <c r="AK623" s="93"/>
      <c r="AL623" s="93"/>
      <c r="AM623" s="93"/>
      <c r="AN623" s="93"/>
      <c r="AO623" s="93"/>
      <c r="AP623" s="93"/>
      <c r="AQ623" s="93"/>
      <c r="AR623" s="93"/>
      <c r="AS623" s="93"/>
      <c r="AT623" s="93"/>
      <c r="AU623" s="93"/>
      <c r="AV623" s="93"/>
      <c r="AW623" s="93"/>
      <c r="AX623" s="93"/>
      <c r="AY623" s="93"/>
      <c r="AZ623" s="93"/>
      <c r="BA623" s="93"/>
      <c r="BB623" s="93"/>
      <c r="BC623" s="93"/>
      <c r="BD623" s="93"/>
      <c r="BE623" s="93"/>
      <c r="BF623" s="93"/>
      <c r="BG623" s="93"/>
      <c r="BH623" s="93"/>
      <c r="BI623" s="93"/>
      <c r="BJ623" s="93"/>
      <c r="BK623" s="93"/>
      <c r="BL623" s="93"/>
      <c r="BM623" s="93"/>
      <c r="BN623" s="93"/>
      <c r="BO623" s="93"/>
      <c r="BP623" s="93"/>
      <c r="BQ623" s="93"/>
      <c r="BR623" s="93"/>
      <c r="BS623" s="93"/>
      <c r="BT623" s="93"/>
      <c r="BU623" s="93"/>
      <c r="BV623" s="93"/>
      <c r="BW623" s="93"/>
      <c r="BX623" s="93"/>
      <c r="BY623" s="93"/>
      <c r="BZ623" s="93"/>
    </row>
    <row r="624">
      <c r="A624" t="s">
        <v>1354</v>
      </c>
      <c r="B624" t="s">
        <v>2669</v>
      </c>
      <c r="C624" s="89" t="s">
        <v>2670</v>
      </c>
      <c r="D624" s="90" t="s">
        <v>2671</v>
      </c>
      <c r="E624" s="91">
        <v>2014.0</v>
      </c>
      <c r="F624" s="98"/>
      <c r="G624" s="93"/>
      <c r="H624" s="93"/>
      <c r="I624" s="93"/>
      <c r="J624" s="93"/>
      <c r="K624" s="93"/>
      <c r="L624" s="93"/>
      <c r="M624" s="99">
        <v>1.0</v>
      </c>
      <c r="N624" s="93"/>
      <c r="O624" s="93"/>
      <c r="P624" s="93"/>
      <c r="Q624" s="93"/>
      <c r="R624" s="93"/>
      <c r="S624" s="93"/>
      <c r="T624" s="93"/>
      <c r="U624" s="93"/>
      <c r="V624" s="93"/>
      <c r="W624" s="98" t="s">
        <v>2672</v>
      </c>
      <c r="X624" s="98" t="s">
        <v>2673</v>
      </c>
      <c r="Y624" s="98" t="s">
        <v>2674</v>
      </c>
      <c r="Z624" s="98" t="s">
        <v>2675</v>
      </c>
      <c r="AA624" s="93"/>
      <c r="AB624" s="99">
        <v>1.0</v>
      </c>
      <c r="AC624" s="93"/>
      <c r="AD624" s="99">
        <v>1.0</v>
      </c>
      <c r="AE624" s="93"/>
      <c r="AF624" s="93"/>
      <c r="AG624" s="93"/>
      <c r="AH624" s="98" t="s">
        <v>2676</v>
      </c>
      <c r="AI624" s="99">
        <v>1.0</v>
      </c>
      <c r="AJ624" s="93"/>
      <c r="AK624" s="93"/>
      <c r="AL624" s="93"/>
      <c r="AM624" s="93"/>
      <c r="AN624" s="93"/>
      <c r="AO624" s="93"/>
      <c r="AP624" s="93"/>
      <c r="AQ624" s="93"/>
      <c r="AR624" s="93"/>
      <c r="AS624" s="93"/>
      <c r="AT624" s="93"/>
      <c r="AU624" s="93"/>
      <c r="AV624" s="99">
        <v>1.0</v>
      </c>
      <c r="AW624" s="93"/>
      <c r="AX624" s="93"/>
      <c r="AY624" s="93"/>
      <c r="AZ624" s="93"/>
      <c r="BA624" s="93"/>
      <c r="BB624" s="93"/>
      <c r="BC624" s="93"/>
      <c r="BD624" s="93"/>
      <c r="BE624" s="99">
        <v>1.0</v>
      </c>
      <c r="BF624" s="93"/>
      <c r="BG624" s="93"/>
      <c r="BH624" s="93"/>
      <c r="BI624" s="93"/>
      <c r="BJ624" s="99">
        <v>1.0</v>
      </c>
      <c r="BK624" s="93"/>
      <c r="BL624" s="99">
        <v>1.0</v>
      </c>
      <c r="BM624" s="93"/>
      <c r="BN624" s="93"/>
      <c r="BO624" s="99">
        <v>1.0</v>
      </c>
      <c r="BP624" s="93"/>
      <c r="BQ624" s="99">
        <v>1.0</v>
      </c>
      <c r="BR624" s="93"/>
      <c r="BS624" s="99">
        <v>1.0</v>
      </c>
      <c r="BT624" s="99">
        <v>1.0</v>
      </c>
      <c r="BU624" s="99">
        <v>1.0</v>
      </c>
      <c r="BV624" s="93"/>
      <c r="BW624" s="93"/>
      <c r="BX624" s="93"/>
      <c r="BY624" s="93"/>
      <c r="BZ624" s="93"/>
    </row>
    <row r="625">
      <c r="B625" t="s">
        <v>2677</v>
      </c>
      <c r="C625" s="89" t="s">
        <v>2678</v>
      </c>
      <c r="D625" s="90" t="s">
        <v>2679</v>
      </c>
      <c r="E625" s="91">
        <v>2010.0</v>
      </c>
      <c r="F625" s="92">
        <v>1.0</v>
      </c>
      <c r="G625" s="93"/>
      <c r="H625" s="93"/>
      <c r="I625" s="93"/>
      <c r="J625" s="93"/>
      <c r="K625" s="93"/>
      <c r="L625" s="93"/>
      <c r="M625" s="93"/>
      <c r="N625" s="93"/>
      <c r="O625" s="93"/>
      <c r="P625" s="93"/>
      <c r="Q625" s="93"/>
      <c r="R625" s="93"/>
      <c r="S625" s="93"/>
      <c r="T625" s="93"/>
      <c r="U625" s="93"/>
      <c r="V625" s="93"/>
      <c r="W625" s="93"/>
      <c r="X625" s="93"/>
      <c r="Y625" s="93"/>
      <c r="Z625" s="93"/>
      <c r="AA625" s="93"/>
      <c r="AB625" s="93"/>
      <c r="AC625" s="93"/>
      <c r="AD625" s="93"/>
      <c r="AE625" s="93"/>
      <c r="AF625" s="93"/>
      <c r="AG625" s="93"/>
      <c r="AH625" s="94"/>
      <c r="AI625" s="93"/>
      <c r="AJ625" s="93"/>
      <c r="AK625" s="93"/>
      <c r="AL625" s="93"/>
      <c r="AM625" s="93"/>
      <c r="AN625" s="93"/>
      <c r="AO625" s="93"/>
      <c r="AP625" s="93"/>
      <c r="AQ625" s="93"/>
      <c r="AR625" s="93"/>
      <c r="AS625" s="93"/>
      <c r="AT625" s="93"/>
      <c r="AU625" s="93"/>
      <c r="AV625" s="93"/>
      <c r="AW625" s="93"/>
      <c r="AX625" s="93"/>
      <c r="AY625" s="93"/>
      <c r="AZ625" s="93"/>
      <c r="BA625" s="93"/>
      <c r="BB625" s="93"/>
      <c r="BC625" s="93"/>
      <c r="BD625" s="93"/>
      <c r="BE625" s="93"/>
      <c r="BF625" s="93"/>
      <c r="BG625" s="93"/>
      <c r="BH625" s="93"/>
      <c r="BI625" s="93"/>
      <c r="BJ625" s="93"/>
      <c r="BK625" s="93"/>
      <c r="BL625" s="93"/>
      <c r="BM625" s="93"/>
      <c r="BN625" s="93"/>
      <c r="BO625" s="93"/>
      <c r="BP625" s="93"/>
      <c r="BQ625" s="93"/>
      <c r="BR625" s="93"/>
      <c r="BS625" s="93"/>
      <c r="BT625" s="93"/>
      <c r="BU625" s="93"/>
      <c r="BV625" s="93"/>
      <c r="BW625" s="93"/>
      <c r="BX625" s="93"/>
      <c r="BY625" s="93"/>
      <c r="BZ625" s="93"/>
    </row>
    <row r="626">
      <c r="B626" t="s">
        <v>2680</v>
      </c>
      <c r="C626" s="89" t="s">
        <v>2681</v>
      </c>
      <c r="D626" s="90" t="s">
        <v>2682</v>
      </c>
      <c r="E626" s="91">
        <v>2013.0</v>
      </c>
      <c r="F626" s="92">
        <v>1.0</v>
      </c>
      <c r="G626" s="93"/>
      <c r="H626" s="93"/>
      <c r="I626" s="93"/>
      <c r="J626" s="93"/>
      <c r="K626" s="93"/>
      <c r="L626" s="93"/>
      <c r="M626" s="93"/>
      <c r="N626" s="93"/>
      <c r="O626" s="93"/>
      <c r="P626" s="93"/>
      <c r="Q626" s="93"/>
      <c r="R626" s="93"/>
      <c r="S626" s="93"/>
      <c r="T626" s="93"/>
      <c r="U626" s="93"/>
      <c r="V626" s="93"/>
      <c r="W626" s="93"/>
      <c r="X626" s="93"/>
      <c r="Y626" s="93"/>
      <c r="Z626" s="93"/>
      <c r="AA626" s="93"/>
      <c r="AB626" s="93"/>
      <c r="AC626" s="93"/>
      <c r="AD626" s="93"/>
      <c r="AE626" s="93"/>
      <c r="AF626" s="93"/>
      <c r="AG626" s="93"/>
      <c r="AH626" s="94"/>
      <c r="AI626" s="93"/>
      <c r="AJ626" s="93"/>
      <c r="AK626" s="93"/>
      <c r="AL626" s="93"/>
      <c r="AM626" s="93"/>
      <c r="AN626" s="93"/>
      <c r="AO626" s="93"/>
      <c r="AP626" s="93"/>
      <c r="AQ626" s="93"/>
      <c r="AR626" s="93"/>
      <c r="AS626" s="93"/>
      <c r="AT626" s="93"/>
      <c r="AU626" s="93"/>
      <c r="AV626" s="93"/>
      <c r="AW626" s="93"/>
      <c r="AX626" s="93"/>
      <c r="AY626" s="93"/>
      <c r="AZ626" s="93"/>
      <c r="BA626" s="93"/>
      <c r="BB626" s="93"/>
      <c r="BC626" s="93"/>
      <c r="BD626" s="93"/>
      <c r="BE626" s="93"/>
      <c r="BF626" s="93"/>
      <c r="BG626" s="93"/>
      <c r="BH626" s="93"/>
      <c r="BI626" s="93"/>
      <c r="BJ626" s="93"/>
      <c r="BK626" s="93"/>
      <c r="BL626" s="93"/>
      <c r="BM626" s="93"/>
      <c r="BN626" s="93"/>
      <c r="BO626" s="93"/>
      <c r="BP626" s="93"/>
      <c r="BQ626" s="93"/>
      <c r="BR626" s="93"/>
      <c r="BS626" s="93"/>
      <c r="BT626" s="93"/>
      <c r="BU626" s="93"/>
      <c r="BV626" s="93"/>
      <c r="BW626" s="93"/>
      <c r="BX626" s="93"/>
      <c r="BY626" s="93"/>
      <c r="BZ626" s="93"/>
    </row>
    <row r="627">
      <c r="B627" t="s">
        <v>2683</v>
      </c>
      <c r="C627" s="89" t="s">
        <v>2684</v>
      </c>
      <c r="D627" s="90" t="s">
        <v>2355</v>
      </c>
      <c r="E627" s="91">
        <v>2009.0</v>
      </c>
      <c r="F627" s="92">
        <v>1.0</v>
      </c>
      <c r="G627" s="93"/>
      <c r="H627" s="93"/>
      <c r="I627" s="93"/>
      <c r="J627" s="93"/>
      <c r="K627" s="93"/>
      <c r="L627" s="93"/>
      <c r="M627" s="93"/>
      <c r="N627" s="93"/>
      <c r="O627" s="93"/>
      <c r="P627" s="93"/>
      <c r="Q627" s="93"/>
      <c r="R627" s="93"/>
      <c r="S627" s="93"/>
      <c r="T627" s="93"/>
      <c r="U627" s="93"/>
      <c r="V627" s="93"/>
      <c r="W627" s="93"/>
      <c r="X627" s="93"/>
      <c r="Y627" s="93"/>
      <c r="Z627" s="93"/>
      <c r="AA627" s="93"/>
      <c r="AB627" s="93"/>
      <c r="AC627" s="93"/>
      <c r="AD627" s="93"/>
      <c r="AE627" s="93"/>
      <c r="AF627" s="93"/>
      <c r="AG627" s="93"/>
      <c r="AH627" s="94"/>
      <c r="AI627" s="93"/>
      <c r="AJ627" s="93"/>
      <c r="AK627" s="93"/>
      <c r="AL627" s="93"/>
      <c r="AM627" s="93"/>
      <c r="AN627" s="93"/>
      <c r="AO627" s="93"/>
      <c r="AP627" s="93"/>
      <c r="AQ627" s="93"/>
      <c r="AR627" s="93"/>
      <c r="AS627" s="93"/>
      <c r="AT627" s="93"/>
      <c r="AU627" s="93"/>
      <c r="AV627" s="93"/>
      <c r="AW627" s="93"/>
      <c r="AX627" s="93"/>
      <c r="AY627" s="93"/>
      <c r="AZ627" s="93"/>
      <c r="BA627" s="93"/>
      <c r="BB627" s="93"/>
      <c r="BC627" s="93"/>
      <c r="BD627" s="93"/>
      <c r="BE627" s="93"/>
      <c r="BF627" s="93"/>
      <c r="BG627" s="93"/>
      <c r="BH627" s="93"/>
      <c r="BI627" s="93"/>
      <c r="BJ627" s="93"/>
      <c r="BK627" s="93"/>
      <c r="BL627" s="93"/>
      <c r="BM627" s="93"/>
      <c r="BN627" s="93"/>
      <c r="BO627" s="93"/>
      <c r="BP627" s="93"/>
      <c r="BQ627" s="93"/>
      <c r="BR627" s="93"/>
      <c r="BS627" s="93"/>
      <c r="BT627" s="93"/>
      <c r="BU627" s="93"/>
      <c r="BV627" s="93"/>
      <c r="BW627" s="93"/>
      <c r="BX627" s="93"/>
      <c r="BY627" s="93"/>
      <c r="BZ627" s="93"/>
    </row>
    <row r="628">
      <c r="A628" t="s">
        <v>116</v>
      </c>
      <c r="B628" t="s">
        <v>2685</v>
      </c>
      <c r="C628" s="89" t="s">
        <v>2686</v>
      </c>
      <c r="D628" s="90" t="s">
        <v>503</v>
      </c>
      <c r="E628" s="91">
        <v>2000.0</v>
      </c>
      <c r="F628" s="95"/>
      <c r="G628" s="93"/>
      <c r="H628" s="93"/>
      <c r="I628" s="92">
        <v>1.0</v>
      </c>
      <c r="J628" s="93"/>
      <c r="K628" s="93"/>
      <c r="L628" s="93"/>
      <c r="M628" s="93"/>
      <c r="N628" s="93"/>
      <c r="O628" s="93"/>
      <c r="P628" s="93"/>
      <c r="Q628" s="93"/>
      <c r="R628" s="93"/>
      <c r="S628" s="93"/>
      <c r="T628" s="93"/>
      <c r="U628" s="93"/>
      <c r="V628" s="93"/>
      <c r="W628" s="95" t="s">
        <v>2687</v>
      </c>
      <c r="X628" s="95" t="s">
        <v>2688</v>
      </c>
      <c r="Y628" s="95" t="s">
        <v>2689</v>
      </c>
      <c r="Z628" s="95" t="s">
        <v>2690</v>
      </c>
      <c r="AA628" s="92">
        <v>1.0</v>
      </c>
      <c r="AB628" s="93"/>
      <c r="AC628" s="93"/>
      <c r="AD628" s="92">
        <v>1.0</v>
      </c>
      <c r="AE628" s="93"/>
      <c r="AF628" s="93"/>
      <c r="AG628" s="93"/>
      <c r="AH628" s="96" t="s">
        <v>2691</v>
      </c>
      <c r="AI628" s="92">
        <v>1.0</v>
      </c>
      <c r="AJ628" s="93"/>
      <c r="AK628" s="93"/>
      <c r="AL628" s="93"/>
      <c r="AM628" s="93"/>
      <c r="AN628" s="93"/>
      <c r="AO628" s="93"/>
      <c r="AP628" s="93"/>
      <c r="AQ628" s="92">
        <v>1.0</v>
      </c>
      <c r="AR628" s="93"/>
      <c r="AS628" s="93"/>
      <c r="AT628" s="93"/>
      <c r="AU628" s="93"/>
      <c r="AV628" s="93"/>
      <c r="AW628" s="93"/>
      <c r="AX628" s="93"/>
      <c r="AY628" s="93"/>
      <c r="AZ628" s="93"/>
      <c r="BA628" s="93"/>
      <c r="BB628" s="93"/>
      <c r="BC628" s="93"/>
      <c r="BD628" s="93"/>
      <c r="BE628" s="92">
        <v>1.0</v>
      </c>
      <c r="BF628" s="93"/>
      <c r="BG628" s="93"/>
      <c r="BH628" s="92">
        <v>1.0</v>
      </c>
      <c r="BI628" s="93"/>
      <c r="BJ628" s="93"/>
      <c r="BK628" s="93"/>
      <c r="BL628" s="93"/>
      <c r="BM628" s="93"/>
      <c r="BN628" s="93"/>
      <c r="BO628" s="93"/>
      <c r="BP628" s="93"/>
      <c r="BQ628" s="93"/>
      <c r="BR628" s="93"/>
      <c r="BS628" s="93"/>
      <c r="BT628" s="93"/>
      <c r="BU628" s="93"/>
      <c r="BV628" s="93"/>
      <c r="BW628" s="92">
        <v>1.0</v>
      </c>
      <c r="BX628" s="93"/>
      <c r="BY628" s="92">
        <v>1.0</v>
      </c>
      <c r="BZ628" s="93"/>
    </row>
    <row r="629">
      <c r="B629" t="s">
        <v>2692</v>
      </c>
      <c r="C629" s="89" t="s">
        <v>2693</v>
      </c>
      <c r="D629" s="90" t="s">
        <v>2694</v>
      </c>
      <c r="E629" s="91">
        <v>2005.0</v>
      </c>
      <c r="F629" s="92">
        <v>1.0</v>
      </c>
      <c r="G629" s="93"/>
      <c r="H629" s="93"/>
      <c r="I629" s="93"/>
      <c r="J629" s="93"/>
      <c r="K629" s="93"/>
      <c r="L629" s="93"/>
      <c r="M629" s="93"/>
      <c r="N629" s="93"/>
      <c r="O629" s="93"/>
      <c r="P629" s="93"/>
      <c r="Q629" s="93"/>
      <c r="R629" s="93"/>
      <c r="S629" s="93"/>
      <c r="T629" s="93"/>
      <c r="U629" s="93"/>
      <c r="V629" s="93"/>
      <c r="W629" s="93"/>
      <c r="X629" s="93"/>
      <c r="Y629" s="93"/>
      <c r="Z629" s="93"/>
      <c r="AA629" s="93"/>
      <c r="AB629" s="93"/>
      <c r="AC629" s="93"/>
      <c r="AD629" s="93"/>
      <c r="AE629" s="93"/>
      <c r="AF629" s="93"/>
      <c r="AG629" s="93"/>
      <c r="AH629" s="94"/>
      <c r="AI629" s="93"/>
      <c r="AJ629" s="93"/>
      <c r="AK629" s="93"/>
      <c r="AL629" s="93"/>
      <c r="AM629" s="93"/>
      <c r="AN629" s="93"/>
      <c r="AO629" s="93"/>
      <c r="AP629" s="93"/>
      <c r="AQ629" s="93"/>
      <c r="AR629" s="93"/>
      <c r="AS629" s="93"/>
      <c r="AT629" s="93"/>
      <c r="AU629" s="93"/>
      <c r="AV629" s="93"/>
      <c r="AW629" s="93"/>
      <c r="AX629" s="93"/>
      <c r="AY629" s="93"/>
      <c r="AZ629" s="93"/>
      <c r="BA629" s="93"/>
      <c r="BB629" s="93"/>
      <c r="BC629" s="93"/>
      <c r="BD629" s="93"/>
      <c r="BE629" s="93"/>
      <c r="BF629" s="93"/>
      <c r="BG629" s="93"/>
      <c r="BH629" s="93"/>
      <c r="BI629" s="93"/>
      <c r="BJ629" s="93"/>
      <c r="BK629" s="93"/>
      <c r="BL629" s="93"/>
      <c r="BM629" s="93"/>
      <c r="BN629" s="93"/>
      <c r="BO629" s="93"/>
      <c r="BP629" s="93"/>
      <c r="BQ629" s="93"/>
      <c r="BR629" s="93"/>
      <c r="BS629" s="93"/>
      <c r="BT629" s="93"/>
      <c r="BU629" s="93"/>
      <c r="BV629" s="93"/>
      <c r="BW629" s="93"/>
      <c r="BX629" s="93"/>
      <c r="BY629" s="93"/>
      <c r="BZ629" s="93"/>
    </row>
    <row r="630">
      <c r="B630" t="s">
        <v>2695</v>
      </c>
      <c r="C630" s="89" t="s">
        <v>2696</v>
      </c>
      <c r="D630" s="90" t="s">
        <v>2697</v>
      </c>
      <c r="E630" s="91">
        <v>2012.0</v>
      </c>
      <c r="F630" s="92">
        <v>1.0</v>
      </c>
      <c r="G630" s="93"/>
      <c r="H630" s="93"/>
      <c r="I630" s="93"/>
      <c r="J630" s="93"/>
      <c r="K630" s="93"/>
      <c r="L630" s="93"/>
      <c r="M630" s="93"/>
      <c r="N630" s="93"/>
      <c r="O630" s="93"/>
      <c r="P630" s="93"/>
      <c r="Q630" s="93"/>
      <c r="R630" s="93"/>
      <c r="S630" s="93"/>
      <c r="T630" s="93"/>
      <c r="U630" s="93"/>
      <c r="V630" s="93"/>
      <c r="W630" s="93"/>
      <c r="X630" s="93"/>
      <c r="Y630" s="93"/>
      <c r="Z630" s="93"/>
      <c r="AA630" s="93"/>
      <c r="AB630" s="93"/>
      <c r="AC630" s="93"/>
      <c r="AD630" s="93"/>
      <c r="AE630" s="93"/>
      <c r="AF630" s="93"/>
      <c r="AG630" s="93"/>
      <c r="AH630" s="94"/>
      <c r="AI630" s="93"/>
      <c r="AJ630" s="93"/>
      <c r="AK630" s="93"/>
      <c r="AL630" s="93"/>
      <c r="AM630" s="93"/>
      <c r="AN630" s="93"/>
      <c r="AO630" s="93"/>
      <c r="AP630" s="93"/>
      <c r="AQ630" s="93"/>
      <c r="AR630" s="93"/>
      <c r="AS630" s="93"/>
      <c r="AT630" s="93"/>
      <c r="AU630" s="93"/>
      <c r="AV630" s="93"/>
      <c r="AW630" s="93"/>
      <c r="AX630" s="93"/>
      <c r="AY630" s="93"/>
      <c r="AZ630" s="93"/>
      <c r="BA630" s="93"/>
      <c r="BB630" s="93"/>
      <c r="BC630" s="93"/>
      <c r="BD630" s="93"/>
      <c r="BE630" s="93"/>
      <c r="BF630" s="93"/>
      <c r="BG630" s="93"/>
      <c r="BH630" s="93"/>
      <c r="BI630" s="93"/>
      <c r="BJ630" s="93"/>
      <c r="BK630" s="93"/>
      <c r="BL630" s="93"/>
      <c r="BM630" s="93"/>
      <c r="BN630" s="93"/>
      <c r="BO630" s="93"/>
      <c r="BP630" s="93"/>
      <c r="BQ630" s="93"/>
      <c r="BR630" s="93"/>
      <c r="BS630" s="93"/>
      <c r="BT630" s="93"/>
      <c r="BU630" s="93"/>
      <c r="BV630" s="93"/>
      <c r="BW630" s="93"/>
      <c r="BX630" s="93"/>
      <c r="BY630" s="93"/>
      <c r="BZ630" s="93"/>
    </row>
    <row r="631">
      <c r="B631" t="s">
        <v>2698</v>
      </c>
      <c r="C631" s="89" t="s">
        <v>2699</v>
      </c>
      <c r="D631" s="90" t="s">
        <v>2700</v>
      </c>
      <c r="E631" s="91">
        <v>2013.0</v>
      </c>
      <c r="F631" s="92">
        <v>1.0</v>
      </c>
      <c r="G631" s="93"/>
      <c r="H631" s="93"/>
      <c r="I631" s="93"/>
      <c r="J631" s="93"/>
      <c r="K631" s="93"/>
      <c r="L631" s="93"/>
      <c r="M631" s="93"/>
      <c r="N631" s="93"/>
      <c r="O631" s="93"/>
      <c r="P631" s="93"/>
      <c r="Q631" s="93"/>
      <c r="R631" s="93"/>
      <c r="S631" s="93"/>
      <c r="T631" s="93"/>
      <c r="U631" s="93"/>
      <c r="V631" s="93"/>
      <c r="W631" s="93"/>
      <c r="X631" s="93"/>
      <c r="Y631" s="93"/>
      <c r="Z631" s="93"/>
      <c r="AA631" s="93"/>
      <c r="AB631" s="93"/>
      <c r="AC631" s="93"/>
      <c r="AD631" s="93"/>
      <c r="AE631" s="93"/>
      <c r="AF631" s="93"/>
      <c r="AG631" s="93"/>
      <c r="AH631" s="94"/>
      <c r="AI631" s="93"/>
      <c r="AJ631" s="93"/>
      <c r="AK631" s="93"/>
      <c r="AL631" s="93"/>
      <c r="AM631" s="93"/>
      <c r="AN631" s="93"/>
      <c r="AO631" s="93"/>
      <c r="AP631" s="93"/>
      <c r="AQ631" s="93"/>
      <c r="AR631" s="93"/>
      <c r="AS631" s="93"/>
      <c r="AT631" s="93"/>
      <c r="AU631" s="93"/>
      <c r="AV631" s="93"/>
      <c r="AW631" s="93"/>
      <c r="AX631" s="93"/>
      <c r="AY631" s="93"/>
      <c r="AZ631" s="93"/>
      <c r="BA631" s="93"/>
      <c r="BB631" s="93"/>
      <c r="BC631" s="93"/>
      <c r="BD631" s="93"/>
      <c r="BE631" s="93"/>
      <c r="BF631" s="93"/>
      <c r="BG631" s="93"/>
      <c r="BH631" s="93"/>
      <c r="BI631" s="93"/>
      <c r="BJ631" s="93"/>
      <c r="BK631" s="93"/>
      <c r="BL631" s="93"/>
      <c r="BM631" s="93"/>
      <c r="BN631" s="93"/>
      <c r="BO631" s="93"/>
      <c r="BP631" s="93"/>
      <c r="BQ631" s="93"/>
      <c r="BR631" s="93"/>
      <c r="BS631" s="93"/>
      <c r="BT631" s="93"/>
      <c r="BU631" s="93"/>
      <c r="BV631" s="93"/>
      <c r="BW631" s="93"/>
      <c r="BX631" s="93"/>
      <c r="BY631" s="93"/>
      <c r="BZ631" s="93"/>
    </row>
    <row r="632">
      <c r="B632" t="s">
        <v>2701</v>
      </c>
      <c r="C632" s="89" t="s">
        <v>2702</v>
      </c>
      <c r="D632" s="90" t="s">
        <v>2703</v>
      </c>
      <c r="E632" s="91">
        <v>1999.0</v>
      </c>
      <c r="F632" s="92">
        <v>1.0</v>
      </c>
      <c r="G632" s="93"/>
      <c r="H632" s="93"/>
      <c r="I632" s="93"/>
      <c r="J632" s="93"/>
      <c r="K632" s="93"/>
      <c r="L632" s="93"/>
      <c r="M632" s="93"/>
      <c r="N632" s="93"/>
      <c r="O632" s="93"/>
      <c r="P632" s="93"/>
      <c r="Q632" s="93"/>
      <c r="R632" s="93"/>
      <c r="S632" s="93"/>
      <c r="T632" s="93"/>
      <c r="U632" s="93"/>
      <c r="V632" s="93"/>
      <c r="W632" s="93"/>
      <c r="X632" s="93"/>
      <c r="Y632" s="93"/>
      <c r="Z632" s="93"/>
      <c r="AA632" s="93"/>
      <c r="AB632" s="93"/>
      <c r="AC632" s="93"/>
      <c r="AD632" s="93"/>
      <c r="AE632" s="93"/>
      <c r="AF632" s="93"/>
      <c r="AG632" s="93"/>
      <c r="AH632" s="94"/>
      <c r="AI632" s="93"/>
      <c r="AJ632" s="93"/>
      <c r="AK632" s="93"/>
      <c r="AL632" s="93"/>
      <c r="AM632" s="93"/>
      <c r="AN632" s="93"/>
      <c r="AO632" s="93"/>
      <c r="AP632" s="93"/>
      <c r="AQ632" s="93"/>
      <c r="AR632" s="93"/>
      <c r="AS632" s="93"/>
      <c r="AT632" s="93"/>
      <c r="AU632" s="93"/>
      <c r="AV632" s="93"/>
      <c r="AW632" s="93"/>
      <c r="AX632" s="93"/>
      <c r="AY632" s="93"/>
      <c r="AZ632" s="93"/>
      <c r="BA632" s="93"/>
      <c r="BB632" s="93"/>
      <c r="BC632" s="93"/>
      <c r="BD632" s="93"/>
      <c r="BE632" s="93"/>
      <c r="BF632" s="93"/>
      <c r="BG632" s="93"/>
      <c r="BH632" s="93"/>
      <c r="BI632" s="93"/>
      <c r="BJ632" s="93"/>
      <c r="BK632" s="93"/>
      <c r="BL632" s="93"/>
      <c r="BM632" s="93"/>
      <c r="BN632" s="93"/>
      <c r="BO632" s="93"/>
      <c r="BP632" s="93"/>
      <c r="BQ632" s="93"/>
      <c r="BR632" s="93"/>
      <c r="BS632" s="93"/>
      <c r="BT632" s="93"/>
      <c r="BU632" s="93"/>
      <c r="BV632" s="93"/>
      <c r="BW632" s="93"/>
      <c r="BX632" s="93"/>
      <c r="BY632" s="93"/>
      <c r="BZ632" s="93"/>
    </row>
    <row r="633">
      <c r="A633" t="s">
        <v>1331</v>
      </c>
      <c r="B633" t="s">
        <v>2704</v>
      </c>
      <c r="C633" s="89" t="s">
        <v>2705</v>
      </c>
      <c r="D633" s="90" t="s">
        <v>2706</v>
      </c>
      <c r="E633" s="91">
        <v>1994.0</v>
      </c>
      <c r="F633" s="92">
        <v>1.0</v>
      </c>
      <c r="G633" s="93"/>
      <c r="H633" s="93"/>
      <c r="I633" s="93"/>
      <c r="J633" s="93"/>
      <c r="K633" s="93"/>
      <c r="L633" s="93"/>
      <c r="M633" s="93"/>
      <c r="N633" s="93"/>
      <c r="O633" s="93"/>
      <c r="P633" s="93"/>
      <c r="Q633" s="93"/>
      <c r="R633" s="93"/>
      <c r="S633" s="93"/>
      <c r="T633" s="93"/>
      <c r="U633" s="93"/>
      <c r="V633" s="93"/>
      <c r="W633" s="93"/>
      <c r="X633" s="93"/>
      <c r="Y633" s="93"/>
      <c r="Z633" s="93"/>
      <c r="AA633" s="93"/>
      <c r="AB633" s="93"/>
      <c r="AC633" s="93"/>
      <c r="AD633" s="93"/>
      <c r="AE633" s="93"/>
      <c r="AF633" s="93"/>
      <c r="AG633" s="93"/>
      <c r="AH633" s="94"/>
      <c r="AI633" s="93"/>
      <c r="AJ633" s="93"/>
      <c r="AK633" s="93"/>
      <c r="AL633" s="93"/>
      <c r="AM633" s="93"/>
      <c r="AN633" s="93"/>
      <c r="AO633" s="93"/>
      <c r="AP633" s="93"/>
      <c r="AQ633" s="93"/>
      <c r="AR633" s="93"/>
      <c r="AS633" s="93"/>
      <c r="AT633" s="93"/>
      <c r="AU633" s="93"/>
      <c r="AV633" s="93"/>
      <c r="AW633" s="93"/>
      <c r="AX633" s="93"/>
      <c r="AY633" s="93"/>
      <c r="AZ633" s="93"/>
      <c r="BA633" s="93"/>
      <c r="BB633" s="93"/>
      <c r="BC633" s="93"/>
      <c r="BD633" s="93"/>
      <c r="BE633" s="93"/>
      <c r="BF633" s="93"/>
      <c r="BG633" s="93"/>
      <c r="BH633" s="93"/>
      <c r="BI633" s="93"/>
      <c r="BJ633" s="93"/>
      <c r="BK633" s="93"/>
      <c r="BL633" s="93"/>
      <c r="BM633" s="93"/>
      <c r="BN633" s="93"/>
      <c r="BO633" s="93"/>
      <c r="BP633" s="93"/>
      <c r="BQ633" s="93"/>
      <c r="BR633" s="93"/>
      <c r="BS633" s="93"/>
      <c r="BT633" s="93"/>
      <c r="BU633" s="93"/>
      <c r="BV633" s="93"/>
      <c r="BW633" s="93"/>
      <c r="BX633" s="93"/>
      <c r="BY633" s="93"/>
      <c r="BZ633" s="93"/>
    </row>
    <row r="634">
      <c r="B634" t="s">
        <v>2707</v>
      </c>
      <c r="C634" s="89" t="s">
        <v>2708</v>
      </c>
      <c r="D634" s="90" t="s">
        <v>2709</v>
      </c>
      <c r="E634" s="91">
        <v>2015.0</v>
      </c>
      <c r="F634" s="92">
        <v>1.0</v>
      </c>
      <c r="G634" s="93"/>
      <c r="H634" s="93"/>
      <c r="I634" s="93"/>
      <c r="J634" s="93"/>
      <c r="K634" s="93"/>
      <c r="L634" s="93"/>
      <c r="M634" s="93"/>
      <c r="N634" s="93"/>
      <c r="O634" s="93"/>
      <c r="P634" s="93"/>
      <c r="Q634" s="93"/>
      <c r="R634" s="93"/>
      <c r="S634" s="93"/>
      <c r="T634" s="93"/>
      <c r="U634" s="93"/>
      <c r="V634" s="93"/>
      <c r="W634" s="93"/>
      <c r="X634" s="93"/>
      <c r="Y634" s="93"/>
      <c r="Z634" s="93"/>
      <c r="AA634" s="93"/>
      <c r="AB634" s="93"/>
      <c r="AC634" s="93"/>
      <c r="AD634" s="93"/>
      <c r="AE634" s="93"/>
      <c r="AF634" s="93"/>
      <c r="AG634" s="93"/>
      <c r="AH634" s="94"/>
      <c r="AI634" s="93"/>
      <c r="AJ634" s="93"/>
      <c r="AK634" s="93"/>
      <c r="AL634" s="93"/>
      <c r="AM634" s="93"/>
      <c r="AN634" s="93"/>
      <c r="AO634" s="93"/>
      <c r="AP634" s="93"/>
      <c r="AQ634" s="93"/>
      <c r="AR634" s="93"/>
      <c r="AS634" s="93"/>
      <c r="AT634" s="93"/>
      <c r="AU634" s="93"/>
      <c r="AV634" s="93"/>
      <c r="AW634" s="93"/>
      <c r="AX634" s="93"/>
      <c r="AY634" s="93"/>
      <c r="AZ634" s="93"/>
      <c r="BA634" s="93"/>
      <c r="BB634" s="93"/>
      <c r="BC634" s="93"/>
      <c r="BD634" s="93"/>
      <c r="BE634" s="93"/>
      <c r="BF634" s="93"/>
      <c r="BG634" s="93"/>
      <c r="BH634" s="93"/>
      <c r="BI634" s="93"/>
      <c r="BJ634" s="93"/>
      <c r="BK634" s="93"/>
      <c r="BL634" s="93"/>
      <c r="BM634" s="93"/>
      <c r="BN634" s="93"/>
      <c r="BO634" s="93"/>
      <c r="BP634" s="93"/>
      <c r="BQ634" s="93"/>
      <c r="BR634" s="93"/>
      <c r="BS634" s="93"/>
      <c r="BT634" s="93"/>
      <c r="BU634" s="93"/>
      <c r="BV634" s="93"/>
      <c r="BW634" s="93"/>
      <c r="BX634" s="93"/>
      <c r="BY634" s="93"/>
      <c r="BZ634" s="93"/>
    </row>
    <row r="635">
      <c r="B635" t="s">
        <v>2710</v>
      </c>
      <c r="C635" s="89" t="s">
        <v>2711</v>
      </c>
      <c r="D635" s="90" t="s">
        <v>2712</v>
      </c>
      <c r="E635" s="91">
        <v>2009.0</v>
      </c>
      <c r="F635" s="92">
        <v>1.0</v>
      </c>
      <c r="G635" s="93"/>
      <c r="H635" s="93"/>
      <c r="I635" s="93"/>
      <c r="J635" s="93"/>
      <c r="K635" s="93"/>
      <c r="L635" s="93"/>
      <c r="M635" s="93"/>
      <c r="N635" s="93"/>
      <c r="O635" s="93"/>
      <c r="P635" s="93"/>
      <c r="Q635" s="93"/>
      <c r="R635" s="93"/>
      <c r="S635" s="93"/>
      <c r="T635" s="93"/>
      <c r="U635" s="93"/>
      <c r="V635" s="93"/>
      <c r="W635" s="93"/>
      <c r="X635" s="93"/>
      <c r="Y635" s="93"/>
      <c r="Z635" s="93"/>
      <c r="AA635" s="93"/>
      <c r="AB635" s="93"/>
      <c r="AC635" s="93"/>
      <c r="AD635" s="93"/>
      <c r="AE635" s="93"/>
      <c r="AF635" s="93"/>
      <c r="AG635" s="93"/>
      <c r="AH635" s="94"/>
      <c r="AI635" s="93"/>
      <c r="AJ635" s="93"/>
      <c r="AK635" s="93"/>
      <c r="AL635" s="93"/>
      <c r="AM635" s="93"/>
      <c r="AN635" s="93"/>
      <c r="AO635" s="93"/>
      <c r="AP635" s="93"/>
      <c r="AQ635" s="93"/>
      <c r="AR635" s="93"/>
      <c r="AS635" s="93"/>
      <c r="AT635" s="93"/>
      <c r="AU635" s="93"/>
      <c r="AV635" s="93"/>
      <c r="AW635" s="93"/>
      <c r="AX635" s="93"/>
      <c r="AY635" s="93"/>
      <c r="AZ635" s="93"/>
      <c r="BA635" s="93"/>
      <c r="BB635" s="93"/>
      <c r="BC635" s="93"/>
      <c r="BD635" s="93"/>
      <c r="BE635" s="93"/>
      <c r="BF635" s="93"/>
      <c r="BG635" s="93"/>
      <c r="BH635" s="93"/>
      <c r="BI635" s="93"/>
      <c r="BJ635" s="93"/>
      <c r="BK635" s="93"/>
      <c r="BL635" s="93"/>
      <c r="BM635" s="93"/>
      <c r="BN635" s="93"/>
      <c r="BO635" s="93"/>
      <c r="BP635" s="93"/>
      <c r="BQ635" s="93"/>
      <c r="BR635" s="93"/>
      <c r="BS635" s="93"/>
      <c r="BT635" s="93"/>
      <c r="BU635" s="93"/>
      <c r="BV635" s="93"/>
      <c r="BW635" s="93"/>
      <c r="BX635" s="93"/>
      <c r="BY635" s="93"/>
      <c r="BZ635" s="93"/>
    </row>
    <row r="636">
      <c r="B636" t="s">
        <v>2713</v>
      </c>
      <c r="C636" s="89" t="s">
        <v>2714</v>
      </c>
      <c r="D636" s="90" t="s">
        <v>2715</v>
      </c>
      <c r="E636" s="91">
        <v>1997.0</v>
      </c>
      <c r="F636" s="92">
        <v>1.0</v>
      </c>
      <c r="G636" s="93"/>
      <c r="H636" s="93"/>
      <c r="I636" s="93"/>
      <c r="J636" s="93"/>
      <c r="K636" s="93"/>
      <c r="L636" s="93"/>
      <c r="M636" s="93"/>
      <c r="N636" s="93"/>
      <c r="O636" s="93"/>
      <c r="P636" s="93"/>
      <c r="Q636" s="93"/>
      <c r="R636" s="93"/>
      <c r="S636" s="93"/>
      <c r="T636" s="93"/>
      <c r="U636" s="93"/>
      <c r="V636" s="93"/>
      <c r="W636" s="93"/>
      <c r="X636" s="93"/>
      <c r="Y636" s="93"/>
      <c r="Z636" s="93"/>
      <c r="AA636" s="93"/>
      <c r="AB636" s="93"/>
      <c r="AC636" s="93"/>
      <c r="AD636" s="93"/>
      <c r="AE636" s="93"/>
      <c r="AF636" s="93"/>
      <c r="AG636" s="93"/>
      <c r="AH636" s="94"/>
      <c r="AI636" s="93"/>
      <c r="AJ636" s="93"/>
      <c r="AK636" s="93"/>
      <c r="AL636" s="93"/>
      <c r="AM636" s="93"/>
      <c r="AN636" s="93"/>
      <c r="AO636" s="93"/>
      <c r="AP636" s="93"/>
      <c r="AQ636" s="93"/>
      <c r="AR636" s="93"/>
      <c r="AS636" s="93"/>
      <c r="AT636" s="93"/>
      <c r="AU636" s="93"/>
      <c r="AV636" s="93"/>
      <c r="AW636" s="93"/>
      <c r="AX636" s="93"/>
      <c r="AY636" s="93"/>
      <c r="AZ636" s="93"/>
      <c r="BA636" s="93"/>
      <c r="BB636" s="93"/>
      <c r="BC636" s="93"/>
      <c r="BD636" s="93"/>
      <c r="BE636" s="93"/>
      <c r="BF636" s="93"/>
      <c r="BG636" s="93"/>
      <c r="BH636" s="93"/>
      <c r="BI636" s="93"/>
      <c r="BJ636" s="93"/>
      <c r="BK636" s="93"/>
      <c r="BL636" s="93"/>
      <c r="BM636" s="93"/>
      <c r="BN636" s="93"/>
      <c r="BO636" s="93"/>
      <c r="BP636" s="93"/>
      <c r="BQ636" s="93"/>
      <c r="BR636" s="93"/>
      <c r="BS636" s="93"/>
      <c r="BT636" s="93"/>
      <c r="BU636" s="93"/>
      <c r="BV636" s="93"/>
      <c r="BW636" s="93"/>
      <c r="BX636" s="93"/>
      <c r="BY636" s="93"/>
      <c r="BZ636" s="93"/>
    </row>
    <row r="637">
      <c r="B637" t="s">
        <v>2716</v>
      </c>
      <c r="C637" s="89" t="s">
        <v>2717</v>
      </c>
      <c r="D637" s="90" t="s">
        <v>2718</v>
      </c>
      <c r="E637" s="91">
        <v>2018.0</v>
      </c>
      <c r="F637" s="92">
        <v>1.0</v>
      </c>
      <c r="G637" s="93"/>
      <c r="H637" s="93"/>
      <c r="I637" s="93"/>
      <c r="J637" s="93"/>
      <c r="K637" s="93"/>
      <c r="L637" s="93"/>
      <c r="M637" s="93"/>
      <c r="N637" s="93"/>
      <c r="O637" s="93"/>
      <c r="P637" s="93"/>
      <c r="Q637" s="93"/>
      <c r="R637" s="93"/>
      <c r="S637" s="93"/>
      <c r="T637" s="93"/>
      <c r="U637" s="93"/>
      <c r="V637" s="93"/>
      <c r="W637" s="93"/>
      <c r="X637" s="93"/>
      <c r="Y637" s="93"/>
      <c r="Z637" s="93"/>
      <c r="AA637" s="93"/>
      <c r="AB637" s="93"/>
      <c r="AC637" s="93"/>
      <c r="AD637" s="93"/>
      <c r="AE637" s="93"/>
      <c r="AF637" s="93"/>
      <c r="AG637" s="93"/>
      <c r="AH637" s="94"/>
      <c r="AI637" s="93"/>
      <c r="AJ637" s="93"/>
      <c r="AK637" s="93"/>
      <c r="AL637" s="93"/>
      <c r="AM637" s="93"/>
      <c r="AN637" s="93"/>
      <c r="AO637" s="93"/>
      <c r="AP637" s="93"/>
      <c r="AQ637" s="93"/>
      <c r="AR637" s="93"/>
      <c r="AS637" s="93"/>
      <c r="AT637" s="93"/>
      <c r="AU637" s="93"/>
      <c r="AV637" s="93"/>
      <c r="AW637" s="93"/>
      <c r="AX637" s="93"/>
      <c r="AY637" s="93"/>
      <c r="AZ637" s="93"/>
      <c r="BA637" s="93"/>
      <c r="BB637" s="93"/>
      <c r="BC637" s="93"/>
      <c r="BD637" s="93"/>
      <c r="BE637" s="93"/>
      <c r="BF637" s="93"/>
      <c r="BG637" s="93"/>
      <c r="BH637" s="93"/>
      <c r="BI637" s="93"/>
      <c r="BJ637" s="93"/>
      <c r="BK637" s="93"/>
      <c r="BL637" s="93"/>
      <c r="BM637" s="93"/>
      <c r="BN637" s="93"/>
      <c r="BO637" s="93"/>
      <c r="BP637" s="93"/>
      <c r="BQ637" s="93"/>
      <c r="BR637" s="93"/>
      <c r="BS637" s="93"/>
      <c r="BT637" s="93"/>
      <c r="BU637" s="93"/>
      <c r="BV637" s="93"/>
      <c r="BW637" s="93"/>
      <c r="BX637" s="93"/>
      <c r="BY637" s="93"/>
      <c r="BZ637" s="93"/>
    </row>
    <row r="638">
      <c r="B638" t="s">
        <v>2719</v>
      </c>
      <c r="C638" s="89" t="s">
        <v>2720</v>
      </c>
      <c r="D638" s="90" t="s">
        <v>2721</v>
      </c>
      <c r="E638" s="91">
        <v>1996.0</v>
      </c>
      <c r="F638" s="92">
        <v>1.0</v>
      </c>
      <c r="G638" s="93"/>
      <c r="H638" s="93"/>
      <c r="I638" s="93"/>
      <c r="J638" s="93"/>
      <c r="K638" s="93"/>
      <c r="L638" s="93"/>
      <c r="M638" s="93"/>
      <c r="N638" s="93"/>
      <c r="O638" s="93"/>
      <c r="P638" s="93"/>
      <c r="Q638" s="93"/>
      <c r="R638" s="93"/>
      <c r="S638" s="93"/>
      <c r="T638" s="93"/>
      <c r="U638" s="93"/>
      <c r="V638" s="93"/>
      <c r="W638" s="93"/>
      <c r="X638" s="93"/>
      <c r="Y638" s="93"/>
      <c r="Z638" s="93"/>
      <c r="AA638" s="93"/>
      <c r="AB638" s="93"/>
      <c r="AC638" s="93"/>
      <c r="AD638" s="93"/>
      <c r="AE638" s="93"/>
      <c r="AF638" s="93"/>
      <c r="AG638" s="93"/>
      <c r="AH638" s="94"/>
      <c r="AI638" s="93"/>
      <c r="AJ638" s="93"/>
      <c r="AK638" s="93"/>
      <c r="AL638" s="93"/>
      <c r="AM638" s="93"/>
      <c r="AN638" s="93"/>
      <c r="AO638" s="93"/>
      <c r="AP638" s="93"/>
      <c r="AQ638" s="93"/>
      <c r="AR638" s="93"/>
      <c r="AS638" s="93"/>
      <c r="AT638" s="93"/>
      <c r="AU638" s="93"/>
      <c r="AV638" s="93"/>
      <c r="AW638" s="93"/>
      <c r="AX638" s="93"/>
      <c r="AY638" s="93"/>
      <c r="AZ638" s="93"/>
      <c r="BA638" s="93"/>
      <c r="BB638" s="93"/>
      <c r="BC638" s="93"/>
      <c r="BD638" s="93"/>
      <c r="BE638" s="93"/>
      <c r="BF638" s="93"/>
      <c r="BG638" s="93"/>
      <c r="BH638" s="93"/>
      <c r="BI638" s="93"/>
      <c r="BJ638" s="93"/>
      <c r="BK638" s="93"/>
      <c r="BL638" s="93"/>
      <c r="BM638" s="93"/>
      <c r="BN638" s="93"/>
      <c r="BO638" s="93"/>
      <c r="BP638" s="93"/>
      <c r="BQ638" s="93"/>
      <c r="BR638" s="93"/>
      <c r="BS638" s="93"/>
      <c r="BT638" s="93"/>
      <c r="BU638" s="93"/>
      <c r="BV638" s="93"/>
      <c r="BW638" s="93"/>
      <c r="BX638" s="93"/>
      <c r="BY638" s="93"/>
      <c r="BZ638" s="93"/>
    </row>
    <row r="639">
      <c r="A639" t="s">
        <v>1340</v>
      </c>
      <c r="B639" t="s">
        <v>2722</v>
      </c>
      <c r="C639" s="89" t="s">
        <v>2723</v>
      </c>
      <c r="D639" s="90" t="s">
        <v>2724</v>
      </c>
      <c r="E639" s="91">
        <v>2007.0</v>
      </c>
      <c r="F639" s="92">
        <v>1.0</v>
      </c>
      <c r="G639" s="93"/>
      <c r="H639" s="93"/>
      <c r="I639" s="93"/>
      <c r="J639" s="93"/>
      <c r="K639" s="93"/>
      <c r="L639" s="93"/>
      <c r="M639" s="93"/>
      <c r="N639" s="93"/>
      <c r="O639" s="93"/>
      <c r="P639" s="93"/>
      <c r="Q639" s="93"/>
      <c r="R639" s="93"/>
      <c r="S639" s="93"/>
      <c r="T639" s="93"/>
      <c r="U639" s="93"/>
      <c r="V639" s="93"/>
      <c r="W639" s="93"/>
      <c r="X639" s="93"/>
      <c r="Y639" s="93"/>
      <c r="Z639" s="93"/>
      <c r="AA639" s="93"/>
      <c r="AB639" s="93"/>
      <c r="AC639" s="93"/>
      <c r="AD639" s="93"/>
      <c r="AE639" s="93"/>
      <c r="AF639" s="93"/>
      <c r="AG639" s="93"/>
      <c r="AH639" s="94"/>
      <c r="AI639" s="93"/>
      <c r="AJ639" s="93"/>
      <c r="AK639" s="93"/>
      <c r="AL639" s="93"/>
      <c r="AM639" s="93"/>
      <c r="AN639" s="93"/>
      <c r="AO639" s="93"/>
      <c r="AP639" s="93"/>
      <c r="AQ639" s="93"/>
      <c r="AR639" s="93"/>
      <c r="AS639" s="93"/>
      <c r="AT639" s="93"/>
      <c r="AU639" s="93"/>
      <c r="AV639" s="93"/>
      <c r="AW639" s="93"/>
      <c r="AX639" s="93"/>
      <c r="AY639" s="93"/>
      <c r="AZ639" s="93"/>
      <c r="BA639" s="93"/>
      <c r="BB639" s="93"/>
      <c r="BC639" s="93"/>
      <c r="BD639" s="93"/>
      <c r="BE639" s="93"/>
      <c r="BF639" s="93"/>
      <c r="BG639" s="93"/>
      <c r="BH639" s="93"/>
      <c r="BI639" s="93"/>
      <c r="BJ639" s="93"/>
      <c r="BK639" s="93"/>
      <c r="BL639" s="93"/>
      <c r="BM639" s="93"/>
      <c r="BN639" s="93"/>
      <c r="BO639" s="93"/>
      <c r="BP639" s="93"/>
      <c r="BQ639" s="93"/>
      <c r="BR639" s="93"/>
      <c r="BS639" s="93"/>
      <c r="BT639" s="93"/>
      <c r="BU639" s="93"/>
      <c r="BV639" s="93"/>
      <c r="BW639" s="93"/>
      <c r="BX639" s="93"/>
      <c r="BY639" s="93"/>
      <c r="BZ639" s="93"/>
    </row>
    <row r="640">
      <c r="B640" t="s">
        <v>2725</v>
      </c>
      <c r="C640" s="89" t="s">
        <v>2726</v>
      </c>
      <c r="D640" s="90" t="s">
        <v>2727</v>
      </c>
      <c r="E640" s="91">
        <v>2010.0</v>
      </c>
      <c r="F640" s="92">
        <v>1.0</v>
      </c>
      <c r="G640" s="93"/>
      <c r="H640" s="93"/>
      <c r="I640" s="93"/>
      <c r="J640" s="93"/>
      <c r="K640" s="93"/>
      <c r="L640" s="93"/>
      <c r="M640" s="93"/>
      <c r="N640" s="93"/>
      <c r="O640" s="93"/>
      <c r="P640" s="93"/>
      <c r="Q640" s="93"/>
      <c r="R640" s="93"/>
      <c r="S640" s="93"/>
      <c r="T640" s="93"/>
      <c r="U640" s="93"/>
      <c r="V640" s="93"/>
      <c r="W640" s="93"/>
      <c r="X640" s="93"/>
      <c r="Y640" s="93"/>
      <c r="Z640" s="93"/>
      <c r="AA640" s="93"/>
      <c r="AB640" s="93"/>
      <c r="AC640" s="93"/>
      <c r="AD640" s="93"/>
      <c r="AE640" s="93"/>
      <c r="AF640" s="93"/>
      <c r="AG640" s="93"/>
      <c r="AH640" s="94"/>
      <c r="AI640" s="93"/>
      <c r="AJ640" s="93"/>
      <c r="AK640" s="93"/>
      <c r="AL640" s="93"/>
      <c r="AM640" s="93"/>
      <c r="AN640" s="93"/>
      <c r="AO640" s="93"/>
      <c r="AP640" s="93"/>
      <c r="AQ640" s="93"/>
      <c r="AR640" s="93"/>
      <c r="AS640" s="93"/>
      <c r="AT640" s="93"/>
      <c r="AU640" s="93"/>
      <c r="AV640" s="93"/>
      <c r="AW640" s="93"/>
      <c r="AX640" s="93"/>
      <c r="AY640" s="93"/>
      <c r="AZ640" s="93"/>
      <c r="BA640" s="93"/>
      <c r="BB640" s="93"/>
      <c r="BC640" s="93"/>
      <c r="BD640" s="93"/>
      <c r="BE640" s="93"/>
      <c r="BF640" s="93"/>
      <c r="BG640" s="93"/>
      <c r="BH640" s="93"/>
      <c r="BI640" s="93"/>
      <c r="BJ640" s="93"/>
      <c r="BK640" s="93"/>
      <c r="BL640" s="93"/>
      <c r="BM640" s="93"/>
      <c r="BN640" s="93"/>
      <c r="BO640" s="93"/>
      <c r="BP640" s="93"/>
      <c r="BQ640" s="93"/>
      <c r="BR640" s="93"/>
      <c r="BS640" s="93"/>
      <c r="BT640" s="93"/>
      <c r="BU640" s="93"/>
      <c r="BV640" s="93"/>
      <c r="BW640" s="93"/>
      <c r="BX640" s="93"/>
      <c r="BY640" s="93"/>
      <c r="BZ640" s="93"/>
    </row>
    <row r="641">
      <c r="B641" t="s">
        <v>2728</v>
      </c>
      <c r="C641" s="89" t="s">
        <v>2729</v>
      </c>
      <c r="D641" s="90" t="s">
        <v>2730</v>
      </c>
      <c r="E641" s="91">
        <v>2013.0</v>
      </c>
      <c r="F641" s="92">
        <v>1.0</v>
      </c>
      <c r="G641" s="93"/>
      <c r="H641" s="93"/>
      <c r="I641" s="93"/>
      <c r="J641" s="93"/>
      <c r="K641" s="93"/>
      <c r="L641" s="93"/>
      <c r="M641" s="93"/>
      <c r="N641" s="93"/>
      <c r="O641" s="93"/>
      <c r="P641" s="93"/>
      <c r="Q641" s="93"/>
      <c r="R641" s="93"/>
      <c r="S641" s="93"/>
      <c r="T641" s="93"/>
      <c r="U641" s="93"/>
      <c r="V641" s="93"/>
      <c r="W641" s="93"/>
      <c r="X641" s="93"/>
      <c r="Y641" s="93"/>
      <c r="Z641" s="93"/>
      <c r="AA641" s="93"/>
      <c r="AB641" s="93"/>
      <c r="AC641" s="93"/>
      <c r="AD641" s="93"/>
      <c r="AE641" s="93"/>
      <c r="AF641" s="93"/>
      <c r="AG641" s="93"/>
      <c r="AH641" s="94"/>
      <c r="AI641" s="93"/>
      <c r="AJ641" s="93"/>
      <c r="AK641" s="93"/>
      <c r="AL641" s="93"/>
      <c r="AM641" s="93"/>
      <c r="AN641" s="93"/>
      <c r="AO641" s="93"/>
      <c r="AP641" s="93"/>
      <c r="AQ641" s="93"/>
      <c r="AR641" s="93"/>
      <c r="AS641" s="93"/>
      <c r="AT641" s="93"/>
      <c r="AU641" s="93"/>
      <c r="AV641" s="93"/>
      <c r="AW641" s="93"/>
      <c r="AX641" s="93"/>
      <c r="AY641" s="93"/>
      <c r="AZ641" s="93"/>
      <c r="BA641" s="93"/>
      <c r="BB641" s="93"/>
      <c r="BC641" s="93"/>
      <c r="BD641" s="93"/>
      <c r="BE641" s="93"/>
      <c r="BF641" s="93"/>
      <c r="BG641" s="93"/>
      <c r="BH641" s="93"/>
      <c r="BI641" s="93"/>
      <c r="BJ641" s="93"/>
      <c r="BK641" s="93"/>
      <c r="BL641" s="93"/>
      <c r="BM641" s="93"/>
      <c r="BN641" s="93"/>
      <c r="BO641" s="93"/>
      <c r="BP641" s="93"/>
      <c r="BQ641" s="93"/>
      <c r="BR641" s="93"/>
      <c r="BS641" s="93"/>
      <c r="BT641" s="93"/>
      <c r="BU641" s="93"/>
      <c r="BV641" s="93"/>
      <c r="BW641" s="93"/>
      <c r="BX641" s="93"/>
      <c r="BY641" s="93"/>
      <c r="BZ641" s="93"/>
    </row>
    <row r="642">
      <c r="B642" t="s">
        <v>2731</v>
      </c>
      <c r="C642" s="89" t="s">
        <v>2732</v>
      </c>
      <c r="D642" s="90" t="s">
        <v>2733</v>
      </c>
      <c r="E642" s="91">
        <v>2012.0</v>
      </c>
      <c r="F642" s="92">
        <v>1.0</v>
      </c>
      <c r="G642" s="93"/>
      <c r="H642" s="93"/>
      <c r="I642" s="93"/>
      <c r="J642" s="93"/>
      <c r="K642" s="93"/>
      <c r="L642" s="93"/>
      <c r="M642" s="93"/>
      <c r="N642" s="93"/>
      <c r="O642" s="93"/>
      <c r="P642" s="93"/>
      <c r="Q642" s="93"/>
      <c r="R642" s="93"/>
      <c r="S642" s="93"/>
      <c r="T642" s="93"/>
      <c r="U642" s="93"/>
      <c r="V642" s="93"/>
      <c r="W642" s="93"/>
      <c r="X642" s="93"/>
      <c r="Y642" s="93"/>
      <c r="Z642" s="93"/>
      <c r="AA642" s="93"/>
      <c r="AB642" s="93"/>
      <c r="AC642" s="93"/>
      <c r="AD642" s="93"/>
      <c r="AE642" s="93"/>
      <c r="AF642" s="93"/>
      <c r="AG642" s="93"/>
      <c r="AH642" s="94"/>
      <c r="AI642" s="93"/>
      <c r="AJ642" s="93"/>
      <c r="AK642" s="93"/>
      <c r="AL642" s="93"/>
      <c r="AM642" s="93"/>
      <c r="AN642" s="93"/>
      <c r="AO642" s="93"/>
      <c r="AP642" s="93"/>
      <c r="AQ642" s="93"/>
      <c r="AR642" s="93"/>
      <c r="AS642" s="93"/>
      <c r="AT642" s="93"/>
      <c r="AU642" s="93"/>
      <c r="AV642" s="93"/>
      <c r="AW642" s="93"/>
      <c r="AX642" s="93"/>
      <c r="AY642" s="93"/>
      <c r="AZ642" s="93"/>
      <c r="BA642" s="93"/>
      <c r="BB642" s="93"/>
      <c r="BC642" s="93"/>
      <c r="BD642" s="93"/>
      <c r="BE642" s="93"/>
      <c r="BF642" s="93"/>
      <c r="BG642" s="93"/>
      <c r="BH642" s="93"/>
      <c r="BI642" s="93"/>
      <c r="BJ642" s="93"/>
      <c r="BK642" s="93"/>
      <c r="BL642" s="93"/>
      <c r="BM642" s="93"/>
      <c r="BN642" s="93"/>
      <c r="BO642" s="93"/>
      <c r="BP642" s="93"/>
      <c r="BQ642" s="93"/>
      <c r="BR642" s="93"/>
      <c r="BS642" s="93"/>
      <c r="BT642" s="93"/>
      <c r="BU642" s="93"/>
      <c r="BV642" s="93"/>
      <c r="BW642" s="93"/>
      <c r="BX642" s="93"/>
      <c r="BY642" s="93"/>
      <c r="BZ642" s="93"/>
    </row>
    <row r="643">
      <c r="A643" t="s">
        <v>1354</v>
      </c>
      <c r="B643" t="s">
        <v>2734</v>
      </c>
      <c r="C643" s="89" t="s">
        <v>2735</v>
      </c>
      <c r="D643" s="90" t="s">
        <v>2736</v>
      </c>
      <c r="E643" s="91">
        <v>1993.0</v>
      </c>
      <c r="F643" s="92">
        <v>1.0</v>
      </c>
      <c r="G643" s="93"/>
      <c r="H643" s="93"/>
      <c r="I643" s="93"/>
      <c r="J643" s="93"/>
      <c r="K643" s="93"/>
      <c r="L643" s="93"/>
      <c r="M643" s="93"/>
      <c r="N643" s="93"/>
      <c r="O643" s="93"/>
      <c r="P643" s="93"/>
      <c r="Q643" s="93"/>
      <c r="R643" s="93"/>
      <c r="S643" s="93"/>
      <c r="T643" s="93"/>
      <c r="U643" s="93"/>
      <c r="V643" s="93"/>
      <c r="W643" s="93"/>
      <c r="X643" s="93"/>
      <c r="Y643" s="93"/>
      <c r="Z643" s="93"/>
      <c r="AA643" s="93"/>
      <c r="AB643" s="93"/>
      <c r="AC643" s="93"/>
      <c r="AD643" s="93"/>
      <c r="AE643" s="93"/>
      <c r="AF643" s="93"/>
      <c r="AG643" s="93"/>
      <c r="AH643" s="94"/>
      <c r="AI643" s="93"/>
      <c r="AJ643" s="93"/>
      <c r="AK643" s="93"/>
      <c r="AL643" s="93"/>
      <c r="AM643" s="93"/>
      <c r="AN643" s="93"/>
      <c r="AO643" s="93"/>
      <c r="AP643" s="93"/>
      <c r="AQ643" s="93"/>
      <c r="AR643" s="93"/>
      <c r="AS643" s="93"/>
      <c r="AT643" s="93"/>
      <c r="AU643" s="93"/>
      <c r="AV643" s="93"/>
      <c r="AW643" s="93"/>
      <c r="AX643" s="93"/>
      <c r="AY643" s="93"/>
      <c r="AZ643" s="93"/>
      <c r="BA643" s="93"/>
      <c r="BB643" s="93"/>
      <c r="BC643" s="93"/>
      <c r="BD643" s="93"/>
      <c r="BE643" s="93"/>
      <c r="BF643" s="93"/>
      <c r="BG643" s="93"/>
      <c r="BH643" s="93"/>
      <c r="BI643" s="93"/>
      <c r="BJ643" s="93"/>
      <c r="BK643" s="93"/>
      <c r="BL643" s="93"/>
      <c r="BM643" s="93"/>
      <c r="BN643" s="93"/>
      <c r="BO643" s="93"/>
      <c r="BP643" s="93"/>
      <c r="BQ643" s="93"/>
      <c r="BR643" s="93"/>
      <c r="BS643" s="93"/>
      <c r="BT643" s="93"/>
      <c r="BU643" s="93"/>
      <c r="BV643" s="93"/>
      <c r="BW643" s="93"/>
      <c r="BX643" s="93"/>
      <c r="BY643" s="93"/>
      <c r="BZ643" s="93"/>
    </row>
    <row r="644">
      <c r="B644" t="s">
        <v>2737</v>
      </c>
      <c r="C644" s="89" t="s">
        <v>2738</v>
      </c>
      <c r="D644" s="90" t="s">
        <v>2739</v>
      </c>
      <c r="E644" s="91">
        <v>1999.0</v>
      </c>
      <c r="F644" s="92">
        <v>1.0</v>
      </c>
      <c r="G644" s="93"/>
      <c r="H644" s="93"/>
      <c r="I644" s="93"/>
      <c r="J644" s="93"/>
      <c r="K644" s="93"/>
      <c r="L644" s="93"/>
      <c r="M644" s="93"/>
      <c r="N644" s="93"/>
      <c r="O644" s="93"/>
      <c r="P644" s="93"/>
      <c r="Q644" s="93"/>
      <c r="R644" s="93"/>
      <c r="S644" s="93"/>
      <c r="T644" s="93"/>
      <c r="U644" s="93"/>
      <c r="V644" s="93"/>
      <c r="W644" s="93"/>
      <c r="X644" s="93"/>
      <c r="Y644" s="93"/>
      <c r="Z644" s="93"/>
      <c r="AA644" s="93"/>
      <c r="AB644" s="93"/>
      <c r="AC644" s="93"/>
      <c r="AD644" s="93"/>
      <c r="AE644" s="93"/>
      <c r="AF644" s="93"/>
      <c r="AG644" s="93"/>
      <c r="AH644" s="94"/>
      <c r="AI644" s="93"/>
      <c r="AJ644" s="93"/>
      <c r="AK644" s="93"/>
      <c r="AL644" s="93"/>
      <c r="AM644" s="93"/>
      <c r="AN644" s="93"/>
      <c r="AO644" s="93"/>
      <c r="AP644" s="93"/>
      <c r="AQ644" s="93"/>
      <c r="AR644" s="93"/>
      <c r="AS644" s="93"/>
      <c r="AT644" s="93"/>
      <c r="AU644" s="93"/>
      <c r="AV644" s="93"/>
      <c r="AW644" s="93"/>
      <c r="AX644" s="93"/>
      <c r="AY644" s="93"/>
      <c r="AZ644" s="93"/>
      <c r="BA644" s="93"/>
      <c r="BB644" s="93"/>
      <c r="BC644" s="93"/>
      <c r="BD644" s="93"/>
      <c r="BE644" s="93"/>
      <c r="BF644" s="93"/>
      <c r="BG644" s="93"/>
      <c r="BH644" s="93"/>
      <c r="BI644" s="93"/>
      <c r="BJ644" s="93"/>
      <c r="BK644" s="93"/>
      <c r="BL644" s="93"/>
      <c r="BM644" s="93"/>
      <c r="BN644" s="93"/>
      <c r="BO644" s="93"/>
      <c r="BP644" s="93"/>
      <c r="BQ644" s="93"/>
      <c r="BR644" s="93"/>
      <c r="BS644" s="93"/>
      <c r="BT644" s="93"/>
      <c r="BU644" s="93"/>
      <c r="BV644" s="93"/>
      <c r="BW644" s="93"/>
      <c r="BX644" s="93"/>
      <c r="BY644" s="93"/>
      <c r="BZ644" s="93"/>
    </row>
    <row r="645">
      <c r="B645" t="s">
        <v>2740</v>
      </c>
      <c r="C645" s="89" t="s">
        <v>2741</v>
      </c>
      <c r="D645" s="90" t="s">
        <v>2742</v>
      </c>
      <c r="E645" s="91">
        <v>2007.0</v>
      </c>
      <c r="F645" s="92">
        <v>1.0</v>
      </c>
      <c r="G645" s="93"/>
      <c r="H645" s="93"/>
      <c r="I645" s="93"/>
      <c r="J645" s="93"/>
      <c r="K645" s="93"/>
      <c r="L645" s="93"/>
      <c r="M645" s="93"/>
      <c r="N645" s="93"/>
      <c r="O645" s="93"/>
      <c r="P645" s="93"/>
      <c r="Q645" s="93"/>
      <c r="R645" s="93"/>
      <c r="S645" s="93"/>
      <c r="T645" s="93"/>
      <c r="U645" s="93"/>
      <c r="V645" s="93"/>
      <c r="W645" s="93"/>
      <c r="X645" s="93"/>
      <c r="Y645" s="93"/>
      <c r="Z645" s="93"/>
      <c r="AA645" s="93"/>
      <c r="AB645" s="93"/>
      <c r="AC645" s="93"/>
      <c r="AD645" s="93"/>
      <c r="AE645" s="93"/>
      <c r="AF645" s="93"/>
      <c r="AG645" s="93"/>
      <c r="AH645" s="94"/>
      <c r="AI645" s="93"/>
      <c r="AJ645" s="93"/>
      <c r="AK645" s="93"/>
      <c r="AL645" s="93"/>
      <c r="AM645" s="93"/>
      <c r="AN645" s="93"/>
      <c r="AO645" s="93"/>
      <c r="AP645" s="93"/>
      <c r="AQ645" s="93"/>
      <c r="AR645" s="93"/>
      <c r="AS645" s="93"/>
      <c r="AT645" s="93"/>
      <c r="AU645" s="93"/>
      <c r="AV645" s="93"/>
      <c r="AW645" s="93"/>
      <c r="AX645" s="93"/>
      <c r="AY645" s="93"/>
      <c r="AZ645" s="93"/>
      <c r="BA645" s="93"/>
      <c r="BB645" s="93"/>
      <c r="BC645" s="93"/>
      <c r="BD645" s="93"/>
      <c r="BE645" s="93"/>
      <c r="BF645" s="93"/>
      <c r="BG645" s="93"/>
      <c r="BH645" s="93"/>
      <c r="BI645" s="93"/>
      <c r="BJ645" s="93"/>
      <c r="BK645" s="93"/>
      <c r="BL645" s="93"/>
      <c r="BM645" s="93"/>
      <c r="BN645" s="93"/>
      <c r="BO645" s="93"/>
      <c r="BP645" s="93"/>
      <c r="BQ645" s="93"/>
      <c r="BR645" s="93"/>
      <c r="BS645" s="93"/>
      <c r="BT645" s="93"/>
      <c r="BU645" s="93"/>
      <c r="BV645" s="93"/>
      <c r="BW645" s="93"/>
      <c r="BX645" s="93"/>
      <c r="BY645" s="93"/>
      <c r="BZ645" s="93"/>
    </row>
    <row r="646">
      <c r="B646" t="s">
        <v>2743</v>
      </c>
      <c r="C646" s="89" t="s">
        <v>2744</v>
      </c>
      <c r="D646" s="90" t="s">
        <v>2745</v>
      </c>
      <c r="E646" s="91">
        <v>1988.0</v>
      </c>
      <c r="F646" s="97" t="s">
        <v>1777</v>
      </c>
      <c r="G646" s="93"/>
      <c r="H646" s="93"/>
      <c r="I646" s="93"/>
      <c r="J646" s="93"/>
      <c r="K646" s="93"/>
      <c r="L646" s="93"/>
      <c r="M646" s="93"/>
      <c r="N646" s="93"/>
      <c r="O646" s="93"/>
      <c r="P646" s="93"/>
      <c r="Q646" s="93"/>
      <c r="R646" s="93"/>
      <c r="S646" s="93"/>
      <c r="T646" s="93"/>
      <c r="U646" s="93"/>
      <c r="V646" s="93"/>
      <c r="W646" s="93"/>
      <c r="X646" s="93"/>
      <c r="Y646" s="93"/>
      <c r="Z646" s="93"/>
      <c r="AA646" s="93"/>
      <c r="AB646" s="93"/>
      <c r="AC646" s="93"/>
      <c r="AD646" s="93"/>
      <c r="AE646" s="93"/>
      <c r="AF646" s="93"/>
      <c r="AG646" s="93"/>
      <c r="AH646" s="94"/>
      <c r="AI646" s="93"/>
      <c r="AJ646" s="93"/>
      <c r="AK646" s="93"/>
      <c r="AL646" s="93"/>
      <c r="AM646" s="93"/>
      <c r="AN646" s="93"/>
      <c r="AO646" s="93"/>
      <c r="AP646" s="93"/>
      <c r="AQ646" s="93"/>
      <c r="AR646" s="93"/>
      <c r="AS646" s="93"/>
      <c r="AT646" s="93"/>
      <c r="AU646" s="93"/>
      <c r="AV646" s="93"/>
      <c r="AW646" s="93"/>
      <c r="AX646" s="93"/>
      <c r="AY646" s="93"/>
      <c r="AZ646" s="93"/>
      <c r="BA646" s="93"/>
      <c r="BB646" s="93"/>
      <c r="BC646" s="93"/>
      <c r="BD646" s="93"/>
      <c r="BE646" s="93"/>
      <c r="BF646" s="93"/>
      <c r="BG646" s="93"/>
      <c r="BH646" s="93"/>
      <c r="BI646" s="93"/>
      <c r="BJ646" s="93"/>
      <c r="BK646" s="93"/>
      <c r="BL646" s="93"/>
      <c r="BM646" s="93"/>
      <c r="BN646" s="93"/>
      <c r="BO646" s="93"/>
      <c r="BP646" s="93"/>
      <c r="BQ646" s="93"/>
      <c r="BR646" s="93"/>
      <c r="BS646" s="93"/>
      <c r="BT646" s="93"/>
      <c r="BU646" s="93"/>
      <c r="BV646" s="93"/>
      <c r="BW646" s="93"/>
      <c r="BX646" s="93"/>
      <c r="BY646" s="93"/>
      <c r="BZ646" s="93"/>
    </row>
    <row r="647">
      <c r="B647" t="s">
        <v>2746</v>
      </c>
      <c r="C647" s="89" t="s">
        <v>2747</v>
      </c>
      <c r="D647" s="90" t="s">
        <v>2748</v>
      </c>
      <c r="E647" s="91">
        <v>2005.0</v>
      </c>
      <c r="F647" s="92">
        <v>1.0</v>
      </c>
      <c r="G647" s="93"/>
      <c r="H647" s="93"/>
      <c r="I647" s="93"/>
      <c r="J647" s="93"/>
      <c r="K647" s="93"/>
      <c r="L647" s="93"/>
      <c r="M647" s="93"/>
      <c r="N647" s="93"/>
      <c r="O647" s="93"/>
      <c r="P647" s="93"/>
      <c r="Q647" s="93"/>
      <c r="R647" s="93"/>
      <c r="S647" s="93"/>
      <c r="T647" s="93"/>
      <c r="U647" s="93"/>
      <c r="V647" s="93"/>
      <c r="W647" s="93"/>
      <c r="X647" s="93"/>
      <c r="Y647" s="93"/>
      <c r="Z647" s="93"/>
      <c r="AA647" s="93"/>
      <c r="AB647" s="93"/>
      <c r="AC647" s="93"/>
      <c r="AD647" s="93"/>
      <c r="AE647" s="93"/>
      <c r="AF647" s="93"/>
      <c r="AG647" s="93"/>
      <c r="AH647" s="94"/>
      <c r="AI647" s="93"/>
      <c r="AJ647" s="93"/>
      <c r="AK647" s="93"/>
      <c r="AL647" s="93"/>
      <c r="AM647" s="93"/>
      <c r="AN647" s="93"/>
      <c r="AO647" s="93"/>
      <c r="AP647" s="93"/>
      <c r="AQ647" s="93"/>
      <c r="AR647" s="93"/>
      <c r="AS647" s="93"/>
      <c r="AT647" s="93"/>
      <c r="AU647" s="93"/>
      <c r="AV647" s="93"/>
      <c r="AW647" s="93"/>
      <c r="AX647" s="93"/>
      <c r="AY647" s="93"/>
      <c r="AZ647" s="93"/>
      <c r="BA647" s="93"/>
      <c r="BB647" s="93"/>
      <c r="BC647" s="93"/>
      <c r="BD647" s="93"/>
      <c r="BE647" s="93"/>
      <c r="BF647" s="93"/>
      <c r="BG647" s="93"/>
      <c r="BH647" s="93"/>
      <c r="BI647" s="93"/>
      <c r="BJ647" s="93"/>
      <c r="BK647" s="93"/>
      <c r="BL647" s="93"/>
      <c r="BM647" s="93"/>
      <c r="BN647" s="93"/>
      <c r="BO647" s="93"/>
      <c r="BP647" s="93"/>
      <c r="BQ647" s="93"/>
      <c r="BR647" s="93"/>
      <c r="BS647" s="93"/>
      <c r="BT647" s="93"/>
      <c r="BU647" s="93"/>
      <c r="BV647" s="93"/>
      <c r="BW647" s="93"/>
      <c r="BX647" s="93"/>
      <c r="BY647" s="93"/>
      <c r="BZ647" s="93"/>
    </row>
    <row r="648">
      <c r="B648" t="s">
        <v>2749</v>
      </c>
      <c r="C648" s="89" t="s">
        <v>2750</v>
      </c>
      <c r="D648" s="90" t="s">
        <v>2751</v>
      </c>
      <c r="E648" s="91">
        <v>2007.0</v>
      </c>
      <c r="F648" s="92">
        <v>1.0</v>
      </c>
      <c r="G648" s="93"/>
      <c r="H648" s="93"/>
      <c r="I648" s="93"/>
      <c r="J648" s="93"/>
      <c r="K648" s="93"/>
      <c r="L648" s="93"/>
      <c r="M648" s="93"/>
      <c r="N648" s="93"/>
      <c r="O648" s="93"/>
      <c r="P648" s="93"/>
      <c r="Q648" s="93"/>
      <c r="R648" s="93"/>
      <c r="S648" s="93"/>
      <c r="T648" s="93"/>
      <c r="U648" s="93"/>
      <c r="V648" s="93"/>
      <c r="W648" s="93"/>
      <c r="X648" s="93"/>
      <c r="Y648" s="93"/>
      <c r="Z648" s="93"/>
      <c r="AA648" s="93"/>
      <c r="AB648" s="93"/>
      <c r="AC648" s="93"/>
      <c r="AD648" s="93"/>
      <c r="AE648" s="93"/>
      <c r="AF648" s="93"/>
      <c r="AG648" s="93"/>
      <c r="AH648" s="94"/>
      <c r="AI648" s="93"/>
      <c r="AJ648" s="93"/>
      <c r="AK648" s="93"/>
      <c r="AL648" s="93"/>
      <c r="AM648" s="93"/>
      <c r="AN648" s="93"/>
      <c r="AO648" s="93"/>
      <c r="AP648" s="93"/>
      <c r="AQ648" s="93"/>
      <c r="AR648" s="93"/>
      <c r="AS648" s="93"/>
      <c r="AT648" s="93"/>
      <c r="AU648" s="93"/>
      <c r="AV648" s="93"/>
      <c r="AW648" s="93"/>
      <c r="AX648" s="93"/>
      <c r="AY648" s="93"/>
      <c r="AZ648" s="93"/>
      <c r="BA648" s="93"/>
      <c r="BB648" s="93"/>
      <c r="BC648" s="93"/>
      <c r="BD648" s="93"/>
      <c r="BE648" s="93"/>
      <c r="BF648" s="93"/>
      <c r="BG648" s="93"/>
      <c r="BH648" s="93"/>
      <c r="BI648" s="93"/>
      <c r="BJ648" s="93"/>
      <c r="BK648" s="93"/>
      <c r="BL648" s="93"/>
      <c r="BM648" s="93"/>
      <c r="BN648" s="93"/>
      <c r="BO648" s="93"/>
      <c r="BP648" s="93"/>
      <c r="BQ648" s="93"/>
      <c r="BR648" s="93"/>
      <c r="BS648" s="93"/>
      <c r="BT648" s="93"/>
      <c r="BU648" s="93"/>
      <c r="BV648" s="93"/>
      <c r="BW648" s="93"/>
      <c r="BX648" s="93"/>
      <c r="BY648" s="93"/>
      <c r="BZ648" s="93"/>
    </row>
    <row r="649">
      <c r="B649" t="s">
        <v>2752</v>
      </c>
      <c r="C649" s="89" t="s">
        <v>2753</v>
      </c>
      <c r="D649" s="90" t="s">
        <v>2754</v>
      </c>
      <c r="E649" s="91">
        <v>2013.0</v>
      </c>
      <c r="F649" s="92">
        <v>1.0</v>
      </c>
      <c r="G649" s="93"/>
      <c r="H649" s="93"/>
      <c r="I649" s="93"/>
      <c r="J649" s="93"/>
      <c r="K649" s="93"/>
      <c r="L649" s="93"/>
      <c r="M649" s="93"/>
      <c r="N649" s="93"/>
      <c r="O649" s="93"/>
      <c r="P649" s="93"/>
      <c r="Q649" s="93"/>
      <c r="R649" s="93"/>
      <c r="S649" s="93"/>
      <c r="T649" s="93"/>
      <c r="U649" s="93"/>
      <c r="V649" s="93"/>
      <c r="W649" s="93"/>
      <c r="X649" s="93"/>
      <c r="Y649" s="93"/>
      <c r="Z649" s="93"/>
      <c r="AA649" s="93"/>
      <c r="AB649" s="93"/>
      <c r="AC649" s="93"/>
      <c r="AD649" s="93"/>
      <c r="AE649" s="93"/>
      <c r="AF649" s="93"/>
      <c r="AG649" s="93"/>
      <c r="AH649" s="94"/>
      <c r="AI649" s="93"/>
      <c r="AJ649" s="93"/>
      <c r="AK649" s="93"/>
      <c r="AL649" s="93"/>
      <c r="AM649" s="93"/>
      <c r="AN649" s="93"/>
      <c r="AO649" s="93"/>
      <c r="AP649" s="93"/>
      <c r="AQ649" s="93"/>
      <c r="AR649" s="93"/>
      <c r="AS649" s="93"/>
      <c r="AT649" s="93"/>
      <c r="AU649" s="93"/>
      <c r="AV649" s="93"/>
      <c r="AW649" s="93"/>
      <c r="AX649" s="93"/>
      <c r="AY649" s="93"/>
      <c r="AZ649" s="93"/>
      <c r="BA649" s="93"/>
      <c r="BB649" s="93"/>
      <c r="BC649" s="93"/>
      <c r="BD649" s="93"/>
      <c r="BE649" s="93"/>
      <c r="BF649" s="93"/>
      <c r="BG649" s="93"/>
      <c r="BH649" s="93"/>
      <c r="BI649" s="93"/>
      <c r="BJ649" s="93"/>
      <c r="BK649" s="93"/>
      <c r="BL649" s="93"/>
      <c r="BM649" s="93"/>
      <c r="BN649" s="93"/>
      <c r="BO649" s="93"/>
      <c r="BP649" s="93"/>
      <c r="BQ649" s="93"/>
      <c r="BR649" s="93"/>
      <c r="BS649" s="93"/>
      <c r="BT649" s="93"/>
      <c r="BU649" s="93"/>
      <c r="BV649" s="93"/>
      <c r="BW649" s="93"/>
      <c r="BX649" s="93"/>
      <c r="BY649" s="93"/>
      <c r="BZ649" s="93"/>
    </row>
    <row r="650">
      <c r="B650" t="s">
        <v>2755</v>
      </c>
      <c r="C650" s="89" t="s">
        <v>2756</v>
      </c>
      <c r="D650" s="90" t="s">
        <v>2757</v>
      </c>
      <c r="E650" s="91">
        <v>2012.0</v>
      </c>
      <c r="F650" s="92">
        <v>1.0</v>
      </c>
      <c r="G650" s="93"/>
      <c r="H650" s="93"/>
      <c r="I650" s="93"/>
      <c r="J650" s="93"/>
      <c r="K650" s="93"/>
      <c r="L650" s="93"/>
      <c r="M650" s="93"/>
      <c r="N650" s="93"/>
      <c r="O650" s="93"/>
      <c r="P650" s="93"/>
      <c r="Q650" s="93"/>
      <c r="R650" s="93"/>
      <c r="S650" s="93"/>
      <c r="T650" s="93"/>
      <c r="U650" s="93"/>
      <c r="V650" s="93"/>
      <c r="W650" s="93"/>
      <c r="X650" s="93"/>
      <c r="Y650" s="93"/>
      <c r="Z650" s="93"/>
      <c r="AA650" s="93"/>
      <c r="AB650" s="93"/>
      <c r="AC650" s="93"/>
      <c r="AD650" s="93"/>
      <c r="AE650" s="93"/>
      <c r="AF650" s="93"/>
      <c r="AG650" s="93"/>
      <c r="AH650" s="94"/>
      <c r="AI650" s="93"/>
      <c r="AJ650" s="93"/>
      <c r="AK650" s="93"/>
      <c r="AL650" s="93"/>
      <c r="AM650" s="93"/>
      <c r="AN650" s="93"/>
      <c r="AO650" s="93"/>
      <c r="AP650" s="93"/>
      <c r="AQ650" s="93"/>
      <c r="AR650" s="93"/>
      <c r="AS650" s="93"/>
      <c r="AT650" s="93"/>
      <c r="AU650" s="93"/>
      <c r="AV650" s="93"/>
      <c r="AW650" s="93"/>
      <c r="AX650" s="93"/>
      <c r="AY650" s="93"/>
      <c r="AZ650" s="93"/>
      <c r="BA650" s="93"/>
      <c r="BB650" s="93"/>
      <c r="BC650" s="93"/>
      <c r="BD650" s="93"/>
      <c r="BE650" s="93"/>
      <c r="BF650" s="93"/>
      <c r="BG650" s="93"/>
      <c r="BH650" s="93"/>
      <c r="BI650" s="93"/>
      <c r="BJ650" s="93"/>
      <c r="BK650" s="93"/>
      <c r="BL650" s="93"/>
      <c r="BM650" s="93"/>
      <c r="BN650" s="93"/>
      <c r="BO650" s="93"/>
      <c r="BP650" s="93"/>
      <c r="BQ650" s="93"/>
      <c r="BR650" s="93"/>
      <c r="BS650" s="93"/>
      <c r="BT650" s="93"/>
      <c r="BU650" s="93"/>
      <c r="BV650" s="93"/>
      <c r="BW650" s="93"/>
      <c r="BX650" s="93"/>
      <c r="BY650" s="93"/>
      <c r="BZ650" s="93"/>
    </row>
    <row r="651">
      <c r="A651" t="s">
        <v>116</v>
      </c>
      <c r="B651" t="s">
        <v>2758</v>
      </c>
      <c r="C651" s="89" t="s">
        <v>2759</v>
      </c>
      <c r="D651" s="90" t="s">
        <v>2760</v>
      </c>
      <c r="E651" s="91">
        <v>2012.0</v>
      </c>
      <c r="F651" s="95"/>
      <c r="G651" s="93"/>
      <c r="H651" s="93"/>
      <c r="I651" s="93"/>
      <c r="J651" s="93"/>
      <c r="K651" s="92">
        <v>1.0</v>
      </c>
      <c r="L651" s="93"/>
      <c r="M651" s="93"/>
      <c r="N651" s="93"/>
      <c r="O651" s="93"/>
      <c r="P651" s="93"/>
      <c r="Q651" s="93"/>
      <c r="R651" s="93"/>
      <c r="S651" s="93"/>
      <c r="T651" s="93"/>
      <c r="U651" s="93"/>
      <c r="V651" s="93"/>
      <c r="W651" s="95" t="s">
        <v>2761</v>
      </c>
      <c r="X651" s="95" t="s">
        <v>92</v>
      </c>
      <c r="Y651" s="95" t="s">
        <v>92</v>
      </c>
      <c r="Z651" s="97" t="s">
        <v>100</v>
      </c>
      <c r="AA651" s="93"/>
      <c r="AB651" s="93"/>
      <c r="AC651" s="93"/>
      <c r="AD651" s="93"/>
      <c r="AE651" s="93"/>
      <c r="AF651" s="92">
        <v>1.0</v>
      </c>
      <c r="AG651" s="93"/>
      <c r="AH651" s="96" t="s">
        <v>2762</v>
      </c>
      <c r="AI651" s="92">
        <v>1.0</v>
      </c>
      <c r="AJ651" s="93"/>
      <c r="AK651" s="93"/>
      <c r="AL651" s="93"/>
      <c r="AM651" s="93"/>
      <c r="AN651" s="93"/>
      <c r="AO651" s="93"/>
      <c r="AP651" s="93"/>
      <c r="AQ651" s="93"/>
      <c r="AR651" s="93"/>
      <c r="AS651" s="93"/>
      <c r="AT651" s="93"/>
      <c r="AU651" s="93"/>
      <c r="AV651" s="93"/>
      <c r="AW651" s="93"/>
      <c r="AX651" s="93"/>
      <c r="AY651" s="93"/>
      <c r="AZ651" s="93"/>
      <c r="BA651" s="93"/>
      <c r="BB651" s="93"/>
      <c r="BC651" s="93"/>
      <c r="BD651" s="93"/>
      <c r="BE651" s="92">
        <v>1.0</v>
      </c>
      <c r="BF651" s="92">
        <v>1.0</v>
      </c>
      <c r="BG651" s="93"/>
      <c r="BH651" s="93"/>
      <c r="BI651" s="93"/>
      <c r="BJ651" s="93"/>
      <c r="BK651" s="93"/>
      <c r="BL651" s="93"/>
      <c r="BM651" s="93"/>
      <c r="BN651" s="93"/>
      <c r="BO651" s="93"/>
      <c r="BP651" s="93"/>
      <c r="BQ651" s="93"/>
      <c r="BR651" s="93"/>
      <c r="BS651" s="93"/>
      <c r="BT651" s="93"/>
      <c r="BU651" s="93"/>
      <c r="BV651" s="93"/>
      <c r="BW651" s="93"/>
      <c r="BX651" s="93"/>
      <c r="BY651" s="93"/>
      <c r="BZ651" s="93"/>
    </row>
    <row r="652">
      <c r="B652" t="s">
        <v>2763</v>
      </c>
      <c r="C652" s="89" t="s">
        <v>2764</v>
      </c>
      <c r="D652" s="90" t="s">
        <v>2765</v>
      </c>
      <c r="E652" s="91">
        <v>1995.0</v>
      </c>
      <c r="F652" s="92">
        <v>1.0</v>
      </c>
      <c r="G652" s="93"/>
      <c r="H652" s="93"/>
      <c r="I652" s="93"/>
      <c r="J652" s="93"/>
      <c r="K652" s="93"/>
      <c r="L652" s="93"/>
      <c r="M652" s="93"/>
      <c r="N652" s="93"/>
      <c r="O652" s="93"/>
      <c r="P652" s="93"/>
      <c r="Q652" s="93"/>
      <c r="R652" s="93"/>
      <c r="S652" s="93"/>
      <c r="T652" s="93"/>
      <c r="U652" s="93"/>
      <c r="V652" s="93"/>
      <c r="W652" s="93"/>
      <c r="X652" s="93"/>
      <c r="Y652" s="93"/>
      <c r="Z652" s="93"/>
      <c r="AA652" s="93"/>
      <c r="AB652" s="93"/>
      <c r="AC652" s="93"/>
      <c r="AD652" s="93"/>
      <c r="AE652" s="93"/>
      <c r="AF652" s="93"/>
      <c r="AG652" s="93"/>
      <c r="AH652" s="94"/>
      <c r="AI652" s="93"/>
      <c r="AJ652" s="93"/>
      <c r="AK652" s="93"/>
      <c r="AL652" s="93"/>
      <c r="AM652" s="93"/>
      <c r="AN652" s="93"/>
      <c r="AO652" s="93"/>
      <c r="AP652" s="93"/>
      <c r="AQ652" s="93"/>
      <c r="AR652" s="93"/>
      <c r="AS652" s="93"/>
      <c r="AT652" s="93"/>
      <c r="AU652" s="93"/>
      <c r="AV652" s="93"/>
      <c r="AW652" s="93"/>
      <c r="AX652" s="93"/>
      <c r="AY652" s="93"/>
      <c r="AZ652" s="93"/>
      <c r="BA652" s="93"/>
      <c r="BB652" s="93"/>
      <c r="BC652" s="93"/>
      <c r="BD652" s="93"/>
      <c r="BE652" s="93"/>
      <c r="BF652" s="93"/>
      <c r="BG652" s="93"/>
      <c r="BH652" s="93"/>
      <c r="BI652" s="93"/>
      <c r="BJ652" s="93"/>
      <c r="BK652" s="93"/>
      <c r="BL652" s="93"/>
      <c r="BM652" s="93"/>
      <c r="BN652" s="93"/>
      <c r="BO652" s="93"/>
      <c r="BP652" s="93"/>
      <c r="BQ652" s="93"/>
      <c r="BR652" s="93"/>
      <c r="BS652" s="93"/>
      <c r="BT652" s="93"/>
      <c r="BU652" s="93"/>
      <c r="BV652" s="93"/>
      <c r="BW652" s="93"/>
      <c r="BX652" s="93"/>
      <c r="BY652" s="93"/>
      <c r="BZ652" s="93"/>
    </row>
    <row r="653">
      <c r="B653" t="s">
        <v>2766</v>
      </c>
      <c r="C653" s="89" t="s">
        <v>2767</v>
      </c>
      <c r="D653" s="90" t="s">
        <v>1570</v>
      </c>
      <c r="E653" s="91">
        <v>2019.0</v>
      </c>
      <c r="F653" s="92">
        <v>1.0</v>
      </c>
      <c r="G653" s="93"/>
      <c r="H653" s="93"/>
      <c r="I653" s="93"/>
      <c r="J653" s="93"/>
      <c r="K653" s="93"/>
      <c r="L653" s="93"/>
      <c r="M653" s="93"/>
      <c r="N653" s="93"/>
      <c r="O653" s="93"/>
      <c r="P653" s="93"/>
      <c r="Q653" s="93"/>
      <c r="R653" s="93"/>
      <c r="S653" s="93"/>
      <c r="T653" s="93"/>
      <c r="U653" s="93"/>
      <c r="V653" s="93"/>
      <c r="W653" s="93"/>
      <c r="X653" s="93"/>
      <c r="Y653" s="93"/>
      <c r="Z653" s="93"/>
      <c r="AA653" s="93"/>
      <c r="AB653" s="93"/>
      <c r="AC653" s="93"/>
      <c r="AD653" s="93"/>
      <c r="AE653" s="93"/>
      <c r="AF653" s="93"/>
      <c r="AG653" s="93"/>
      <c r="AH653" s="94"/>
      <c r="AI653" s="93"/>
      <c r="AJ653" s="93"/>
      <c r="AK653" s="93"/>
      <c r="AL653" s="93"/>
      <c r="AM653" s="93"/>
      <c r="AN653" s="93"/>
      <c r="AO653" s="93"/>
      <c r="AP653" s="93"/>
      <c r="AQ653" s="93"/>
      <c r="AR653" s="93"/>
      <c r="AS653" s="93"/>
      <c r="AT653" s="93"/>
      <c r="AU653" s="93"/>
      <c r="AV653" s="93"/>
      <c r="AW653" s="93"/>
      <c r="AX653" s="93"/>
      <c r="AY653" s="93"/>
      <c r="AZ653" s="93"/>
      <c r="BA653" s="93"/>
      <c r="BB653" s="93"/>
      <c r="BC653" s="93"/>
      <c r="BD653" s="93"/>
      <c r="BE653" s="93"/>
      <c r="BF653" s="93"/>
      <c r="BG653" s="93"/>
      <c r="BH653" s="93"/>
      <c r="BI653" s="93"/>
      <c r="BJ653" s="93"/>
      <c r="BK653" s="93"/>
      <c r="BL653" s="93"/>
      <c r="BM653" s="93"/>
      <c r="BN653" s="93"/>
      <c r="BO653" s="93"/>
      <c r="BP653" s="93"/>
      <c r="BQ653" s="93"/>
      <c r="BR653" s="93"/>
      <c r="BS653" s="93"/>
      <c r="BT653" s="93"/>
      <c r="BU653" s="93"/>
      <c r="BV653" s="93"/>
      <c r="BW653" s="93"/>
      <c r="BX653" s="93"/>
      <c r="BY653" s="93"/>
      <c r="BZ653" s="93"/>
    </row>
    <row r="654">
      <c r="B654" t="s">
        <v>2768</v>
      </c>
      <c r="C654" s="89" t="s">
        <v>2769</v>
      </c>
      <c r="D654" s="90" t="s">
        <v>2770</v>
      </c>
      <c r="E654" s="91">
        <v>2009.0</v>
      </c>
      <c r="F654" s="92">
        <v>1.0</v>
      </c>
      <c r="G654" s="93"/>
      <c r="H654" s="93"/>
      <c r="I654" s="93"/>
      <c r="J654" s="93"/>
      <c r="K654" s="93"/>
      <c r="L654" s="93"/>
      <c r="M654" s="93"/>
      <c r="N654" s="93"/>
      <c r="O654" s="93"/>
      <c r="P654" s="93"/>
      <c r="Q654" s="93"/>
      <c r="R654" s="93"/>
      <c r="S654" s="93"/>
      <c r="T654" s="93"/>
      <c r="U654" s="93"/>
      <c r="V654" s="93"/>
      <c r="W654" s="93"/>
      <c r="X654" s="93"/>
      <c r="Y654" s="93"/>
      <c r="Z654" s="93"/>
      <c r="AA654" s="93"/>
      <c r="AB654" s="93"/>
      <c r="AC654" s="93"/>
      <c r="AD654" s="93"/>
      <c r="AE654" s="93"/>
      <c r="AF654" s="93"/>
      <c r="AG654" s="93"/>
      <c r="AH654" s="94"/>
      <c r="AI654" s="93"/>
      <c r="AJ654" s="93"/>
      <c r="AK654" s="93"/>
      <c r="AL654" s="93"/>
      <c r="AM654" s="93"/>
      <c r="AN654" s="93"/>
      <c r="AO654" s="93"/>
      <c r="AP654" s="93"/>
      <c r="AQ654" s="93"/>
      <c r="AR654" s="93"/>
      <c r="AS654" s="93"/>
      <c r="AT654" s="93"/>
      <c r="AU654" s="93"/>
      <c r="AV654" s="93"/>
      <c r="AW654" s="93"/>
      <c r="AX654" s="93"/>
      <c r="AY654" s="93"/>
      <c r="AZ654" s="93"/>
      <c r="BA654" s="93"/>
      <c r="BB654" s="93"/>
      <c r="BC654" s="93"/>
      <c r="BD654" s="93"/>
      <c r="BE654" s="93"/>
      <c r="BF654" s="93"/>
      <c r="BG654" s="93"/>
      <c r="BH654" s="93"/>
      <c r="BI654" s="93"/>
      <c r="BJ654" s="93"/>
      <c r="BK654" s="93"/>
      <c r="BL654" s="93"/>
      <c r="BM654" s="93"/>
      <c r="BN654" s="93"/>
      <c r="BO654" s="93"/>
      <c r="BP654" s="93"/>
      <c r="BQ654" s="93"/>
      <c r="BR654" s="93"/>
      <c r="BS654" s="93"/>
      <c r="BT654" s="93"/>
      <c r="BU654" s="93"/>
      <c r="BV654" s="93"/>
      <c r="BW654" s="93"/>
      <c r="BX654" s="93"/>
      <c r="BY654" s="93"/>
      <c r="BZ654" s="93"/>
    </row>
    <row r="655">
      <c r="B655" t="s">
        <v>2771</v>
      </c>
      <c r="C655" s="89" t="s">
        <v>2772</v>
      </c>
      <c r="D655" s="90" t="s">
        <v>2773</v>
      </c>
      <c r="E655" s="91">
        <v>2018.0</v>
      </c>
      <c r="F655" s="92">
        <v>1.0</v>
      </c>
      <c r="G655" s="93"/>
      <c r="H655" s="93"/>
      <c r="I655" s="93"/>
      <c r="J655" s="93"/>
      <c r="K655" s="93"/>
      <c r="L655" s="93"/>
      <c r="M655" s="93"/>
      <c r="N655" s="93"/>
      <c r="O655" s="93"/>
      <c r="P655" s="93"/>
      <c r="Q655" s="93"/>
      <c r="R655" s="93"/>
      <c r="S655" s="93"/>
      <c r="T655" s="93"/>
      <c r="U655" s="93"/>
      <c r="V655" s="93"/>
      <c r="W655" s="93"/>
      <c r="X655" s="93"/>
      <c r="Y655" s="93"/>
      <c r="Z655" s="93"/>
      <c r="AA655" s="93"/>
      <c r="AB655" s="93"/>
      <c r="AC655" s="93"/>
      <c r="AD655" s="93"/>
      <c r="AE655" s="93"/>
      <c r="AF655" s="93"/>
      <c r="AG655" s="93"/>
      <c r="AH655" s="94"/>
      <c r="AI655" s="93"/>
      <c r="AJ655" s="93"/>
      <c r="AK655" s="93"/>
      <c r="AL655" s="93"/>
      <c r="AM655" s="93"/>
      <c r="AN655" s="93"/>
      <c r="AO655" s="93"/>
      <c r="AP655" s="93"/>
      <c r="AQ655" s="93"/>
      <c r="AR655" s="93"/>
      <c r="AS655" s="93"/>
      <c r="AT655" s="93"/>
      <c r="AU655" s="93"/>
      <c r="AV655" s="93"/>
      <c r="AW655" s="93"/>
      <c r="AX655" s="93"/>
      <c r="AY655" s="93"/>
      <c r="AZ655" s="93"/>
      <c r="BA655" s="93"/>
      <c r="BB655" s="93"/>
      <c r="BC655" s="93"/>
      <c r="BD655" s="93"/>
      <c r="BE655" s="93"/>
      <c r="BF655" s="93"/>
      <c r="BG655" s="93"/>
      <c r="BH655" s="93"/>
      <c r="BI655" s="93"/>
      <c r="BJ655" s="93"/>
      <c r="BK655" s="93"/>
      <c r="BL655" s="93"/>
      <c r="BM655" s="93"/>
      <c r="BN655" s="93"/>
      <c r="BO655" s="93"/>
      <c r="BP655" s="93"/>
      <c r="BQ655" s="93"/>
      <c r="BR655" s="93"/>
      <c r="BS655" s="93"/>
      <c r="BT655" s="93"/>
      <c r="BU655" s="93"/>
      <c r="BV655" s="93"/>
      <c r="BW655" s="93"/>
      <c r="BX655" s="93"/>
      <c r="BY655" s="93"/>
      <c r="BZ655" s="93"/>
    </row>
    <row r="656">
      <c r="A656" t="s">
        <v>1331</v>
      </c>
      <c r="B656" t="s">
        <v>2774</v>
      </c>
      <c r="C656" s="89" t="s">
        <v>2775</v>
      </c>
      <c r="D656" s="90" t="s">
        <v>268</v>
      </c>
      <c r="E656" s="91">
        <v>2019.0</v>
      </c>
      <c r="F656" s="95"/>
      <c r="G656" s="93"/>
      <c r="H656" s="93"/>
      <c r="I656" s="93"/>
      <c r="J656" s="92">
        <v>1.0</v>
      </c>
      <c r="K656" s="93"/>
      <c r="L656" s="93"/>
      <c r="M656" s="93"/>
      <c r="N656" s="93"/>
      <c r="O656" s="93"/>
      <c r="P656" s="93"/>
      <c r="Q656" s="93"/>
      <c r="R656" s="93"/>
      <c r="S656" s="93"/>
      <c r="T656" s="93"/>
      <c r="U656" s="93"/>
      <c r="V656" s="93"/>
      <c r="W656" s="98" t="s">
        <v>2776</v>
      </c>
      <c r="X656" s="98" t="s">
        <v>2777</v>
      </c>
      <c r="Y656" s="98" t="s">
        <v>2778</v>
      </c>
      <c r="Z656" s="98" t="s">
        <v>2675</v>
      </c>
      <c r="AA656" s="92">
        <v>1.0</v>
      </c>
      <c r="AB656" s="95"/>
      <c r="AC656" s="93"/>
      <c r="AD656" s="92">
        <v>1.0</v>
      </c>
      <c r="AE656" s="93"/>
      <c r="AF656" s="93"/>
      <c r="AG656" s="93"/>
      <c r="AH656" s="96" t="s">
        <v>2779</v>
      </c>
      <c r="AI656" s="92">
        <v>1.0</v>
      </c>
      <c r="AJ656" s="93"/>
      <c r="AK656" s="93"/>
      <c r="AL656" s="93"/>
      <c r="AM656" s="93"/>
      <c r="AN656" s="93"/>
      <c r="AO656" s="93"/>
      <c r="AP656" s="93"/>
      <c r="AQ656" s="93"/>
      <c r="AR656" s="92">
        <v>1.0</v>
      </c>
      <c r="AS656" s="93"/>
      <c r="AT656" s="93"/>
      <c r="AU656" s="93"/>
      <c r="AV656" s="93"/>
      <c r="AW656" s="93"/>
      <c r="AX656" s="93"/>
      <c r="AY656" s="93"/>
      <c r="AZ656" s="93"/>
      <c r="BA656" s="93"/>
      <c r="BB656" s="93"/>
      <c r="BC656" s="93"/>
      <c r="BD656" s="93"/>
      <c r="BE656" s="93"/>
      <c r="BF656" s="93"/>
      <c r="BG656" s="93"/>
      <c r="BH656" s="93"/>
      <c r="BI656" s="93"/>
      <c r="BJ656" s="93"/>
      <c r="BK656" s="93"/>
      <c r="BL656" s="93"/>
      <c r="BM656" s="93"/>
      <c r="BN656" s="93"/>
      <c r="BO656" s="93"/>
      <c r="BP656" s="93"/>
      <c r="BQ656" s="93"/>
      <c r="BR656" s="93"/>
      <c r="BS656" s="93"/>
      <c r="BT656" s="93"/>
      <c r="BU656" s="93"/>
      <c r="BV656" s="92">
        <v>1.0</v>
      </c>
      <c r="BW656" s="92">
        <v>1.0</v>
      </c>
      <c r="BX656" s="92">
        <v>1.0</v>
      </c>
      <c r="BY656" s="92">
        <v>1.0</v>
      </c>
      <c r="BZ656" s="92">
        <v>1.0</v>
      </c>
    </row>
    <row r="657">
      <c r="A657" t="s">
        <v>1340</v>
      </c>
      <c r="B657" t="s">
        <v>2780</v>
      </c>
      <c r="C657" s="89" t="s">
        <v>2781</v>
      </c>
      <c r="D657" s="90" t="s">
        <v>2782</v>
      </c>
      <c r="E657" s="91">
        <v>2020.0</v>
      </c>
      <c r="F657" s="95"/>
      <c r="G657" s="93"/>
      <c r="H657" s="93"/>
      <c r="I657" s="93"/>
      <c r="J657" s="92">
        <v>1.0</v>
      </c>
      <c r="K657" s="93"/>
      <c r="L657" s="93"/>
      <c r="M657" s="93"/>
      <c r="N657" s="93"/>
      <c r="O657" s="93"/>
      <c r="P657" s="93"/>
      <c r="Q657" s="93"/>
      <c r="R657" s="93"/>
      <c r="S657" s="93"/>
      <c r="T657" s="93"/>
      <c r="U657" s="93"/>
      <c r="V657" s="93"/>
      <c r="W657" s="98" t="s">
        <v>2783</v>
      </c>
      <c r="X657" s="98" t="s">
        <v>2784</v>
      </c>
      <c r="Y657" s="98" t="s">
        <v>2785</v>
      </c>
      <c r="Z657" s="98" t="s">
        <v>137</v>
      </c>
      <c r="AA657" s="93"/>
      <c r="AB657" s="92">
        <v>1.0</v>
      </c>
      <c r="AC657" s="93"/>
      <c r="AD657" s="92">
        <v>1.0</v>
      </c>
      <c r="AE657" s="93"/>
      <c r="AF657" s="93"/>
      <c r="AG657" s="93"/>
      <c r="AH657" s="96" t="s">
        <v>2786</v>
      </c>
      <c r="AI657" s="92">
        <v>1.0</v>
      </c>
      <c r="AJ657" s="92">
        <v>1.0</v>
      </c>
      <c r="AK657" s="93"/>
      <c r="AL657" s="93"/>
      <c r="AM657" s="93"/>
      <c r="AN657" s="93"/>
      <c r="AO657" s="93"/>
      <c r="AP657" s="93"/>
      <c r="AQ657" s="93"/>
      <c r="AR657" s="92">
        <v>1.0</v>
      </c>
      <c r="AS657" s="93"/>
      <c r="AT657" s="93"/>
      <c r="AU657" s="93"/>
      <c r="AV657" s="93"/>
      <c r="AW657" s="93"/>
      <c r="AX657" s="93"/>
      <c r="AY657" s="92">
        <v>1.0</v>
      </c>
      <c r="AZ657" s="93"/>
      <c r="BA657" s="93"/>
      <c r="BB657" s="93"/>
      <c r="BC657" s="93"/>
      <c r="BD657" s="93"/>
      <c r="BE657" s="93"/>
      <c r="BF657" s="93"/>
      <c r="BG657" s="93"/>
      <c r="BH657" s="93"/>
      <c r="BI657" s="92">
        <v>1.0</v>
      </c>
      <c r="BJ657" s="93"/>
      <c r="BK657" s="93"/>
      <c r="BL657" s="93"/>
      <c r="BM657" s="93"/>
      <c r="BN657" s="93"/>
      <c r="BO657" s="93"/>
      <c r="BP657" s="93"/>
      <c r="BQ657" s="93"/>
      <c r="BR657" s="93"/>
      <c r="BS657" s="93"/>
      <c r="BT657" s="93"/>
      <c r="BU657" s="93"/>
      <c r="BV657" s="92">
        <v>1.0</v>
      </c>
      <c r="BW657" s="92">
        <v>1.0</v>
      </c>
      <c r="BX657" s="95"/>
      <c r="BY657" s="93"/>
      <c r="BZ657" s="92">
        <v>1.0</v>
      </c>
    </row>
    <row r="658">
      <c r="B658" t="s">
        <v>2787</v>
      </c>
      <c r="C658" s="89" t="s">
        <v>2788</v>
      </c>
      <c r="D658" s="90" t="s">
        <v>2789</v>
      </c>
      <c r="E658" s="91">
        <v>2017.0</v>
      </c>
      <c r="F658" s="92">
        <v>1.0</v>
      </c>
      <c r="G658" s="93"/>
      <c r="H658" s="93"/>
      <c r="I658" s="93"/>
      <c r="J658" s="93"/>
      <c r="K658" s="93"/>
      <c r="L658" s="93"/>
      <c r="M658" s="93"/>
      <c r="N658" s="93"/>
      <c r="O658" s="93"/>
      <c r="P658" s="93"/>
      <c r="Q658" s="93"/>
      <c r="R658" s="93"/>
      <c r="S658" s="93"/>
      <c r="T658" s="93"/>
      <c r="U658" s="93"/>
      <c r="V658" s="93"/>
      <c r="W658" s="93"/>
      <c r="X658" s="93"/>
      <c r="Y658" s="93"/>
      <c r="Z658" s="93"/>
      <c r="AA658" s="93"/>
      <c r="AB658" s="93"/>
      <c r="AC658" s="93"/>
      <c r="AD658" s="93"/>
      <c r="AE658" s="93"/>
      <c r="AF658" s="93"/>
      <c r="AG658" s="93"/>
      <c r="AH658" s="94"/>
      <c r="AI658" s="93"/>
      <c r="AJ658" s="93"/>
      <c r="AK658" s="93"/>
      <c r="AL658" s="93"/>
      <c r="AM658" s="93"/>
      <c r="AN658" s="93"/>
      <c r="AO658" s="93"/>
      <c r="AP658" s="93"/>
      <c r="AQ658" s="93"/>
      <c r="AR658" s="93"/>
      <c r="AS658" s="93"/>
      <c r="AT658" s="93"/>
      <c r="AU658" s="93"/>
      <c r="AV658" s="93"/>
      <c r="AW658" s="93"/>
      <c r="AX658" s="93"/>
      <c r="AY658" s="93"/>
      <c r="AZ658" s="93"/>
      <c r="BA658" s="93"/>
      <c r="BB658" s="93"/>
      <c r="BC658" s="93"/>
      <c r="BD658" s="93"/>
      <c r="BE658" s="93"/>
      <c r="BF658" s="93"/>
      <c r="BG658" s="93"/>
      <c r="BH658" s="93"/>
      <c r="BI658" s="93"/>
      <c r="BJ658" s="93"/>
      <c r="BK658" s="93"/>
      <c r="BL658" s="93"/>
      <c r="BM658" s="93"/>
      <c r="BN658" s="93"/>
      <c r="BO658" s="93"/>
      <c r="BP658" s="93"/>
      <c r="BQ658" s="93"/>
      <c r="BR658" s="93"/>
      <c r="BS658" s="93"/>
      <c r="BT658" s="93"/>
      <c r="BU658" s="93"/>
      <c r="BV658" s="93"/>
      <c r="BW658" s="93"/>
      <c r="BX658" s="93"/>
      <c r="BY658" s="93"/>
      <c r="BZ658" s="93"/>
    </row>
    <row r="659">
      <c r="B659" t="s">
        <v>2790</v>
      </c>
      <c r="C659" s="89" t="s">
        <v>2791</v>
      </c>
      <c r="D659" s="90" t="s">
        <v>2792</v>
      </c>
      <c r="E659" s="91">
        <v>2018.0</v>
      </c>
      <c r="F659" s="92">
        <v>1.0</v>
      </c>
      <c r="G659" s="93"/>
      <c r="H659" s="93"/>
      <c r="I659" s="93"/>
      <c r="J659" s="93"/>
      <c r="K659" s="93"/>
      <c r="L659" s="93"/>
      <c r="M659" s="93"/>
      <c r="N659" s="93"/>
      <c r="O659" s="93"/>
      <c r="P659" s="93"/>
      <c r="Q659" s="93"/>
      <c r="R659" s="93"/>
      <c r="S659" s="93"/>
      <c r="T659" s="93"/>
      <c r="U659" s="93"/>
      <c r="V659" s="93"/>
      <c r="W659" s="93"/>
      <c r="X659" s="93"/>
      <c r="Y659" s="93"/>
      <c r="Z659" s="93"/>
      <c r="AA659" s="93"/>
      <c r="AB659" s="93"/>
      <c r="AC659" s="93"/>
      <c r="AD659" s="93"/>
      <c r="AE659" s="93"/>
      <c r="AF659" s="93"/>
      <c r="AG659" s="93"/>
      <c r="AH659" s="94"/>
      <c r="AI659" s="93"/>
      <c r="AJ659" s="93"/>
      <c r="AK659" s="93"/>
      <c r="AL659" s="93"/>
      <c r="AM659" s="93"/>
      <c r="AN659" s="93"/>
      <c r="AO659" s="93"/>
      <c r="AP659" s="93"/>
      <c r="AQ659" s="93"/>
      <c r="AR659" s="93"/>
      <c r="AS659" s="93"/>
      <c r="AT659" s="93"/>
      <c r="AU659" s="93"/>
      <c r="AV659" s="93"/>
      <c r="AW659" s="93"/>
      <c r="AX659" s="93"/>
      <c r="AY659" s="93"/>
      <c r="AZ659" s="93"/>
      <c r="BA659" s="93"/>
      <c r="BB659" s="93"/>
      <c r="BC659" s="93"/>
      <c r="BD659" s="93"/>
      <c r="BE659" s="93"/>
      <c r="BF659" s="93"/>
      <c r="BG659" s="93"/>
      <c r="BH659" s="93"/>
      <c r="BI659" s="93"/>
      <c r="BJ659" s="93"/>
      <c r="BK659" s="93"/>
      <c r="BL659" s="93"/>
      <c r="BM659" s="93"/>
      <c r="BN659" s="93"/>
      <c r="BO659" s="93"/>
      <c r="BP659" s="93"/>
      <c r="BQ659" s="93"/>
      <c r="BR659" s="93"/>
      <c r="BS659" s="93"/>
      <c r="BT659" s="93"/>
      <c r="BU659" s="93"/>
      <c r="BV659" s="93"/>
      <c r="BW659" s="93"/>
      <c r="BX659" s="93"/>
      <c r="BY659" s="93"/>
      <c r="BZ659" s="93"/>
    </row>
    <row r="660">
      <c r="B660" t="s">
        <v>2793</v>
      </c>
      <c r="C660" s="89" t="s">
        <v>2794</v>
      </c>
      <c r="D660" s="90" t="s">
        <v>2795</v>
      </c>
      <c r="E660" s="91">
        <v>2020.0</v>
      </c>
      <c r="F660" s="92">
        <v>1.0</v>
      </c>
      <c r="G660" s="93"/>
      <c r="H660" s="93"/>
      <c r="I660" s="93"/>
      <c r="J660" s="93"/>
      <c r="K660" s="93"/>
      <c r="L660" s="93"/>
      <c r="M660" s="93"/>
      <c r="N660" s="93"/>
      <c r="O660" s="93"/>
      <c r="P660" s="93"/>
      <c r="Q660" s="93"/>
      <c r="R660" s="93"/>
      <c r="S660" s="93"/>
      <c r="T660" s="93"/>
      <c r="U660" s="93"/>
      <c r="V660" s="93"/>
      <c r="W660" s="93"/>
      <c r="X660" s="93"/>
      <c r="Y660" s="93"/>
      <c r="Z660" s="93"/>
      <c r="AA660" s="93"/>
      <c r="AB660" s="93"/>
      <c r="AC660" s="93"/>
      <c r="AD660" s="93"/>
      <c r="AE660" s="93"/>
      <c r="AF660" s="93"/>
      <c r="AG660" s="93"/>
      <c r="AH660" s="94"/>
      <c r="AI660" s="93"/>
      <c r="AJ660" s="93"/>
      <c r="AK660" s="93"/>
      <c r="AL660" s="93"/>
      <c r="AM660" s="93"/>
      <c r="AN660" s="93"/>
      <c r="AO660" s="93"/>
      <c r="AP660" s="93"/>
      <c r="AQ660" s="93"/>
      <c r="AR660" s="93"/>
      <c r="AS660" s="93"/>
      <c r="AT660" s="93"/>
      <c r="AU660" s="93"/>
      <c r="AV660" s="93"/>
      <c r="AW660" s="93"/>
      <c r="AX660" s="93"/>
      <c r="AY660" s="93"/>
      <c r="AZ660" s="93"/>
      <c r="BA660" s="93"/>
      <c r="BB660" s="93"/>
      <c r="BC660" s="93"/>
      <c r="BD660" s="93"/>
      <c r="BE660" s="93"/>
      <c r="BF660" s="93"/>
      <c r="BG660" s="93"/>
      <c r="BH660" s="93"/>
      <c r="BI660" s="93"/>
      <c r="BJ660" s="93"/>
      <c r="BK660" s="93"/>
      <c r="BL660" s="93"/>
      <c r="BM660" s="93"/>
      <c r="BN660" s="93"/>
      <c r="BO660" s="93"/>
      <c r="BP660" s="93"/>
      <c r="BQ660" s="93"/>
      <c r="BR660" s="93"/>
      <c r="BS660" s="93"/>
      <c r="BT660" s="93"/>
      <c r="BU660" s="93"/>
      <c r="BV660" s="93"/>
      <c r="BW660" s="93"/>
      <c r="BX660" s="93"/>
      <c r="BY660" s="93"/>
      <c r="BZ660" s="93"/>
    </row>
    <row r="661">
      <c r="B661" t="s">
        <v>2796</v>
      </c>
      <c r="C661" s="89" t="s">
        <v>2797</v>
      </c>
      <c r="D661" s="90" t="s">
        <v>2798</v>
      </c>
      <c r="E661" s="91">
        <v>2017.0</v>
      </c>
      <c r="F661" s="92">
        <v>1.0</v>
      </c>
      <c r="G661" s="93"/>
      <c r="H661" s="93"/>
      <c r="I661" s="93"/>
      <c r="J661" s="93"/>
      <c r="K661" s="93"/>
      <c r="L661" s="93"/>
      <c r="M661" s="93"/>
      <c r="N661" s="93"/>
      <c r="O661" s="93"/>
      <c r="P661" s="93"/>
      <c r="Q661" s="93"/>
      <c r="R661" s="93"/>
      <c r="S661" s="93"/>
      <c r="T661" s="93"/>
      <c r="U661" s="93"/>
      <c r="V661" s="93"/>
      <c r="W661" s="93"/>
      <c r="X661" s="93"/>
      <c r="Y661" s="93"/>
      <c r="Z661" s="93"/>
      <c r="AA661" s="93"/>
      <c r="AB661" s="93"/>
      <c r="AC661" s="93"/>
      <c r="AD661" s="93"/>
      <c r="AE661" s="93"/>
      <c r="AF661" s="93"/>
      <c r="AG661" s="93"/>
      <c r="AH661" s="94"/>
      <c r="AI661" s="93"/>
      <c r="AJ661" s="93"/>
      <c r="AK661" s="93"/>
      <c r="AL661" s="93"/>
      <c r="AM661" s="93"/>
      <c r="AN661" s="93"/>
      <c r="AO661" s="93"/>
      <c r="AP661" s="93"/>
      <c r="AQ661" s="93"/>
      <c r="AR661" s="93"/>
      <c r="AS661" s="93"/>
      <c r="AT661" s="93"/>
      <c r="AU661" s="93"/>
      <c r="AV661" s="93"/>
      <c r="AW661" s="93"/>
      <c r="AX661" s="93"/>
      <c r="AY661" s="93"/>
      <c r="AZ661" s="93"/>
      <c r="BA661" s="93"/>
      <c r="BB661" s="93"/>
      <c r="BC661" s="93"/>
      <c r="BD661" s="93"/>
      <c r="BE661" s="93"/>
      <c r="BF661" s="93"/>
      <c r="BG661" s="93"/>
      <c r="BH661" s="93"/>
      <c r="BI661" s="93"/>
      <c r="BJ661" s="93"/>
      <c r="BK661" s="93"/>
      <c r="BL661" s="93"/>
      <c r="BM661" s="93"/>
      <c r="BN661" s="93"/>
      <c r="BO661" s="93"/>
      <c r="BP661" s="93"/>
      <c r="BQ661" s="93"/>
      <c r="BR661" s="93"/>
      <c r="BS661" s="93"/>
      <c r="BT661" s="93"/>
      <c r="BU661" s="93"/>
      <c r="BV661" s="93"/>
      <c r="BW661" s="93"/>
      <c r="BX661" s="93"/>
      <c r="BY661" s="93"/>
      <c r="BZ661" s="93"/>
    </row>
    <row r="662">
      <c r="B662" t="s">
        <v>2799</v>
      </c>
      <c r="C662" s="89" t="s">
        <v>2800</v>
      </c>
      <c r="D662" s="90" t="s">
        <v>2801</v>
      </c>
      <c r="E662" s="91">
        <v>2016.0</v>
      </c>
      <c r="F662" s="92">
        <v>1.0</v>
      </c>
      <c r="G662" s="93"/>
      <c r="H662" s="93"/>
      <c r="I662" s="93"/>
      <c r="J662" s="93"/>
      <c r="K662" s="93"/>
      <c r="L662" s="93"/>
      <c r="M662" s="93"/>
      <c r="N662" s="93"/>
      <c r="O662" s="93"/>
      <c r="P662" s="93"/>
      <c r="Q662" s="93"/>
      <c r="R662" s="93"/>
      <c r="S662" s="93"/>
      <c r="T662" s="93"/>
      <c r="U662" s="93"/>
      <c r="V662" s="93"/>
      <c r="W662" s="93"/>
      <c r="X662" s="93"/>
      <c r="Y662" s="93"/>
      <c r="Z662" s="93"/>
      <c r="AA662" s="93"/>
      <c r="AB662" s="93"/>
      <c r="AC662" s="93"/>
      <c r="AD662" s="93"/>
      <c r="AE662" s="93"/>
      <c r="AF662" s="93"/>
      <c r="AG662" s="93"/>
      <c r="AH662" s="94"/>
      <c r="AI662" s="93"/>
      <c r="AJ662" s="93"/>
      <c r="AK662" s="93"/>
      <c r="AL662" s="93"/>
      <c r="AM662" s="93"/>
      <c r="AN662" s="93"/>
      <c r="AO662" s="93"/>
      <c r="AP662" s="93"/>
      <c r="AQ662" s="93"/>
      <c r="AR662" s="93"/>
      <c r="AS662" s="93"/>
      <c r="AT662" s="93"/>
      <c r="AU662" s="93"/>
      <c r="AV662" s="93"/>
      <c r="AW662" s="93"/>
      <c r="AX662" s="93"/>
      <c r="AY662" s="93"/>
      <c r="AZ662" s="93"/>
      <c r="BA662" s="93"/>
      <c r="BB662" s="93"/>
      <c r="BC662" s="93"/>
      <c r="BD662" s="93"/>
      <c r="BE662" s="93"/>
      <c r="BF662" s="93"/>
      <c r="BG662" s="93"/>
      <c r="BH662" s="93"/>
      <c r="BI662" s="93"/>
      <c r="BJ662" s="93"/>
      <c r="BK662" s="93"/>
      <c r="BL662" s="93"/>
      <c r="BM662" s="93"/>
      <c r="BN662" s="93"/>
      <c r="BO662" s="93"/>
      <c r="BP662" s="93"/>
      <c r="BQ662" s="93"/>
      <c r="BR662" s="93"/>
      <c r="BS662" s="93"/>
      <c r="BT662" s="93"/>
      <c r="BU662" s="93"/>
      <c r="BV662" s="93"/>
      <c r="BW662" s="93"/>
      <c r="BX662" s="93"/>
      <c r="BY662" s="93"/>
      <c r="BZ662" s="93"/>
    </row>
    <row r="663">
      <c r="B663" t="s">
        <v>2802</v>
      </c>
      <c r="C663" s="89" t="s">
        <v>2803</v>
      </c>
      <c r="D663" s="90" t="s">
        <v>2804</v>
      </c>
      <c r="E663" s="91">
        <v>2017.0</v>
      </c>
      <c r="F663" s="92">
        <v>1.0</v>
      </c>
      <c r="G663" s="93"/>
      <c r="H663" s="93"/>
      <c r="I663" s="93"/>
      <c r="J663" s="93"/>
      <c r="K663" s="93"/>
      <c r="L663" s="93"/>
      <c r="M663" s="93"/>
      <c r="N663" s="93"/>
      <c r="O663" s="93"/>
      <c r="P663" s="93"/>
      <c r="Q663" s="93"/>
      <c r="R663" s="93"/>
      <c r="S663" s="93"/>
      <c r="T663" s="93"/>
      <c r="U663" s="93"/>
      <c r="V663" s="93"/>
      <c r="W663" s="93"/>
      <c r="X663" s="93"/>
      <c r="Y663" s="93"/>
      <c r="Z663" s="93"/>
      <c r="AA663" s="93"/>
      <c r="AB663" s="93"/>
      <c r="AC663" s="93"/>
      <c r="AD663" s="93"/>
      <c r="AE663" s="93"/>
      <c r="AF663" s="93"/>
      <c r="AG663" s="93"/>
      <c r="AH663" s="94"/>
      <c r="AI663" s="93"/>
      <c r="AJ663" s="93"/>
      <c r="AK663" s="93"/>
      <c r="AL663" s="93"/>
      <c r="AM663" s="93"/>
      <c r="AN663" s="93"/>
      <c r="AO663" s="93"/>
      <c r="AP663" s="93"/>
      <c r="AQ663" s="93"/>
      <c r="AR663" s="93"/>
      <c r="AS663" s="93"/>
      <c r="AT663" s="93"/>
      <c r="AU663" s="93"/>
      <c r="AV663" s="93"/>
      <c r="AW663" s="93"/>
      <c r="AX663" s="93"/>
      <c r="AY663" s="93"/>
      <c r="AZ663" s="93"/>
      <c r="BA663" s="93"/>
      <c r="BB663" s="93"/>
      <c r="BC663" s="93"/>
      <c r="BD663" s="93"/>
      <c r="BE663" s="93"/>
      <c r="BF663" s="93"/>
      <c r="BG663" s="93"/>
      <c r="BH663" s="93"/>
      <c r="BI663" s="93"/>
      <c r="BJ663" s="93"/>
      <c r="BK663" s="93"/>
      <c r="BL663" s="93"/>
      <c r="BM663" s="93"/>
      <c r="BN663" s="93"/>
      <c r="BO663" s="93"/>
      <c r="BP663" s="93"/>
      <c r="BQ663" s="93"/>
      <c r="BR663" s="93"/>
      <c r="BS663" s="93"/>
      <c r="BT663" s="93"/>
      <c r="BU663" s="93"/>
      <c r="BV663" s="93"/>
      <c r="BW663" s="93"/>
      <c r="BX663" s="93"/>
      <c r="BY663" s="93"/>
      <c r="BZ663" s="93"/>
    </row>
    <row r="664">
      <c r="B664" t="s">
        <v>2805</v>
      </c>
      <c r="C664" s="89" t="s">
        <v>2806</v>
      </c>
      <c r="D664" s="90" t="s">
        <v>2807</v>
      </c>
      <c r="E664" s="91">
        <v>2018.0</v>
      </c>
      <c r="F664" s="92">
        <v>1.0</v>
      </c>
      <c r="G664" s="93"/>
      <c r="H664" s="93"/>
      <c r="I664" s="93"/>
      <c r="J664" s="93"/>
      <c r="K664" s="93"/>
      <c r="L664" s="93"/>
      <c r="M664" s="93"/>
      <c r="N664" s="93"/>
      <c r="O664" s="93"/>
      <c r="P664" s="93"/>
      <c r="Q664" s="93"/>
      <c r="R664" s="93"/>
      <c r="S664" s="93"/>
      <c r="T664" s="93"/>
      <c r="U664" s="93"/>
      <c r="V664" s="93"/>
      <c r="W664" s="93"/>
      <c r="X664" s="93"/>
      <c r="Y664" s="93"/>
      <c r="Z664" s="93"/>
      <c r="AA664" s="93"/>
      <c r="AB664" s="93"/>
      <c r="AC664" s="93"/>
      <c r="AD664" s="93"/>
      <c r="AE664" s="93"/>
      <c r="AF664" s="93"/>
      <c r="AG664" s="93"/>
      <c r="AH664" s="94"/>
      <c r="AI664" s="93"/>
      <c r="AJ664" s="93"/>
      <c r="AK664" s="93"/>
      <c r="AL664" s="93"/>
      <c r="AM664" s="93"/>
      <c r="AN664" s="93"/>
      <c r="AO664" s="93"/>
      <c r="AP664" s="93"/>
      <c r="AQ664" s="93"/>
      <c r="AR664" s="93"/>
      <c r="AS664" s="93"/>
      <c r="AT664" s="93"/>
      <c r="AU664" s="93"/>
      <c r="AV664" s="93"/>
      <c r="AW664" s="93"/>
      <c r="AX664" s="93"/>
      <c r="AY664" s="93"/>
      <c r="AZ664" s="93"/>
      <c r="BA664" s="93"/>
      <c r="BB664" s="93"/>
      <c r="BC664" s="93"/>
      <c r="BD664" s="93"/>
      <c r="BE664" s="93"/>
      <c r="BF664" s="93"/>
      <c r="BG664" s="93"/>
      <c r="BH664" s="93"/>
      <c r="BI664" s="93"/>
      <c r="BJ664" s="93"/>
      <c r="BK664" s="93"/>
      <c r="BL664" s="93"/>
      <c r="BM664" s="93"/>
      <c r="BN664" s="93"/>
      <c r="BO664" s="93"/>
      <c r="BP664" s="93"/>
      <c r="BQ664" s="93"/>
      <c r="BR664" s="93"/>
      <c r="BS664" s="93"/>
      <c r="BT664" s="93"/>
      <c r="BU664" s="93"/>
      <c r="BV664" s="93"/>
      <c r="BW664" s="93"/>
      <c r="BX664" s="93"/>
      <c r="BY664" s="93"/>
      <c r="BZ664" s="93"/>
    </row>
    <row r="665">
      <c r="A665" t="s">
        <v>1354</v>
      </c>
      <c r="B665" t="s">
        <v>2808</v>
      </c>
      <c r="C665" s="89" t="s">
        <v>2809</v>
      </c>
      <c r="D665" s="90" t="s">
        <v>2810</v>
      </c>
      <c r="E665" s="91">
        <v>2018.0</v>
      </c>
      <c r="F665" s="92">
        <v>1.0</v>
      </c>
      <c r="G665" s="93"/>
      <c r="H665" s="93"/>
      <c r="I665" s="93"/>
      <c r="J665" s="93"/>
      <c r="K665" s="93"/>
      <c r="L665" s="93"/>
      <c r="M665" s="93"/>
      <c r="N665" s="93"/>
      <c r="O665" s="93"/>
      <c r="P665" s="93"/>
      <c r="Q665" s="93"/>
      <c r="R665" s="93"/>
      <c r="S665" s="93"/>
      <c r="T665" s="93"/>
      <c r="U665" s="93"/>
      <c r="V665" s="93"/>
      <c r="W665" s="93"/>
      <c r="X665" s="93"/>
      <c r="Y665" s="93"/>
      <c r="Z665" s="93"/>
      <c r="AA665" s="93"/>
      <c r="AB665" s="93"/>
      <c r="AC665" s="93"/>
      <c r="AD665" s="93"/>
      <c r="AE665" s="93"/>
      <c r="AF665" s="93"/>
      <c r="AG665" s="93"/>
      <c r="AH665" s="94"/>
      <c r="AI665" s="93"/>
      <c r="AJ665" s="93"/>
      <c r="AK665" s="93"/>
      <c r="AL665" s="93"/>
      <c r="AM665" s="93"/>
      <c r="AN665" s="93"/>
      <c r="AO665" s="93"/>
      <c r="AP665" s="93"/>
      <c r="AQ665" s="93"/>
      <c r="AR665" s="93"/>
      <c r="AS665" s="93"/>
      <c r="AT665" s="93"/>
      <c r="AU665" s="93"/>
      <c r="AV665" s="93"/>
      <c r="AW665" s="93"/>
      <c r="AX665" s="93"/>
      <c r="AY665" s="93"/>
      <c r="AZ665" s="93"/>
      <c r="BA665" s="93"/>
      <c r="BB665" s="93"/>
      <c r="BC665" s="93"/>
      <c r="BD665" s="93"/>
      <c r="BE665" s="93"/>
      <c r="BF665" s="93"/>
      <c r="BG665" s="93"/>
      <c r="BH665" s="93"/>
      <c r="BI665" s="93"/>
      <c r="BJ665" s="93"/>
      <c r="BK665" s="93"/>
      <c r="BL665" s="93"/>
      <c r="BM665" s="93"/>
      <c r="BN665" s="93"/>
      <c r="BO665" s="93"/>
      <c r="BP665" s="93"/>
      <c r="BQ665" s="93"/>
      <c r="BR665" s="93"/>
      <c r="BS665" s="93"/>
      <c r="BT665" s="93"/>
      <c r="BU665" s="93"/>
      <c r="BV665" s="93"/>
      <c r="BW665" s="93"/>
      <c r="BX665" s="93"/>
      <c r="BY665" s="93"/>
      <c r="BZ665" s="93"/>
    </row>
    <row r="666">
      <c r="B666" t="s">
        <v>2811</v>
      </c>
      <c r="C666" s="89" t="s">
        <v>2812</v>
      </c>
      <c r="D666" s="90" t="s">
        <v>2795</v>
      </c>
      <c r="E666" s="91">
        <v>2018.0</v>
      </c>
      <c r="F666" s="92">
        <v>1.0</v>
      </c>
      <c r="G666" s="93"/>
      <c r="H666" s="93"/>
      <c r="I666" s="93"/>
      <c r="J666" s="93"/>
      <c r="K666" s="93"/>
      <c r="L666" s="93"/>
      <c r="M666" s="93"/>
      <c r="N666" s="93"/>
      <c r="O666" s="93"/>
      <c r="P666" s="93"/>
      <c r="Q666" s="93"/>
      <c r="R666" s="93"/>
      <c r="S666" s="93"/>
      <c r="T666" s="93"/>
      <c r="U666" s="93"/>
      <c r="V666" s="93"/>
      <c r="W666" s="93"/>
      <c r="X666" s="93"/>
      <c r="Y666" s="93"/>
      <c r="Z666" s="93"/>
      <c r="AA666" s="93"/>
      <c r="AB666" s="93"/>
      <c r="AC666" s="93"/>
      <c r="AD666" s="93"/>
      <c r="AE666" s="93"/>
      <c r="AF666" s="93"/>
      <c r="AG666" s="93"/>
      <c r="AH666" s="94"/>
      <c r="AI666" s="93"/>
      <c r="AJ666" s="93"/>
      <c r="AK666" s="93"/>
      <c r="AL666" s="93"/>
      <c r="AM666" s="93"/>
      <c r="AN666" s="93"/>
      <c r="AO666" s="93"/>
      <c r="AP666" s="93"/>
      <c r="AQ666" s="93"/>
      <c r="AR666" s="93"/>
      <c r="AS666" s="93"/>
      <c r="AT666" s="93"/>
      <c r="AU666" s="93"/>
      <c r="AV666" s="93"/>
      <c r="AW666" s="93"/>
      <c r="AX666" s="93"/>
      <c r="AY666" s="93"/>
      <c r="AZ666" s="93"/>
      <c r="BA666" s="93"/>
      <c r="BB666" s="93"/>
      <c r="BC666" s="93"/>
      <c r="BD666" s="93"/>
      <c r="BE666" s="93"/>
      <c r="BF666" s="93"/>
      <c r="BG666" s="93"/>
      <c r="BH666" s="93"/>
      <c r="BI666" s="93"/>
      <c r="BJ666" s="93"/>
      <c r="BK666" s="93"/>
      <c r="BL666" s="93"/>
      <c r="BM666" s="93"/>
      <c r="BN666" s="93"/>
      <c r="BO666" s="93"/>
      <c r="BP666" s="93"/>
      <c r="BQ666" s="93"/>
      <c r="BR666" s="93"/>
      <c r="BS666" s="93"/>
      <c r="BT666" s="93"/>
      <c r="BU666" s="93"/>
      <c r="BV666" s="93"/>
      <c r="BW666" s="93"/>
      <c r="BX666" s="93"/>
      <c r="BY666" s="93"/>
      <c r="BZ666" s="93"/>
    </row>
    <row r="667">
      <c r="A667" t="s">
        <v>116</v>
      </c>
      <c r="B667" t="s">
        <v>2813</v>
      </c>
      <c r="C667" s="89" t="s">
        <v>268</v>
      </c>
      <c r="D667" s="90" t="s">
        <v>2814</v>
      </c>
      <c r="E667" s="91">
        <v>2019.0</v>
      </c>
      <c r="F667" s="92">
        <v>1.0</v>
      </c>
      <c r="G667" s="93"/>
      <c r="H667" s="93"/>
      <c r="I667" s="93"/>
      <c r="J667" s="93"/>
      <c r="K667" s="93"/>
      <c r="L667" s="93"/>
      <c r="M667" s="93"/>
      <c r="N667" s="93"/>
      <c r="O667" s="93"/>
      <c r="P667" s="93"/>
      <c r="Q667" s="93"/>
      <c r="R667" s="93"/>
      <c r="S667" s="93"/>
      <c r="T667" s="93"/>
      <c r="U667" s="93"/>
      <c r="V667" s="93"/>
      <c r="W667" s="93"/>
      <c r="X667" s="93"/>
      <c r="Y667" s="93"/>
      <c r="Z667" s="93"/>
      <c r="AA667" s="93"/>
      <c r="AB667" s="93"/>
      <c r="AC667" s="93"/>
      <c r="AD667" s="93"/>
      <c r="AE667" s="93"/>
      <c r="AF667" s="93"/>
      <c r="AG667" s="93"/>
      <c r="AH667" s="94"/>
      <c r="AI667" s="93"/>
      <c r="AJ667" s="93"/>
      <c r="AK667" s="93"/>
      <c r="AL667" s="93"/>
      <c r="AM667" s="93"/>
      <c r="AN667" s="93"/>
      <c r="AO667" s="93"/>
      <c r="AP667" s="93"/>
      <c r="AQ667" s="93"/>
      <c r="AR667" s="93"/>
      <c r="AS667" s="93"/>
      <c r="AT667" s="93"/>
      <c r="AU667" s="93"/>
      <c r="AV667" s="93"/>
      <c r="AW667" s="93"/>
      <c r="AX667" s="93"/>
      <c r="AY667" s="93"/>
      <c r="AZ667" s="93"/>
      <c r="BA667" s="93"/>
      <c r="BB667" s="93"/>
      <c r="BC667" s="93"/>
      <c r="BD667" s="93"/>
      <c r="BE667" s="93"/>
      <c r="BF667" s="93"/>
      <c r="BG667" s="93"/>
      <c r="BH667" s="93"/>
      <c r="BI667" s="93"/>
      <c r="BJ667" s="93"/>
      <c r="BK667" s="93"/>
      <c r="BL667" s="93"/>
      <c r="BM667" s="93"/>
      <c r="BN667" s="93"/>
      <c r="BO667" s="93"/>
      <c r="BP667" s="93"/>
      <c r="BQ667" s="93"/>
      <c r="BR667" s="93"/>
      <c r="BS667" s="93"/>
      <c r="BT667" s="93"/>
      <c r="BU667" s="93"/>
      <c r="BV667" s="93"/>
      <c r="BW667" s="93"/>
      <c r="BX667" s="93"/>
      <c r="BY667" s="93"/>
      <c r="BZ667" s="93"/>
    </row>
    <row r="668">
      <c r="B668" t="s">
        <v>2815</v>
      </c>
      <c r="C668" s="89" t="s">
        <v>2816</v>
      </c>
      <c r="D668" s="90" t="s">
        <v>2817</v>
      </c>
      <c r="E668" s="91">
        <v>2018.0</v>
      </c>
      <c r="F668" s="92">
        <v>1.0</v>
      </c>
      <c r="G668" s="93"/>
      <c r="H668" s="93"/>
      <c r="I668" s="93"/>
      <c r="J668" s="93"/>
      <c r="K668" s="93"/>
      <c r="L668" s="93"/>
      <c r="M668" s="93"/>
      <c r="N668" s="93"/>
      <c r="O668" s="93"/>
      <c r="P668" s="93"/>
      <c r="Q668" s="93"/>
      <c r="R668" s="93"/>
      <c r="S668" s="93"/>
      <c r="T668" s="93"/>
      <c r="U668" s="93"/>
      <c r="V668" s="93"/>
      <c r="W668" s="93"/>
      <c r="X668" s="93"/>
      <c r="Y668" s="93"/>
      <c r="Z668" s="93"/>
      <c r="AA668" s="93"/>
      <c r="AB668" s="93"/>
      <c r="AC668" s="93"/>
      <c r="AD668" s="93"/>
      <c r="AE668" s="93"/>
      <c r="AF668" s="93"/>
      <c r="AG668" s="93"/>
      <c r="AH668" s="94"/>
      <c r="AI668" s="93"/>
      <c r="AJ668" s="93"/>
      <c r="AK668" s="93"/>
      <c r="AL668" s="93"/>
      <c r="AM668" s="93"/>
      <c r="AN668" s="93"/>
      <c r="AO668" s="93"/>
      <c r="AP668" s="93"/>
      <c r="AQ668" s="93"/>
      <c r="AR668" s="93"/>
      <c r="AS668" s="93"/>
      <c r="AT668" s="93"/>
      <c r="AU668" s="93"/>
      <c r="AV668" s="93"/>
      <c r="AW668" s="93"/>
      <c r="AX668" s="93"/>
      <c r="AY668" s="93"/>
      <c r="AZ668" s="93"/>
      <c r="BA668" s="93"/>
      <c r="BB668" s="93"/>
      <c r="BC668" s="93"/>
      <c r="BD668" s="93"/>
      <c r="BE668" s="93"/>
      <c r="BF668" s="93"/>
      <c r="BG668" s="93"/>
      <c r="BH668" s="93"/>
      <c r="BI668" s="93"/>
      <c r="BJ668" s="93"/>
      <c r="BK668" s="93"/>
      <c r="BL668" s="93"/>
      <c r="BM668" s="93"/>
      <c r="BN668" s="93"/>
      <c r="BO668" s="93"/>
      <c r="BP668" s="93"/>
      <c r="BQ668" s="93"/>
      <c r="BR668" s="93"/>
      <c r="BS668" s="93"/>
      <c r="BT668" s="93"/>
      <c r="BU668" s="93"/>
      <c r="BV668" s="93"/>
      <c r="BW668" s="93"/>
      <c r="BX668" s="93"/>
      <c r="BY668" s="93"/>
      <c r="BZ668" s="93"/>
    </row>
    <row r="669">
      <c r="B669" t="s">
        <v>2818</v>
      </c>
      <c r="C669" s="89" t="s">
        <v>2819</v>
      </c>
      <c r="D669" s="90" t="s">
        <v>2801</v>
      </c>
      <c r="E669" s="91">
        <v>2016.0</v>
      </c>
      <c r="F669" s="92">
        <v>1.0</v>
      </c>
      <c r="G669" s="93"/>
      <c r="H669" s="93"/>
      <c r="I669" s="93"/>
      <c r="J669" s="93"/>
      <c r="K669" s="93"/>
      <c r="L669" s="93"/>
      <c r="M669" s="93"/>
      <c r="N669" s="93"/>
      <c r="O669" s="93"/>
      <c r="P669" s="93"/>
      <c r="Q669" s="93"/>
      <c r="R669" s="93"/>
      <c r="S669" s="93"/>
      <c r="T669" s="93"/>
      <c r="U669" s="93"/>
      <c r="V669" s="93"/>
      <c r="W669" s="93"/>
      <c r="X669" s="93"/>
      <c r="Y669" s="93"/>
      <c r="Z669" s="93"/>
      <c r="AA669" s="93"/>
      <c r="AB669" s="93"/>
      <c r="AC669" s="93"/>
      <c r="AD669" s="93"/>
      <c r="AE669" s="93"/>
      <c r="AF669" s="93"/>
      <c r="AG669" s="93"/>
      <c r="AH669" s="94"/>
      <c r="AI669" s="93"/>
      <c r="AJ669" s="93"/>
      <c r="AK669" s="93"/>
      <c r="AL669" s="93"/>
      <c r="AM669" s="93"/>
      <c r="AN669" s="93"/>
      <c r="AO669" s="93"/>
      <c r="AP669" s="93"/>
      <c r="AQ669" s="93"/>
      <c r="AR669" s="93"/>
      <c r="AS669" s="93"/>
      <c r="AT669" s="93"/>
      <c r="AU669" s="93"/>
      <c r="AV669" s="93"/>
      <c r="AW669" s="93"/>
      <c r="AX669" s="93"/>
      <c r="AY669" s="93"/>
      <c r="AZ669" s="93"/>
      <c r="BA669" s="93"/>
      <c r="BB669" s="93"/>
      <c r="BC669" s="93"/>
      <c r="BD669" s="93"/>
      <c r="BE669" s="93"/>
      <c r="BF669" s="93"/>
      <c r="BG669" s="93"/>
      <c r="BH669" s="93"/>
      <c r="BI669" s="93"/>
      <c r="BJ669" s="93"/>
      <c r="BK669" s="93"/>
      <c r="BL669" s="93"/>
      <c r="BM669" s="93"/>
      <c r="BN669" s="93"/>
      <c r="BO669" s="93"/>
      <c r="BP669" s="93"/>
      <c r="BQ669" s="93"/>
      <c r="BR669" s="93"/>
      <c r="BS669" s="93"/>
      <c r="BT669" s="93"/>
      <c r="BU669" s="93"/>
      <c r="BV669" s="93"/>
      <c r="BW669" s="93"/>
      <c r="BX669" s="93"/>
      <c r="BY669" s="93"/>
      <c r="BZ669" s="93"/>
    </row>
    <row r="670">
      <c r="A670" t="s">
        <v>1331</v>
      </c>
      <c r="B670" t="s">
        <v>2820</v>
      </c>
      <c r="C670" s="89" t="s">
        <v>2821</v>
      </c>
      <c r="D670" s="90" t="s">
        <v>777</v>
      </c>
      <c r="E670" s="91">
        <v>2017.0</v>
      </c>
      <c r="F670" s="92">
        <v>1.0</v>
      </c>
      <c r="G670" s="93"/>
      <c r="H670" s="93"/>
      <c r="I670" s="93"/>
      <c r="J670" s="93"/>
      <c r="K670" s="93"/>
      <c r="L670" s="93"/>
      <c r="M670" s="93"/>
      <c r="N670" s="93"/>
      <c r="O670" s="93"/>
      <c r="P670" s="93"/>
      <c r="Q670" s="93"/>
      <c r="R670" s="93"/>
      <c r="S670" s="93"/>
      <c r="T670" s="93"/>
      <c r="U670" s="93"/>
      <c r="V670" s="93"/>
      <c r="W670" s="93"/>
      <c r="X670" s="93"/>
      <c r="Y670" s="93"/>
      <c r="Z670" s="93"/>
      <c r="AA670" s="93"/>
      <c r="AB670" s="93"/>
      <c r="AC670" s="93"/>
      <c r="AD670" s="93"/>
      <c r="AE670" s="93"/>
      <c r="AF670" s="93"/>
      <c r="AG670" s="93"/>
      <c r="AH670" s="94"/>
      <c r="AI670" s="93"/>
      <c r="AJ670" s="93"/>
      <c r="AK670" s="93"/>
      <c r="AL670" s="93"/>
      <c r="AM670" s="93"/>
      <c r="AN670" s="93"/>
      <c r="AO670" s="93"/>
      <c r="AP670" s="93"/>
      <c r="AQ670" s="93"/>
      <c r="AR670" s="93"/>
      <c r="AS670" s="93"/>
      <c r="AT670" s="93"/>
      <c r="AU670" s="93"/>
      <c r="AV670" s="93"/>
      <c r="AW670" s="93"/>
      <c r="AX670" s="93"/>
      <c r="AY670" s="93"/>
      <c r="AZ670" s="93"/>
      <c r="BA670" s="93"/>
      <c r="BB670" s="93"/>
      <c r="BC670" s="93"/>
      <c r="BD670" s="93"/>
      <c r="BE670" s="93"/>
      <c r="BF670" s="93"/>
      <c r="BG670" s="93"/>
      <c r="BH670" s="93"/>
      <c r="BI670" s="93"/>
      <c r="BJ670" s="93"/>
      <c r="BK670" s="93"/>
      <c r="BL670" s="93"/>
      <c r="BM670" s="93"/>
      <c r="BN670" s="93"/>
      <c r="BO670" s="93"/>
      <c r="BP670" s="93"/>
      <c r="BQ670" s="93"/>
      <c r="BR670" s="93"/>
      <c r="BS670" s="93"/>
      <c r="BT670" s="93"/>
      <c r="BU670" s="93"/>
      <c r="BV670" s="93"/>
      <c r="BW670" s="93"/>
      <c r="BX670" s="93"/>
      <c r="BY670" s="93"/>
      <c r="BZ670" s="93"/>
    </row>
    <row r="671">
      <c r="A671" t="s">
        <v>1340</v>
      </c>
      <c r="B671" t="s">
        <v>2822</v>
      </c>
      <c r="C671" s="89" t="s">
        <v>2823</v>
      </c>
      <c r="D671" s="90" t="s">
        <v>2824</v>
      </c>
      <c r="E671" s="91">
        <v>2018.0</v>
      </c>
      <c r="F671" s="92">
        <v>1.0</v>
      </c>
      <c r="G671" s="93"/>
      <c r="H671" s="93"/>
      <c r="I671" s="93"/>
      <c r="J671" s="93"/>
      <c r="K671" s="93"/>
      <c r="L671" s="93"/>
      <c r="M671" s="93"/>
      <c r="N671" s="93"/>
      <c r="O671" s="93"/>
      <c r="P671" s="93"/>
      <c r="Q671" s="93"/>
      <c r="R671" s="93"/>
      <c r="S671" s="93"/>
      <c r="T671" s="93"/>
      <c r="U671" s="93"/>
      <c r="V671" s="93"/>
      <c r="W671" s="93"/>
      <c r="X671" s="93"/>
      <c r="Y671" s="93"/>
      <c r="Z671" s="93"/>
      <c r="AA671" s="93"/>
      <c r="AB671" s="93"/>
      <c r="AC671" s="93"/>
      <c r="AD671" s="93"/>
      <c r="AE671" s="93"/>
      <c r="AF671" s="93"/>
      <c r="AG671" s="93"/>
      <c r="AH671" s="94"/>
      <c r="AI671" s="93"/>
      <c r="AJ671" s="93"/>
      <c r="AK671" s="93"/>
      <c r="AL671" s="93"/>
      <c r="AM671" s="93"/>
      <c r="AN671" s="93"/>
      <c r="AO671" s="93"/>
      <c r="AP671" s="93"/>
      <c r="AQ671" s="93"/>
      <c r="AR671" s="93"/>
      <c r="AS671" s="93"/>
      <c r="AT671" s="93"/>
      <c r="AU671" s="93"/>
      <c r="AV671" s="93"/>
      <c r="AW671" s="93"/>
      <c r="AX671" s="93"/>
      <c r="AY671" s="93"/>
      <c r="AZ671" s="93"/>
      <c r="BA671" s="93"/>
      <c r="BB671" s="93"/>
      <c r="BC671" s="93"/>
      <c r="BD671" s="93"/>
      <c r="BE671" s="93"/>
      <c r="BF671" s="93"/>
      <c r="BG671" s="93"/>
      <c r="BH671" s="93"/>
      <c r="BI671" s="93"/>
      <c r="BJ671" s="93"/>
      <c r="BK671" s="93"/>
      <c r="BL671" s="93"/>
      <c r="BM671" s="93"/>
      <c r="BN671" s="93"/>
      <c r="BO671" s="93"/>
      <c r="BP671" s="93"/>
      <c r="BQ671" s="93"/>
      <c r="BR671" s="93"/>
      <c r="BS671" s="93"/>
      <c r="BT671" s="93"/>
      <c r="BU671" s="93"/>
      <c r="BV671" s="93"/>
      <c r="BW671" s="93"/>
      <c r="BX671" s="93"/>
      <c r="BY671" s="93"/>
      <c r="BZ671" s="93"/>
    </row>
    <row r="672">
      <c r="A672" t="s">
        <v>1354</v>
      </c>
      <c r="B672" t="s">
        <v>2825</v>
      </c>
      <c r="C672" s="89" t="s">
        <v>2826</v>
      </c>
      <c r="D672" s="90" t="s">
        <v>2827</v>
      </c>
      <c r="E672" s="91">
        <v>2019.0</v>
      </c>
      <c r="F672" s="93"/>
      <c r="G672" s="93"/>
      <c r="H672" s="93"/>
      <c r="I672" s="93"/>
      <c r="J672" s="93"/>
      <c r="K672" s="93"/>
      <c r="L672" s="93"/>
      <c r="M672" s="99">
        <v>1.0</v>
      </c>
      <c r="N672" s="93"/>
      <c r="O672" s="93"/>
      <c r="P672" s="93"/>
      <c r="Q672" s="93"/>
      <c r="R672" s="93"/>
      <c r="S672" s="93"/>
      <c r="T672" s="93"/>
      <c r="U672" s="93"/>
      <c r="V672" s="98" t="s">
        <v>748</v>
      </c>
      <c r="W672" s="98" t="s">
        <v>2828</v>
      </c>
      <c r="X672" s="98" t="s">
        <v>2829</v>
      </c>
      <c r="Y672" s="98" t="s">
        <v>2830</v>
      </c>
      <c r="Z672" s="98" t="s">
        <v>100</v>
      </c>
      <c r="AA672" s="93"/>
      <c r="AB672" s="99">
        <v>1.0</v>
      </c>
      <c r="AC672" s="99">
        <v>1.0</v>
      </c>
      <c r="AD672" s="99">
        <v>1.0</v>
      </c>
      <c r="AE672" s="93"/>
      <c r="AF672" s="93"/>
      <c r="AG672" s="93"/>
      <c r="AH672" s="96" t="s">
        <v>2831</v>
      </c>
      <c r="AI672" s="99">
        <v>1.0</v>
      </c>
      <c r="AJ672" s="93"/>
      <c r="AK672" s="93"/>
      <c r="AL672" s="93"/>
      <c r="AM672" s="93"/>
      <c r="AN672" s="93"/>
      <c r="AO672" s="93"/>
      <c r="AP672" s="93"/>
      <c r="AQ672" s="93"/>
      <c r="AR672" s="99">
        <v>1.0</v>
      </c>
      <c r="AS672" s="93"/>
      <c r="AT672" s="99">
        <v>1.0</v>
      </c>
      <c r="AU672" s="93"/>
      <c r="AV672" s="93"/>
      <c r="AW672" s="93"/>
      <c r="AX672" s="93"/>
      <c r="AY672" s="99">
        <v>1.0</v>
      </c>
      <c r="AZ672" s="93"/>
      <c r="BA672" s="93"/>
      <c r="BB672" s="93"/>
      <c r="BC672" s="93"/>
      <c r="BD672" s="93"/>
      <c r="BE672" s="93"/>
      <c r="BF672" s="93"/>
      <c r="BG672" s="93"/>
      <c r="BH672" s="93"/>
      <c r="BI672" s="99">
        <v>1.0</v>
      </c>
      <c r="BJ672" s="93"/>
      <c r="BK672" s="93"/>
      <c r="BL672" s="93"/>
      <c r="BM672" s="93"/>
      <c r="BN672" s="93"/>
      <c r="BO672" s="93"/>
      <c r="BP672" s="93"/>
      <c r="BQ672" s="99">
        <v>1.0</v>
      </c>
      <c r="BR672" s="93"/>
      <c r="BS672" s="93"/>
      <c r="BT672" s="93"/>
      <c r="BU672" s="99">
        <v>1.0</v>
      </c>
      <c r="BV672" s="93"/>
      <c r="BW672" s="93"/>
      <c r="BX672" s="93"/>
      <c r="BY672" s="93"/>
      <c r="BZ672" s="93"/>
    </row>
    <row r="673">
      <c r="B673" t="s">
        <v>2832</v>
      </c>
      <c r="C673" s="89" t="s">
        <v>2833</v>
      </c>
      <c r="D673" s="90" t="s">
        <v>2834</v>
      </c>
      <c r="E673" s="91">
        <v>2017.0</v>
      </c>
      <c r="F673" s="92">
        <v>1.0</v>
      </c>
      <c r="G673" s="93"/>
      <c r="H673" s="93"/>
      <c r="I673" s="93"/>
      <c r="J673" s="93"/>
      <c r="K673" s="93"/>
      <c r="L673" s="93"/>
      <c r="M673" s="93"/>
      <c r="N673" s="93"/>
      <c r="O673" s="93"/>
      <c r="P673" s="93"/>
      <c r="Q673" s="93"/>
      <c r="R673" s="93"/>
      <c r="S673" s="93"/>
      <c r="T673" s="93"/>
      <c r="U673" s="93"/>
      <c r="V673" s="93"/>
      <c r="W673" s="93"/>
      <c r="X673" s="93"/>
      <c r="Y673" s="93"/>
      <c r="Z673" s="93"/>
      <c r="AA673" s="93"/>
      <c r="AB673" s="93"/>
      <c r="AC673" s="93"/>
      <c r="AD673" s="93"/>
      <c r="AE673" s="93"/>
      <c r="AF673" s="93"/>
      <c r="AG673" s="93"/>
      <c r="AH673" s="94"/>
      <c r="AI673" s="93"/>
      <c r="AJ673" s="93"/>
      <c r="AK673" s="93"/>
      <c r="AL673" s="93"/>
      <c r="AM673" s="93"/>
      <c r="AN673" s="93"/>
      <c r="AO673" s="93"/>
      <c r="AP673" s="93"/>
      <c r="AQ673" s="93"/>
      <c r="AR673" s="93"/>
      <c r="AS673" s="93"/>
      <c r="AT673" s="93"/>
      <c r="AU673" s="93"/>
      <c r="AV673" s="93"/>
      <c r="AW673" s="93"/>
      <c r="AX673" s="93"/>
      <c r="AY673" s="93"/>
      <c r="AZ673" s="93"/>
      <c r="BA673" s="93"/>
      <c r="BB673" s="93"/>
      <c r="BC673" s="93"/>
      <c r="BD673" s="93"/>
      <c r="BE673" s="93"/>
      <c r="BF673" s="93"/>
      <c r="BG673" s="93"/>
      <c r="BH673" s="93"/>
      <c r="BI673" s="93"/>
      <c r="BJ673" s="93"/>
      <c r="BK673" s="93"/>
      <c r="BL673" s="93"/>
      <c r="BM673" s="93"/>
      <c r="BN673" s="93"/>
      <c r="BO673" s="93"/>
      <c r="BP673" s="93"/>
      <c r="BQ673" s="93"/>
      <c r="BR673" s="93"/>
      <c r="BS673" s="93"/>
      <c r="BT673" s="93"/>
      <c r="BU673" s="93"/>
      <c r="BV673" s="93"/>
      <c r="BW673" s="93"/>
      <c r="BX673" s="93"/>
      <c r="BY673" s="93"/>
      <c r="BZ673" s="93"/>
    </row>
    <row r="674">
      <c r="B674" t="s">
        <v>2835</v>
      </c>
      <c r="C674" s="89" t="s">
        <v>2836</v>
      </c>
      <c r="D674" s="90" t="s">
        <v>2837</v>
      </c>
      <c r="E674" s="91">
        <v>2016.0</v>
      </c>
      <c r="F674" s="92">
        <v>1.0</v>
      </c>
      <c r="G674" s="93"/>
      <c r="H674" s="93"/>
      <c r="I674" s="93"/>
      <c r="J674" s="93"/>
      <c r="K674" s="93"/>
      <c r="L674" s="93"/>
      <c r="M674" s="93"/>
      <c r="N674" s="93"/>
      <c r="O674" s="93"/>
      <c r="P674" s="93"/>
      <c r="Q674" s="93"/>
      <c r="R674" s="93"/>
      <c r="S674" s="93"/>
      <c r="T674" s="93"/>
      <c r="U674" s="93"/>
      <c r="V674" s="93"/>
      <c r="W674" s="93"/>
      <c r="X674" s="93"/>
      <c r="Y674" s="93"/>
      <c r="Z674" s="93"/>
      <c r="AA674" s="93"/>
      <c r="AB674" s="93"/>
      <c r="AC674" s="93"/>
      <c r="AD674" s="93"/>
      <c r="AE674" s="93"/>
      <c r="AF674" s="93"/>
      <c r="AG674" s="93"/>
      <c r="AH674" s="94"/>
      <c r="AI674" s="93"/>
      <c r="AJ674" s="93"/>
      <c r="AK674" s="93"/>
      <c r="AL674" s="93"/>
      <c r="AM674" s="93"/>
      <c r="AN674" s="93"/>
      <c r="AO674" s="93"/>
      <c r="AP674" s="93"/>
      <c r="AQ674" s="93"/>
      <c r="AR674" s="93"/>
      <c r="AS674" s="93"/>
      <c r="AT674" s="93"/>
      <c r="AU674" s="93"/>
      <c r="AV674" s="93"/>
      <c r="AW674" s="93"/>
      <c r="AX674" s="93"/>
      <c r="AY674" s="93"/>
      <c r="AZ674" s="93"/>
      <c r="BA674" s="93"/>
      <c r="BB674" s="93"/>
      <c r="BC674" s="93"/>
      <c r="BD674" s="93"/>
      <c r="BE674" s="93"/>
      <c r="BF674" s="93"/>
      <c r="BG674" s="93"/>
      <c r="BH674" s="93"/>
      <c r="BI674" s="93"/>
      <c r="BJ674" s="93"/>
      <c r="BK674" s="93"/>
      <c r="BL674" s="93"/>
      <c r="BM674" s="93"/>
      <c r="BN674" s="93"/>
      <c r="BO674" s="93"/>
      <c r="BP674" s="93"/>
      <c r="BQ674" s="93"/>
      <c r="BR674" s="93"/>
      <c r="BS674" s="93"/>
      <c r="BT674" s="93"/>
      <c r="BU674" s="93"/>
      <c r="BV674" s="93"/>
      <c r="BW674" s="93"/>
      <c r="BX674" s="93"/>
      <c r="BY674" s="93"/>
      <c r="BZ674" s="93"/>
    </row>
    <row r="675">
      <c r="B675" t="s">
        <v>2838</v>
      </c>
      <c r="C675" s="89" t="s">
        <v>2839</v>
      </c>
      <c r="D675" s="90" t="s">
        <v>2840</v>
      </c>
      <c r="E675" s="91">
        <v>2019.0</v>
      </c>
      <c r="F675" s="92">
        <v>1.0</v>
      </c>
      <c r="G675" s="93"/>
      <c r="H675" s="93"/>
      <c r="I675" s="93"/>
      <c r="J675" s="93"/>
      <c r="K675" s="93"/>
      <c r="L675" s="93"/>
      <c r="M675" s="93"/>
      <c r="N675" s="93"/>
      <c r="O675" s="93"/>
      <c r="P675" s="93"/>
      <c r="Q675" s="93"/>
      <c r="R675" s="93"/>
      <c r="S675" s="93"/>
      <c r="T675" s="93"/>
      <c r="U675" s="93"/>
      <c r="V675" s="93"/>
      <c r="W675" s="93"/>
      <c r="X675" s="93"/>
      <c r="Y675" s="93"/>
      <c r="Z675" s="93"/>
      <c r="AA675" s="93"/>
      <c r="AB675" s="93"/>
      <c r="AC675" s="93"/>
      <c r="AD675" s="93"/>
      <c r="AE675" s="93"/>
      <c r="AF675" s="93"/>
      <c r="AG675" s="93"/>
      <c r="AH675" s="94"/>
      <c r="AI675" s="93"/>
      <c r="AJ675" s="93"/>
      <c r="AK675" s="93"/>
      <c r="AL675" s="93"/>
      <c r="AM675" s="93"/>
      <c r="AN675" s="93"/>
      <c r="AO675" s="93"/>
      <c r="AP675" s="93"/>
      <c r="AQ675" s="93"/>
      <c r="AR675" s="93"/>
      <c r="AS675" s="93"/>
      <c r="AT675" s="93"/>
      <c r="AU675" s="93"/>
      <c r="AV675" s="93"/>
      <c r="AW675" s="93"/>
      <c r="AX675" s="93"/>
      <c r="AY675" s="93"/>
      <c r="AZ675" s="93"/>
      <c r="BA675" s="93"/>
      <c r="BB675" s="93"/>
      <c r="BC675" s="93"/>
      <c r="BD675" s="93"/>
      <c r="BE675" s="93"/>
      <c r="BF675" s="93"/>
      <c r="BG675" s="93"/>
      <c r="BH675" s="93"/>
      <c r="BI675" s="93"/>
      <c r="BJ675" s="93"/>
      <c r="BK675" s="93"/>
      <c r="BL675" s="93"/>
      <c r="BM675" s="93"/>
      <c r="BN675" s="93"/>
      <c r="BO675" s="93"/>
      <c r="BP675" s="93"/>
      <c r="BQ675" s="93"/>
      <c r="BR675" s="93"/>
      <c r="BS675" s="93"/>
      <c r="BT675" s="93"/>
      <c r="BU675" s="93"/>
      <c r="BV675" s="93"/>
      <c r="BW675" s="93"/>
      <c r="BX675" s="93"/>
      <c r="BY675" s="93"/>
      <c r="BZ675" s="93"/>
    </row>
    <row r="676">
      <c r="B676" t="s">
        <v>2841</v>
      </c>
      <c r="C676" s="89" t="s">
        <v>2842</v>
      </c>
      <c r="D676" s="90" t="s">
        <v>268</v>
      </c>
      <c r="E676" s="91">
        <v>2020.0</v>
      </c>
      <c r="F676" s="92">
        <v>1.0</v>
      </c>
      <c r="G676" s="93"/>
      <c r="H676" s="93"/>
      <c r="I676" s="93"/>
      <c r="J676" s="93"/>
      <c r="K676" s="93"/>
      <c r="L676" s="93"/>
      <c r="M676" s="93"/>
      <c r="N676" s="93"/>
      <c r="O676" s="93"/>
      <c r="P676" s="93"/>
      <c r="Q676" s="93"/>
      <c r="R676" s="93"/>
      <c r="S676" s="93"/>
      <c r="T676" s="93"/>
      <c r="U676" s="93"/>
      <c r="V676" s="93"/>
      <c r="W676" s="93"/>
      <c r="X676" s="93"/>
      <c r="Y676" s="93"/>
      <c r="Z676" s="93"/>
      <c r="AA676" s="93"/>
      <c r="AB676" s="93"/>
      <c r="AC676" s="93"/>
      <c r="AD676" s="93"/>
      <c r="AE676" s="93"/>
      <c r="AF676" s="93"/>
      <c r="AG676" s="93"/>
      <c r="AH676" s="94"/>
      <c r="AI676" s="93"/>
      <c r="AJ676" s="93"/>
      <c r="AK676" s="93"/>
      <c r="AL676" s="93"/>
      <c r="AM676" s="93"/>
      <c r="AN676" s="93"/>
      <c r="AO676" s="93"/>
      <c r="AP676" s="93"/>
      <c r="AQ676" s="93"/>
      <c r="AR676" s="93"/>
      <c r="AS676" s="93"/>
      <c r="AT676" s="93"/>
      <c r="AU676" s="93"/>
      <c r="AV676" s="93"/>
      <c r="AW676" s="93"/>
      <c r="AX676" s="93"/>
      <c r="AY676" s="93"/>
      <c r="AZ676" s="93"/>
      <c r="BA676" s="93"/>
      <c r="BB676" s="93"/>
      <c r="BC676" s="93"/>
      <c r="BD676" s="93"/>
      <c r="BE676" s="93"/>
      <c r="BF676" s="93"/>
      <c r="BG676" s="93"/>
      <c r="BH676" s="93"/>
      <c r="BI676" s="93"/>
      <c r="BJ676" s="93"/>
      <c r="BK676" s="93"/>
      <c r="BL676" s="93"/>
      <c r="BM676" s="93"/>
      <c r="BN676" s="93"/>
      <c r="BO676" s="93"/>
      <c r="BP676" s="93"/>
      <c r="BQ676" s="93"/>
      <c r="BR676" s="93"/>
      <c r="BS676" s="93"/>
      <c r="BT676" s="93"/>
      <c r="BU676" s="93"/>
      <c r="BV676" s="93"/>
      <c r="BW676" s="93"/>
      <c r="BX676" s="93"/>
      <c r="BY676" s="93"/>
      <c r="BZ676" s="93"/>
    </row>
    <row r="677">
      <c r="B677" t="s">
        <v>2843</v>
      </c>
      <c r="C677" s="89" t="s">
        <v>2844</v>
      </c>
      <c r="D677" s="90" t="s">
        <v>2845</v>
      </c>
      <c r="E677" s="91">
        <v>2020.0</v>
      </c>
      <c r="F677" s="92">
        <v>1.0</v>
      </c>
      <c r="G677" s="93"/>
      <c r="H677" s="93"/>
      <c r="I677" s="93"/>
      <c r="J677" s="93"/>
      <c r="K677" s="93"/>
      <c r="L677" s="93"/>
      <c r="M677" s="93"/>
      <c r="N677" s="93"/>
      <c r="O677" s="93"/>
      <c r="P677" s="93"/>
      <c r="Q677" s="93"/>
      <c r="R677" s="93"/>
      <c r="S677" s="93"/>
      <c r="T677" s="93"/>
      <c r="U677" s="93"/>
      <c r="V677" s="93"/>
      <c r="W677" s="93"/>
      <c r="X677" s="93"/>
      <c r="Y677" s="93"/>
      <c r="Z677" s="93"/>
      <c r="AA677" s="93"/>
      <c r="AB677" s="93"/>
      <c r="AC677" s="93"/>
      <c r="AD677" s="93"/>
      <c r="AE677" s="93"/>
      <c r="AF677" s="93"/>
      <c r="AG677" s="93"/>
      <c r="AH677" s="94"/>
      <c r="AI677" s="93"/>
      <c r="AJ677" s="93"/>
      <c r="AK677" s="93"/>
      <c r="AL677" s="93"/>
      <c r="AM677" s="93"/>
      <c r="AN677" s="93"/>
      <c r="AO677" s="93"/>
      <c r="AP677" s="93"/>
      <c r="AQ677" s="93"/>
      <c r="AR677" s="93"/>
      <c r="AS677" s="93"/>
      <c r="AT677" s="93"/>
      <c r="AU677" s="93"/>
      <c r="AV677" s="93"/>
      <c r="AW677" s="93"/>
      <c r="AX677" s="93"/>
      <c r="AY677" s="93"/>
      <c r="AZ677" s="93"/>
      <c r="BA677" s="93"/>
      <c r="BB677" s="93"/>
      <c r="BC677" s="93"/>
      <c r="BD677" s="93"/>
      <c r="BE677" s="93"/>
      <c r="BF677" s="93"/>
      <c r="BG677" s="93"/>
      <c r="BH677" s="93"/>
      <c r="BI677" s="93"/>
      <c r="BJ677" s="93"/>
      <c r="BK677" s="93"/>
      <c r="BL677" s="93"/>
      <c r="BM677" s="93"/>
      <c r="BN677" s="93"/>
      <c r="BO677" s="93"/>
      <c r="BP677" s="93"/>
      <c r="BQ677" s="93"/>
      <c r="BR677" s="93"/>
      <c r="BS677" s="93"/>
      <c r="BT677" s="93"/>
      <c r="BU677" s="93"/>
      <c r="BV677" s="93"/>
      <c r="BW677" s="93"/>
      <c r="BX677" s="93"/>
      <c r="BY677" s="93"/>
      <c r="BZ677" s="93"/>
    </row>
    <row r="678">
      <c r="B678" t="s">
        <v>2846</v>
      </c>
      <c r="C678" s="89" t="s">
        <v>2847</v>
      </c>
      <c r="D678" s="90" t="s">
        <v>2848</v>
      </c>
      <c r="E678" s="91">
        <v>2019.0</v>
      </c>
      <c r="F678" s="92">
        <v>1.0</v>
      </c>
      <c r="G678" s="93"/>
      <c r="H678" s="93"/>
      <c r="I678" s="93"/>
      <c r="J678" s="93"/>
      <c r="K678" s="93"/>
      <c r="L678" s="93"/>
      <c r="M678" s="93"/>
      <c r="N678" s="93"/>
      <c r="O678" s="93"/>
      <c r="P678" s="93"/>
      <c r="Q678" s="93"/>
      <c r="R678" s="93"/>
      <c r="S678" s="93"/>
      <c r="T678" s="93"/>
      <c r="U678" s="93"/>
      <c r="V678" s="93"/>
      <c r="W678" s="93"/>
      <c r="X678" s="93"/>
      <c r="Y678" s="93"/>
      <c r="Z678" s="93"/>
      <c r="AA678" s="93"/>
      <c r="AB678" s="93"/>
      <c r="AC678" s="93"/>
      <c r="AD678" s="93"/>
      <c r="AE678" s="93"/>
      <c r="AF678" s="93"/>
      <c r="AG678" s="93"/>
      <c r="AH678" s="94"/>
      <c r="AI678" s="93"/>
      <c r="AJ678" s="93"/>
      <c r="AK678" s="93"/>
      <c r="AL678" s="93"/>
      <c r="AM678" s="93"/>
      <c r="AN678" s="93"/>
      <c r="AO678" s="93"/>
      <c r="AP678" s="93"/>
      <c r="AQ678" s="93"/>
      <c r="AR678" s="93"/>
      <c r="AS678" s="93"/>
      <c r="AT678" s="93"/>
      <c r="AU678" s="93"/>
      <c r="AV678" s="93"/>
      <c r="AW678" s="93"/>
      <c r="AX678" s="93"/>
      <c r="AY678" s="93"/>
      <c r="AZ678" s="93"/>
      <c r="BA678" s="93"/>
      <c r="BB678" s="93"/>
      <c r="BC678" s="93"/>
      <c r="BD678" s="93"/>
      <c r="BE678" s="93"/>
      <c r="BF678" s="93"/>
      <c r="BG678" s="93"/>
      <c r="BH678" s="93"/>
      <c r="BI678" s="93"/>
      <c r="BJ678" s="93"/>
      <c r="BK678" s="93"/>
      <c r="BL678" s="93"/>
      <c r="BM678" s="93"/>
      <c r="BN678" s="93"/>
      <c r="BO678" s="93"/>
      <c r="BP678" s="93"/>
      <c r="BQ678" s="93"/>
      <c r="BR678" s="93"/>
      <c r="BS678" s="93"/>
      <c r="BT678" s="93"/>
      <c r="BU678" s="93"/>
      <c r="BV678" s="93"/>
      <c r="BW678" s="93"/>
      <c r="BX678" s="93"/>
      <c r="BY678" s="93"/>
      <c r="BZ678" s="93"/>
    </row>
    <row r="679">
      <c r="A679" t="s">
        <v>116</v>
      </c>
      <c r="B679" t="s">
        <v>2849</v>
      </c>
      <c r="C679" s="89" t="s">
        <v>2850</v>
      </c>
      <c r="D679" s="90" t="s">
        <v>2851</v>
      </c>
      <c r="E679" s="91">
        <v>2018.0</v>
      </c>
      <c r="F679" s="92">
        <v>1.0</v>
      </c>
      <c r="G679" s="93"/>
      <c r="H679" s="93"/>
      <c r="I679" s="93"/>
      <c r="J679" s="93"/>
      <c r="K679" s="93"/>
      <c r="L679" s="93"/>
      <c r="M679" s="93"/>
      <c r="N679" s="93"/>
      <c r="O679" s="93"/>
      <c r="P679" s="93"/>
      <c r="Q679" s="93"/>
      <c r="R679" s="93"/>
      <c r="S679" s="93"/>
      <c r="T679" s="93"/>
      <c r="U679" s="93"/>
      <c r="V679" s="93"/>
      <c r="W679" s="93"/>
      <c r="X679" s="93"/>
      <c r="Y679" s="93"/>
      <c r="Z679" s="93"/>
      <c r="AA679" s="93"/>
      <c r="AB679" s="93"/>
      <c r="AC679" s="93"/>
      <c r="AD679" s="93"/>
      <c r="AE679" s="93"/>
      <c r="AF679" s="93"/>
      <c r="AG679" s="93"/>
      <c r="AH679" s="94"/>
      <c r="AI679" s="93"/>
      <c r="AJ679" s="93"/>
      <c r="AK679" s="93"/>
      <c r="AL679" s="93"/>
      <c r="AM679" s="93"/>
      <c r="AN679" s="93"/>
      <c r="AO679" s="93"/>
      <c r="AP679" s="93"/>
      <c r="AQ679" s="93"/>
      <c r="AR679" s="93"/>
      <c r="AS679" s="93"/>
      <c r="AT679" s="93"/>
      <c r="AU679" s="93"/>
      <c r="AV679" s="93"/>
      <c r="AW679" s="93"/>
      <c r="AX679" s="93"/>
      <c r="AY679" s="93"/>
      <c r="AZ679" s="93"/>
      <c r="BA679" s="93"/>
      <c r="BB679" s="93"/>
      <c r="BC679" s="93"/>
      <c r="BD679" s="93"/>
      <c r="BE679" s="93"/>
      <c r="BF679" s="93"/>
      <c r="BG679" s="93"/>
      <c r="BH679" s="93"/>
      <c r="BI679" s="93"/>
      <c r="BJ679" s="93"/>
      <c r="BK679" s="93"/>
      <c r="BL679" s="93"/>
      <c r="BM679" s="93"/>
      <c r="BN679" s="93"/>
      <c r="BO679" s="93"/>
      <c r="BP679" s="93"/>
      <c r="BQ679" s="93"/>
      <c r="BR679" s="93"/>
      <c r="BS679" s="93"/>
      <c r="BT679" s="93"/>
      <c r="BU679" s="93"/>
      <c r="BV679" s="93"/>
      <c r="BW679" s="93"/>
      <c r="BX679" s="93"/>
      <c r="BY679" s="93"/>
      <c r="BZ679" s="93"/>
    </row>
    <row r="680">
      <c r="A680" t="s">
        <v>1331</v>
      </c>
      <c r="B680" t="s">
        <v>2852</v>
      </c>
      <c r="C680" s="89" t="s">
        <v>2853</v>
      </c>
      <c r="D680" s="90" t="s">
        <v>1080</v>
      </c>
      <c r="E680" s="91">
        <v>2019.0</v>
      </c>
      <c r="F680" s="92">
        <v>1.0</v>
      </c>
      <c r="G680" s="93"/>
      <c r="H680" s="93"/>
      <c r="I680" s="93"/>
      <c r="J680" s="93"/>
      <c r="K680" s="93"/>
      <c r="L680" s="93"/>
      <c r="M680" s="93"/>
      <c r="N680" s="93"/>
      <c r="O680" s="93"/>
      <c r="P680" s="93"/>
      <c r="Q680" s="93"/>
      <c r="R680" s="93"/>
      <c r="S680" s="93"/>
      <c r="T680" s="93"/>
      <c r="U680" s="93"/>
      <c r="V680" s="93"/>
      <c r="W680" s="93"/>
      <c r="X680" s="93"/>
      <c r="Y680" s="93"/>
      <c r="Z680" s="93"/>
      <c r="AA680" s="93"/>
      <c r="AB680" s="93"/>
      <c r="AC680" s="93"/>
      <c r="AD680" s="93"/>
      <c r="AE680" s="93"/>
      <c r="AF680" s="93"/>
      <c r="AG680" s="93"/>
      <c r="AH680" s="94"/>
      <c r="AI680" s="93"/>
      <c r="AJ680" s="93"/>
      <c r="AK680" s="93"/>
      <c r="AL680" s="93"/>
      <c r="AM680" s="93"/>
      <c r="AN680" s="93"/>
      <c r="AO680" s="93"/>
      <c r="AP680" s="93"/>
      <c r="AQ680" s="93"/>
      <c r="AR680" s="93"/>
      <c r="AS680" s="93"/>
      <c r="AT680" s="93"/>
      <c r="AU680" s="93"/>
      <c r="AV680" s="93"/>
      <c r="AW680" s="93"/>
      <c r="AX680" s="93"/>
      <c r="AY680" s="93"/>
      <c r="AZ680" s="93"/>
      <c r="BA680" s="93"/>
      <c r="BB680" s="93"/>
      <c r="BC680" s="93"/>
      <c r="BD680" s="93"/>
      <c r="BE680" s="93"/>
      <c r="BF680" s="93"/>
      <c r="BG680" s="93"/>
      <c r="BH680" s="93"/>
      <c r="BI680" s="93"/>
      <c r="BJ680" s="93"/>
      <c r="BK680" s="93"/>
      <c r="BL680" s="93"/>
      <c r="BM680" s="93"/>
      <c r="BN680" s="93"/>
      <c r="BO680" s="93"/>
      <c r="BP680" s="93"/>
      <c r="BQ680" s="93"/>
      <c r="BR680" s="93"/>
      <c r="BS680" s="93"/>
      <c r="BT680" s="93"/>
      <c r="BU680" s="93"/>
      <c r="BV680" s="93"/>
      <c r="BW680" s="93"/>
      <c r="BX680" s="93"/>
      <c r="BY680" s="93"/>
      <c r="BZ680" s="93"/>
    </row>
    <row r="681">
      <c r="A681" t="s">
        <v>1340</v>
      </c>
      <c r="B681" t="s">
        <v>2854</v>
      </c>
      <c r="C681" s="89" t="s">
        <v>2855</v>
      </c>
      <c r="D681" s="90" t="s">
        <v>2856</v>
      </c>
      <c r="E681" s="91">
        <v>2020.0</v>
      </c>
      <c r="F681" s="95"/>
      <c r="G681" s="93"/>
      <c r="H681" s="93"/>
      <c r="I681" s="93"/>
      <c r="J681" s="93"/>
      <c r="K681" s="93"/>
      <c r="L681" s="93"/>
      <c r="M681" s="93"/>
      <c r="N681" s="93"/>
      <c r="O681" s="92">
        <v>1.0</v>
      </c>
      <c r="P681" s="93"/>
      <c r="Q681" s="93"/>
      <c r="R681" s="93"/>
      <c r="S681" s="93"/>
      <c r="T681" s="93"/>
      <c r="U681" s="93"/>
      <c r="V681" s="93"/>
      <c r="W681" s="98" t="s">
        <v>2857</v>
      </c>
      <c r="X681" s="98" t="s">
        <v>2858</v>
      </c>
      <c r="Y681" s="98" t="s">
        <v>2859</v>
      </c>
      <c r="Z681" s="98" t="s">
        <v>137</v>
      </c>
      <c r="AA681" s="92">
        <v>1.0</v>
      </c>
      <c r="AB681" s="93"/>
      <c r="AC681" s="93"/>
      <c r="AD681" s="92">
        <v>1.0</v>
      </c>
      <c r="AE681" s="93"/>
      <c r="AF681" s="93"/>
      <c r="AG681" s="93"/>
      <c r="AH681" s="96" t="s">
        <v>2860</v>
      </c>
      <c r="AI681" s="92">
        <v>1.0</v>
      </c>
      <c r="AJ681" s="93"/>
      <c r="AK681" s="93"/>
      <c r="AL681" s="93"/>
      <c r="AM681" s="93"/>
      <c r="AN681" s="93"/>
      <c r="AO681" s="93"/>
      <c r="AP681" s="93"/>
      <c r="AQ681" s="93"/>
      <c r="AR681" s="92">
        <v>1.0</v>
      </c>
      <c r="AS681" s="93"/>
      <c r="AT681" s="93"/>
      <c r="AU681" s="93"/>
      <c r="AV681" s="93"/>
      <c r="AW681" s="93"/>
      <c r="AX681" s="93"/>
      <c r="AY681" s="93"/>
      <c r="AZ681" s="93"/>
      <c r="BA681" s="93"/>
      <c r="BB681" s="93"/>
      <c r="BC681" s="93"/>
      <c r="BD681" s="93"/>
      <c r="BE681" s="93"/>
      <c r="BF681" s="93"/>
      <c r="BG681" s="93"/>
      <c r="BH681" s="93"/>
      <c r="BI681" s="92">
        <v>1.0</v>
      </c>
      <c r="BJ681" s="93"/>
      <c r="BK681" s="93"/>
      <c r="BL681" s="93"/>
      <c r="BM681" s="93"/>
      <c r="BN681" s="93"/>
      <c r="BO681" s="93"/>
      <c r="BP681" s="93"/>
      <c r="BQ681" s="93"/>
      <c r="BR681" s="93"/>
      <c r="BS681" s="93"/>
      <c r="BT681" s="93"/>
      <c r="BU681" s="93"/>
      <c r="BV681" s="92">
        <v>1.0</v>
      </c>
      <c r="BW681" s="92">
        <v>1.0</v>
      </c>
      <c r="BX681" s="93"/>
      <c r="BY681" s="93"/>
      <c r="BZ681" s="93"/>
    </row>
    <row r="682">
      <c r="A682" t="s">
        <v>1354</v>
      </c>
      <c r="B682" t="s">
        <v>2861</v>
      </c>
      <c r="C682" s="89" t="s">
        <v>2862</v>
      </c>
      <c r="D682" s="90" t="s">
        <v>268</v>
      </c>
      <c r="E682" s="91">
        <v>2020.0</v>
      </c>
      <c r="F682" s="93"/>
      <c r="G682" s="93"/>
      <c r="H682" s="98" t="s">
        <v>748</v>
      </c>
      <c r="I682" s="99">
        <v>1.0</v>
      </c>
      <c r="J682" s="98" t="s">
        <v>748</v>
      </c>
      <c r="K682" s="93"/>
      <c r="L682" s="93"/>
      <c r="M682" s="93"/>
      <c r="N682" s="93"/>
      <c r="O682" s="93"/>
      <c r="P682" s="93"/>
      <c r="Q682" s="93"/>
      <c r="R682" s="93"/>
      <c r="S682" s="93"/>
      <c r="T682" s="93"/>
      <c r="U682" s="93"/>
      <c r="V682" s="93"/>
      <c r="W682" s="98" t="s">
        <v>2863</v>
      </c>
      <c r="X682" s="98" t="s">
        <v>2864</v>
      </c>
      <c r="Y682" s="98" t="s">
        <v>2865</v>
      </c>
      <c r="Z682" s="98" t="s">
        <v>137</v>
      </c>
      <c r="AA682" s="99">
        <v>1.0</v>
      </c>
      <c r="AB682" s="99">
        <v>1.0</v>
      </c>
      <c r="AC682" s="99">
        <v>1.0</v>
      </c>
      <c r="AD682" s="99">
        <v>1.0</v>
      </c>
      <c r="AE682" s="93"/>
      <c r="AF682" s="93"/>
      <c r="AG682" s="93"/>
      <c r="AH682" s="96" t="s">
        <v>2866</v>
      </c>
      <c r="AI682" s="99">
        <v>1.0</v>
      </c>
      <c r="AJ682" s="93"/>
      <c r="AK682" s="93"/>
      <c r="AL682" s="93"/>
      <c r="AM682" s="93"/>
      <c r="AN682" s="93"/>
      <c r="AO682" s="93"/>
      <c r="AP682" s="93"/>
      <c r="AQ682" s="93"/>
      <c r="AR682" s="93"/>
      <c r="AS682" s="93"/>
      <c r="AT682" s="93"/>
      <c r="AU682" s="93"/>
      <c r="AV682" s="93"/>
      <c r="AW682" s="93"/>
      <c r="AX682" s="93"/>
      <c r="AY682" s="93"/>
      <c r="AZ682" s="93"/>
      <c r="BA682" s="93"/>
      <c r="BB682" s="93"/>
      <c r="BC682" s="93"/>
      <c r="BD682" s="93"/>
      <c r="BE682" s="99">
        <v>1.0</v>
      </c>
      <c r="BF682" s="99">
        <v>1.0</v>
      </c>
      <c r="BG682" s="93"/>
      <c r="BH682" s="93"/>
      <c r="BI682" s="93"/>
      <c r="BJ682" s="93"/>
      <c r="BK682" s="93"/>
      <c r="BL682" s="93"/>
      <c r="BM682" s="93"/>
      <c r="BN682" s="93"/>
      <c r="BO682" s="93"/>
      <c r="BP682" s="93"/>
      <c r="BQ682" s="93"/>
      <c r="BR682" s="93"/>
      <c r="BS682" s="99">
        <v>1.0</v>
      </c>
      <c r="BT682" s="99">
        <v>1.0</v>
      </c>
      <c r="BU682" s="99">
        <v>1.0</v>
      </c>
      <c r="BV682" s="93"/>
      <c r="BW682" s="99">
        <v>1.0</v>
      </c>
      <c r="BX682" s="93"/>
      <c r="BY682" s="93"/>
      <c r="BZ682" s="93"/>
    </row>
    <row r="683">
      <c r="B683" t="s">
        <v>2867</v>
      </c>
      <c r="C683" s="89" t="s">
        <v>2868</v>
      </c>
      <c r="D683" s="90" t="s">
        <v>2869</v>
      </c>
      <c r="E683" s="91">
        <v>2017.0</v>
      </c>
      <c r="F683" s="92">
        <v>1.0</v>
      </c>
      <c r="G683" s="93"/>
      <c r="H683" s="93"/>
      <c r="I683" s="93"/>
      <c r="J683" s="93"/>
      <c r="K683" s="93"/>
      <c r="L683" s="93"/>
      <c r="M683" s="93"/>
      <c r="N683" s="93"/>
      <c r="O683" s="93"/>
      <c r="P683" s="93"/>
      <c r="Q683" s="93"/>
      <c r="R683" s="93"/>
      <c r="S683" s="93"/>
      <c r="T683" s="93"/>
      <c r="U683" s="93"/>
      <c r="V683" s="93"/>
      <c r="W683" s="93"/>
      <c r="X683" s="93"/>
      <c r="Y683" s="93"/>
      <c r="Z683" s="93"/>
      <c r="AA683" s="93"/>
      <c r="AB683" s="93"/>
      <c r="AC683" s="93"/>
      <c r="AD683" s="93"/>
      <c r="AE683" s="93"/>
      <c r="AF683" s="93"/>
      <c r="AG683" s="93"/>
      <c r="AH683" s="94"/>
      <c r="AI683" s="93"/>
      <c r="AJ683" s="93"/>
      <c r="AK683" s="93"/>
      <c r="AL683" s="93"/>
      <c r="AM683" s="93"/>
      <c r="AN683" s="93"/>
      <c r="AO683" s="93"/>
      <c r="AP683" s="93"/>
      <c r="AQ683" s="93"/>
      <c r="AR683" s="93"/>
      <c r="AS683" s="93"/>
      <c r="AT683" s="93"/>
      <c r="AU683" s="93"/>
      <c r="AV683" s="93"/>
      <c r="AW683" s="93"/>
      <c r="AX683" s="93"/>
      <c r="AY683" s="93"/>
      <c r="AZ683" s="93"/>
      <c r="BA683" s="93"/>
      <c r="BB683" s="93"/>
      <c r="BC683" s="93"/>
      <c r="BD683" s="93"/>
      <c r="BE683" s="93"/>
      <c r="BF683" s="93"/>
      <c r="BG683" s="93"/>
      <c r="BH683" s="93"/>
      <c r="BI683" s="93"/>
      <c r="BJ683" s="93"/>
      <c r="BK683" s="93"/>
      <c r="BL683" s="93"/>
      <c r="BM683" s="93"/>
      <c r="BN683" s="93"/>
      <c r="BO683" s="93"/>
      <c r="BP683" s="93"/>
      <c r="BQ683" s="93"/>
      <c r="BR683" s="93"/>
      <c r="BS683" s="93"/>
      <c r="BT683" s="93"/>
      <c r="BU683" s="93"/>
      <c r="BV683" s="93"/>
      <c r="BW683" s="93"/>
      <c r="BX683" s="93"/>
      <c r="BY683" s="93"/>
      <c r="BZ683" s="93"/>
    </row>
    <row r="684">
      <c r="A684" t="s">
        <v>116</v>
      </c>
      <c r="B684" t="s">
        <v>2870</v>
      </c>
      <c r="C684" s="89" t="s">
        <v>2871</v>
      </c>
      <c r="D684" s="90" t="s">
        <v>2848</v>
      </c>
      <c r="E684" s="91">
        <v>2019.0</v>
      </c>
      <c r="F684" s="92">
        <v>1.0</v>
      </c>
      <c r="G684" s="93"/>
      <c r="H684" s="93"/>
      <c r="I684" s="93"/>
      <c r="J684" s="93"/>
      <c r="K684" s="93"/>
      <c r="L684" s="93"/>
      <c r="M684" s="93"/>
      <c r="N684" s="93"/>
      <c r="O684" s="93"/>
      <c r="P684" s="93"/>
      <c r="Q684" s="93"/>
      <c r="R684" s="93"/>
      <c r="S684" s="93"/>
      <c r="T684" s="93"/>
      <c r="U684" s="93"/>
      <c r="V684" s="93"/>
      <c r="W684" s="93"/>
      <c r="X684" s="93"/>
      <c r="Y684" s="93"/>
      <c r="Z684" s="93"/>
      <c r="AA684" s="93"/>
      <c r="AB684" s="93"/>
      <c r="AC684" s="93"/>
      <c r="AD684" s="93"/>
      <c r="AE684" s="93"/>
      <c r="AF684" s="93"/>
      <c r="AG684" s="93"/>
      <c r="AH684" s="94"/>
      <c r="AI684" s="93"/>
      <c r="AJ684" s="93"/>
      <c r="AK684" s="93"/>
      <c r="AL684" s="93"/>
      <c r="AM684" s="93"/>
      <c r="AN684" s="93"/>
      <c r="AO684" s="93"/>
      <c r="AP684" s="93"/>
      <c r="AQ684" s="93"/>
      <c r="AR684" s="93"/>
      <c r="AS684" s="93"/>
      <c r="AT684" s="93"/>
      <c r="AU684" s="93"/>
      <c r="AV684" s="93"/>
      <c r="AW684" s="93"/>
      <c r="AX684" s="93"/>
      <c r="AY684" s="93"/>
      <c r="AZ684" s="93"/>
      <c r="BA684" s="93"/>
      <c r="BB684" s="93"/>
      <c r="BC684" s="93"/>
      <c r="BD684" s="93"/>
      <c r="BE684" s="93"/>
      <c r="BF684" s="93"/>
      <c r="BG684" s="93"/>
      <c r="BH684" s="93"/>
      <c r="BI684" s="93"/>
      <c r="BJ684" s="93"/>
      <c r="BK684" s="93"/>
      <c r="BL684" s="93"/>
      <c r="BM684" s="93"/>
      <c r="BN684" s="93"/>
      <c r="BO684" s="93"/>
      <c r="BP684" s="93"/>
      <c r="BQ684" s="93"/>
      <c r="BR684" s="93"/>
      <c r="BS684" s="93"/>
      <c r="BT684" s="93"/>
      <c r="BU684" s="93"/>
      <c r="BV684" s="93"/>
      <c r="BW684" s="93"/>
      <c r="BX684" s="93"/>
      <c r="BY684" s="93"/>
      <c r="BZ684" s="93"/>
    </row>
    <row r="685">
      <c r="B685" t="s">
        <v>2872</v>
      </c>
      <c r="C685" s="89" t="s">
        <v>2873</v>
      </c>
      <c r="D685" s="90" t="s">
        <v>2874</v>
      </c>
      <c r="E685" s="91">
        <v>2017.0</v>
      </c>
      <c r="F685" s="92">
        <v>1.0</v>
      </c>
      <c r="G685" s="93"/>
      <c r="H685" s="93"/>
      <c r="I685" s="93"/>
      <c r="J685" s="93"/>
      <c r="K685" s="93"/>
      <c r="L685" s="93"/>
      <c r="M685" s="93"/>
      <c r="N685" s="93"/>
      <c r="O685" s="93"/>
      <c r="P685" s="93"/>
      <c r="Q685" s="93"/>
      <c r="R685" s="93"/>
      <c r="S685" s="93"/>
      <c r="T685" s="93"/>
      <c r="U685" s="93"/>
      <c r="V685" s="93"/>
      <c r="W685" s="93"/>
      <c r="X685" s="93"/>
      <c r="Y685" s="93"/>
      <c r="Z685" s="93"/>
      <c r="AA685" s="93"/>
      <c r="AB685" s="93"/>
      <c r="AC685" s="93"/>
      <c r="AD685" s="93"/>
      <c r="AE685" s="93"/>
      <c r="AF685" s="93"/>
      <c r="AG685" s="93"/>
      <c r="AH685" s="94"/>
      <c r="AI685" s="93"/>
      <c r="AJ685" s="93"/>
      <c r="AK685" s="93"/>
      <c r="AL685" s="93"/>
      <c r="AM685" s="93"/>
      <c r="AN685" s="93"/>
      <c r="AO685" s="93"/>
      <c r="AP685" s="93"/>
      <c r="AQ685" s="93"/>
      <c r="AR685" s="93"/>
      <c r="AS685" s="93"/>
      <c r="AT685" s="93"/>
      <c r="AU685" s="93"/>
      <c r="AV685" s="93"/>
      <c r="AW685" s="93"/>
      <c r="AX685" s="93"/>
      <c r="AY685" s="93"/>
      <c r="AZ685" s="93"/>
      <c r="BA685" s="93"/>
      <c r="BB685" s="93"/>
      <c r="BC685" s="93"/>
      <c r="BD685" s="93"/>
      <c r="BE685" s="93"/>
      <c r="BF685" s="93"/>
      <c r="BG685" s="93"/>
      <c r="BH685" s="93"/>
      <c r="BI685" s="93"/>
      <c r="BJ685" s="93"/>
      <c r="BK685" s="93"/>
      <c r="BL685" s="93"/>
      <c r="BM685" s="93"/>
      <c r="BN685" s="93"/>
      <c r="BO685" s="93"/>
      <c r="BP685" s="93"/>
      <c r="BQ685" s="93"/>
      <c r="BR685" s="93"/>
      <c r="BS685" s="93"/>
      <c r="BT685" s="93"/>
      <c r="BU685" s="93"/>
      <c r="BV685" s="93"/>
      <c r="BW685" s="93"/>
      <c r="BX685" s="93"/>
      <c r="BY685" s="93"/>
      <c r="BZ685" s="93"/>
    </row>
    <row r="686">
      <c r="A686" t="s">
        <v>1331</v>
      </c>
      <c r="B686" t="s">
        <v>2875</v>
      </c>
      <c r="C686" s="89" t="s">
        <v>2876</v>
      </c>
      <c r="D686" s="90" t="s">
        <v>268</v>
      </c>
      <c r="E686" s="91">
        <v>2015.0</v>
      </c>
      <c r="F686" s="93"/>
      <c r="G686" s="93"/>
      <c r="H686" s="93"/>
      <c r="I686" s="93"/>
      <c r="J686" s="93"/>
      <c r="K686" s="93"/>
      <c r="L686" s="92">
        <v>1.0</v>
      </c>
      <c r="M686" s="93"/>
      <c r="N686" s="93"/>
      <c r="O686" s="93"/>
      <c r="P686" s="93"/>
      <c r="Q686" s="93"/>
      <c r="R686" s="93"/>
      <c r="S686" s="93"/>
      <c r="T686" s="93"/>
      <c r="U686" s="93"/>
      <c r="V686" s="93"/>
      <c r="W686" s="95" t="s">
        <v>1834</v>
      </c>
      <c r="X686" s="95" t="s">
        <v>2877</v>
      </c>
      <c r="Y686" s="95" t="s">
        <v>2878</v>
      </c>
      <c r="Z686" s="95" t="s">
        <v>1385</v>
      </c>
      <c r="AA686" s="92">
        <v>1.0</v>
      </c>
      <c r="AB686" s="95"/>
      <c r="AC686" s="93"/>
      <c r="AD686" s="92">
        <v>1.0</v>
      </c>
      <c r="AE686" s="93"/>
      <c r="AF686" s="93"/>
      <c r="AG686" s="93"/>
      <c r="AH686" s="96" t="s">
        <v>2879</v>
      </c>
      <c r="AI686" s="92">
        <v>1.0</v>
      </c>
      <c r="AJ686" s="92">
        <v>1.0</v>
      </c>
      <c r="AK686" s="93"/>
      <c r="AL686" s="93"/>
      <c r="AM686" s="93"/>
      <c r="AN686" s="93"/>
      <c r="AO686" s="93"/>
      <c r="AP686" s="93"/>
      <c r="AQ686" s="93"/>
      <c r="AR686" s="93"/>
      <c r="AS686" s="93"/>
      <c r="AT686" s="93"/>
      <c r="AU686" s="93"/>
      <c r="AV686" s="93"/>
      <c r="AW686" s="93"/>
      <c r="AX686" s="93"/>
      <c r="AY686" s="93"/>
      <c r="AZ686" s="93"/>
      <c r="BA686" s="93"/>
      <c r="BB686" s="93"/>
      <c r="BC686" s="93"/>
      <c r="BD686" s="93"/>
      <c r="BE686" s="92">
        <v>1.0</v>
      </c>
      <c r="BF686" s="93"/>
      <c r="BG686" s="93"/>
      <c r="BH686" s="93"/>
      <c r="BI686" s="93"/>
      <c r="BJ686" s="93"/>
      <c r="BK686" s="93"/>
      <c r="BL686" s="93"/>
      <c r="BM686" s="93"/>
      <c r="BN686" s="93"/>
      <c r="BO686" s="93"/>
      <c r="BP686" s="93"/>
      <c r="BQ686" s="93"/>
      <c r="BR686" s="93"/>
      <c r="BS686" s="93"/>
      <c r="BT686" s="93"/>
      <c r="BU686" s="93"/>
      <c r="BV686" s="93"/>
      <c r="BW686" s="92">
        <v>1.0</v>
      </c>
      <c r="BX686" s="93"/>
      <c r="BY686" s="93"/>
      <c r="BZ686" s="93"/>
    </row>
    <row r="687">
      <c r="B687" t="s">
        <v>2880</v>
      </c>
      <c r="C687" s="89" t="s">
        <v>2881</v>
      </c>
      <c r="D687" s="90" t="s">
        <v>2882</v>
      </c>
      <c r="E687" s="91">
        <v>2019.0</v>
      </c>
      <c r="F687" s="92">
        <v>1.0</v>
      </c>
      <c r="G687" s="93"/>
      <c r="H687" s="93"/>
      <c r="I687" s="93"/>
      <c r="J687" s="93"/>
      <c r="K687" s="93"/>
      <c r="L687" s="93"/>
      <c r="M687" s="93"/>
      <c r="N687" s="93"/>
      <c r="O687" s="93"/>
      <c r="P687" s="93"/>
      <c r="Q687" s="93"/>
      <c r="R687" s="93"/>
      <c r="S687" s="93"/>
      <c r="T687" s="93"/>
      <c r="U687" s="93"/>
      <c r="V687" s="93"/>
      <c r="W687" s="93"/>
      <c r="X687" s="93"/>
      <c r="Y687" s="93"/>
      <c r="Z687" s="93"/>
      <c r="AA687" s="93"/>
      <c r="AB687" s="93"/>
      <c r="AC687" s="93"/>
      <c r="AD687" s="93"/>
      <c r="AE687" s="93"/>
      <c r="AF687" s="93"/>
      <c r="AG687" s="93"/>
      <c r="AH687" s="94"/>
      <c r="AI687" s="93"/>
      <c r="AJ687" s="93"/>
      <c r="AK687" s="93"/>
      <c r="AL687" s="93"/>
      <c r="AM687" s="93"/>
      <c r="AN687" s="93"/>
      <c r="AO687" s="93"/>
      <c r="AP687" s="93"/>
      <c r="AQ687" s="93"/>
      <c r="AR687" s="93"/>
      <c r="AS687" s="93"/>
      <c r="AT687" s="93"/>
      <c r="AU687" s="93"/>
      <c r="AV687" s="93"/>
      <c r="AW687" s="93"/>
      <c r="AX687" s="93"/>
      <c r="AY687" s="93"/>
      <c r="AZ687" s="93"/>
      <c r="BA687" s="93"/>
      <c r="BB687" s="93"/>
      <c r="BC687" s="93"/>
      <c r="BD687" s="93"/>
      <c r="BE687" s="93"/>
      <c r="BF687" s="93"/>
      <c r="BG687" s="93"/>
      <c r="BH687" s="93"/>
      <c r="BI687" s="93"/>
      <c r="BJ687" s="93"/>
      <c r="BK687" s="93"/>
      <c r="BL687" s="93"/>
      <c r="BM687" s="93"/>
      <c r="BN687" s="93"/>
      <c r="BO687" s="93"/>
      <c r="BP687" s="93"/>
      <c r="BQ687" s="93"/>
      <c r="BR687" s="93"/>
      <c r="BS687" s="93"/>
      <c r="BT687" s="93"/>
      <c r="BU687" s="93"/>
      <c r="BV687" s="93"/>
      <c r="BW687" s="93"/>
      <c r="BX687" s="93"/>
      <c r="BY687" s="93"/>
      <c r="BZ687" s="93"/>
    </row>
    <row r="688">
      <c r="B688" t="s">
        <v>2883</v>
      </c>
      <c r="C688" s="89" t="s">
        <v>2884</v>
      </c>
      <c r="D688" s="90" t="s">
        <v>2885</v>
      </c>
      <c r="E688" s="91">
        <v>2019.0</v>
      </c>
      <c r="F688" s="92">
        <v>1.0</v>
      </c>
      <c r="G688" s="93"/>
      <c r="H688" s="93"/>
      <c r="I688" s="93"/>
      <c r="J688" s="93"/>
      <c r="K688" s="93"/>
      <c r="L688" s="93"/>
      <c r="M688" s="93"/>
      <c r="N688" s="93"/>
      <c r="O688" s="93"/>
      <c r="P688" s="93"/>
      <c r="Q688" s="93"/>
      <c r="R688" s="93"/>
      <c r="S688" s="93"/>
      <c r="T688" s="93"/>
      <c r="U688" s="93"/>
      <c r="V688" s="93"/>
      <c r="W688" s="93"/>
      <c r="X688" s="93"/>
      <c r="Y688" s="93"/>
      <c r="Z688" s="93"/>
      <c r="AA688" s="93"/>
      <c r="AB688" s="93"/>
      <c r="AC688" s="93"/>
      <c r="AD688" s="93"/>
      <c r="AE688" s="93"/>
      <c r="AF688" s="93"/>
      <c r="AG688" s="93"/>
      <c r="AH688" s="94"/>
      <c r="AI688" s="93"/>
      <c r="AJ688" s="93"/>
      <c r="AK688" s="93"/>
      <c r="AL688" s="93"/>
      <c r="AM688" s="93"/>
      <c r="AN688" s="93"/>
      <c r="AO688" s="93"/>
      <c r="AP688" s="93"/>
      <c r="AQ688" s="93"/>
      <c r="AR688" s="93"/>
      <c r="AS688" s="93"/>
      <c r="AT688" s="93"/>
      <c r="AU688" s="93"/>
      <c r="AV688" s="93"/>
      <c r="AW688" s="93"/>
      <c r="AX688" s="93"/>
      <c r="AY688" s="93"/>
      <c r="AZ688" s="93"/>
      <c r="BA688" s="93"/>
      <c r="BB688" s="93"/>
      <c r="BC688" s="93"/>
      <c r="BD688" s="93"/>
      <c r="BE688" s="93"/>
      <c r="BF688" s="93"/>
      <c r="BG688" s="93"/>
      <c r="BH688" s="93"/>
      <c r="BI688" s="93"/>
      <c r="BJ688" s="93"/>
      <c r="BK688" s="93"/>
      <c r="BL688" s="93"/>
      <c r="BM688" s="93"/>
      <c r="BN688" s="93"/>
      <c r="BO688" s="93"/>
      <c r="BP688" s="93"/>
      <c r="BQ688" s="93"/>
      <c r="BR688" s="93"/>
      <c r="BS688" s="93"/>
      <c r="BT688" s="93"/>
      <c r="BU688" s="93"/>
      <c r="BV688" s="93"/>
      <c r="BW688" s="93"/>
      <c r="BX688" s="93"/>
      <c r="BY688" s="93"/>
      <c r="BZ688" s="93"/>
    </row>
    <row r="689">
      <c r="A689" t="s">
        <v>1340</v>
      </c>
      <c r="B689" t="s">
        <v>2886</v>
      </c>
      <c r="C689" s="89" t="s">
        <v>2887</v>
      </c>
      <c r="D689" s="90" t="s">
        <v>268</v>
      </c>
      <c r="E689" s="91">
        <v>2019.0</v>
      </c>
      <c r="F689" s="92">
        <v>1.0</v>
      </c>
      <c r="G689" s="93"/>
      <c r="H689" s="93"/>
      <c r="I689" s="93"/>
      <c r="J689" s="93"/>
      <c r="K689" s="93"/>
      <c r="L689" s="93"/>
      <c r="M689" s="93"/>
      <c r="N689" s="93"/>
      <c r="O689" s="93"/>
      <c r="P689" s="93"/>
      <c r="Q689" s="93"/>
      <c r="R689" s="93"/>
      <c r="S689" s="93"/>
      <c r="T689" s="93"/>
      <c r="U689" s="93"/>
      <c r="V689" s="93"/>
      <c r="W689" s="93"/>
      <c r="X689" s="93"/>
      <c r="Y689" s="93"/>
      <c r="Z689" s="93"/>
      <c r="AA689" s="93"/>
      <c r="AB689" s="93"/>
      <c r="AC689" s="93"/>
      <c r="AD689" s="93"/>
      <c r="AE689" s="93"/>
      <c r="AF689" s="93"/>
      <c r="AG689" s="93"/>
      <c r="AH689" s="94"/>
      <c r="AI689" s="93"/>
      <c r="AJ689" s="93"/>
      <c r="AK689" s="93"/>
      <c r="AL689" s="93"/>
      <c r="AM689" s="93"/>
      <c r="AN689" s="93"/>
      <c r="AO689" s="93"/>
      <c r="AP689" s="93"/>
      <c r="AQ689" s="93"/>
      <c r="AR689" s="93"/>
      <c r="AS689" s="93"/>
      <c r="AT689" s="93"/>
      <c r="AU689" s="93"/>
      <c r="AV689" s="93"/>
      <c r="AW689" s="93"/>
      <c r="AX689" s="93"/>
      <c r="AY689" s="93"/>
      <c r="AZ689" s="93"/>
      <c r="BA689" s="93"/>
      <c r="BB689" s="93"/>
      <c r="BC689" s="93"/>
      <c r="BD689" s="93"/>
      <c r="BE689" s="93"/>
      <c r="BF689" s="93"/>
      <c r="BG689" s="93"/>
      <c r="BH689" s="93"/>
      <c r="BI689" s="93"/>
      <c r="BJ689" s="93"/>
      <c r="BK689" s="93"/>
      <c r="BL689" s="93"/>
      <c r="BM689" s="93"/>
      <c r="BN689" s="93"/>
      <c r="BO689" s="93"/>
      <c r="BP689" s="93"/>
      <c r="BQ689" s="93"/>
      <c r="BR689" s="93"/>
      <c r="BS689" s="93"/>
      <c r="BT689" s="93"/>
      <c r="BU689" s="93"/>
      <c r="BV689" s="93"/>
      <c r="BW689" s="93"/>
      <c r="BX689" s="93"/>
      <c r="BY689" s="93"/>
      <c r="BZ689" s="93"/>
    </row>
    <row r="690">
      <c r="B690" t="s">
        <v>2888</v>
      </c>
      <c r="C690" s="89" t="s">
        <v>2889</v>
      </c>
      <c r="D690" s="90" t="s">
        <v>2856</v>
      </c>
      <c r="E690" s="91">
        <v>2019.0</v>
      </c>
      <c r="F690" s="95" t="s">
        <v>1488</v>
      </c>
      <c r="G690" s="93"/>
      <c r="H690" s="93"/>
      <c r="I690" s="93"/>
      <c r="J690" s="93"/>
      <c r="K690" s="93"/>
      <c r="L690" s="93"/>
      <c r="M690" s="93"/>
      <c r="N690" s="93"/>
      <c r="O690" s="93"/>
      <c r="P690" s="93"/>
      <c r="Q690" s="93"/>
      <c r="R690" s="93"/>
      <c r="S690" s="93"/>
      <c r="T690" s="93"/>
      <c r="U690" s="93"/>
      <c r="V690" s="93"/>
      <c r="W690" s="93"/>
      <c r="X690" s="93"/>
      <c r="Y690" s="93"/>
      <c r="Z690" s="93"/>
      <c r="AA690" s="93"/>
      <c r="AB690" s="93"/>
      <c r="AC690" s="93"/>
      <c r="AD690" s="93"/>
      <c r="AE690" s="93"/>
      <c r="AF690" s="93"/>
      <c r="AG690" s="93"/>
      <c r="AH690" s="94"/>
      <c r="AI690" s="93"/>
      <c r="AJ690" s="93"/>
      <c r="AK690" s="93"/>
      <c r="AL690" s="93"/>
      <c r="AM690" s="93"/>
      <c r="AN690" s="93"/>
      <c r="AO690" s="93"/>
      <c r="AP690" s="93"/>
      <c r="AQ690" s="93"/>
      <c r="AR690" s="93"/>
      <c r="AS690" s="93"/>
      <c r="AT690" s="93"/>
      <c r="AU690" s="93"/>
      <c r="AV690" s="93"/>
      <c r="AW690" s="93"/>
      <c r="AX690" s="93"/>
      <c r="AY690" s="93"/>
      <c r="AZ690" s="93"/>
      <c r="BA690" s="93"/>
      <c r="BB690" s="93"/>
      <c r="BC690" s="93"/>
      <c r="BD690" s="93"/>
      <c r="BE690" s="93"/>
      <c r="BF690" s="93"/>
      <c r="BG690" s="93"/>
      <c r="BH690" s="93"/>
      <c r="BI690" s="93"/>
      <c r="BJ690" s="93"/>
      <c r="BK690" s="93"/>
      <c r="BL690" s="93"/>
      <c r="BM690" s="93"/>
      <c r="BN690" s="93"/>
      <c r="BO690" s="93"/>
      <c r="BP690" s="93"/>
      <c r="BQ690" s="93"/>
      <c r="BR690" s="93"/>
      <c r="BS690" s="93"/>
      <c r="BT690" s="93"/>
      <c r="BU690" s="93"/>
      <c r="BV690" s="93"/>
      <c r="BW690" s="93"/>
      <c r="BX690" s="93"/>
      <c r="BY690" s="93"/>
      <c r="BZ690" s="93"/>
    </row>
    <row r="691">
      <c r="B691" t="s">
        <v>2890</v>
      </c>
      <c r="C691" s="89" t="s">
        <v>2891</v>
      </c>
      <c r="D691" s="90" t="s">
        <v>2892</v>
      </c>
      <c r="E691" s="91">
        <v>2016.0</v>
      </c>
      <c r="F691" s="92">
        <v>1.0</v>
      </c>
      <c r="G691" s="93"/>
      <c r="H691" s="93"/>
      <c r="I691" s="93"/>
      <c r="J691" s="93"/>
      <c r="K691" s="93"/>
      <c r="L691" s="93"/>
      <c r="M691" s="93"/>
      <c r="N691" s="93"/>
      <c r="O691" s="93"/>
      <c r="P691" s="93"/>
      <c r="Q691" s="93"/>
      <c r="R691" s="93"/>
      <c r="S691" s="93"/>
      <c r="T691" s="93"/>
      <c r="U691" s="93"/>
      <c r="V691" s="93"/>
      <c r="W691" s="93"/>
      <c r="X691" s="93"/>
      <c r="Y691" s="93"/>
      <c r="Z691" s="93"/>
      <c r="AA691" s="93"/>
      <c r="AB691" s="93"/>
      <c r="AC691" s="93"/>
      <c r="AD691" s="93"/>
      <c r="AE691" s="93"/>
      <c r="AF691" s="93"/>
      <c r="AG691" s="93"/>
      <c r="AH691" s="94"/>
      <c r="AI691" s="93"/>
      <c r="AJ691" s="93"/>
      <c r="AK691" s="93"/>
      <c r="AL691" s="93"/>
      <c r="AM691" s="93"/>
      <c r="AN691" s="93"/>
      <c r="AO691" s="93"/>
      <c r="AP691" s="93"/>
      <c r="AQ691" s="93"/>
      <c r="AR691" s="93"/>
      <c r="AS691" s="93"/>
      <c r="AT691" s="93"/>
      <c r="AU691" s="93"/>
      <c r="AV691" s="93"/>
      <c r="AW691" s="93"/>
      <c r="AX691" s="93"/>
      <c r="AY691" s="93"/>
      <c r="AZ691" s="93"/>
      <c r="BA691" s="93"/>
      <c r="BB691" s="93"/>
      <c r="BC691" s="93"/>
      <c r="BD691" s="93"/>
      <c r="BE691" s="93"/>
      <c r="BF691" s="93"/>
      <c r="BG691" s="93"/>
      <c r="BH691" s="93"/>
      <c r="BI691" s="93"/>
      <c r="BJ691" s="93"/>
      <c r="BK691" s="93"/>
      <c r="BL691" s="93"/>
      <c r="BM691" s="93"/>
      <c r="BN691" s="93"/>
      <c r="BO691" s="93"/>
      <c r="BP691" s="93"/>
      <c r="BQ691" s="93"/>
      <c r="BR691" s="93"/>
      <c r="BS691" s="93"/>
      <c r="BT691" s="93"/>
      <c r="BU691" s="93"/>
      <c r="BV691" s="93"/>
      <c r="BW691" s="93"/>
      <c r="BX691" s="93"/>
      <c r="BY691" s="93"/>
      <c r="BZ691" s="93"/>
    </row>
    <row r="692">
      <c r="B692" t="s">
        <v>2893</v>
      </c>
      <c r="C692" s="89" t="s">
        <v>2894</v>
      </c>
      <c r="D692" s="90" t="s">
        <v>2856</v>
      </c>
      <c r="E692" s="91">
        <v>2016.0</v>
      </c>
      <c r="F692" s="92">
        <v>1.0</v>
      </c>
      <c r="G692" s="93"/>
      <c r="H692" s="93"/>
      <c r="I692" s="93"/>
      <c r="J692" s="93"/>
      <c r="K692" s="93"/>
      <c r="L692" s="93"/>
      <c r="M692" s="93"/>
      <c r="N692" s="93"/>
      <c r="O692" s="93"/>
      <c r="P692" s="93"/>
      <c r="Q692" s="93"/>
      <c r="R692" s="93"/>
      <c r="S692" s="93"/>
      <c r="T692" s="93"/>
      <c r="U692" s="93"/>
      <c r="V692" s="93"/>
      <c r="W692" s="93"/>
      <c r="X692" s="93"/>
      <c r="Y692" s="93"/>
      <c r="Z692" s="93"/>
      <c r="AA692" s="93"/>
      <c r="AB692" s="93"/>
      <c r="AC692" s="93"/>
      <c r="AD692" s="93"/>
      <c r="AE692" s="93"/>
      <c r="AF692" s="93"/>
      <c r="AG692" s="93"/>
      <c r="AH692" s="94"/>
      <c r="AI692" s="93"/>
      <c r="AJ692" s="93"/>
      <c r="AK692" s="93"/>
      <c r="AL692" s="93"/>
      <c r="AM692" s="93"/>
      <c r="AN692" s="93"/>
      <c r="AO692" s="93"/>
      <c r="AP692" s="93"/>
      <c r="AQ692" s="93"/>
      <c r="AR692" s="93"/>
      <c r="AS692" s="93"/>
      <c r="AT692" s="93"/>
      <c r="AU692" s="93"/>
      <c r="AV692" s="93"/>
      <c r="AW692" s="93"/>
      <c r="AX692" s="93"/>
      <c r="AY692" s="93"/>
      <c r="AZ692" s="93"/>
      <c r="BA692" s="93"/>
      <c r="BB692" s="93"/>
      <c r="BC692" s="93"/>
      <c r="BD692" s="93"/>
      <c r="BE692" s="93"/>
      <c r="BF692" s="93"/>
      <c r="BG692" s="93"/>
      <c r="BH692" s="93"/>
      <c r="BI692" s="93"/>
      <c r="BJ692" s="93"/>
      <c r="BK692" s="93"/>
      <c r="BL692" s="93"/>
      <c r="BM692" s="93"/>
      <c r="BN692" s="93"/>
      <c r="BO692" s="93"/>
      <c r="BP692" s="93"/>
      <c r="BQ692" s="93"/>
      <c r="BR692" s="93"/>
      <c r="BS692" s="93"/>
      <c r="BT692" s="93"/>
      <c r="BU692" s="93"/>
      <c r="BV692" s="93"/>
      <c r="BW692" s="93"/>
      <c r="BX692" s="93"/>
      <c r="BY692" s="93"/>
      <c r="BZ692" s="93"/>
    </row>
    <row r="693">
      <c r="B693" t="s">
        <v>2895</v>
      </c>
      <c r="C693" s="89" t="s">
        <v>2896</v>
      </c>
      <c r="D693" s="90" t="s">
        <v>2897</v>
      </c>
      <c r="E693" s="91">
        <v>2017.0</v>
      </c>
      <c r="F693" s="92">
        <v>1.0</v>
      </c>
      <c r="G693" s="93"/>
      <c r="H693" s="93"/>
      <c r="I693" s="93"/>
      <c r="J693" s="93"/>
      <c r="K693" s="93"/>
      <c r="L693" s="93"/>
      <c r="M693" s="93"/>
      <c r="N693" s="93"/>
      <c r="O693" s="93"/>
      <c r="P693" s="93"/>
      <c r="Q693" s="93"/>
      <c r="R693" s="93"/>
      <c r="S693" s="93"/>
      <c r="T693" s="93"/>
      <c r="U693" s="93"/>
      <c r="V693" s="93"/>
      <c r="W693" s="93"/>
      <c r="X693" s="93"/>
      <c r="Y693" s="93"/>
      <c r="Z693" s="93"/>
      <c r="AA693" s="93"/>
      <c r="AB693" s="93"/>
      <c r="AC693" s="93"/>
      <c r="AD693" s="93"/>
      <c r="AE693" s="93"/>
      <c r="AF693" s="93"/>
      <c r="AG693" s="93"/>
      <c r="AH693" s="94"/>
      <c r="AI693" s="93"/>
      <c r="AJ693" s="93"/>
      <c r="AK693" s="93"/>
      <c r="AL693" s="93"/>
      <c r="AM693" s="93"/>
      <c r="AN693" s="93"/>
      <c r="AO693" s="93"/>
      <c r="AP693" s="93"/>
      <c r="AQ693" s="93"/>
      <c r="AR693" s="93"/>
      <c r="AS693" s="93"/>
      <c r="AT693" s="93"/>
      <c r="AU693" s="93"/>
      <c r="AV693" s="93"/>
      <c r="AW693" s="93"/>
      <c r="AX693" s="93"/>
      <c r="AY693" s="93"/>
      <c r="AZ693" s="93"/>
      <c r="BA693" s="93"/>
      <c r="BB693" s="93"/>
      <c r="BC693" s="93"/>
      <c r="BD693" s="93"/>
      <c r="BE693" s="93"/>
      <c r="BF693" s="93"/>
      <c r="BG693" s="93"/>
      <c r="BH693" s="93"/>
      <c r="BI693" s="93"/>
      <c r="BJ693" s="93"/>
      <c r="BK693" s="93"/>
      <c r="BL693" s="93"/>
      <c r="BM693" s="93"/>
      <c r="BN693" s="93"/>
      <c r="BO693" s="93"/>
      <c r="BP693" s="93"/>
      <c r="BQ693" s="93"/>
      <c r="BR693" s="93"/>
      <c r="BS693" s="93"/>
      <c r="BT693" s="93"/>
      <c r="BU693" s="93"/>
      <c r="BV693" s="93"/>
      <c r="BW693" s="93"/>
      <c r="BX693" s="93"/>
      <c r="BY693" s="93"/>
      <c r="BZ693" s="93"/>
    </row>
    <row r="694">
      <c r="B694" t="s">
        <v>2898</v>
      </c>
      <c r="C694" s="89" t="s">
        <v>2899</v>
      </c>
      <c r="D694" s="90" t="s">
        <v>2900</v>
      </c>
      <c r="E694" s="91">
        <v>2018.0</v>
      </c>
      <c r="F694" s="92">
        <v>1.0</v>
      </c>
      <c r="G694" s="93"/>
      <c r="H694" s="93"/>
      <c r="I694" s="93"/>
      <c r="J694" s="93"/>
      <c r="K694" s="93"/>
      <c r="L694" s="93"/>
      <c r="M694" s="93"/>
      <c r="N694" s="93"/>
      <c r="O694" s="93"/>
      <c r="P694" s="93"/>
      <c r="Q694" s="93"/>
      <c r="R694" s="93"/>
      <c r="S694" s="93"/>
      <c r="T694" s="93"/>
      <c r="U694" s="93"/>
      <c r="V694" s="93"/>
      <c r="W694" s="93"/>
      <c r="X694" s="93"/>
      <c r="Y694" s="93"/>
      <c r="Z694" s="93"/>
      <c r="AA694" s="93"/>
      <c r="AB694" s="93"/>
      <c r="AC694" s="93"/>
      <c r="AD694" s="93"/>
      <c r="AE694" s="93"/>
      <c r="AF694" s="93"/>
      <c r="AG694" s="93"/>
      <c r="AH694" s="94"/>
      <c r="AI694" s="93"/>
      <c r="AJ694" s="93"/>
      <c r="AK694" s="93"/>
      <c r="AL694" s="93"/>
      <c r="AM694" s="93"/>
      <c r="AN694" s="93"/>
      <c r="AO694" s="93"/>
      <c r="AP694" s="93"/>
      <c r="AQ694" s="93"/>
      <c r="AR694" s="93"/>
      <c r="AS694" s="93"/>
      <c r="AT694" s="93"/>
      <c r="AU694" s="93"/>
      <c r="AV694" s="93"/>
      <c r="AW694" s="93"/>
      <c r="AX694" s="93"/>
      <c r="AY694" s="93"/>
      <c r="AZ694" s="93"/>
      <c r="BA694" s="93"/>
      <c r="BB694" s="93"/>
      <c r="BC694" s="93"/>
      <c r="BD694" s="93"/>
      <c r="BE694" s="93"/>
      <c r="BF694" s="93"/>
      <c r="BG694" s="93"/>
      <c r="BH694" s="93"/>
      <c r="BI694" s="93"/>
      <c r="BJ694" s="93"/>
      <c r="BK694" s="93"/>
      <c r="BL694" s="93"/>
      <c r="BM694" s="93"/>
      <c r="BN694" s="93"/>
      <c r="BO694" s="93"/>
      <c r="BP694" s="93"/>
      <c r="BQ694" s="93"/>
      <c r="BR694" s="93"/>
      <c r="BS694" s="93"/>
      <c r="BT694" s="93"/>
      <c r="BU694" s="93"/>
      <c r="BV694" s="93"/>
      <c r="BW694" s="93"/>
      <c r="BX694" s="93"/>
      <c r="BY694" s="93"/>
      <c r="BZ694" s="93"/>
    </row>
    <row r="695">
      <c r="B695" t="s">
        <v>2901</v>
      </c>
      <c r="C695" s="89" t="s">
        <v>2902</v>
      </c>
      <c r="D695" s="90" t="s">
        <v>2903</v>
      </c>
      <c r="E695" s="91">
        <v>2019.0</v>
      </c>
      <c r="F695" s="92">
        <v>1.0</v>
      </c>
      <c r="G695" s="93"/>
      <c r="H695" s="93"/>
      <c r="I695" s="93"/>
      <c r="J695" s="93"/>
      <c r="K695" s="93"/>
      <c r="L695" s="93"/>
      <c r="M695" s="93"/>
      <c r="N695" s="93"/>
      <c r="O695" s="93"/>
      <c r="P695" s="93"/>
      <c r="Q695" s="93"/>
      <c r="R695" s="93"/>
      <c r="S695" s="93"/>
      <c r="T695" s="93"/>
      <c r="U695" s="93"/>
      <c r="V695" s="93"/>
      <c r="W695" s="93"/>
      <c r="X695" s="93"/>
      <c r="Y695" s="93"/>
      <c r="Z695" s="93"/>
      <c r="AA695" s="93"/>
      <c r="AB695" s="93"/>
      <c r="AC695" s="93"/>
      <c r="AD695" s="93"/>
      <c r="AE695" s="93"/>
      <c r="AF695" s="93"/>
      <c r="AG695" s="93"/>
      <c r="AH695" s="94"/>
      <c r="AI695" s="93"/>
      <c r="AJ695" s="93"/>
      <c r="AK695" s="93"/>
      <c r="AL695" s="93"/>
      <c r="AM695" s="93"/>
      <c r="AN695" s="93"/>
      <c r="AO695" s="93"/>
      <c r="AP695" s="93"/>
      <c r="AQ695" s="93"/>
      <c r="AR695" s="93"/>
      <c r="AS695" s="93"/>
      <c r="AT695" s="93"/>
      <c r="AU695" s="93"/>
      <c r="AV695" s="93"/>
      <c r="AW695" s="93"/>
      <c r="AX695" s="93"/>
      <c r="AY695" s="93"/>
      <c r="AZ695" s="93"/>
      <c r="BA695" s="93"/>
      <c r="BB695" s="93"/>
      <c r="BC695" s="93"/>
      <c r="BD695" s="93"/>
      <c r="BE695" s="93"/>
      <c r="BF695" s="93"/>
      <c r="BG695" s="93"/>
      <c r="BH695" s="93"/>
      <c r="BI695" s="93"/>
      <c r="BJ695" s="93"/>
      <c r="BK695" s="93"/>
      <c r="BL695" s="93"/>
      <c r="BM695" s="93"/>
      <c r="BN695" s="93"/>
      <c r="BO695" s="93"/>
      <c r="BP695" s="93"/>
      <c r="BQ695" s="93"/>
      <c r="BR695" s="93"/>
      <c r="BS695" s="93"/>
      <c r="BT695" s="93"/>
      <c r="BU695" s="93"/>
      <c r="BV695" s="93"/>
      <c r="BW695" s="93"/>
      <c r="BX695" s="93"/>
      <c r="BY695" s="93"/>
      <c r="BZ695" s="93"/>
    </row>
    <row r="696">
      <c r="B696" t="s">
        <v>2904</v>
      </c>
      <c r="C696" s="89" t="s">
        <v>2905</v>
      </c>
      <c r="D696" s="90" t="s">
        <v>2906</v>
      </c>
      <c r="E696" s="91">
        <v>2018.0</v>
      </c>
      <c r="F696" s="92">
        <v>1.0</v>
      </c>
      <c r="G696" s="93"/>
      <c r="H696" s="93"/>
      <c r="I696" s="93"/>
      <c r="J696" s="93"/>
      <c r="K696" s="93"/>
      <c r="L696" s="93"/>
      <c r="M696" s="93"/>
      <c r="N696" s="93"/>
      <c r="O696" s="93"/>
      <c r="P696" s="93"/>
      <c r="Q696" s="93"/>
      <c r="R696" s="93"/>
      <c r="S696" s="93"/>
      <c r="T696" s="93"/>
      <c r="U696" s="93"/>
      <c r="V696" s="93"/>
      <c r="W696" s="93"/>
      <c r="X696" s="93"/>
      <c r="Y696" s="93"/>
      <c r="Z696" s="93"/>
      <c r="AA696" s="93"/>
      <c r="AB696" s="93"/>
      <c r="AC696" s="93"/>
      <c r="AD696" s="93"/>
      <c r="AE696" s="93"/>
      <c r="AF696" s="93"/>
      <c r="AG696" s="93"/>
      <c r="AH696" s="94"/>
      <c r="AI696" s="93"/>
      <c r="AJ696" s="93"/>
      <c r="AK696" s="93"/>
      <c r="AL696" s="93"/>
      <c r="AM696" s="93"/>
      <c r="AN696" s="93"/>
      <c r="AO696" s="93"/>
      <c r="AP696" s="93"/>
      <c r="AQ696" s="93"/>
      <c r="AR696" s="93"/>
      <c r="AS696" s="93"/>
      <c r="AT696" s="93"/>
      <c r="AU696" s="93"/>
      <c r="AV696" s="93"/>
      <c r="AW696" s="93"/>
      <c r="AX696" s="93"/>
      <c r="AY696" s="93"/>
      <c r="AZ696" s="93"/>
      <c r="BA696" s="93"/>
      <c r="BB696" s="93"/>
      <c r="BC696" s="93"/>
      <c r="BD696" s="93"/>
      <c r="BE696" s="93"/>
      <c r="BF696" s="93"/>
      <c r="BG696" s="93"/>
      <c r="BH696" s="93"/>
      <c r="BI696" s="93"/>
      <c r="BJ696" s="93"/>
      <c r="BK696" s="93"/>
      <c r="BL696" s="93"/>
      <c r="BM696" s="93"/>
      <c r="BN696" s="93"/>
      <c r="BO696" s="93"/>
      <c r="BP696" s="93"/>
      <c r="BQ696" s="93"/>
      <c r="BR696" s="93"/>
      <c r="BS696" s="93"/>
      <c r="BT696" s="93"/>
      <c r="BU696" s="93"/>
      <c r="BV696" s="93"/>
      <c r="BW696" s="93"/>
      <c r="BX696" s="93"/>
      <c r="BY696" s="93"/>
      <c r="BZ696" s="93"/>
    </row>
    <row r="697">
      <c r="A697" t="s">
        <v>1354</v>
      </c>
      <c r="B697" t="s">
        <v>2907</v>
      </c>
      <c r="C697" s="89" t="s">
        <v>2908</v>
      </c>
      <c r="D697" s="90" t="s">
        <v>2909</v>
      </c>
      <c r="E697" s="91">
        <v>2019.0</v>
      </c>
      <c r="F697" s="92">
        <v>1.0</v>
      </c>
      <c r="G697" s="93"/>
      <c r="H697" s="93"/>
      <c r="I697" s="93"/>
      <c r="J697" s="93"/>
      <c r="K697" s="93"/>
      <c r="L697" s="93"/>
      <c r="M697" s="93"/>
      <c r="N697" s="93"/>
      <c r="O697" s="93"/>
      <c r="P697" s="93"/>
      <c r="Q697" s="93"/>
      <c r="R697" s="93"/>
      <c r="S697" s="93"/>
      <c r="T697" s="93"/>
      <c r="U697" s="93"/>
      <c r="V697" s="93"/>
      <c r="W697" s="93"/>
      <c r="X697" s="93"/>
      <c r="Y697" s="93"/>
      <c r="Z697" s="93"/>
      <c r="AA697" s="93"/>
      <c r="AB697" s="93"/>
      <c r="AC697" s="93"/>
      <c r="AD697" s="93"/>
      <c r="AE697" s="93"/>
      <c r="AF697" s="93"/>
      <c r="AG697" s="93"/>
      <c r="AH697" s="94"/>
      <c r="AI697" s="93"/>
      <c r="AJ697" s="93"/>
      <c r="AK697" s="93"/>
      <c r="AL697" s="93"/>
      <c r="AM697" s="93"/>
      <c r="AN697" s="93"/>
      <c r="AO697" s="93"/>
      <c r="AP697" s="93"/>
      <c r="AQ697" s="93"/>
      <c r="AR697" s="93"/>
      <c r="AS697" s="93"/>
      <c r="AT697" s="93"/>
      <c r="AU697" s="93"/>
      <c r="AV697" s="93"/>
      <c r="AW697" s="93"/>
      <c r="AX697" s="93"/>
      <c r="AY697" s="93"/>
      <c r="AZ697" s="93"/>
      <c r="BA697" s="93"/>
      <c r="BB697" s="93"/>
      <c r="BC697" s="93"/>
      <c r="BD697" s="93"/>
      <c r="BE697" s="93"/>
      <c r="BF697" s="93"/>
      <c r="BG697" s="93"/>
      <c r="BH697" s="93"/>
      <c r="BI697" s="93"/>
      <c r="BJ697" s="93"/>
      <c r="BK697" s="93"/>
      <c r="BL697" s="93"/>
      <c r="BM697" s="93"/>
      <c r="BN697" s="93"/>
      <c r="BO697" s="93"/>
      <c r="BP697" s="93"/>
      <c r="BQ697" s="93"/>
      <c r="BR697" s="93"/>
      <c r="BS697" s="93"/>
      <c r="BT697" s="93"/>
      <c r="BU697" s="93"/>
      <c r="BV697" s="93"/>
      <c r="BW697" s="93"/>
      <c r="BX697" s="93"/>
      <c r="BY697" s="93"/>
      <c r="BZ697" s="93"/>
    </row>
    <row r="698">
      <c r="B698" t="s">
        <v>2910</v>
      </c>
      <c r="C698" s="89" t="s">
        <v>2911</v>
      </c>
      <c r="D698" s="90" t="s">
        <v>2912</v>
      </c>
      <c r="E698" s="91">
        <v>2016.0</v>
      </c>
      <c r="F698" s="92">
        <v>1.0</v>
      </c>
      <c r="G698" s="93"/>
      <c r="H698" s="93"/>
      <c r="I698" s="93"/>
      <c r="J698" s="93"/>
      <c r="K698" s="93"/>
      <c r="L698" s="93"/>
      <c r="M698" s="93"/>
      <c r="N698" s="93"/>
      <c r="O698" s="93"/>
      <c r="P698" s="93"/>
      <c r="Q698" s="93"/>
      <c r="R698" s="93"/>
      <c r="S698" s="93"/>
      <c r="T698" s="93"/>
      <c r="U698" s="93"/>
      <c r="V698" s="93"/>
      <c r="W698" s="93"/>
      <c r="X698" s="93"/>
      <c r="Y698" s="93"/>
      <c r="Z698" s="93"/>
      <c r="AA698" s="93"/>
      <c r="AB698" s="93"/>
      <c r="AC698" s="93"/>
      <c r="AD698" s="93"/>
      <c r="AE698" s="93"/>
      <c r="AF698" s="93"/>
      <c r="AG698" s="93"/>
      <c r="AH698" s="94"/>
      <c r="AI698" s="93"/>
      <c r="AJ698" s="93"/>
      <c r="AK698" s="93"/>
      <c r="AL698" s="93"/>
      <c r="AM698" s="93"/>
      <c r="AN698" s="93"/>
      <c r="AO698" s="93"/>
      <c r="AP698" s="93"/>
      <c r="AQ698" s="93"/>
      <c r="AR698" s="93"/>
      <c r="AS698" s="93"/>
      <c r="AT698" s="93"/>
      <c r="AU698" s="93"/>
      <c r="AV698" s="93"/>
      <c r="AW698" s="93"/>
      <c r="AX698" s="93"/>
      <c r="AY698" s="93"/>
      <c r="AZ698" s="93"/>
      <c r="BA698" s="93"/>
      <c r="BB698" s="93"/>
      <c r="BC698" s="93"/>
      <c r="BD698" s="93"/>
      <c r="BE698" s="93"/>
      <c r="BF698" s="93"/>
      <c r="BG698" s="93"/>
      <c r="BH698" s="93"/>
      <c r="BI698" s="93"/>
      <c r="BJ698" s="93"/>
      <c r="BK698" s="93"/>
      <c r="BL698" s="93"/>
      <c r="BM698" s="93"/>
      <c r="BN698" s="93"/>
      <c r="BO698" s="93"/>
      <c r="BP698" s="93"/>
      <c r="BQ698" s="93"/>
      <c r="BR698" s="93"/>
      <c r="BS698" s="93"/>
      <c r="BT698" s="93"/>
      <c r="BU698" s="93"/>
      <c r="BV698" s="93"/>
      <c r="BW698" s="93"/>
      <c r="BX698" s="93"/>
      <c r="BY698" s="93"/>
      <c r="BZ698" s="93"/>
    </row>
    <row r="699">
      <c r="A699" t="s">
        <v>116</v>
      </c>
      <c r="B699" t="s">
        <v>2913</v>
      </c>
      <c r="C699" s="89" t="s">
        <v>2914</v>
      </c>
      <c r="D699" s="90" t="s">
        <v>2915</v>
      </c>
      <c r="E699" s="91">
        <v>2018.0</v>
      </c>
      <c r="F699" s="92">
        <v>1.0</v>
      </c>
      <c r="G699" s="93"/>
      <c r="H699" s="93"/>
      <c r="I699" s="93"/>
      <c r="J699" s="93"/>
      <c r="K699" s="93"/>
      <c r="L699" s="93"/>
      <c r="M699" s="93"/>
      <c r="N699" s="93"/>
      <c r="O699" s="93"/>
      <c r="P699" s="93"/>
      <c r="Q699" s="93"/>
      <c r="R699" s="93"/>
      <c r="S699" s="93"/>
      <c r="T699" s="93"/>
      <c r="U699" s="93"/>
      <c r="V699" s="93"/>
      <c r="W699" s="93"/>
      <c r="X699" s="93"/>
      <c r="Y699" s="93"/>
      <c r="Z699" s="93"/>
      <c r="AA699" s="93"/>
      <c r="AB699" s="93"/>
      <c r="AC699" s="93"/>
      <c r="AD699" s="93"/>
      <c r="AE699" s="93"/>
      <c r="AF699" s="93"/>
      <c r="AG699" s="93"/>
      <c r="AH699" s="94"/>
      <c r="AI699" s="93"/>
      <c r="AJ699" s="93"/>
      <c r="AK699" s="93"/>
      <c r="AL699" s="93"/>
      <c r="AM699" s="93"/>
      <c r="AN699" s="93"/>
      <c r="AO699" s="93"/>
      <c r="AP699" s="93"/>
      <c r="AQ699" s="93"/>
      <c r="AR699" s="93"/>
      <c r="AS699" s="93"/>
      <c r="AT699" s="93"/>
      <c r="AU699" s="93"/>
      <c r="AV699" s="93"/>
      <c r="AW699" s="93"/>
      <c r="AX699" s="93"/>
      <c r="AY699" s="93"/>
      <c r="AZ699" s="93"/>
      <c r="BA699" s="93"/>
      <c r="BB699" s="93"/>
      <c r="BC699" s="93"/>
      <c r="BD699" s="93"/>
      <c r="BE699" s="93"/>
      <c r="BF699" s="93"/>
      <c r="BG699" s="93"/>
      <c r="BH699" s="93"/>
      <c r="BI699" s="93"/>
      <c r="BJ699" s="93"/>
      <c r="BK699" s="93"/>
      <c r="BL699" s="93"/>
      <c r="BM699" s="93"/>
      <c r="BN699" s="93"/>
      <c r="BO699" s="93"/>
      <c r="BP699" s="93"/>
      <c r="BQ699" s="93"/>
      <c r="BR699" s="93"/>
      <c r="BS699" s="93"/>
      <c r="BT699" s="93"/>
      <c r="BU699" s="93"/>
      <c r="BV699" s="93"/>
      <c r="BW699" s="93"/>
      <c r="BX699" s="93"/>
      <c r="BY699" s="93"/>
      <c r="BZ699" s="93"/>
    </row>
    <row r="700">
      <c r="A700" t="s">
        <v>1331</v>
      </c>
      <c r="B700" t="s">
        <v>2916</v>
      </c>
      <c r="C700" s="89" t="s">
        <v>2917</v>
      </c>
      <c r="D700" s="90" t="s">
        <v>268</v>
      </c>
      <c r="E700" s="91">
        <v>2015.0</v>
      </c>
      <c r="F700" s="92">
        <v>1.0</v>
      </c>
      <c r="G700" s="93"/>
      <c r="H700" s="93"/>
      <c r="I700" s="93"/>
      <c r="J700" s="93"/>
      <c r="K700" s="93"/>
      <c r="L700" s="93"/>
      <c r="M700" s="93"/>
      <c r="N700" s="93"/>
      <c r="O700" s="93"/>
      <c r="P700" s="93"/>
      <c r="Q700" s="93"/>
      <c r="R700" s="93"/>
      <c r="S700" s="93"/>
      <c r="T700" s="93"/>
      <c r="U700" s="93"/>
      <c r="V700" s="93"/>
      <c r="W700" s="93"/>
      <c r="X700" s="93"/>
      <c r="Y700" s="93"/>
      <c r="Z700" s="93"/>
      <c r="AA700" s="93"/>
      <c r="AB700" s="93"/>
      <c r="AC700" s="93"/>
      <c r="AD700" s="93"/>
      <c r="AE700" s="93"/>
      <c r="AF700" s="93"/>
      <c r="AG700" s="93"/>
      <c r="AH700" s="94"/>
      <c r="AI700" s="93"/>
      <c r="AJ700" s="93"/>
      <c r="AK700" s="93"/>
      <c r="AL700" s="93"/>
      <c r="AM700" s="93"/>
      <c r="AN700" s="93"/>
      <c r="AO700" s="93"/>
      <c r="AP700" s="93"/>
      <c r="AQ700" s="93"/>
      <c r="AR700" s="93"/>
      <c r="AS700" s="93"/>
      <c r="AT700" s="93"/>
      <c r="AU700" s="93"/>
      <c r="AV700" s="93"/>
      <c r="AW700" s="93"/>
      <c r="AX700" s="93"/>
      <c r="AY700" s="93"/>
      <c r="AZ700" s="93"/>
      <c r="BA700" s="93"/>
      <c r="BB700" s="93"/>
      <c r="BC700" s="93"/>
      <c r="BD700" s="93"/>
      <c r="BE700" s="93"/>
      <c r="BF700" s="93"/>
      <c r="BG700" s="93"/>
      <c r="BH700" s="93"/>
      <c r="BI700" s="93"/>
      <c r="BJ700" s="93"/>
      <c r="BK700" s="93"/>
      <c r="BL700" s="93"/>
      <c r="BM700" s="93"/>
      <c r="BN700" s="93"/>
      <c r="BO700" s="93"/>
      <c r="BP700" s="93"/>
      <c r="BQ700" s="93"/>
      <c r="BR700" s="93"/>
      <c r="BS700" s="93"/>
      <c r="BT700" s="93"/>
      <c r="BU700" s="93"/>
      <c r="BV700" s="93"/>
      <c r="BW700" s="93"/>
      <c r="BX700" s="93"/>
      <c r="BY700" s="93"/>
      <c r="BZ700" s="93"/>
    </row>
    <row r="701">
      <c r="B701" t="s">
        <v>2918</v>
      </c>
      <c r="C701" s="89" t="s">
        <v>2919</v>
      </c>
      <c r="D701" s="90" t="s">
        <v>2874</v>
      </c>
      <c r="E701" s="91">
        <v>2019.0</v>
      </c>
      <c r="F701" s="92">
        <v>1.0</v>
      </c>
      <c r="G701" s="93"/>
      <c r="H701" s="93"/>
      <c r="I701" s="93"/>
      <c r="J701" s="93"/>
      <c r="K701" s="93"/>
      <c r="L701" s="93"/>
      <c r="M701" s="93"/>
      <c r="N701" s="93"/>
      <c r="O701" s="93"/>
      <c r="P701" s="93"/>
      <c r="Q701" s="93"/>
      <c r="R701" s="93"/>
      <c r="S701" s="93"/>
      <c r="T701" s="93"/>
      <c r="U701" s="93"/>
      <c r="V701" s="93"/>
      <c r="W701" s="93"/>
      <c r="X701" s="93"/>
      <c r="Y701" s="93"/>
      <c r="Z701" s="93"/>
      <c r="AA701" s="93"/>
      <c r="AB701" s="93"/>
      <c r="AC701" s="93"/>
      <c r="AD701" s="93"/>
      <c r="AE701" s="93"/>
      <c r="AF701" s="93"/>
      <c r="AG701" s="93"/>
      <c r="AH701" s="94"/>
      <c r="AI701" s="93"/>
      <c r="AJ701" s="93"/>
      <c r="AK701" s="93"/>
      <c r="AL701" s="93"/>
      <c r="AM701" s="93"/>
      <c r="AN701" s="93"/>
      <c r="AO701" s="93"/>
      <c r="AP701" s="93"/>
      <c r="AQ701" s="93"/>
      <c r="AR701" s="93"/>
      <c r="AS701" s="93"/>
      <c r="AT701" s="93"/>
      <c r="AU701" s="93"/>
      <c r="AV701" s="93"/>
      <c r="AW701" s="93"/>
      <c r="AX701" s="93"/>
      <c r="AY701" s="93"/>
      <c r="AZ701" s="93"/>
      <c r="BA701" s="93"/>
      <c r="BB701" s="93"/>
      <c r="BC701" s="93"/>
      <c r="BD701" s="93"/>
      <c r="BE701" s="93"/>
      <c r="BF701" s="93"/>
      <c r="BG701" s="93"/>
      <c r="BH701" s="93"/>
      <c r="BI701" s="93"/>
      <c r="BJ701" s="93"/>
      <c r="BK701" s="93"/>
      <c r="BL701" s="93"/>
      <c r="BM701" s="93"/>
      <c r="BN701" s="93"/>
      <c r="BO701" s="93"/>
      <c r="BP701" s="93"/>
      <c r="BQ701" s="93"/>
      <c r="BR701" s="93"/>
      <c r="BS701" s="93"/>
      <c r="BT701" s="93"/>
      <c r="BU701" s="93"/>
      <c r="BV701" s="93"/>
      <c r="BW701" s="93"/>
      <c r="BX701" s="93"/>
      <c r="BY701" s="93"/>
      <c r="BZ701" s="93"/>
    </row>
    <row r="702">
      <c r="A702" t="s">
        <v>1340</v>
      </c>
      <c r="B702" t="s">
        <v>2920</v>
      </c>
      <c r="C702" s="89" t="s">
        <v>2921</v>
      </c>
      <c r="D702" s="90" t="s">
        <v>777</v>
      </c>
      <c r="E702" s="91">
        <v>2015.0</v>
      </c>
      <c r="F702" s="95"/>
      <c r="G702" s="92">
        <v>1.0</v>
      </c>
      <c r="H702" s="93"/>
      <c r="I702" s="93"/>
      <c r="J702" s="93"/>
      <c r="K702" s="93"/>
      <c r="L702" s="93"/>
      <c r="M702" s="93"/>
      <c r="N702" s="93"/>
      <c r="O702" s="93"/>
      <c r="P702" s="93"/>
      <c r="Q702" s="93"/>
      <c r="R702" s="93"/>
      <c r="S702" s="93"/>
      <c r="T702" s="93"/>
      <c r="U702" s="93"/>
      <c r="V702" s="93"/>
      <c r="W702" s="98" t="s">
        <v>2922</v>
      </c>
      <c r="X702" s="98" t="s">
        <v>2923</v>
      </c>
      <c r="Y702" s="98" t="s">
        <v>2924</v>
      </c>
      <c r="Z702" s="98" t="s">
        <v>2925</v>
      </c>
      <c r="AA702" s="92">
        <v>1.0</v>
      </c>
      <c r="AB702" s="95" t="s">
        <v>1203</v>
      </c>
      <c r="AC702" s="92">
        <v>1.0</v>
      </c>
      <c r="AD702" s="92">
        <v>1.0</v>
      </c>
      <c r="AE702" s="93"/>
      <c r="AF702" s="93"/>
      <c r="AG702" s="93"/>
      <c r="AH702" s="96" t="s">
        <v>2926</v>
      </c>
      <c r="AI702" s="92">
        <v>1.0</v>
      </c>
      <c r="AJ702" s="93"/>
      <c r="AK702" s="93"/>
      <c r="AL702" s="93"/>
      <c r="AM702" s="93"/>
      <c r="AN702" s="93"/>
      <c r="AO702" s="93"/>
      <c r="AP702" s="93"/>
      <c r="AQ702" s="93"/>
      <c r="AR702" s="93"/>
      <c r="AS702" s="93"/>
      <c r="AT702" s="93"/>
      <c r="AU702" s="93"/>
      <c r="AV702" s="93"/>
      <c r="AW702" s="93"/>
      <c r="AX702" s="93"/>
      <c r="AY702" s="93"/>
      <c r="AZ702" s="93"/>
      <c r="BA702" s="93"/>
      <c r="BB702" s="93"/>
      <c r="BC702" s="93"/>
      <c r="BD702" s="92">
        <v>1.0</v>
      </c>
      <c r="BE702" s="93"/>
      <c r="BF702" s="93"/>
      <c r="BG702" s="93"/>
      <c r="BH702" s="93"/>
      <c r="BI702" s="92">
        <v>1.0</v>
      </c>
      <c r="BJ702" s="93"/>
      <c r="BK702" s="93"/>
      <c r="BL702" s="93"/>
      <c r="BM702" s="93"/>
      <c r="BN702" s="93"/>
      <c r="BO702" s="93"/>
      <c r="BP702" s="93"/>
      <c r="BQ702" s="92">
        <v>1.0</v>
      </c>
      <c r="BR702" s="93"/>
      <c r="BS702" s="93"/>
      <c r="BT702" s="92">
        <v>1.0</v>
      </c>
      <c r="BU702" s="93"/>
      <c r="BV702" s="92">
        <v>1.0</v>
      </c>
      <c r="BW702" s="93"/>
      <c r="BX702" s="93"/>
      <c r="BY702" s="92">
        <v>1.0</v>
      </c>
      <c r="BZ702" s="93"/>
    </row>
    <row r="703">
      <c r="A703" t="s">
        <v>1354</v>
      </c>
      <c r="B703" t="s">
        <v>2927</v>
      </c>
      <c r="C703" s="89" t="s">
        <v>2928</v>
      </c>
      <c r="D703" s="90" t="s">
        <v>2848</v>
      </c>
      <c r="E703" s="91">
        <v>2016.0</v>
      </c>
      <c r="F703" s="92">
        <v>1.0</v>
      </c>
      <c r="G703" s="93"/>
      <c r="H703" s="93"/>
      <c r="I703" s="93"/>
      <c r="J703" s="93"/>
      <c r="K703" s="93"/>
      <c r="L703" s="93"/>
      <c r="M703" s="93"/>
      <c r="N703" s="93"/>
      <c r="O703" s="93"/>
      <c r="P703" s="93"/>
      <c r="Q703" s="93"/>
      <c r="R703" s="93"/>
      <c r="S703" s="93"/>
      <c r="T703" s="93"/>
      <c r="U703" s="93"/>
      <c r="V703" s="93"/>
      <c r="W703" s="93"/>
      <c r="X703" s="93"/>
      <c r="Y703" s="93"/>
      <c r="Z703" s="93"/>
      <c r="AA703" s="93"/>
      <c r="AB703" s="93"/>
      <c r="AC703" s="93"/>
      <c r="AD703" s="93"/>
      <c r="AE703" s="93"/>
      <c r="AF703" s="93"/>
      <c r="AG703" s="93"/>
      <c r="AH703" s="94"/>
      <c r="AI703" s="93"/>
      <c r="AJ703" s="93"/>
      <c r="AK703" s="93"/>
      <c r="AL703" s="93"/>
      <c r="AM703" s="93"/>
      <c r="AN703" s="93"/>
      <c r="AO703" s="93"/>
      <c r="AP703" s="93"/>
      <c r="AQ703" s="93"/>
      <c r="AR703" s="93"/>
      <c r="AS703" s="93"/>
      <c r="AT703" s="93"/>
      <c r="AU703" s="93"/>
      <c r="AV703" s="93"/>
      <c r="AW703" s="93"/>
      <c r="AX703" s="93"/>
      <c r="AY703" s="93"/>
      <c r="AZ703" s="93"/>
      <c r="BA703" s="93"/>
      <c r="BB703" s="93"/>
      <c r="BC703" s="93"/>
      <c r="BD703" s="93"/>
      <c r="BE703" s="93"/>
      <c r="BF703" s="93"/>
      <c r="BG703" s="93"/>
      <c r="BH703" s="93"/>
      <c r="BI703" s="93"/>
      <c r="BJ703" s="93"/>
      <c r="BK703" s="93"/>
      <c r="BL703" s="93"/>
      <c r="BM703" s="93"/>
      <c r="BN703" s="93"/>
      <c r="BO703" s="93"/>
      <c r="BP703" s="93"/>
      <c r="BQ703" s="93"/>
      <c r="BR703" s="93"/>
      <c r="BS703" s="93"/>
      <c r="BT703" s="93"/>
      <c r="BU703" s="93"/>
      <c r="BV703" s="93"/>
      <c r="BW703" s="93"/>
      <c r="BX703" s="93"/>
      <c r="BY703" s="93"/>
      <c r="BZ703" s="93"/>
    </row>
    <row r="704">
      <c r="A704" t="s">
        <v>116</v>
      </c>
      <c r="B704" t="s">
        <v>2929</v>
      </c>
      <c r="C704" s="89" t="s">
        <v>2930</v>
      </c>
      <c r="D704" s="90" t="s">
        <v>268</v>
      </c>
      <c r="E704" s="91">
        <v>2019.0</v>
      </c>
      <c r="F704" s="93"/>
      <c r="G704" s="93"/>
      <c r="H704" s="93"/>
      <c r="I704" s="93"/>
      <c r="J704" s="93"/>
      <c r="K704" s="92">
        <v>1.0</v>
      </c>
      <c r="L704" s="93"/>
      <c r="M704" s="93"/>
      <c r="N704" s="93"/>
      <c r="O704" s="93"/>
      <c r="P704" s="93"/>
      <c r="Q704" s="93"/>
      <c r="R704" s="93"/>
      <c r="S704" s="93"/>
      <c r="T704" s="93"/>
      <c r="U704" s="93"/>
      <c r="V704" s="93"/>
      <c r="W704" s="95" t="s">
        <v>2931</v>
      </c>
      <c r="X704" s="95" t="s">
        <v>2932</v>
      </c>
      <c r="Y704" s="95" t="s">
        <v>2933</v>
      </c>
      <c r="Z704" s="97" t="s">
        <v>2934</v>
      </c>
      <c r="AA704" s="93"/>
      <c r="AB704" s="92">
        <v>1.0</v>
      </c>
      <c r="AC704" s="93"/>
      <c r="AD704" s="92">
        <v>1.0</v>
      </c>
      <c r="AE704" s="93"/>
      <c r="AF704" s="93"/>
      <c r="AG704" s="93"/>
      <c r="AH704" s="96" t="s">
        <v>2935</v>
      </c>
      <c r="AI704" s="92">
        <v>1.0</v>
      </c>
      <c r="AJ704" s="93"/>
      <c r="AK704" s="93"/>
      <c r="AL704" s="93"/>
      <c r="AM704" s="93"/>
      <c r="AN704" s="93"/>
      <c r="AO704" s="93"/>
      <c r="AP704" s="93"/>
      <c r="AQ704" s="93"/>
      <c r="AR704" s="93"/>
      <c r="AS704" s="93"/>
      <c r="AT704" s="93"/>
      <c r="AU704" s="93"/>
      <c r="AV704" s="93"/>
      <c r="AW704" s="93"/>
      <c r="AX704" s="93"/>
      <c r="AY704" s="93"/>
      <c r="AZ704" s="93"/>
      <c r="BA704" s="93"/>
      <c r="BB704" s="93"/>
      <c r="BC704" s="93"/>
      <c r="BD704" s="92">
        <v>1.0</v>
      </c>
      <c r="BE704" s="92">
        <v>1.0</v>
      </c>
      <c r="BF704" s="93"/>
      <c r="BG704" s="93"/>
      <c r="BH704" s="93"/>
      <c r="BI704" s="92">
        <v>1.0</v>
      </c>
      <c r="BJ704" s="92">
        <v>1.0</v>
      </c>
      <c r="BK704" s="93"/>
      <c r="BL704" s="93"/>
      <c r="BM704" s="93"/>
      <c r="BN704" s="93"/>
      <c r="BO704" s="93"/>
      <c r="BP704" s="93"/>
      <c r="BQ704" s="93"/>
      <c r="BR704" s="93"/>
      <c r="BS704" s="92">
        <v>1.0</v>
      </c>
      <c r="BT704" s="93"/>
      <c r="BU704" s="93"/>
      <c r="BV704" s="93"/>
      <c r="BW704" s="93"/>
      <c r="BX704" s="93"/>
      <c r="BY704" s="92">
        <v>1.0</v>
      </c>
      <c r="BZ704" s="93"/>
    </row>
    <row r="705">
      <c r="B705" t="s">
        <v>2936</v>
      </c>
      <c r="C705" s="89" t="s">
        <v>2937</v>
      </c>
      <c r="D705" s="90" t="s">
        <v>2938</v>
      </c>
      <c r="E705" s="91">
        <v>2017.0</v>
      </c>
      <c r="F705" s="95" t="s">
        <v>1488</v>
      </c>
      <c r="G705" s="93"/>
      <c r="H705" s="93"/>
      <c r="I705" s="93"/>
      <c r="J705" s="93"/>
      <c r="K705" s="93"/>
      <c r="L705" s="93"/>
      <c r="M705" s="93"/>
      <c r="N705" s="93"/>
      <c r="O705" s="93"/>
      <c r="P705" s="93"/>
      <c r="Q705" s="93"/>
      <c r="R705" s="93"/>
      <c r="S705" s="93"/>
      <c r="T705" s="93"/>
      <c r="U705" s="93"/>
      <c r="V705" s="93"/>
      <c r="W705" s="93"/>
      <c r="X705" s="93"/>
      <c r="Y705" s="93"/>
      <c r="Z705" s="93"/>
      <c r="AA705" s="93"/>
      <c r="AB705" s="93"/>
      <c r="AC705" s="93"/>
      <c r="AD705" s="93"/>
      <c r="AE705" s="93"/>
      <c r="AF705" s="93"/>
      <c r="AG705" s="93"/>
      <c r="AH705" s="94"/>
      <c r="AI705" s="93"/>
      <c r="AJ705" s="93"/>
      <c r="AK705" s="93"/>
      <c r="AL705" s="93"/>
      <c r="AM705" s="93"/>
      <c r="AN705" s="93"/>
      <c r="AO705" s="93"/>
      <c r="AP705" s="93"/>
      <c r="AQ705" s="93"/>
      <c r="AR705" s="93"/>
      <c r="AS705" s="93"/>
      <c r="AT705" s="93"/>
      <c r="AU705" s="93"/>
      <c r="AV705" s="93"/>
      <c r="AW705" s="93"/>
      <c r="AX705" s="93"/>
      <c r="AY705" s="93"/>
      <c r="AZ705" s="93"/>
      <c r="BA705" s="93"/>
      <c r="BB705" s="93"/>
      <c r="BC705" s="93"/>
      <c r="BD705" s="93"/>
      <c r="BE705" s="93"/>
      <c r="BF705" s="93"/>
      <c r="BG705" s="93"/>
      <c r="BH705" s="93"/>
      <c r="BI705" s="93"/>
      <c r="BJ705" s="93"/>
      <c r="BK705" s="93"/>
      <c r="BL705" s="93"/>
      <c r="BM705" s="93"/>
      <c r="BN705" s="93"/>
      <c r="BO705" s="93"/>
      <c r="BP705" s="93"/>
      <c r="BQ705" s="93"/>
      <c r="BR705" s="93"/>
      <c r="BS705" s="93"/>
      <c r="BT705" s="93"/>
      <c r="BU705" s="93"/>
      <c r="BV705" s="93"/>
      <c r="BW705" s="93"/>
      <c r="BX705" s="93"/>
      <c r="BY705" s="93"/>
      <c r="BZ705" s="93"/>
    </row>
    <row r="706">
      <c r="B706" t="s">
        <v>2939</v>
      </c>
      <c r="C706" s="89" t="s">
        <v>2940</v>
      </c>
      <c r="D706" s="90" t="s">
        <v>2941</v>
      </c>
      <c r="E706" s="91">
        <v>2019.0</v>
      </c>
      <c r="F706" s="92">
        <v>1.0</v>
      </c>
      <c r="G706" s="93"/>
      <c r="H706" s="93"/>
      <c r="I706" s="93"/>
      <c r="J706" s="93"/>
      <c r="K706" s="93"/>
      <c r="L706" s="93"/>
      <c r="M706" s="93"/>
      <c r="N706" s="93"/>
      <c r="O706" s="93"/>
      <c r="P706" s="93"/>
      <c r="Q706" s="93"/>
      <c r="R706" s="93"/>
      <c r="S706" s="93"/>
      <c r="T706" s="93"/>
      <c r="U706" s="93"/>
      <c r="V706" s="93"/>
      <c r="W706" s="93"/>
      <c r="X706" s="93"/>
      <c r="Y706" s="93"/>
      <c r="Z706" s="93"/>
      <c r="AA706" s="93"/>
      <c r="AB706" s="93"/>
      <c r="AC706" s="93"/>
      <c r="AD706" s="93"/>
      <c r="AE706" s="93"/>
      <c r="AF706" s="93"/>
      <c r="AG706" s="93"/>
      <c r="AH706" s="94"/>
      <c r="AI706" s="93"/>
      <c r="AJ706" s="93"/>
      <c r="AK706" s="93"/>
      <c r="AL706" s="93"/>
      <c r="AM706" s="93"/>
      <c r="AN706" s="93"/>
      <c r="AO706" s="93"/>
      <c r="AP706" s="93"/>
      <c r="AQ706" s="93"/>
      <c r="AR706" s="93"/>
      <c r="AS706" s="93"/>
      <c r="AT706" s="93"/>
      <c r="AU706" s="93"/>
      <c r="AV706" s="93"/>
      <c r="AW706" s="93"/>
      <c r="AX706" s="93"/>
      <c r="AY706" s="93"/>
      <c r="AZ706" s="93"/>
      <c r="BA706" s="93"/>
      <c r="BB706" s="93"/>
      <c r="BC706" s="93"/>
      <c r="BD706" s="93"/>
      <c r="BE706" s="93"/>
      <c r="BF706" s="93"/>
      <c r="BG706" s="93"/>
      <c r="BH706" s="93"/>
      <c r="BI706" s="93"/>
      <c r="BJ706" s="93"/>
      <c r="BK706" s="93"/>
      <c r="BL706" s="93"/>
      <c r="BM706" s="93"/>
      <c r="BN706" s="93"/>
      <c r="BO706" s="93"/>
      <c r="BP706" s="93"/>
      <c r="BQ706" s="93"/>
      <c r="BR706" s="93"/>
      <c r="BS706" s="93"/>
      <c r="BT706" s="93"/>
      <c r="BU706" s="93"/>
      <c r="BV706" s="93"/>
      <c r="BW706" s="93"/>
      <c r="BX706" s="93"/>
      <c r="BY706" s="93"/>
      <c r="BZ706" s="93"/>
    </row>
    <row r="707">
      <c r="A707" t="s">
        <v>1331</v>
      </c>
      <c r="B707" t="s">
        <v>2942</v>
      </c>
      <c r="C707" s="89" t="s">
        <v>2943</v>
      </c>
      <c r="D707" s="90" t="s">
        <v>2944</v>
      </c>
      <c r="E707" s="91">
        <v>2017.0</v>
      </c>
      <c r="F707" s="92">
        <v>1.0</v>
      </c>
      <c r="G707" s="93"/>
      <c r="H707" s="93"/>
      <c r="I707" s="93"/>
      <c r="J707" s="93"/>
      <c r="K707" s="93"/>
      <c r="L707" s="93"/>
      <c r="M707" s="93"/>
      <c r="N707" s="93"/>
      <c r="O707" s="93"/>
      <c r="P707" s="93"/>
      <c r="Q707" s="93"/>
      <c r="R707" s="93"/>
      <c r="S707" s="93"/>
      <c r="T707" s="93"/>
      <c r="U707" s="93"/>
      <c r="V707" s="93"/>
      <c r="W707" s="93"/>
      <c r="X707" s="93"/>
      <c r="Y707" s="93"/>
      <c r="Z707" s="93"/>
      <c r="AA707" s="93"/>
      <c r="AB707" s="93"/>
      <c r="AC707" s="93"/>
      <c r="AD707" s="93"/>
      <c r="AE707" s="93"/>
      <c r="AF707" s="93"/>
      <c r="AG707" s="93"/>
      <c r="AH707" s="94"/>
      <c r="AI707" s="93"/>
      <c r="AJ707" s="93"/>
      <c r="AK707" s="93"/>
      <c r="AL707" s="93"/>
      <c r="AM707" s="93"/>
      <c r="AN707" s="93"/>
      <c r="AO707" s="93"/>
      <c r="AP707" s="93"/>
      <c r="AQ707" s="93"/>
      <c r="AR707" s="93"/>
      <c r="AS707" s="93"/>
      <c r="AT707" s="93"/>
      <c r="AU707" s="93"/>
      <c r="AV707" s="93"/>
      <c r="AW707" s="93"/>
      <c r="AX707" s="93"/>
      <c r="AY707" s="93"/>
      <c r="AZ707" s="93"/>
      <c r="BA707" s="93"/>
      <c r="BB707" s="93"/>
      <c r="BC707" s="93"/>
      <c r="BD707" s="93"/>
      <c r="BE707" s="93"/>
      <c r="BF707" s="93"/>
      <c r="BG707" s="93"/>
      <c r="BH707" s="93"/>
      <c r="BI707" s="93"/>
      <c r="BJ707" s="93"/>
      <c r="BK707" s="93"/>
      <c r="BL707" s="93"/>
      <c r="BM707" s="93"/>
      <c r="BN707" s="93"/>
      <c r="BO707" s="93"/>
      <c r="BP707" s="93"/>
      <c r="BQ707" s="93"/>
      <c r="BR707" s="93"/>
      <c r="BS707" s="93"/>
      <c r="BT707" s="93"/>
      <c r="BU707" s="93"/>
      <c r="BV707" s="93"/>
      <c r="BW707" s="93"/>
      <c r="BX707" s="93"/>
      <c r="BY707" s="93"/>
      <c r="BZ707" s="93"/>
    </row>
    <row r="708">
      <c r="B708" t="s">
        <v>2945</v>
      </c>
      <c r="C708" s="89" t="s">
        <v>2946</v>
      </c>
      <c r="D708" s="90" t="s">
        <v>2874</v>
      </c>
      <c r="E708" s="91">
        <v>2016.0</v>
      </c>
      <c r="F708" s="92">
        <v>1.0</v>
      </c>
      <c r="G708" s="93"/>
      <c r="H708" s="93"/>
      <c r="I708" s="93"/>
      <c r="J708" s="93"/>
      <c r="K708" s="93"/>
      <c r="L708" s="93"/>
      <c r="M708" s="93"/>
      <c r="N708" s="93"/>
      <c r="O708" s="93"/>
      <c r="P708" s="93"/>
      <c r="Q708" s="93"/>
      <c r="R708" s="93"/>
      <c r="S708" s="93"/>
      <c r="T708" s="93"/>
      <c r="U708" s="93"/>
      <c r="V708" s="93"/>
      <c r="W708" s="93"/>
      <c r="X708" s="93"/>
      <c r="Y708" s="93"/>
      <c r="Z708" s="93"/>
      <c r="AA708" s="93"/>
      <c r="AB708" s="93"/>
      <c r="AC708" s="93"/>
      <c r="AD708" s="93"/>
      <c r="AE708" s="93"/>
      <c r="AF708" s="93"/>
      <c r="AG708" s="93"/>
      <c r="AH708" s="94"/>
      <c r="AI708" s="93"/>
      <c r="AJ708" s="93"/>
      <c r="AK708" s="93"/>
      <c r="AL708" s="93"/>
      <c r="AM708" s="93"/>
      <c r="AN708" s="93"/>
      <c r="AO708" s="93"/>
      <c r="AP708" s="93"/>
      <c r="AQ708" s="93"/>
      <c r="AR708" s="93"/>
      <c r="AS708" s="93"/>
      <c r="AT708" s="93"/>
      <c r="AU708" s="93"/>
      <c r="AV708" s="93"/>
      <c r="AW708" s="93"/>
      <c r="AX708" s="93"/>
      <c r="AY708" s="93"/>
      <c r="AZ708" s="93"/>
      <c r="BA708" s="93"/>
      <c r="BB708" s="93"/>
      <c r="BC708" s="93"/>
      <c r="BD708" s="93"/>
      <c r="BE708" s="93"/>
      <c r="BF708" s="93"/>
      <c r="BG708" s="93"/>
      <c r="BH708" s="93"/>
      <c r="BI708" s="93"/>
      <c r="BJ708" s="93"/>
      <c r="BK708" s="93"/>
      <c r="BL708" s="93"/>
      <c r="BM708" s="93"/>
      <c r="BN708" s="93"/>
      <c r="BO708" s="93"/>
      <c r="BP708" s="93"/>
      <c r="BQ708" s="93"/>
      <c r="BR708" s="93"/>
      <c r="BS708" s="93"/>
      <c r="BT708" s="93"/>
      <c r="BU708" s="93"/>
      <c r="BV708" s="93"/>
      <c r="BW708" s="93"/>
      <c r="BX708" s="93"/>
      <c r="BY708" s="93"/>
      <c r="BZ708" s="93"/>
    </row>
    <row r="709">
      <c r="B709" t="s">
        <v>2947</v>
      </c>
      <c r="C709" s="89" t="s">
        <v>2948</v>
      </c>
      <c r="D709" s="90" t="s">
        <v>2874</v>
      </c>
      <c r="E709" s="91">
        <v>2018.0</v>
      </c>
      <c r="F709" s="92">
        <v>1.0</v>
      </c>
      <c r="G709" s="93"/>
      <c r="H709" s="93"/>
      <c r="I709" s="93"/>
      <c r="J709" s="93"/>
      <c r="K709" s="93"/>
      <c r="L709" s="93"/>
      <c r="M709" s="93"/>
      <c r="N709" s="93"/>
      <c r="O709" s="93"/>
      <c r="P709" s="93"/>
      <c r="Q709" s="93"/>
      <c r="R709" s="93"/>
      <c r="S709" s="93"/>
      <c r="T709" s="93"/>
      <c r="U709" s="93"/>
      <c r="V709" s="93"/>
      <c r="W709" s="93"/>
      <c r="X709" s="93"/>
      <c r="Y709" s="93"/>
      <c r="Z709" s="93"/>
      <c r="AA709" s="93"/>
      <c r="AB709" s="93"/>
      <c r="AC709" s="93"/>
      <c r="AD709" s="93"/>
      <c r="AE709" s="93"/>
      <c r="AF709" s="93"/>
      <c r="AG709" s="93"/>
      <c r="AH709" s="94"/>
      <c r="AI709" s="93"/>
      <c r="AJ709" s="93"/>
      <c r="AK709" s="93"/>
      <c r="AL709" s="93"/>
      <c r="AM709" s="93"/>
      <c r="AN709" s="93"/>
      <c r="AO709" s="93"/>
      <c r="AP709" s="93"/>
      <c r="AQ709" s="93"/>
      <c r="AR709" s="93"/>
      <c r="AS709" s="93"/>
      <c r="AT709" s="93"/>
      <c r="AU709" s="93"/>
      <c r="AV709" s="93"/>
      <c r="AW709" s="93"/>
      <c r="AX709" s="93"/>
      <c r="AY709" s="93"/>
      <c r="AZ709" s="93"/>
      <c r="BA709" s="93"/>
      <c r="BB709" s="93"/>
      <c r="BC709" s="93"/>
      <c r="BD709" s="93"/>
      <c r="BE709" s="93"/>
      <c r="BF709" s="93"/>
      <c r="BG709" s="93"/>
      <c r="BH709" s="93"/>
      <c r="BI709" s="93"/>
      <c r="BJ709" s="93"/>
      <c r="BK709" s="93"/>
      <c r="BL709" s="93"/>
      <c r="BM709" s="93"/>
      <c r="BN709" s="93"/>
      <c r="BO709" s="93"/>
      <c r="BP709" s="93"/>
      <c r="BQ709" s="93"/>
      <c r="BR709" s="93"/>
      <c r="BS709" s="93"/>
      <c r="BT709" s="93"/>
      <c r="BU709" s="93"/>
      <c r="BV709" s="93"/>
      <c r="BW709" s="93"/>
      <c r="BX709" s="93"/>
      <c r="BY709" s="93"/>
      <c r="BZ709" s="93"/>
    </row>
    <row r="710">
      <c r="B710" t="s">
        <v>2949</v>
      </c>
      <c r="C710" s="89" t="s">
        <v>2950</v>
      </c>
      <c r="D710" s="90" t="s">
        <v>2951</v>
      </c>
      <c r="E710" s="91">
        <v>2018.0</v>
      </c>
      <c r="F710" s="92">
        <v>1.0</v>
      </c>
      <c r="G710" s="93"/>
      <c r="H710" s="93"/>
      <c r="I710" s="93"/>
      <c r="J710" s="93"/>
      <c r="K710" s="93"/>
      <c r="L710" s="93"/>
      <c r="M710" s="93"/>
      <c r="N710" s="93"/>
      <c r="O710" s="93"/>
      <c r="P710" s="93"/>
      <c r="Q710" s="93"/>
      <c r="R710" s="93"/>
      <c r="S710" s="93"/>
      <c r="T710" s="93"/>
      <c r="U710" s="93"/>
      <c r="V710" s="93"/>
      <c r="W710" s="93"/>
      <c r="X710" s="93"/>
      <c r="Y710" s="93"/>
      <c r="Z710" s="93"/>
      <c r="AA710" s="93"/>
      <c r="AB710" s="93"/>
      <c r="AC710" s="93"/>
      <c r="AD710" s="93"/>
      <c r="AE710" s="93"/>
      <c r="AF710" s="93"/>
      <c r="AG710" s="93"/>
      <c r="AH710" s="94"/>
      <c r="AI710" s="93"/>
      <c r="AJ710" s="93"/>
      <c r="AK710" s="93"/>
      <c r="AL710" s="93"/>
      <c r="AM710" s="93"/>
      <c r="AN710" s="93"/>
      <c r="AO710" s="93"/>
      <c r="AP710" s="93"/>
      <c r="AQ710" s="93"/>
      <c r="AR710" s="93"/>
      <c r="AS710" s="93"/>
      <c r="AT710" s="93"/>
      <c r="AU710" s="93"/>
      <c r="AV710" s="93"/>
      <c r="AW710" s="93"/>
      <c r="AX710" s="93"/>
      <c r="AY710" s="93"/>
      <c r="AZ710" s="93"/>
      <c r="BA710" s="93"/>
      <c r="BB710" s="93"/>
      <c r="BC710" s="93"/>
      <c r="BD710" s="93"/>
      <c r="BE710" s="93"/>
      <c r="BF710" s="93"/>
      <c r="BG710" s="93"/>
      <c r="BH710" s="93"/>
      <c r="BI710" s="93"/>
      <c r="BJ710" s="93"/>
      <c r="BK710" s="93"/>
      <c r="BL710" s="93"/>
      <c r="BM710" s="93"/>
      <c r="BN710" s="93"/>
      <c r="BO710" s="93"/>
      <c r="BP710" s="93"/>
      <c r="BQ710" s="93"/>
      <c r="BR710" s="93"/>
      <c r="BS710" s="93"/>
      <c r="BT710" s="93"/>
      <c r="BU710" s="93"/>
      <c r="BV710" s="93"/>
      <c r="BW710" s="93"/>
      <c r="BX710" s="93"/>
      <c r="BY710" s="93"/>
      <c r="BZ710" s="93"/>
    </row>
    <row r="711">
      <c r="B711" t="s">
        <v>2952</v>
      </c>
      <c r="C711" s="89" t="s">
        <v>2953</v>
      </c>
      <c r="D711" s="90" t="s">
        <v>2954</v>
      </c>
      <c r="E711" s="91">
        <v>2019.0</v>
      </c>
      <c r="F711" s="92">
        <v>1.0</v>
      </c>
      <c r="G711" s="93"/>
      <c r="H711" s="93"/>
      <c r="I711" s="93"/>
      <c r="J711" s="93"/>
      <c r="K711" s="93"/>
      <c r="L711" s="93"/>
      <c r="M711" s="93"/>
      <c r="N711" s="93"/>
      <c r="O711" s="93"/>
      <c r="P711" s="93"/>
      <c r="Q711" s="93"/>
      <c r="R711" s="93"/>
      <c r="S711" s="93"/>
      <c r="T711" s="93"/>
      <c r="U711" s="93"/>
      <c r="V711" s="93"/>
      <c r="W711" s="93"/>
      <c r="X711" s="93"/>
      <c r="Y711" s="93"/>
      <c r="Z711" s="93"/>
      <c r="AA711" s="93"/>
      <c r="AB711" s="93"/>
      <c r="AC711" s="93"/>
      <c r="AD711" s="93"/>
      <c r="AE711" s="93"/>
      <c r="AF711" s="93"/>
      <c r="AG711" s="93"/>
      <c r="AH711" s="94"/>
      <c r="AI711" s="93"/>
      <c r="AJ711" s="93"/>
      <c r="AK711" s="93"/>
      <c r="AL711" s="93"/>
      <c r="AM711" s="93"/>
      <c r="AN711" s="93"/>
      <c r="AO711" s="93"/>
      <c r="AP711" s="93"/>
      <c r="AQ711" s="93"/>
      <c r="AR711" s="93"/>
      <c r="AS711" s="93"/>
      <c r="AT711" s="93"/>
      <c r="AU711" s="93"/>
      <c r="AV711" s="93"/>
      <c r="AW711" s="93"/>
      <c r="AX711" s="93"/>
      <c r="AY711" s="93"/>
      <c r="AZ711" s="93"/>
      <c r="BA711" s="93"/>
      <c r="BB711" s="93"/>
      <c r="BC711" s="93"/>
      <c r="BD711" s="93"/>
      <c r="BE711" s="93"/>
      <c r="BF711" s="93"/>
      <c r="BG711" s="93"/>
      <c r="BH711" s="93"/>
      <c r="BI711" s="93"/>
      <c r="BJ711" s="93"/>
      <c r="BK711" s="93"/>
      <c r="BL711" s="93"/>
      <c r="BM711" s="93"/>
      <c r="BN711" s="93"/>
      <c r="BO711" s="93"/>
      <c r="BP711" s="93"/>
      <c r="BQ711" s="93"/>
      <c r="BR711" s="93"/>
      <c r="BS711" s="93"/>
      <c r="BT711" s="93"/>
      <c r="BU711" s="93"/>
      <c r="BV711" s="93"/>
      <c r="BW711" s="93"/>
      <c r="BX711" s="93"/>
      <c r="BY711" s="93"/>
      <c r="BZ711" s="93"/>
    </row>
    <row r="712">
      <c r="B712" t="s">
        <v>2955</v>
      </c>
      <c r="C712" s="89" t="s">
        <v>2956</v>
      </c>
      <c r="D712" s="90" t="s">
        <v>2957</v>
      </c>
      <c r="E712" s="91">
        <v>2020.0</v>
      </c>
      <c r="F712" s="92">
        <v>1.0</v>
      </c>
      <c r="G712" s="93"/>
      <c r="H712" s="93"/>
      <c r="I712" s="93"/>
      <c r="J712" s="93"/>
      <c r="K712" s="93"/>
      <c r="L712" s="93"/>
      <c r="M712" s="93"/>
      <c r="N712" s="93"/>
      <c r="O712" s="93"/>
      <c r="P712" s="93"/>
      <c r="Q712" s="93"/>
      <c r="R712" s="93"/>
      <c r="S712" s="93"/>
      <c r="T712" s="93"/>
      <c r="U712" s="93"/>
      <c r="V712" s="93"/>
      <c r="W712" s="93"/>
      <c r="X712" s="93"/>
      <c r="Y712" s="93"/>
      <c r="Z712" s="93"/>
      <c r="AA712" s="93"/>
      <c r="AB712" s="93"/>
      <c r="AC712" s="93"/>
      <c r="AD712" s="93"/>
      <c r="AE712" s="93"/>
      <c r="AF712" s="93"/>
      <c r="AG712" s="93"/>
      <c r="AH712" s="94"/>
      <c r="AI712" s="93"/>
      <c r="AJ712" s="93"/>
      <c r="AK712" s="93"/>
      <c r="AL712" s="93"/>
      <c r="AM712" s="93"/>
      <c r="AN712" s="93"/>
      <c r="AO712" s="93"/>
      <c r="AP712" s="93"/>
      <c r="AQ712" s="93"/>
      <c r="AR712" s="93"/>
      <c r="AS712" s="93"/>
      <c r="AT712" s="93"/>
      <c r="AU712" s="93"/>
      <c r="AV712" s="93"/>
      <c r="AW712" s="93"/>
      <c r="AX712" s="93"/>
      <c r="AY712" s="93"/>
      <c r="AZ712" s="93"/>
      <c r="BA712" s="93"/>
      <c r="BB712" s="93"/>
      <c r="BC712" s="93"/>
      <c r="BD712" s="93"/>
      <c r="BE712" s="93"/>
      <c r="BF712" s="93"/>
      <c r="BG712" s="93"/>
      <c r="BH712" s="93"/>
      <c r="BI712" s="93"/>
      <c r="BJ712" s="93"/>
      <c r="BK712" s="93"/>
      <c r="BL712" s="93"/>
      <c r="BM712" s="93"/>
      <c r="BN712" s="93"/>
      <c r="BO712" s="93"/>
      <c r="BP712" s="93"/>
      <c r="BQ712" s="93"/>
      <c r="BR712" s="93"/>
      <c r="BS712" s="93"/>
      <c r="BT712" s="93"/>
      <c r="BU712" s="93"/>
      <c r="BV712" s="93"/>
      <c r="BW712" s="93"/>
      <c r="BX712" s="93"/>
      <c r="BY712" s="93"/>
      <c r="BZ712" s="93"/>
    </row>
    <row r="713">
      <c r="A713" t="s">
        <v>1340</v>
      </c>
      <c r="B713" t="s">
        <v>2958</v>
      </c>
      <c r="C713" s="89" t="s">
        <v>2959</v>
      </c>
      <c r="D713" s="90" t="s">
        <v>2960</v>
      </c>
      <c r="E713" s="91">
        <v>2018.0</v>
      </c>
      <c r="F713" s="95"/>
      <c r="G713" s="93"/>
      <c r="H713" s="92">
        <v>1.0</v>
      </c>
      <c r="I713" s="93"/>
      <c r="J713" s="93"/>
      <c r="K713" s="93"/>
      <c r="L713" s="93"/>
      <c r="M713" s="93"/>
      <c r="N713" s="93"/>
      <c r="O713" s="93"/>
      <c r="P713" s="93"/>
      <c r="Q713" s="93"/>
      <c r="R713" s="93"/>
      <c r="S713" s="93"/>
      <c r="T713" s="93"/>
      <c r="U713" s="93"/>
      <c r="V713" s="93"/>
      <c r="W713" s="98" t="s">
        <v>2961</v>
      </c>
      <c r="X713" s="98" t="s">
        <v>2962</v>
      </c>
      <c r="Y713" s="98" t="s">
        <v>2963</v>
      </c>
      <c r="Z713" s="98" t="s">
        <v>137</v>
      </c>
      <c r="AA713" s="93"/>
      <c r="AB713" s="92">
        <v>1.0</v>
      </c>
      <c r="AC713" s="93"/>
      <c r="AD713" s="92">
        <v>1.0</v>
      </c>
      <c r="AE713" s="93"/>
      <c r="AF713" s="93"/>
      <c r="AG713" s="93"/>
      <c r="AH713" s="96" t="s">
        <v>2964</v>
      </c>
      <c r="AI713" s="92">
        <v>1.0</v>
      </c>
      <c r="AJ713" s="93"/>
      <c r="AK713" s="93"/>
      <c r="AL713" s="93"/>
      <c r="AM713" s="93"/>
      <c r="AN713" s="93"/>
      <c r="AO713" s="93"/>
      <c r="AP713" s="93"/>
      <c r="AQ713" s="93"/>
      <c r="AR713" s="92">
        <v>1.0</v>
      </c>
      <c r="AS713" s="93"/>
      <c r="AT713" s="93"/>
      <c r="AU713" s="93"/>
      <c r="AV713" s="93"/>
      <c r="AW713" s="93"/>
      <c r="AX713" s="93"/>
      <c r="AY713" s="93"/>
      <c r="AZ713" s="93"/>
      <c r="BA713" s="93"/>
      <c r="BB713" s="93"/>
      <c r="BC713" s="93"/>
      <c r="BD713" s="92">
        <v>1.0</v>
      </c>
      <c r="BE713" s="93"/>
      <c r="BF713" s="93"/>
      <c r="BG713" s="95"/>
      <c r="BH713" s="93"/>
      <c r="BI713" s="93"/>
      <c r="BJ713" s="93"/>
      <c r="BK713" s="93"/>
      <c r="BL713" s="93"/>
      <c r="BM713" s="93"/>
      <c r="BN713" s="93"/>
      <c r="BO713" s="93"/>
      <c r="BP713" s="93"/>
      <c r="BQ713" s="93"/>
      <c r="BR713" s="93"/>
      <c r="BS713" s="93"/>
      <c r="BT713" s="93"/>
      <c r="BU713" s="93"/>
      <c r="BV713" s="92">
        <v>1.0</v>
      </c>
      <c r="BW713" s="92">
        <v>1.0</v>
      </c>
      <c r="BX713" s="93"/>
      <c r="BY713" s="92">
        <v>1.0</v>
      </c>
      <c r="BZ713" s="93"/>
    </row>
    <row r="714">
      <c r="A714" t="s">
        <v>1354</v>
      </c>
      <c r="B714" t="s">
        <v>2965</v>
      </c>
      <c r="C714" s="89" t="s">
        <v>2966</v>
      </c>
      <c r="D714" s="90" t="s">
        <v>268</v>
      </c>
      <c r="E714" s="91">
        <v>2015.0</v>
      </c>
      <c r="F714" s="93"/>
      <c r="G714" s="93"/>
      <c r="H714" s="93"/>
      <c r="I714" s="93"/>
      <c r="J714" s="98"/>
      <c r="K714" s="99">
        <v>1.0</v>
      </c>
      <c r="L714" s="93"/>
      <c r="M714" s="93"/>
      <c r="N714" s="93"/>
      <c r="O714" s="93"/>
      <c r="P714" s="93"/>
      <c r="Q714" s="93"/>
      <c r="R714" s="93"/>
      <c r="S714" s="93"/>
      <c r="T714" s="93"/>
      <c r="U714" s="93"/>
      <c r="V714" s="93"/>
      <c r="W714" s="98" t="s">
        <v>2967</v>
      </c>
      <c r="X714" s="98" t="s">
        <v>2968</v>
      </c>
      <c r="Y714" s="98" t="s">
        <v>2969</v>
      </c>
      <c r="Z714" s="98" t="s">
        <v>2970</v>
      </c>
      <c r="AA714" s="93"/>
      <c r="AB714" s="99">
        <v>1.0</v>
      </c>
      <c r="AC714" s="93"/>
      <c r="AD714" s="99">
        <v>1.0</v>
      </c>
      <c r="AE714" s="93"/>
      <c r="AF714" s="93"/>
      <c r="AG714" s="93"/>
      <c r="AH714" s="96" t="s">
        <v>2971</v>
      </c>
      <c r="AI714" s="99">
        <v>1.0</v>
      </c>
      <c r="AJ714" s="93"/>
      <c r="AK714" s="93"/>
      <c r="AL714" s="93"/>
      <c r="AM714" s="93"/>
      <c r="AN714" s="98"/>
      <c r="AO714" s="93"/>
      <c r="AP714" s="93"/>
      <c r="AQ714" s="93"/>
      <c r="AR714" s="98"/>
      <c r="AS714" s="93"/>
      <c r="AT714" s="93"/>
      <c r="AU714" s="93"/>
      <c r="AV714" s="93"/>
      <c r="AW714" s="93"/>
      <c r="AX714" s="93"/>
      <c r="AY714" s="93"/>
      <c r="AZ714" s="93"/>
      <c r="BA714" s="93"/>
      <c r="BB714" s="93"/>
      <c r="BC714" s="93"/>
      <c r="BD714" s="93"/>
      <c r="BE714" s="93"/>
      <c r="BF714" s="93"/>
      <c r="BG714" s="93"/>
      <c r="BH714" s="98"/>
      <c r="BI714" s="93"/>
      <c r="BJ714" s="93"/>
      <c r="BK714" s="93"/>
      <c r="BL714" s="93"/>
      <c r="BM714" s="93"/>
      <c r="BN714" s="93"/>
      <c r="BO714" s="93"/>
      <c r="BP714" s="93"/>
      <c r="BQ714" s="99">
        <v>1.0</v>
      </c>
      <c r="BR714" s="99">
        <v>1.0</v>
      </c>
      <c r="BS714" s="93"/>
      <c r="BT714" s="98"/>
      <c r="BU714" s="93"/>
      <c r="BV714" s="99">
        <v>1.0</v>
      </c>
      <c r="BW714" s="93"/>
      <c r="BX714" s="93"/>
      <c r="BY714" s="93"/>
      <c r="BZ714" s="99">
        <v>1.0</v>
      </c>
    </row>
    <row r="715">
      <c r="B715" t="s">
        <v>2972</v>
      </c>
      <c r="C715" s="89" t="s">
        <v>2973</v>
      </c>
      <c r="D715" s="90" t="s">
        <v>2856</v>
      </c>
      <c r="E715" s="91">
        <v>2018.0</v>
      </c>
      <c r="F715" s="92">
        <v>1.0</v>
      </c>
      <c r="G715" s="93"/>
      <c r="H715" s="93"/>
      <c r="I715" s="93"/>
      <c r="J715" s="93"/>
      <c r="K715" s="93"/>
      <c r="L715" s="93"/>
      <c r="M715" s="93"/>
      <c r="N715" s="93"/>
      <c r="O715" s="93"/>
      <c r="P715" s="93"/>
      <c r="Q715" s="93"/>
      <c r="R715" s="93"/>
      <c r="S715" s="93"/>
      <c r="T715" s="93"/>
      <c r="U715" s="93"/>
      <c r="V715" s="93"/>
      <c r="W715" s="93"/>
      <c r="X715" s="93"/>
      <c r="Y715" s="93"/>
      <c r="Z715" s="93"/>
      <c r="AA715" s="93"/>
      <c r="AB715" s="93"/>
      <c r="AC715" s="93"/>
      <c r="AD715" s="93"/>
      <c r="AE715" s="93"/>
      <c r="AF715" s="93"/>
      <c r="AG715" s="93"/>
      <c r="AH715" s="94"/>
      <c r="AI715" s="93"/>
      <c r="AJ715" s="93"/>
      <c r="AK715" s="93"/>
      <c r="AL715" s="93"/>
      <c r="AM715" s="93"/>
      <c r="AN715" s="93"/>
      <c r="AO715" s="93"/>
      <c r="AP715" s="93"/>
      <c r="AQ715" s="93"/>
      <c r="AR715" s="93"/>
      <c r="AS715" s="93"/>
      <c r="AT715" s="93"/>
      <c r="AU715" s="93"/>
      <c r="AV715" s="93"/>
      <c r="AW715" s="93"/>
      <c r="AX715" s="93"/>
      <c r="AY715" s="93"/>
      <c r="AZ715" s="93"/>
      <c r="BA715" s="93"/>
      <c r="BB715" s="93"/>
      <c r="BC715" s="93"/>
      <c r="BD715" s="93"/>
      <c r="BE715" s="93"/>
      <c r="BF715" s="93"/>
      <c r="BG715" s="93"/>
      <c r="BH715" s="93"/>
      <c r="BI715" s="93"/>
      <c r="BJ715" s="93"/>
      <c r="BK715" s="93"/>
      <c r="BL715" s="93"/>
      <c r="BM715" s="93"/>
      <c r="BN715" s="93"/>
      <c r="BO715" s="93"/>
      <c r="BP715" s="93"/>
      <c r="BQ715" s="93"/>
      <c r="BR715" s="93"/>
      <c r="BS715" s="93"/>
      <c r="BT715" s="93"/>
      <c r="BU715" s="93"/>
      <c r="BV715" s="93"/>
      <c r="BW715" s="93"/>
      <c r="BX715" s="93"/>
      <c r="BY715" s="93"/>
      <c r="BZ715" s="93"/>
    </row>
    <row r="716">
      <c r="A716" t="s">
        <v>116</v>
      </c>
      <c r="B716" t="s">
        <v>2974</v>
      </c>
      <c r="C716" s="89" t="s">
        <v>2975</v>
      </c>
      <c r="D716" s="90" t="s">
        <v>2827</v>
      </c>
      <c r="E716" s="91">
        <v>2019.0</v>
      </c>
      <c r="F716" s="92">
        <v>1.0</v>
      </c>
      <c r="G716" s="93"/>
      <c r="H716" s="93"/>
      <c r="I716" s="93"/>
      <c r="J716" s="93"/>
      <c r="K716" s="93"/>
      <c r="L716" s="93"/>
      <c r="M716" s="93"/>
      <c r="N716" s="93"/>
      <c r="O716" s="93"/>
      <c r="P716" s="93"/>
      <c r="Q716" s="93"/>
      <c r="R716" s="93"/>
      <c r="S716" s="93"/>
      <c r="T716" s="93"/>
      <c r="U716" s="93"/>
      <c r="V716" s="93"/>
      <c r="W716" s="93"/>
      <c r="X716" s="93"/>
      <c r="Y716" s="93"/>
      <c r="Z716" s="93"/>
      <c r="AA716" s="93"/>
      <c r="AB716" s="93"/>
      <c r="AC716" s="93"/>
      <c r="AD716" s="93"/>
      <c r="AE716" s="93"/>
      <c r="AF716" s="93"/>
      <c r="AG716" s="93"/>
      <c r="AH716" s="94"/>
      <c r="AI716" s="93"/>
      <c r="AJ716" s="93"/>
      <c r="AK716" s="93"/>
      <c r="AL716" s="93"/>
      <c r="AM716" s="93"/>
      <c r="AN716" s="93"/>
      <c r="AO716" s="93"/>
      <c r="AP716" s="93"/>
      <c r="AQ716" s="93"/>
      <c r="AR716" s="93"/>
      <c r="AS716" s="93"/>
      <c r="AT716" s="93"/>
      <c r="AU716" s="93"/>
      <c r="AV716" s="93"/>
      <c r="AW716" s="93"/>
      <c r="AX716" s="93"/>
      <c r="AY716" s="93"/>
      <c r="AZ716" s="93"/>
      <c r="BA716" s="93"/>
      <c r="BB716" s="93"/>
      <c r="BC716" s="93"/>
      <c r="BD716" s="93"/>
      <c r="BE716" s="93"/>
      <c r="BF716" s="93"/>
      <c r="BG716" s="93"/>
      <c r="BH716" s="93"/>
      <c r="BI716" s="93"/>
      <c r="BJ716" s="93"/>
      <c r="BK716" s="93"/>
      <c r="BL716" s="93"/>
      <c r="BM716" s="93"/>
      <c r="BN716" s="93"/>
      <c r="BO716" s="93"/>
      <c r="BP716" s="93"/>
      <c r="BQ716" s="93"/>
      <c r="BR716" s="93"/>
      <c r="BS716" s="93"/>
      <c r="BT716" s="93"/>
      <c r="BU716" s="93"/>
      <c r="BV716" s="93"/>
      <c r="BW716" s="93"/>
      <c r="BX716" s="93"/>
      <c r="BY716" s="93"/>
      <c r="BZ716" s="93"/>
    </row>
    <row r="717">
      <c r="A717" t="s">
        <v>1331</v>
      </c>
      <c r="B717" t="s">
        <v>2976</v>
      </c>
      <c r="C717" s="89" t="s">
        <v>2977</v>
      </c>
      <c r="D717" s="90" t="s">
        <v>2856</v>
      </c>
      <c r="E717" s="91">
        <v>2016.0</v>
      </c>
      <c r="F717" s="92">
        <v>1.0</v>
      </c>
      <c r="G717" s="93"/>
      <c r="H717" s="93"/>
      <c r="I717" s="93"/>
      <c r="J717" s="93"/>
      <c r="K717" s="93"/>
      <c r="L717" s="93"/>
      <c r="M717" s="93"/>
      <c r="N717" s="93"/>
      <c r="O717" s="93"/>
      <c r="P717" s="93"/>
      <c r="Q717" s="93"/>
      <c r="R717" s="93"/>
      <c r="S717" s="93"/>
      <c r="T717" s="93"/>
      <c r="U717" s="93"/>
      <c r="V717" s="93"/>
      <c r="W717" s="93"/>
      <c r="X717" s="93"/>
      <c r="Y717" s="93"/>
      <c r="Z717" s="93"/>
      <c r="AA717" s="93"/>
      <c r="AB717" s="93"/>
      <c r="AC717" s="93"/>
      <c r="AD717" s="93"/>
      <c r="AE717" s="93"/>
      <c r="AF717" s="93"/>
      <c r="AG717" s="93"/>
      <c r="AH717" s="94"/>
      <c r="AI717" s="93"/>
      <c r="AJ717" s="93"/>
      <c r="AK717" s="93"/>
      <c r="AL717" s="93"/>
      <c r="AM717" s="93"/>
      <c r="AN717" s="93"/>
      <c r="AO717" s="93"/>
      <c r="AP717" s="93"/>
      <c r="AQ717" s="93"/>
      <c r="AR717" s="93"/>
      <c r="AS717" s="93"/>
      <c r="AT717" s="93"/>
      <c r="AU717" s="93"/>
      <c r="AV717" s="93"/>
      <c r="AW717" s="93"/>
      <c r="AX717" s="93"/>
      <c r="AY717" s="93"/>
      <c r="AZ717" s="93"/>
      <c r="BA717" s="93"/>
      <c r="BB717" s="93"/>
      <c r="BC717" s="93"/>
      <c r="BD717" s="93"/>
      <c r="BE717" s="93"/>
      <c r="BF717" s="93"/>
      <c r="BG717" s="93"/>
      <c r="BH717" s="93"/>
      <c r="BI717" s="93"/>
      <c r="BJ717" s="93"/>
      <c r="BK717" s="93"/>
      <c r="BL717" s="93"/>
      <c r="BM717" s="93"/>
      <c r="BN717" s="93"/>
      <c r="BO717" s="93"/>
      <c r="BP717" s="93"/>
      <c r="BQ717" s="93"/>
      <c r="BR717" s="93"/>
      <c r="BS717" s="93"/>
      <c r="BT717" s="93"/>
      <c r="BU717" s="93"/>
      <c r="BV717" s="93"/>
      <c r="BW717" s="93"/>
      <c r="BX717" s="93"/>
      <c r="BY717" s="93"/>
      <c r="BZ717" s="93"/>
    </row>
    <row r="718">
      <c r="A718" t="s">
        <v>1340</v>
      </c>
      <c r="B718" t="s">
        <v>2978</v>
      </c>
      <c r="C718" s="89" t="s">
        <v>2979</v>
      </c>
      <c r="D718" s="90" t="s">
        <v>2874</v>
      </c>
      <c r="E718" s="91">
        <v>2018.0</v>
      </c>
      <c r="F718" s="92">
        <v>1.0</v>
      </c>
      <c r="G718" s="93"/>
      <c r="H718" s="93"/>
      <c r="I718" s="93"/>
      <c r="J718" s="93"/>
      <c r="K718" s="93"/>
      <c r="L718" s="93"/>
      <c r="M718" s="93"/>
      <c r="N718" s="93"/>
      <c r="O718" s="93"/>
      <c r="P718" s="93"/>
      <c r="Q718" s="93"/>
      <c r="R718" s="93"/>
      <c r="S718" s="93"/>
      <c r="T718" s="93"/>
      <c r="U718" s="93"/>
      <c r="V718" s="93"/>
      <c r="W718" s="93"/>
      <c r="X718" s="93"/>
      <c r="Y718" s="93"/>
      <c r="Z718" s="93"/>
      <c r="AA718" s="93"/>
      <c r="AB718" s="93"/>
      <c r="AC718" s="93"/>
      <c r="AD718" s="93"/>
      <c r="AE718" s="93"/>
      <c r="AF718" s="93"/>
      <c r="AG718" s="93"/>
      <c r="AH718" s="94"/>
      <c r="AI718" s="93"/>
      <c r="AJ718" s="93"/>
      <c r="AK718" s="93"/>
      <c r="AL718" s="93"/>
      <c r="AM718" s="93"/>
      <c r="AN718" s="93"/>
      <c r="AO718" s="93"/>
      <c r="AP718" s="93"/>
      <c r="AQ718" s="93"/>
      <c r="AR718" s="93"/>
      <c r="AS718" s="93"/>
      <c r="AT718" s="93"/>
      <c r="AU718" s="93"/>
      <c r="AV718" s="93"/>
      <c r="AW718" s="93"/>
      <c r="AX718" s="93"/>
      <c r="AY718" s="93"/>
      <c r="AZ718" s="93"/>
      <c r="BA718" s="93"/>
      <c r="BB718" s="93"/>
      <c r="BC718" s="93"/>
      <c r="BD718" s="95"/>
      <c r="BE718" s="93"/>
      <c r="BF718" s="93"/>
      <c r="BG718" s="93"/>
      <c r="BH718" s="93"/>
      <c r="BI718" s="93"/>
      <c r="BJ718" s="93"/>
      <c r="BK718" s="93"/>
      <c r="BL718" s="93"/>
      <c r="BM718" s="93"/>
      <c r="BN718" s="93"/>
      <c r="BO718" s="93"/>
      <c r="BP718" s="93"/>
      <c r="BQ718" s="93"/>
      <c r="BR718" s="93"/>
      <c r="BS718" s="93"/>
      <c r="BT718" s="93"/>
      <c r="BU718" s="93"/>
      <c r="BV718" s="93"/>
      <c r="BW718" s="93"/>
      <c r="BX718" s="93"/>
      <c r="BY718" s="93"/>
      <c r="BZ718" s="93"/>
    </row>
    <row r="719">
      <c r="A719" t="s">
        <v>1354</v>
      </c>
      <c r="B719" t="s">
        <v>2980</v>
      </c>
      <c r="C719" s="89" t="s">
        <v>2981</v>
      </c>
      <c r="D719" s="90" t="s">
        <v>2982</v>
      </c>
      <c r="E719" s="91">
        <v>2016.0</v>
      </c>
      <c r="F719" s="92">
        <v>1.0</v>
      </c>
      <c r="G719" s="93"/>
      <c r="H719" s="93"/>
      <c r="I719" s="93"/>
      <c r="J719" s="93"/>
      <c r="K719" s="93"/>
      <c r="L719" s="93"/>
      <c r="M719" s="93"/>
      <c r="N719" s="93"/>
      <c r="O719" s="93"/>
      <c r="P719" s="93"/>
      <c r="Q719" s="93"/>
      <c r="R719" s="93"/>
      <c r="S719" s="93"/>
      <c r="T719" s="93"/>
      <c r="U719" s="93"/>
      <c r="V719" s="93"/>
      <c r="W719" s="93"/>
      <c r="X719" s="93"/>
      <c r="Y719" s="93"/>
      <c r="Z719" s="93"/>
      <c r="AA719" s="93"/>
      <c r="AB719" s="93"/>
      <c r="AC719" s="93"/>
      <c r="AD719" s="93"/>
      <c r="AE719" s="93"/>
      <c r="AF719" s="93"/>
      <c r="AG719" s="93"/>
      <c r="AH719" s="94"/>
      <c r="AI719" s="93"/>
      <c r="AJ719" s="93"/>
      <c r="AK719" s="93"/>
      <c r="AL719" s="93"/>
      <c r="AM719" s="93"/>
      <c r="AN719" s="93"/>
      <c r="AO719" s="93"/>
      <c r="AP719" s="93"/>
      <c r="AQ719" s="93"/>
      <c r="AR719" s="93"/>
      <c r="AS719" s="93"/>
      <c r="AT719" s="93"/>
      <c r="AU719" s="93"/>
      <c r="AV719" s="93"/>
      <c r="AW719" s="93"/>
      <c r="AX719" s="93"/>
      <c r="AY719" s="93"/>
      <c r="AZ719" s="93"/>
      <c r="BA719" s="93"/>
      <c r="BB719" s="93"/>
      <c r="BC719" s="93"/>
      <c r="BD719" s="93"/>
      <c r="BE719" s="93"/>
      <c r="BF719" s="93"/>
      <c r="BG719" s="93"/>
      <c r="BH719" s="93"/>
      <c r="BI719" s="93"/>
      <c r="BJ719" s="93"/>
      <c r="BK719" s="93"/>
      <c r="BL719" s="93"/>
      <c r="BM719" s="93"/>
      <c r="BN719" s="93"/>
      <c r="BO719" s="93"/>
      <c r="BP719" s="93"/>
      <c r="BQ719" s="93"/>
      <c r="BR719" s="93"/>
      <c r="BS719" s="93"/>
      <c r="BT719" s="93"/>
      <c r="BU719" s="93"/>
      <c r="BV719" s="93"/>
      <c r="BW719" s="93"/>
      <c r="BX719" s="93"/>
      <c r="BY719" s="93"/>
      <c r="BZ719" s="93"/>
    </row>
    <row r="720">
      <c r="B720" t="s">
        <v>2983</v>
      </c>
      <c r="C720" s="89" t="s">
        <v>2984</v>
      </c>
      <c r="D720" s="90" t="s">
        <v>2985</v>
      </c>
      <c r="E720" s="91">
        <v>2017.0</v>
      </c>
      <c r="F720" s="92">
        <v>1.0</v>
      </c>
      <c r="G720" s="93"/>
      <c r="H720" s="93"/>
      <c r="I720" s="93"/>
      <c r="J720" s="93"/>
      <c r="K720" s="93"/>
      <c r="L720" s="93"/>
      <c r="M720" s="93"/>
      <c r="N720" s="93"/>
      <c r="O720" s="93"/>
      <c r="P720" s="93"/>
      <c r="Q720" s="93"/>
      <c r="R720" s="93"/>
      <c r="S720" s="93"/>
      <c r="T720" s="93"/>
      <c r="U720" s="93"/>
      <c r="V720" s="93"/>
      <c r="W720" s="93"/>
      <c r="X720" s="93"/>
      <c r="Y720" s="93"/>
      <c r="Z720" s="93"/>
      <c r="AA720" s="93"/>
      <c r="AB720" s="93"/>
      <c r="AC720" s="93"/>
      <c r="AD720" s="93"/>
      <c r="AE720" s="93"/>
      <c r="AF720" s="93"/>
      <c r="AG720" s="93"/>
      <c r="AH720" s="94"/>
      <c r="AI720" s="93"/>
      <c r="AJ720" s="93"/>
      <c r="AK720" s="93"/>
      <c r="AL720" s="93"/>
      <c r="AM720" s="93"/>
      <c r="AN720" s="93"/>
      <c r="AO720" s="93"/>
      <c r="AP720" s="93"/>
      <c r="AQ720" s="93"/>
      <c r="AR720" s="93"/>
      <c r="AS720" s="93"/>
      <c r="AT720" s="93"/>
      <c r="AU720" s="93"/>
      <c r="AV720" s="93"/>
      <c r="AW720" s="93"/>
      <c r="AX720" s="93"/>
      <c r="AY720" s="93"/>
      <c r="AZ720" s="93"/>
      <c r="BA720" s="93"/>
      <c r="BB720" s="93"/>
      <c r="BC720" s="93"/>
      <c r="BD720" s="93"/>
      <c r="BE720" s="93"/>
      <c r="BF720" s="93"/>
      <c r="BG720" s="93"/>
      <c r="BH720" s="93"/>
      <c r="BI720" s="93"/>
      <c r="BJ720" s="93"/>
      <c r="BK720" s="93"/>
      <c r="BL720" s="93"/>
      <c r="BM720" s="93"/>
      <c r="BN720" s="93"/>
      <c r="BO720" s="93"/>
      <c r="BP720" s="93"/>
      <c r="BQ720" s="93"/>
      <c r="BR720" s="93"/>
      <c r="BS720" s="93"/>
      <c r="BT720" s="93"/>
      <c r="BU720" s="93"/>
      <c r="BV720" s="93"/>
      <c r="BW720" s="93"/>
      <c r="BX720" s="93"/>
      <c r="BY720" s="93"/>
      <c r="BZ720" s="93"/>
    </row>
    <row r="721">
      <c r="B721" t="s">
        <v>2986</v>
      </c>
      <c r="C721" s="89" t="s">
        <v>2987</v>
      </c>
      <c r="D721" s="90" t="s">
        <v>777</v>
      </c>
      <c r="E721" s="91">
        <v>2019.0</v>
      </c>
      <c r="F721" s="92">
        <v>1.0</v>
      </c>
      <c r="G721" s="93"/>
      <c r="H721" s="93"/>
      <c r="I721" s="93"/>
      <c r="J721" s="93"/>
      <c r="K721" s="93"/>
      <c r="L721" s="93"/>
      <c r="M721" s="93"/>
      <c r="N721" s="93"/>
      <c r="O721" s="93"/>
      <c r="P721" s="93"/>
      <c r="Q721" s="93"/>
      <c r="R721" s="93"/>
      <c r="S721" s="93"/>
      <c r="T721" s="93"/>
      <c r="U721" s="93"/>
      <c r="V721" s="93"/>
      <c r="W721" s="93"/>
      <c r="X721" s="93"/>
      <c r="Y721" s="93"/>
      <c r="Z721" s="93"/>
      <c r="AA721" s="93"/>
      <c r="AB721" s="93"/>
      <c r="AC721" s="93"/>
      <c r="AD721" s="93"/>
      <c r="AE721" s="93"/>
      <c r="AF721" s="93"/>
      <c r="AG721" s="93"/>
      <c r="AH721" s="94"/>
      <c r="AI721" s="93"/>
      <c r="AJ721" s="93"/>
      <c r="AK721" s="93"/>
      <c r="AL721" s="93"/>
      <c r="AM721" s="93"/>
      <c r="AN721" s="93"/>
      <c r="AO721" s="93"/>
      <c r="AP721" s="93"/>
      <c r="AQ721" s="93"/>
      <c r="AR721" s="93"/>
      <c r="AS721" s="93"/>
      <c r="AT721" s="93"/>
      <c r="AU721" s="93"/>
      <c r="AV721" s="93"/>
      <c r="AW721" s="93"/>
      <c r="AX721" s="93"/>
      <c r="AY721" s="93"/>
      <c r="AZ721" s="93"/>
      <c r="BA721" s="93"/>
      <c r="BB721" s="93"/>
      <c r="BC721" s="93"/>
      <c r="BD721" s="93"/>
      <c r="BE721" s="93"/>
      <c r="BF721" s="93"/>
      <c r="BG721" s="93"/>
      <c r="BH721" s="93"/>
      <c r="BI721" s="93"/>
      <c r="BJ721" s="93"/>
      <c r="BK721" s="93"/>
      <c r="BL721" s="93"/>
      <c r="BM721" s="93"/>
      <c r="BN721" s="93"/>
      <c r="BO721" s="93"/>
      <c r="BP721" s="93"/>
      <c r="BQ721" s="93"/>
      <c r="BR721" s="93"/>
      <c r="BS721" s="93"/>
      <c r="BT721" s="93"/>
      <c r="BU721" s="93"/>
      <c r="BV721" s="93"/>
      <c r="BW721" s="93"/>
      <c r="BX721" s="93"/>
      <c r="BY721" s="93"/>
      <c r="BZ721" s="93"/>
    </row>
    <row r="722">
      <c r="A722" t="s">
        <v>116</v>
      </c>
      <c r="B722" t="s">
        <v>2988</v>
      </c>
      <c r="C722" s="89" t="s">
        <v>2989</v>
      </c>
      <c r="D722" s="90" t="s">
        <v>777</v>
      </c>
      <c r="E722" s="91">
        <v>2017.0</v>
      </c>
      <c r="F722" s="92">
        <v>1.0</v>
      </c>
      <c r="G722" s="95"/>
      <c r="H722" s="93"/>
      <c r="I722" s="93"/>
      <c r="J722" s="93"/>
      <c r="K722" s="93"/>
      <c r="L722" s="93"/>
      <c r="M722" s="93"/>
      <c r="N722" s="93"/>
      <c r="O722" s="95"/>
      <c r="P722" s="93"/>
      <c r="Q722" s="93"/>
      <c r="R722" s="93"/>
      <c r="S722" s="93"/>
      <c r="T722" s="93"/>
      <c r="U722" s="93"/>
      <c r="V722" s="93"/>
      <c r="W722" s="93"/>
      <c r="X722" s="93"/>
      <c r="Y722" s="93"/>
      <c r="Z722" s="93"/>
      <c r="AA722" s="93"/>
      <c r="AB722" s="93"/>
      <c r="AC722" s="93"/>
      <c r="AD722" s="93"/>
      <c r="AE722" s="93"/>
      <c r="AF722" s="93"/>
      <c r="AG722" s="93"/>
      <c r="AH722" s="94"/>
      <c r="AI722" s="93"/>
      <c r="AJ722" s="93"/>
      <c r="AK722" s="93"/>
      <c r="AL722" s="93"/>
      <c r="AM722" s="93"/>
      <c r="AN722" s="93"/>
      <c r="AO722" s="93"/>
      <c r="AP722" s="93"/>
      <c r="AQ722" s="93"/>
      <c r="AR722" s="93"/>
      <c r="AS722" s="93"/>
      <c r="AT722" s="93"/>
      <c r="AU722" s="93"/>
      <c r="AV722" s="93"/>
      <c r="AW722" s="93"/>
      <c r="AX722" s="93"/>
      <c r="AY722" s="93"/>
      <c r="AZ722" s="93"/>
      <c r="BA722" s="93"/>
      <c r="BB722" s="93"/>
      <c r="BC722" s="93"/>
      <c r="BD722" s="93"/>
      <c r="BE722" s="93"/>
      <c r="BF722" s="93"/>
      <c r="BG722" s="93"/>
      <c r="BH722" s="93"/>
      <c r="BI722" s="93"/>
      <c r="BJ722" s="93"/>
      <c r="BK722" s="93"/>
      <c r="BL722" s="93"/>
      <c r="BM722" s="93"/>
      <c r="BN722" s="93"/>
      <c r="BO722" s="93"/>
      <c r="BP722" s="93"/>
      <c r="BQ722" s="93"/>
      <c r="BR722" s="93"/>
      <c r="BS722" s="93"/>
      <c r="BT722" s="93"/>
      <c r="BU722" s="93"/>
      <c r="BV722" s="93"/>
      <c r="BW722" s="93"/>
      <c r="BX722" s="93"/>
      <c r="BY722" s="93"/>
      <c r="BZ722" s="93"/>
    </row>
    <row r="723">
      <c r="A723" t="s">
        <v>1331</v>
      </c>
      <c r="B723" t="s">
        <v>2990</v>
      </c>
      <c r="C723" s="89" t="s">
        <v>2991</v>
      </c>
      <c r="D723" s="90" t="s">
        <v>268</v>
      </c>
      <c r="E723" s="91">
        <v>2015.0</v>
      </c>
      <c r="F723" s="92">
        <v>1.0</v>
      </c>
      <c r="G723" s="93"/>
      <c r="H723" s="93"/>
      <c r="I723" s="93"/>
      <c r="J723" s="93"/>
      <c r="K723" s="93"/>
      <c r="L723" s="93"/>
      <c r="M723" s="93"/>
      <c r="N723" s="93"/>
      <c r="O723" s="93"/>
      <c r="P723" s="93"/>
      <c r="Q723" s="93"/>
      <c r="R723" s="93"/>
      <c r="S723" s="93"/>
      <c r="T723" s="93"/>
      <c r="U723" s="93"/>
      <c r="V723" s="93"/>
      <c r="W723" s="93"/>
      <c r="X723" s="93"/>
      <c r="Y723" s="93"/>
      <c r="Z723" s="93"/>
      <c r="AA723" s="93"/>
      <c r="AB723" s="93"/>
      <c r="AC723" s="93"/>
      <c r="AD723" s="93"/>
      <c r="AE723" s="93"/>
      <c r="AF723" s="93"/>
      <c r="AG723" s="93"/>
      <c r="AH723" s="94"/>
      <c r="AI723" s="93"/>
      <c r="AJ723" s="93"/>
      <c r="AK723" s="93"/>
      <c r="AL723" s="93"/>
      <c r="AM723" s="93"/>
      <c r="AN723" s="93"/>
      <c r="AO723" s="93"/>
      <c r="AP723" s="93"/>
      <c r="AQ723" s="93"/>
      <c r="AR723" s="93"/>
      <c r="AS723" s="93"/>
      <c r="AT723" s="93"/>
      <c r="AU723" s="93"/>
      <c r="AV723" s="93"/>
      <c r="AW723" s="93"/>
      <c r="AX723" s="93"/>
      <c r="AY723" s="93"/>
      <c r="AZ723" s="93"/>
      <c r="BA723" s="93"/>
      <c r="BB723" s="93"/>
      <c r="BC723" s="93"/>
      <c r="BD723" s="93"/>
      <c r="BE723" s="93"/>
      <c r="BF723" s="93"/>
      <c r="BG723" s="93"/>
      <c r="BH723" s="93"/>
      <c r="BI723" s="93"/>
      <c r="BJ723" s="93"/>
      <c r="BK723" s="93"/>
      <c r="BL723" s="93"/>
      <c r="BM723" s="93"/>
      <c r="BN723" s="93"/>
      <c r="BO723" s="93"/>
      <c r="BP723" s="93"/>
      <c r="BQ723" s="93"/>
      <c r="BR723" s="93"/>
      <c r="BS723" s="93"/>
      <c r="BT723" s="93"/>
      <c r="BU723" s="93"/>
      <c r="BV723" s="93"/>
      <c r="BW723" s="93"/>
      <c r="BX723" s="93"/>
      <c r="BY723" s="93"/>
      <c r="BZ723" s="93"/>
    </row>
    <row r="724">
      <c r="B724" t="s">
        <v>2992</v>
      </c>
      <c r="C724" s="89" t="s">
        <v>2993</v>
      </c>
      <c r="D724" s="90" t="s">
        <v>2900</v>
      </c>
      <c r="E724" s="91">
        <v>2016.0</v>
      </c>
      <c r="F724" s="92">
        <v>1.0</v>
      </c>
      <c r="G724" s="93"/>
      <c r="H724" s="93"/>
      <c r="I724" s="93"/>
      <c r="J724" s="93"/>
      <c r="K724" s="93"/>
      <c r="L724" s="93"/>
      <c r="M724" s="93"/>
      <c r="N724" s="93"/>
      <c r="O724" s="93"/>
      <c r="P724" s="93"/>
      <c r="Q724" s="93"/>
      <c r="R724" s="93"/>
      <c r="S724" s="93"/>
      <c r="T724" s="93"/>
      <c r="U724" s="93"/>
      <c r="V724" s="93"/>
      <c r="W724" s="93"/>
      <c r="X724" s="93"/>
      <c r="Y724" s="93"/>
      <c r="Z724" s="93"/>
      <c r="AA724" s="93"/>
      <c r="AB724" s="93"/>
      <c r="AC724" s="93"/>
      <c r="AD724" s="93"/>
      <c r="AE724" s="93"/>
      <c r="AF724" s="93"/>
      <c r="AG724" s="93"/>
      <c r="AH724" s="94"/>
      <c r="AI724" s="93"/>
      <c r="AJ724" s="93"/>
      <c r="AK724" s="93"/>
      <c r="AL724" s="93"/>
      <c r="AM724" s="93"/>
      <c r="AN724" s="93"/>
      <c r="AO724" s="93"/>
      <c r="AP724" s="93"/>
      <c r="AQ724" s="93"/>
      <c r="AR724" s="93"/>
      <c r="AS724" s="93"/>
      <c r="AT724" s="93"/>
      <c r="AU724" s="93"/>
      <c r="AV724" s="93"/>
      <c r="AW724" s="93"/>
      <c r="AX724" s="93"/>
      <c r="AY724" s="93"/>
      <c r="AZ724" s="93"/>
      <c r="BA724" s="93"/>
      <c r="BB724" s="93"/>
      <c r="BC724" s="93"/>
      <c r="BD724" s="93"/>
      <c r="BE724" s="93"/>
      <c r="BF724" s="93"/>
      <c r="BG724" s="93"/>
      <c r="BH724" s="93"/>
      <c r="BI724" s="93"/>
      <c r="BJ724" s="93"/>
      <c r="BK724" s="93"/>
      <c r="BL724" s="93"/>
      <c r="BM724" s="93"/>
      <c r="BN724" s="93"/>
      <c r="BO724" s="93"/>
      <c r="BP724" s="93"/>
      <c r="BQ724" s="93"/>
      <c r="BR724" s="93"/>
      <c r="BS724" s="93"/>
      <c r="BT724" s="93"/>
      <c r="BU724" s="93"/>
      <c r="BV724" s="93"/>
      <c r="BW724" s="93"/>
      <c r="BX724" s="93"/>
      <c r="BY724" s="93"/>
      <c r="BZ724" s="93"/>
    </row>
    <row r="725">
      <c r="B725" t="s">
        <v>2994</v>
      </c>
      <c r="C725" s="89" t="s">
        <v>2995</v>
      </c>
      <c r="D725" s="90" t="s">
        <v>2996</v>
      </c>
      <c r="E725" s="91">
        <v>2019.0</v>
      </c>
      <c r="F725" s="92">
        <v>1.0</v>
      </c>
      <c r="G725" s="93"/>
      <c r="H725" s="93"/>
      <c r="I725" s="93"/>
      <c r="J725" s="93"/>
      <c r="K725" s="93"/>
      <c r="L725" s="93"/>
      <c r="M725" s="93"/>
      <c r="N725" s="93"/>
      <c r="O725" s="93"/>
      <c r="P725" s="93"/>
      <c r="Q725" s="93"/>
      <c r="R725" s="93"/>
      <c r="S725" s="93"/>
      <c r="T725" s="93"/>
      <c r="U725" s="93"/>
      <c r="V725" s="93"/>
      <c r="W725" s="93"/>
      <c r="X725" s="93"/>
      <c r="Y725" s="93"/>
      <c r="Z725" s="93"/>
      <c r="AA725" s="93"/>
      <c r="AB725" s="93"/>
      <c r="AC725" s="93"/>
      <c r="AD725" s="93"/>
      <c r="AE725" s="93"/>
      <c r="AF725" s="93"/>
      <c r="AG725" s="93"/>
      <c r="AH725" s="94"/>
      <c r="AI725" s="93"/>
      <c r="AJ725" s="93"/>
      <c r="AK725" s="93"/>
      <c r="AL725" s="93"/>
      <c r="AM725" s="93"/>
      <c r="AN725" s="93"/>
      <c r="AO725" s="93"/>
      <c r="AP725" s="93"/>
      <c r="AQ725" s="93"/>
      <c r="AR725" s="93"/>
      <c r="AS725" s="93"/>
      <c r="AT725" s="93"/>
      <c r="AU725" s="93"/>
      <c r="AV725" s="93"/>
      <c r="AW725" s="93"/>
      <c r="AX725" s="93"/>
      <c r="AY725" s="93"/>
      <c r="AZ725" s="93"/>
      <c r="BA725" s="93"/>
      <c r="BB725" s="93"/>
      <c r="BC725" s="93"/>
      <c r="BD725" s="93"/>
      <c r="BE725" s="93"/>
      <c r="BF725" s="93"/>
      <c r="BG725" s="93"/>
      <c r="BH725" s="93"/>
      <c r="BI725" s="93"/>
      <c r="BJ725" s="93"/>
      <c r="BK725" s="93"/>
      <c r="BL725" s="93"/>
      <c r="BM725" s="93"/>
      <c r="BN725" s="93"/>
      <c r="BO725" s="93"/>
      <c r="BP725" s="93"/>
      <c r="BQ725" s="93"/>
      <c r="BR725" s="93"/>
      <c r="BS725" s="93"/>
      <c r="BT725" s="93"/>
      <c r="BU725" s="93"/>
      <c r="BV725" s="93"/>
      <c r="BW725" s="93"/>
      <c r="BX725" s="93"/>
      <c r="BY725" s="93"/>
      <c r="BZ725" s="93"/>
    </row>
    <row r="726">
      <c r="B726" t="s">
        <v>2997</v>
      </c>
      <c r="C726" s="89" t="s">
        <v>2998</v>
      </c>
      <c r="D726" s="90" t="s">
        <v>2874</v>
      </c>
      <c r="E726" s="91">
        <v>2016.0</v>
      </c>
      <c r="F726" s="92">
        <v>1.0</v>
      </c>
      <c r="G726" s="93"/>
      <c r="H726" s="93"/>
      <c r="I726" s="93"/>
      <c r="J726" s="93"/>
      <c r="K726" s="93"/>
      <c r="L726" s="93"/>
      <c r="M726" s="93"/>
      <c r="N726" s="93"/>
      <c r="O726" s="93"/>
      <c r="P726" s="93"/>
      <c r="Q726" s="93"/>
      <c r="R726" s="93"/>
      <c r="S726" s="93"/>
      <c r="T726" s="93"/>
      <c r="U726" s="93"/>
      <c r="V726" s="93"/>
      <c r="W726" s="93"/>
      <c r="X726" s="93"/>
      <c r="Y726" s="93"/>
      <c r="Z726" s="93"/>
      <c r="AA726" s="93"/>
      <c r="AB726" s="93"/>
      <c r="AC726" s="93"/>
      <c r="AD726" s="93"/>
      <c r="AE726" s="93"/>
      <c r="AF726" s="93"/>
      <c r="AG726" s="93"/>
      <c r="AH726" s="94"/>
      <c r="AI726" s="93"/>
      <c r="AJ726" s="93"/>
      <c r="AK726" s="93"/>
      <c r="AL726" s="93"/>
      <c r="AM726" s="93"/>
      <c r="AN726" s="93"/>
      <c r="AO726" s="93"/>
      <c r="AP726" s="93"/>
      <c r="AQ726" s="93"/>
      <c r="AR726" s="93"/>
      <c r="AS726" s="93"/>
      <c r="AT726" s="93"/>
      <c r="AU726" s="93"/>
      <c r="AV726" s="93"/>
      <c r="AW726" s="93"/>
      <c r="AX726" s="93"/>
      <c r="AY726" s="93"/>
      <c r="AZ726" s="93"/>
      <c r="BA726" s="93"/>
      <c r="BB726" s="93"/>
      <c r="BC726" s="93"/>
      <c r="BD726" s="93"/>
      <c r="BE726" s="93"/>
      <c r="BF726" s="93"/>
      <c r="BG726" s="93"/>
      <c r="BH726" s="93"/>
      <c r="BI726" s="93"/>
      <c r="BJ726" s="93"/>
      <c r="BK726" s="93"/>
      <c r="BL726" s="93"/>
      <c r="BM726" s="93"/>
      <c r="BN726" s="93"/>
      <c r="BO726" s="93"/>
      <c r="BP726" s="93"/>
      <c r="BQ726" s="93"/>
      <c r="BR726" s="93"/>
      <c r="BS726" s="93"/>
      <c r="BT726" s="93"/>
      <c r="BU726" s="93"/>
      <c r="BV726" s="93"/>
      <c r="BW726" s="93"/>
      <c r="BX726" s="93"/>
      <c r="BY726" s="93"/>
      <c r="BZ726" s="93"/>
    </row>
    <row r="727">
      <c r="B727" t="s">
        <v>2999</v>
      </c>
      <c r="C727" s="89" t="s">
        <v>3000</v>
      </c>
      <c r="D727" s="90" t="s">
        <v>3001</v>
      </c>
      <c r="E727" s="91">
        <v>2018.0</v>
      </c>
      <c r="F727" s="92">
        <v>1.0</v>
      </c>
      <c r="G727" s="93"/>
      <c r="H727" s="93"/>
      <c r="I727" s="93"/>
      <c r="J727" s="93"/>
      <c r="K727" s="93"/>
      <c r="L727" s="93"/>
      <c r="M727" s="93"/>
      <c r="N727" s="93"/>
      <c r="O727" s="93"/>
      <c r="P727" s="93"/>
      <c r="Q727" s="93"/>
      <c r="R727" s="93"/>
      <c r="S727" s="93"/>
      <c r="T727" s="93"/>
      <c r="U727" s="93"/>
      <c r="V727" s="93"/>
      <c r="W727" s="93"/>
      <c r="X727" s="93"/>
      <c r="Y727" s="93"/>
      <c r="Z727" s="93"/>
      <c r="AA727" s="93"/>
      <c r="AB727" s="93"/>
      <c r="AC727" s="93"/>
      <c r="AD727" s="93"/>
      <c r="AE727" s="93"/>
      <c r="AF727" s="93"/>
      <c r="AG727" s="93"/>
      <c r="AH727" s="94"/>
      <c r="AI727" s="93"/>
      <c r="AJ727" s="93"/>
      <c r="AK727" s="93"/>
      <c r="AL727" s="93"/>
      <c r="AM727" s="93"/>
      <c r="AN727" s="93"/>
      <c r="AO727" s="93"/>
      <c r="AP727" s="93"/>
      <c r="AQ727" s="93"/>
      <c r="AR727" s="93"/>
      <c r="AS727" s="93"/>
      <c r="AT727" s="93"/>
      <c r="AU727" s="93"/>
      <c r="AV727" s="93"/>
      <c r="AW727" s="93"/>
      <c r="AX727" s="93"/>
      <c r="AY727" s="93"/>
      <c r="AZ727" s="93"/>
      <c r="BA727" s="93"/>
      <c r="BB727" s="93"/>
      <c r="BC727" s="93"/>
      <c r="BD727" s="93"/>
      <c r="BE727" s="93"/>
      <c r="BF727" s="93"/>
      <c r="BG727" s="93"/>
      <c r="BH727" s="93"/>
      <c r="BI727" s="93"/>
      <c r="BJ727" s="93"/>
      <c r="BK727" s="93"/>
      <c r="BL727" s="93"/>
      <c r="BM727" s="93"/>
      <c r="BN727" s="93"/>
      <c r="BO727" s="93"/>
      <c r="BP727" s="93"/>
      <c r="BQ727" s="93"/>
      <c r="BR727" s="93"/>
      <c r="BS727" s="93"/>
      <c r="BT727" s="93"/>
      <c r="BU727" s="93"/>
      <c r="BV727" s="93"/>
      <c r="BW727" s="93"/>
      <c r="BX727" s="93"/>
      <c r="BY727" s="93"/>
      <c r="BZ727" s="93"/>
    </row>
    <row r="728">
      <c r="B728" t="s">
        <v>3002</v>
      </c>
      <c r="C728" s="89" t="s">
        <v>3003</v>
      </c>
      <c r="D728" s="90" t="s">
        <v>3004</v>
      </c>
      <c r="E728" s="91">
        <v>2016.0</v>
      </c>
      <c r="F728" s="92">
        <v>1.0</v>
      </c>
      <c r="G728" s="93"/>
      <c r="H728" s="93"/>
      <c r="I728" s="93"/>
      <c r="J728" s="93"/>
      <c r="K728" s="93"/>
      <c r="L728" s="93"/>
      <c r="M728" s="93"/>
      <c r="N728" s="93"/>
      <c r="O728" s="93"/>
      <c r="P728" s="93"/>
      <c r="Q728" s="93"/>
      <c r="R728" s="93"/>
      <c r="S728" s="93"/>
      <c r="T728" s="93"/>
      <c r="U728" s="93"/>
      <c r="V728" s="93"/>
      <c r="W728" s="93"/>
      <c r="X728" s="93"/>
      <c r="Y728" s="93"/>
      <c r="Z728" s="93"/>
      <c r="AA728" s="93"/>
      <c r="AB728" s="93"/>
      <c r="AC728" s="93"/>
      <c r="AD728" s="93"/>
      <c r="AE728" s="93"/>
      <c r="AF728" s="93"/>
      <c r="AG728" s="93"/>
      <c r="AH728" s="94"/>
      <c r="AI728" s="93"/>
      <c r="AJ728" s="93"/>
      <c r="AK728" s="93"/>
      <c r="AL728" s="93"/>
      <c r="AM728" s="93"/>
      <c r="AN728" s="93"/>
      <c r="AO728" s="93"/>
      <c r="AP728" s="93"/>
      <c r="AQ728" s="93"/>
      <c r="AR728" s="93"/>
      <c r="AS728" s="93"/>
      <c r="AT728" s="93"/>
      <c r="AU728" s="93"/>
      <c r="AV728" s="93"/>
      <c r="AW728" s="93"/>
      <c r="AX728" s="93"/>
      <c r="AY728" s="93"/>
      <c r="AZ728" s="93"/>
      <c r="BA728" s="93"/>
      <c r="BB728" s="93"/>
      <c r="BC728" s="93"/>
      <c r="BD728" s="93"/>
      <c r="BE728" s="93"/>
      <c r="BF728" s="93"/>
      <c r="BG728" s="93"/>
      <c r="BH728" s="93"/>
      <c r="BI728" s="93"/>
      <c r="BJ728" s="93"/>
      <c r="BK728" s="93"/>
      <c r="BL728" s="93"/>
      <c r="BM728" s="93"/>
      <c r="BN728" s="93"/>
      <c r="BO728" s="93"/>
      <c r="BP728" s="93"/>
      <c r="BQ728" s="93"/>
      <c r="BR728" s="93"/>
      <c r="BS728" s="93"/>
      <c r="BT728" s="93"/>
      <c r="BU728" s="93"/>
      <c r="BV728" s="93"/>
      <c r="BW728" s="93"/>
      <c r="BX728" s="93"/>
      <c r="BY728" s="93"/>
      <c r="BZ728" s="93"/>
    </row>
    <row r="729">
      <c r="B729" t="s">
        <v>3005</v>
      </c>
      <c r="C729" s="89" t="s">
        <v>3006</v>
      </c>
      <c r="D729" s="90" t="s">
        <v>2909</v>
      </c>
      <c r="E729" s="91">
        <v>2016.0</v>
      </c>
      <c r="F729" s="92">
        <v>1.0</v>
      </c>
      <c r="G729" s="93"/>
      <c r="H729" s="93"/>
      <c r="I729" s="93"/>
      <c r="J729" s="93"/>
      <c r="K729" s="93"/>
      <c r="L729" s="93"/>
      <c r="M729" s="93"/>
      <c r="N729" s="93"/>
      <c r="O729" s="93"/>
      <c r="P729" s="93"/>
      <c r="Q729" s="93"/>
      <c r="R729" s="93"/>
      <c r="S729" s="93"/>
      <c r="T729" s="93"/>
      <c r="U729" s="93"/>
      <c r="V729" s="93"/>
      <c r="W729" s="93"/>
      <c r="X729" s="93"/>
      <c r="Y729" s="93"/>
      <c r="Z729" s="93"/>
      <c r="AA729" s="93"/>
      <c r="AB729" s="93"/>
      <c r="AC729" s="93"/>
      <c r="AD729" s="93"/>
      <c r="AE729" s="93"/>
      <c r="AF729" s="93"/>
      <c r="AG729" s="93"/>
      <c r="AH729" s="94"/>
      <c r="AI729" s="93"/>
      <c r="AJ729" s="93"/>
      <c r="AK729" s="93"/>
      <c r="AL729" s="93"/>
      <c r="AM729" s="93"/>
      <c r="AN729" s="93"/>
      <c r="AO729" s="93"/>
      <c r="AP729" s="93"/>
      <c r="AQ729" s="93"/>
      <c r="AR729" s="93"/>
      <c r="AS729" s="93"/>
      <c r="AT729" s="93"/>
      <c r="AU729" s="93"/>
      <c r="AV729" s="93"/>
      <c r="AW729" s="93"/>
      <c r="AX729" s="93"/>
      <c r="AY729" s="93"/>
      <c r="AZ729" s="93"/>
      <c r="BA729" s="93"/>
      <c r="BB729" s="93"/>
      <c r="BC729" s="93"/>
      <c r="BD729" s="93"/>
      <c r="BE729" s="93"/>
      <c r="BF729" s="93"/>
      <c r="BG729" s="93"/>
      <c r="BH729" s="93"/>
      <c r="BI729" s="93"/>
      <c r="BJ729" s="93"/>
      <c r="BK729" s="93"/>
      <c r="BL729" s="93"/>
      <c r="BM729" s="93"/>
      <c r="BN729" s="93"/>
      <c r="BO729" s="93"/>
      <c r="BP729" s="93"/>
      <c r="BQ729" s="93"/>
      <c r="BR729" s="93"/>
      <c r="BS729" s="93"/>
      <c r="BT729" s="93"/>
      <c r="BU729" s="93"/>
      <c r="BV729" s="93"/>
      <c r="BW729" s="93"/>
      <c r="BX729" s="93"/>
      <c r="BY729" s="93"/>
      <c r="BZ729" s="93"/>
    </row>
    <row r="730">
      <c r="B730" t="s">
        <v>3007</v>
      </c>
      <c r="C730" s="89" t="s">
        <v>3008</v>
      </c>
      <c r="D730" s="90" t="s">
        <v>2856</v>
      </c>
      <c r="E730" s="91">
        <v>2017.0</v>
      </c>
      <c r="F730" s="104">
        <v>1.0</v>
      </c>
      <c r="G730" s="93"/>
      <c r="H730" s="93"/>
      <c r="I730" s="93"/>
      <c r="J730" s="93"/>
      <c r="K730" s="93"/>
      <c r="L730" s="93"/>
      <c r="M730" s="93"/>
      <c r="N730" s="93"/>
      <c r="O730" s="93"/>
      <c r="P730" s="93"/>
      <c r="Q730" s="93"/>
      <c r="R730" s="93"/>
      <c r="S730" s="93"/>
      <c r="T730" s="93"/>
      <c r="U730" s="93"/>
      <c r="V730" s="93"/>
      <c r="W730" s="93"/>
      <c r="X730" s="93"/>
      <c r="Y730" s="93"/>
      <c r="Z730" s="93"/>
      <c r="AA730" s="93"/>
      <c r="AB730" s="93"/>
      <c r="AC730" s="93"/>
      <c r="AD730" s="93"/>
      <c r="AE730" s="93"/>
      <c r="AF730" s="93"/>
      <c r="AG730" s="93"/>
      <c r="AH730" s="93"/>
      <c r="AI730" s="93"/>
      <c r="AJ730" s="93"/>
      <c r="AK730" s="93"/>
      <c r="AL730" s="93"/>
      <c r="AM730" s="93"/>
      <c r="AN730" s="93"/>
      <c r="AO730" s="93"/>
      <c r="AP730" s="93"/>
      <c r="AQ730" s="93"/>
      <c r="AR730" s="93"/>
      <c r="AS730" s="93"/>
      <c r="AT730" s="93"/>
      <c r="AU730" s="93"/>
      <c r="AV730" s="93"/>
      <c r="AW730" s="93"/>
      <c r="AX730" s="93"/>
      <c r="AY730" s="93"/>
      <c r="AZ730" s="93"/>
      <c r="BA730" s="93"/>
      <c r="BB730" s="93"/>
      <c r="BC730" s="93"/>
      <c r="BD730" s="93"/>
      <c r="BE730" s="93"/>
      <c r="BF730" s="93"/>
      <c r="BG730" s="93"/>
      <c r="BH730" s="93"/>
      <c r="BI730" s="93"/>
      <c r="BJ730" s="93"/>
      <c r="BK730" s="93"/>
      <c r="BL730" s="93"/>
      <c r="BM730" s="93"/>
      <c r="BN730" s="93"/>
      <c r="BO730" s="93"/>
      <c r="BP730" s="93"/>
      <c r="BQ730" s="93"/>
      <c r="BR730" s="93"/>
      <c r="BS730" s="93"/>
      <c r="BT730" s="93"/>
      <c r="BU730" s="93"/>
      <c r="BV730" s="93"/>
      <c r="BW730" s="93"/>
      <c r="BX730" s="93"/>
      <c r="BY730" s="93"/>
      <c r="BZ730" s="93"/>
    </row>
    <row r="731">
      <c r="A731" t="s">
        <v>1340</v>
      </c>
      <c r="B731" t="s">
        <v>3009</v>
      </c>
      <c r="C731" s="89" t="s">
        <v>3010</v>
      </c>
      <c r="D731" s="90" t="s">
        <v>3011</v>
      </c>
      <c r="E731" s="91">
        <v>2016.0</v>
      </c>
      <c r="F731" s="104">
        <v>1.0</v>
      </c>
      <c r="G731" s="93"/>
      <c r="H731" s="93"/>
      <c r="I731" s="93"/>
      <c r="J731" s="93"/>
      <c r="K731" s="93"/>
      <c r="L731" s="93"/>
      <c r="M731" s="93"/>
      <c r="N731" s="93"/>
      <c r="O731" s="93"/>
      <c r="P731" s="93"/>
      <c r="Q731" s="93"/>
      <c r="R731" s="93"/>
      <c r="S731" s="93"/>
      <c r="T731" s="93"/>
      <c r="U731" s="93"/>
      <c r="V731" s="93"/>
      <c r="W731" s="93"/>
      <c r="X731" s="93"/>
      <c r="Y731" s="93"/>
      <c r="Z731" s="93"/>
      <c r="AA731" s="93"/>
      <c r="AB731" s="93"/>
      <c r="AC731" s="93"/>
      <c r="AD731" s="93"/>
      <c r="AE731" s="93"/>
      <c r="AF731" s="93"/>
      <c r="AG731" s="93"/>
      <c r="AH731" s="93"/>
      <c r="AI731" s="93"/>
      <c r="AJ731" s="93"/>
      <c r="AK731" s="93"/>
      <c r="AL731" s="93"/>
      <c r="AM731" s="93"/>
      <c r="AN731" s="93"/>
      <c r="AO731" s="93"/>
      <c r="AP731" s="93"/>
      <c r="AQ731" s="93"/>
      <c r="AR731" s="93"/>
      <c r="AS731" s="93"/>
      <c r="AT731" s="93"/>
      <c r="AU731" s="93"/>
      <c r="AV731" s="93"/>
      <c r="AW731" s="93"/>
      <c r="AX731" s="93"/>
      <c r="AY731" s="93"/>
      <c r="AZ731" s="93"/>
      <c r="BA731" s="93"/>
      <c r="BB731" s="93"/>
      <c r="BC731" s="93"/>
      <c r="BD731" s="93"/>
      <c r="BE731" s="93"/>
      <c r="BF731" s="93"/>
      <c r="BG731" s="93"/>
      <c r="BH731" s="93"/>
      <c r="BI731" s="93"/>
      <c r="BJ731" s="93"/>
      <c r="BK731" s="93"/>
      <c r="BL731" s="93"/>
      <c r="BM731" s="93"/>
      <c r="BN731" s="93"/>
      <c r="BO731" s="93"/>
      <c r="BP731" s="93"/>
      <c r="BQ731" s="93"/>
      <c r="BR731" s="93"/>
      <c r="BS731" s="93"/>
      <c r="BT731" s="93"/>
      <c r="BU731" s="93"/>
      <c r="BV731" s="93"/>
      <c r="BW731" s="93"/>
      <c r="BX731" s="93"/>
      <c r="BY731" s="93"/>
      <c r="BZ731" s="93"/>
    </row>
    <row r="732">
      <c r="B732" t="s">
        <v>3012</v>
      </c>
      <c r="C732" s="89" t="s">
        <v>3013</v>
      </c>
      <c r="D732" s="90" t="s">
        <v>3014</v>
      </c>
      <c r="E732" s="91">
        <v>2016.0</v>
      </c>
      <c r="F732" s="104">
        <v>1.0</v>
      </c>
      <c r="G732" s="93"/>
      <c r="H732" s="93"/>
      <c r="I732" s="93"/>
      <c r="J732" s="93"/>
      <c r="K732" s="93"/>
      <c r="L732" s="93"/>
      <c r="M732" s="93"/>
      <c r="N732" s="93"/>
      <c r="O732" s="93"/>
      <c r="P732" s="93"/>
      <c r="Q732" s="93"/>
      <c r="R732" s="93"/>
      <c r="S732" s="93"/>
      <c r="T732" s="93"/>
      <c r="U732" s="93"/>
      <c r="V732" s="93"/>
      <c r="W732" s="93"/>
      <c r="X732" s="93"/>
      <c r="Y732" s="93"/>
      <c r="Z732" s="93"/>
      <c r="AA732" s="93"/>
      <c r="AB732" s="93"/>
      <c r="AC732" s="93"/>
      <c r="AD732" s="93"/>
      <c r="AE732" s="93"/>
      <c r="AF732" s="93"/>
      <c r="AG732" s="93"/>
      <c r="AH732" s="93"/>
      <c r="AI732" s="93"/>
      <c r="AJ732" s="93"/>
      <c r="AK732" s="93"/>
      <c r="AL732" s="93"/>
      <c r="AM732" s="93"/>
      <c r="AN732" s="93"/>
      <c r="AO732" s="93"/>
      <c r="AP732" s="93"/>
      <c r="AQ732" s="93"/>
      <c r="AR732" s="93"/>
      <c r="AS732" s="93"/>
      <c r="AT732" s="93"/>
      <c r="AU732" s="93"/>
      <c r="AV732" s="93"/>
      <c r="AW732" s="93"/>
      <c r="AX732" s="93"/>
      <c r="AY732" s="93"/>
      <c r="AZ732" s="93"/>
      <c r="BA732" s="93"/>
      <c r="BB732" s="93"/>
      <c r="BC732" s="93"/>
      <c r="BD732" s="93"/>
      <c r="BE732" s="93"/>
      <c r="BF732" s="93"/>
      <c r="BG732" s="93"/>
      <c r="BH732" s="93"/>
      <c r="BI732" s="93"/>
      <c r="BJ732" s="93"/>
      <c r="BK732" s="93"/>
      <c r="BL732" s="93"/>
      <c r="BM732" s="93"/>
      <c r="BN732" s="93"/>
      <c r="BO732" s="93"/>
      <c r="BP732" s="93"/>
      <c r="BQ732" s="93"/>
      <c r="BR732" s="93"/>
      <c r="BS732" s="93"/>
      <c r="BT732" s="93"/>
      <c r="BU732" s="93"/>
      <c r="BV732" s="93"/>
      <c r="BW732" s="93"/>
      <c r="BX732" s="93"/>
      <c r="BY732" s="93"/>
      <c r="BZ732" s="93"/>
    </row>
    <row r="733">
      <c r="B733" t="s">
        <v>3015</v>
      </c>
      <c r="C733" s="89" t="s">
        <v>3016</v>
      </c>
      <c r="D733" s="90" t="s">
        <v>3017</v>
      </c>
      <c r="E733" s="91">
        <v>2019.0</v>
      </c>
      <c r="F733" s="104">
        <v>1.0</v>
      </c>
      <c r="G733" s="93"/>
      <c r="H733" s="93"/>
      <c r="I733" s="93"/>
      <c r="J733" s="93"/>
      <c r="K733" s="93"/>
      <c r="L733" s="93"/>
      <c r="M733" s="93"/>
      <c r="N733" s="93"/>
      <c r="O733" s="93"/>
      <c r="P733" s="93"/>
      <c r="Q733" s="93"/>
      <c r="R733" s="93"/>
      <c r="S733" s="93"/>
      <c r="T733" s="93"/>
      <c r="U733" s="93"/>
      <c r="V733" s="93"/>
      <c r="W733" s="93"/>
      <c r="X733" s="93"/>
      <c r="Y733" s="93"/>
      <c r="Z733" s="93"/>
      <c r="AA733" s="93"/>
      <c r="AB733" s="93"/>
      <c r="AC733" s="93"/>
      <c r="AD733" s="93"/>
      <c r="AE733" s="93"/>
      <c r="AF733" s="93"/>
      <c r="AG733" s="93"/>
      <c r="AH733" s="93"/>
      <c r="AI733" s="93"/>
      <c r="AJ733" s="93"/>
      <c r="AK733" s="93"/>
      <c r="AL733" s="93"/>
      <c r="AM733" s="93"/>
      <c r="AN733" s="93"/>
      <c r="AO733" s="93"/>
      <c r="AP733" s="93"/>
      <c r="AQ733" s="93"/>
      <c r="AR733" s="93"/>
      <c r="AS733" s="93"/>
      <c r="AT733" s="93"/>
      <c r="AU733" s="93"/>
      <c r="AV733" s="93"/>
      <c r="AW733" s="93"/>
      <c r="AX733" s="93"/>
      <c r="AY733" s="93"/>
      <c r="AZ733" s="93"/>
      <c r="BA733" s="93"/>
      <c r="BB733" s="93"/>
      <c r="BC733" s="93"/>
      <c r="BD733" s="93"/>
      <c r="BE733" s="93"/>
      <c r="BF733" s="93"/>
      <c r="BG733" s="93"/>
      <c r="BH733" s="93"/>
      <c r="BI733" s="93"/>
      <c r="BJ733" s="93"/>
      <c r="BK733" s="93"/>
      <c r="BL733" s="93"/>
      <c r="BM733" s="93"/>
      <c r="BN733" s="93"/>
      <c r="BO733" s="93"/>
      <c r="BP733" s="93"/>
      <c r="BQ733" s="93"/>
      <c r="BR733" s="93"/>
      <c r="BS733" s="93"/>
      <c r="BT733" s="93"/>
      <c r="BU733" s="93"/>
      <c r="BV733" s="93"/>
      <c r="BW733" s="93"/>
      <c r="BX733" s="93"/>
      <c r="BY733" s="93"/>
      <c r="BZ733" s="93"/>
    </row>
    <row r="734">
      <c r="B734" t="s">
        <v>3018</v>
      </c>
      <c r="C734" s="89" t="s">
        <v>3019</v>
      </c>
      <c r="D734" s="90" t="s">
        <v>2874</v>
      </c>
      <c r="E734" s="91">
        <v>2017.0</v>
      </c>
      <c r="F734" s="104">
        <v>1.0</v>
      </c>
      <c r="G734" s="93"/>
      <c r="H734" s="93"/>
      <c r="I734" s="93"/>
      <c r="J734" s="93"/>
      <c r="K734" s="93"/>
      <c r="L734" s="93"/>
      <c r="M734" s="93"/>
      <c r="N734" s="93"/>
      <c r="O734" s="93"/>
      <c r="P734" s="93"/>
      <c r="Q734" s="93"/>
      <c r="R734" s="93"/>
      <c r="S734" s="93"/>
      <c r="T734" s="93"/>
      <c r="U734" s="93"/>
      <c r="V734" s="93"/>
      <c r="W734" s="93"/>
      <c r="X734" s="93"/>
      <c r="Y734" s="93"/>
      <c r="Z734" s="93"/>
      <c r="AA734" s="93"/>
      <c r="AB734" s="93"/>
      <c r="AC734" s="93"/>
      <c r="AD734" s="93"/>
      <c r="AE734" s="93"/>
      <c r="AF734" s="93"/>
      <c r="AG734" s="93"/>
      <c r="AH734" s="93"/>
      <c r="AI734" s="93"/>
      <c r="AJ734" s="93"/>
      <c r="AK734" s="93"/>
      <c r="AL734" s="93"/>
      <c r="AM734" s="93"/>
      <c r="AN734" s="93"/>
      <c r="AO734" s="93"/>
      <c r="AP734" s="93"/>
      <c r="AQ734" s="93"/>
      <c r="AR734" s="93"/>
      <c r="AS734" s="93"/>
      <c r="AT734" s="93"/>
      <c r="AU734" s="93"/>
      <c r="AV734" s="93"/>
      <c r="AW734" s="93"/>
      <c r="AX734" s="93"/>
      <c r="AY734" s="93"/>
      <c r="AZ734" s="93"/>
      <c r="BA734" s="93"/>
      <c r="BB734" s="93"/>
      <c r="BC734" s="93"/>
      <c r="BD734" s="93"/>
      <c r="BE734" s="93"/>
      <c r="BF734" s="93"/>
      <c r="BG734" s="93"/>
      <c r="BH734" s="93"/>
      <c r="BI734" s="93"/>
      <c r="BJ734" s="93"/>
      <c r="BK734" s="93"/>
      <c r="BL734" s="93"/>
      <c r="BM734" s="93"/>
      <c r="BN734" s="93"/>
      <c r="BO734" s="93"/>
      <c r="BP734" s="93"/>
      <c r="BQ734" s="93"/>
      <c r="BR734" s="93"/>
      <c r="BS734" s="93"/>
      <c r="BT734" s="93"/>
      <c r="BU734" s="93"/>
      <c r="BV734" s="93"/>
      <c r="BW734" s="93"/>
      <c r="BX734" s="93"/>
      <c r="BY734" s="93"/>
      <c r="BZ734" s="93"/>
    </row>
    <row r="735">
      <c r="B735" t="s">
        <v>3020</v>
      </c>
      <c r="C735" s="89" t="s">
        <v>3021</v>
      </c>
      <c r="D735" s="90" t="s">
        <v>3022</v>
      </c>
      <c r="E735" s="91">
        <v>2018.0</v>
      </c>
      <c r="F735" s="104">
        <v>1.0</v>
      </c>
      <c r="G735" s="93"/>
      <c r="H735" s="93"/>
      <c r="I735" s="93"/>
      <c r="J735" s="93"/>
      <c r="K735" s="93"/>
      <c r="L735" s="93"/>
      <c r="M735" s="93"/>
      <c r="N735" s="93"/>
      <c r="O735" s="93"/>
      <c r="P735" s="93"/>
      <c r="Q735" s="93"/>
      <c r="R735" s="93"/>
      <c r="S735" s="93"/>
      <c r="T735" s="93"/>
      <c r="U735" s="93"/>
      <c r="V735" s="93"/>
      <c r="W735" s="93"/>
      <c r="X735" s="93"/>
      <c r="Y735" s="93"/>
      <c r="Z735" s="93"/>
      <c r="AA735" s="93"/>
      <c r="AB735" s="93"/>
      <c r="AC735" s="93"/>
      <c r="AD735" s="93"/>
      <c r="AE735" s="93"/>
      <c r="AF735" s="93"/>
      <c r="AG735" s="93"/>
      <c r="AH735" s="93"/>
      <c r="AI735" s="93"/>
      <c r="AJ735" s="93"/>
      <c r="AK735" s="93"/>
      <c r="AL735" s="93"/>
      <c r="AM735" s="93"/>
      <c r="AN735" s="93"/>
      <c r="AO735" s="93"/>
      <c r="AP735" s="93"/>
      <c r="AQ735" s="93"/>
      <c r="AR735" s="93"/>
      <c r="AS735" s="93"/>
      <c r="AT735" s="93"/>
      <c r="AU735" s="93"/>
      <c r="AV735" s="93"/>
      <c r="AW735" s="93"/>
      <c r="AX735" s="93"/>
      <c r="AY735" s="93"/>
      <c r="AZ735" s="93"/>
      <c r="BA735" s="93"/>
      <c r="BB735" s="93"/>
      <c r="BC735" s="93"/>
      <c r="BD735" s="93"/>
      <c r="BE735" s="93"/>
      <c r="BF735" s="93"/>
      <c r="BG735" s="93"/>
      <c r="BH735" s="93"/>
      <c r="BI735" s="93"/>
      <c r="BJ735" s="93"/>
      <c r="BK735" s="93"/>
      <c r="BL735" s="93"/>
      <c r="BM735" s="93"/>
      <c r="BN735" s="93"/>
      <c r="BO735" s="93"/>
      <c r="BP735" s="93"/>
      <c r="BQ735" s="93"/>
      <c r="BR735" s="93"/>
      <c r="BS735" s="93"/>
      <c r="BT735" s="93"/>
      <c r="BU735" s="93"/>
      <c r="BV735" s="93"/>
      <c r="BW735" s="93"/>
      <c r="BX735" s="93"/>
      <c r="BY735" s="93"/>
      <c r="BZ735" s="93"/>
    </row>
    <row r="736">
      <c r="B736" t="s">
        <v>3023</v>
      </c>
      <c r="C736" s="89" t="s">
        <v>3024</v>
      </c>
      <c r="D736" s="90" t="s">
        <v>1357</v>
      </c>
      <c r="E736" s="91">
        <v>2018.0</v>
      </c>
      <c r="F736" s="104">
        <v>1.0</v>
      </c>
      <c r="G736" s="93"/>
      <c r="H736" s="93"/>
      <c r="I736" s="93"/>
      <c r="J736" s="93"/>
      <c r="K736" s="93"/>
      <c r="L736" s="93"/>
      <c r="M736" s="93"/>
      <c r="N736" s="93"/>
      <c r="O736" s="93"/>
      <c r="P736" s="93"/>
      <c r="Q736" s="93"/>
      <c r="R736" s="93"/>
      <c r="S736" s="93"/>
      <c r="T736" s="93"/>
      <c r="U736" s="93"/>
      <c r="V736" s="93"/>
      <c r="W736" s="93"/>
      <c r="X736" s="93"/>
      <c r="Y736" s="93"/>
      <c r="Z736" s="93"/>
      <c r="AA736" s="93"/>
      <c r="AB736" s="93"/>
      <c r="AC736" s="93"/>
      <c r="AD736" s="93"/>
      <c r="AE736" s="93"/>
      <c r="AF736" s="93"/>
      <c r="AG736" s="93"/>
      <c r="AH736" s="93"/>
      <c r="AI736" s="93"/>
      <c r="AJ736" s="93"/>
      <c r="AK736" s="93"/>
      <c r="AL736" s="93"/>
      <c r="AM736" s="93"/>
      <c r="AN736" s="93"/>
      <c r="AO736" s="93"/>
      <c r="AP736" s="93"/>
      <c r="AQ736" s="93"/>
      <c r="AR736" s="93"/>
      <c r="AS736" s="93"/>
      <c r="AT736" s="93"/>
      <c r="AU736" s="93"/>
      <c r="AV736" s="93"/>
      <c r="AW736" s="93"/>
      <c r="AX736" s="93"/>
      <c r="AY736" s="93"/>
      <c r="AZ736" s="93"/>
      <c r="BA736" s="93"/>
      <c r="BB736" s="93"/>
      <c r="BC736" s="93"/>
      <c r="BD736" s="93"/>
      <c r="BE736" s="93"/>
      <c r="BF736" s="93"/>
      <c r="BG736" s="93"/>
      <c r="BH736" s="93"/>
      <c r="BI736" s="93"/>
      <c r="BJ736" s="93"/>
      <c r="BK736" s="93"/>
      <c r="BL736" s="93"/>
      <c r="BM736" s="93"/>
      <c r="BN736" s="93"/>
      <c r="BO736" s="93"/>
      <c r="BP736" s="93"/>
      <c r="BQ736" s="93"/>
      <c r="BR736" s="93"/>
      <c r="BS736" s="93"/>
      <c r="BT736" s="93"/>
      <c r="BU736" s="93"/>
      <c r="BV736" s="93"/>
      <c r="BW736" s="93"/>
      <c r="BX736" s="93"/>
      <c r="BY736" s="93"/>
      <c r="BZ736" s="93"/>
    </row>
    <row r="737">
      <c r="A737" t="s">
        <v>1354</v>
      </c>
      <c r="B737" t="s">
        <v>3025</v>
      </c>
      <c r="C737" s="89" t="s">
        <v>3026</v>
      </c>
      <c r="D737" s="90" t="s">
        <v>3011</v>
      </c>
      <c r="E737" s="91">
        <v>2015.0</v>
      </c>
      <c r="F737" s="103">
        <v>1.0</v>
      </c>
      <c r="G737" s="93"/>
      <c r="H737" s="93"/>
      <c r="I737" s="93"/>
      <c r="J737" s="93"/>
      <c r="K737" s="90" t="s">
        <v>748</v>
      </c>
      <c r="L737" s="93"/>
      <c r="M737" s="93"/>
      <c r="N737" s="93"/>
      <c r="O737" s="93"/>
      <c r="P737" s="93"/>
      <c r="Q737" s="93"/>
      <c r="R737" s="93"/>
      <c r="S737" s="93"/>
      <c r="T737" s="93"/>
      <c r="U737" s="93"/>
      <c r="V737" s="93"/>
      <c r="W737" s="90" t="s">
        <v>748</v>
      </c>
      <c r="X737" s="93"/>
      <c r="Y737" s="93"/>
      <c r="Z737" s="93"/>
      <c r="AA737" s="93"/>
      <c r="AB737" s="103">
        <v>1.0</v>
      </c>
      <c r="AC737" s="93"/>
      <c r="AD737" s="93"/>
      <c r="AE737" s="93"/>
      <c r="AF737" s="93"/>
      <c r="AG737" s="93"/>
      <c r="AH737" s="93"/>
      <c r="AI737" s="93"/>
      <c r="AJ737" s="93"/>
      <c r="AK737" s="93"/>
      <c r="AL737" s="93"/>
      <c r="AM737" s="93"/>
      <c r="AN737" s="93"/>
      <c r="AO737" s="93"/>
      <c r="AP737" s="93"/>
      <c r="AQ737" s="93"/>
      <c r="AR737" s="93"/>
      <c r="AS737" s="93"/>
      <c r="AT737" s="93"/>
      <c r="AU737" s="93"/>
      <c r="AV737" s="93"/>
      <c r="AW737" s="93"/>
      <c r="AX737" s="93"/>
      <c r="AY737" s="93"/>
      <c r="AZ737" s="93"/>
      <c r="BA737" s="93"/>
      <c r="BB737" s="93"/>
      <c r="BC737" s="93"/>
      <c r="BD737" s="93"/>
      <c r="BE737" s="93"/>
      <c r="BF737" s="93"/>
      <c r="BG737" s="93"/>
      <c r="BH737" s="93"/>
      <c r="BI737" s="93"/>
      <c r="BJ737" s="93"/>
      <c r="BK737" s="93"/>
      <c r="BL737" s="93"/>
      <c r="BM737" s="93"/>
      <c r="BN737" s="93"/>
      <c r="BO737" s="93"/>
      <c r="BP737" s="93"/>
      <c r="BQ737" s="93"/>
      <c r="BR737" s="93"/>
      <c r="BS737" s="93"/>
      <c r="BT737" s="93"/>
      <c r="BU737" s="93"/>
      <c r="BV737" s="93"/>
      <c r="BW737" s="93"/>
      <c r="BX737" s="93"/>
      <c r="BY737" s="93"/>
      <c r="BZ737" s="93"/>
    </row>
    <row r="738">
      <c r="B738" t="s">
        <v>3027</v>
      </c>
      <c r="C738" s="89" t="s">
        <v>3028</v>
      </c>
      <c r="D738" s="90" t="s">
        <v>1919</v>
      </c>
      <c r="E738" s="91">
        <v>2016.0</v>
      </c>
      <c r="F738" s="104">
        <v>1.0</v>
      </c>
      <c r="G738" s="93"/>
      <c r="H738" s="93"/>
      <c r="I738" s="93"/>
      <c r="J738" s="93"/>
      <c r="K738" s="93"/>
      <c r="L738" s="93"/>
      <c r="M738" s="93"/>
      <c r="N738" s="93"/>
      <c r="O738" s="93"/>
      <c r="P738" s="93"/>
      <c r="Q738" s="93"/>
      <c r="R738" s="93"/>
      <c r="S738" s="93"/>
      <c r="T738" s="93"/>
      <c r="U738" s="93"/>
      <c r="V738" s="93"/>
      <c r="W738" s="93"/>
      <c r="X738" s="93"/>
      <c r="Y738" s="93"/>
      <c r="Z738" s="93"/>
      <c r="AA738" s="93"/>
      <c r="AB738" s="93"/>
      <c r="AC738" s="93"/>
      <c r="AD738" s="93"/>
      <c r="AE738" s="93"/>
      <c r="AF738" s="93"/>
      <c r="AG738" s="93"/>
      <c r="AH738" s="93"/>
      <c r="AI738" s="93"/>
      <c r="AJ738" s="93"/>
      <c r="AK738" s="93"/>
      <c r="AL738" s="93"/>
      <c r="AM738" s="93"/>
      <c r="AN738" s="93"/>
      <c r="AO738" s="93"/>
      <c r="AP738" s="93"/>
      <c r="AQ738" s="93"/>
      <c r="AR738" s="93"/>
      <c r="AS738" s="93"/>
      <c r="AT738" s="93"/>
      <c r="AU738" s="93"/>
      <c r="AV738" s="93"/>
      <c r="AW738" s="93"/>
      <c r="AX738" s="93"/>
      <c r="AY738" s="93"/>
      <c r="AZ738" s="93"/>
      <c r="BA738" s="93"/>
      <c r="BB738" s="93"/>
      <c r="BC738" s="93"/>
      <c r="BD738" s="93"/>
      <c r="BE738" s="93"/>
      <c r="BF738" s="93"/>
      <c r="BG738" s="93"/>
      <c r="BH738" s="93"/>
      <c r="BI738" s="93"/>
      <c r="BJ738" s="93"/>
      <c r="BK738" s="93"/>
      <c r="BL738" s="93"/>
      <c r="BM738" s="93"/>
      <c r="BN738" s="93"/>
      <c r="BO738" s="93"/>
      <c r="BP738" s="93"/>
      <c r="BQ738" s="93"/>
      <c r="BR738" s="93"/>
      <c r="BS738" s="93"/>
      <c r="BT738" s="93"/>
      <c r="BU738" s="93"/>
      <c r="BV738" s="93"/>
      <c r="BW738" s="93"/>
      <c r="BX738" s="93"/>
      <c r="BY738" s="93"/>
      <c r="BZ738" s="93"/>
    </row>
    <row r="739">
      <c r="A739" t="s">
        <v>116</v>
      </c>
      <c r="B739" t="s">
        <v>3029</v>
      </c>
      <c r="C739" s="89" t="s">
        <v>3030</v>
      </c>
      <c r="D739" s="90" t="s">
        <v>3031</v>
      </c>
      <c r="E739" s="91">
        <v>2019.0</v>
      </c>
      <c r="F739" s="104">
        <v>1.0</v>
      </c>
      <c r="G739" s="93"/>
      <c r="H739" s="93"/>
      <c r="I739" s="93"/>
      <c r="J739" s="93"/>
      <c r="K739" s="93"/>
      <c r="L739" s="93"/>
      <c r="M739" s="93"/>
      <c r="N739" s="93"/>
      <c r="O739" s="93"/>
      <c r="P739" s="93"/>
      <c r="Q739" s="93"/>
      <c r="R739" s="93"/>
      <c r="S739" s="93"/>
      <c r="T739" s="93"/>
      <c r="U739" s="93"/>
      <c r="V739" s="93"/>
      <c r="W739" s="93"/>
      <c r="X739" s="93"/>
      <c r="Y739" s="93"/>
      <c r="Z739" s="93"/>
      <c r="AA739" s="93"/>
      <c r="AB739" s="93"/>
      <c r="AC739" s="93"/>
      <c r="AD739" s="93"/>
      <c r="AE739" s="93"/>
      <c r="AF739" s="93"/>
      <c r="AG739" s="93"/>
      <c r="AH739" s="93"/>
      <c r="AI739" s="93"/>
      <c r="AJ739" s="93"/>
      <c r="AK739" s="93"/>
      <c r="AL739" s="93"/>
      <c r="AM739" s="93"/>
      <c r="AN739" s="93"/>
      <c r="AO739" s="93"/>
      <c r="AP739" s="93"/>
      <c r="AQ739" s="93"/>
      <c r="AR739" s="93"/>
      <c r="AS739" s="93"/>
      <c r="AT739" s="93"/>
      <c r="AU739" s="93"/>
      <c r="AV739" s="93"/>
      <c r="AW739" s="93"/>
      <c r="AX739" s="93"/>
      <c r="AY739" s="93"/>
      <c r="AZ739" s="93"/>
      <c r="BA739" s="93"/>
      <c r="BB739" s="93"/>
      <c r="BC739" s="93"/>
      <c r="BD739" s="93"/>
      <c r="BE739" s="93"/>
      <c r="BF739" s="93"/>
      <c r="BG739" s="93"/>
      <c r="BH739" s="93"/>
      <c r="BI739" s="93"/>
      <c r="BJ739" s="93"/>
      <c r="BK739" s="93"/>
      <c r="BL739" s="93"/>
      <c r="BM739" s="93"/>
      <c r="BN739" s="93"/>
      <c r="BO739" s="93"/>
      <c r="BP739" s="93"/>
      <c r="BQ739" s="93"/>
      <c r="BR739" s="93"/>
      <c r="BS739" s="93"/>
      <c r="BT739" s="93"/>
      <c r="BU739" s="93"/>
      <c r="BV739" s="93"/>
      <c r="BW739" s="93"/>
      <c r="BX739" s="93"/>
      <c r="BY739" s="93"/>
      <c r="BZ739" s="93"/>
    </row>
    <row r="740">
      <c r="B740" t="s">
        <v>3032</v>
      </c>
      <c r="C740" s="89" t="s">
        <v>3033</v>
      </c>
      <c r="D740" s="90" t="s">
        <v>3034</v>
      </c>
      <c r="E740" s="91">
        <v>2019.0</v>
      </c>
      <c r="F740" s="104">
        <v>1.0</v>
      </c>
      <c r="G740" s="93"/>
      <c r="H740" s="93"/>
      <c r="I740" s="93"/>
      <c r="J740" s="93"/>
      <c r="K740" s="93"/>
      <c r="L740" s="93"/>
      <c r="M740" s="93"/>
      <c r="N740" s="93"/>
      <c r="O740" s="93"/>
      <c r="P740" s="93"/>
      <c r="Q740" s="93"/>
      <c r="R740" s="93"/>
      <c r="S740" s="93"/>
      <c r="T740" s="93"/>
      <c r="U740" s="93"/>
      <c r="V740" s="93"/>
      <c r="W740" s="93"/>
      <c r="X740" s="93"/>
      <c r="Y740" s="93"/>
      <c r="Z740" s="93"/>
      <c r="AA740" s="93"/>
      <c r="AB740" s="93"/>
      <c r="AC740" s="93"/>
      <c r="AD740" s="93"/>
      <c r="AE740" s="93"/>
      <c r="AF740" s="93"/>
      <c r="AG740" s="93"/>
      <c r="AH740" s="93"/>
      <c r="AI740" s="93"/>
      <c r="AJ740" s="93"/>
      <c r="AK740" s="93"/>
      <c r="AL740" s="93"/>
      <c r="AM740" s="93"/>
      <c r="AN740" s="93"/>
      <c r="AO740" s="93"/>
      <c r="AP740" s="93"/>
      <c r="AQ740" s="93"/>
      <c r="AR740" s="93"/>
      <c r="AS740" s="93"/>
      <c r="AT740" s="93"/>
      <c r="AU740" s="93"/>
      <c r="AV740" s="93"/>
      <c r="AW740" s="93"/>
      <c r="AX740" s="93"/>
      <c r="AY740" s="93"/>
      <c r="AZ740" s="93"/>
      <c r="BA740" s="93"/>
      <c r="BB740" s="93"/>
      <c r="BC740" s="93"/>
      <c r="BD740" s="93"/>
      <c r="BE740" s="93"/>
      <c r="BF740" s="93"/>
      <c r="BG740" s="93"/>
      <c r="BH740" s="93"/>
      <c r="BI740" s="93"/>
      <c r="BJ740" s="93"/>
      <c r="BK740" s="93"/>
      <c r="BL740" s="93"/>
      <c r="BM740" s="93"/>
      <c r="BN740" s="93"/>
      <c r="BO740" s="93"/>
      <c r="BP740" s="93"/>
      <c r="BQ740" s="93"/>
      <c r="BR740" s="93"/>
      <c r="BS740" s="93"/>
      <c r="BT740" s="93"/>
      <c r="BU740" s="93"/>
      <c r="BV740" s="93"/>
      <c r="BW740" s="93"/>
      <c r="BX740" s="93"/>
      <c r="BY740" s="93"/>
      <c r="BZ740" s="93"/>
    </row>
    <row r="741">
      <c r="A741" t="s">
        <v>1331</v>
      </c>
      <c r="B741" t="s">
        <v>3035</v>
      </c>
      <c r="C741" s="89" t="s">
        <v>3036</v>
      </c>
      <c r="D741" s="90" t="s">
        <v>3037</v>
      </c>
      <c r="E741" s="91">
        <v>2018.0</v>
      </c>
      <c r="F741" s="104">
        <v>1.0</v>
      </c>
      <c r="G741" s="93"/>
      <c r="H741" s="93"/>
      <c r="I741" s="93"/>
      <c r="J741" s="93"/>
      <c r="K741" s="93"/>
      <c r="L741" s="93"/>
      <c r="M741" s="93"/>
      <c r="N741" s="93"/>
      <c r="O741" s="93"/>
      <c r="P741" s="93"/>
      <c r="Q741" s="93"/>
      <c r="R741" s="93"/>
      <c r="S741" s="93"/>
      <c r="T741" s="93"/>
      <c r="U741" s="93"/>
      <c r="V741" s="93"/>
      <c r="W741" s="93"/>
      <c r="X741" s="93"/>
      <c r="Y741" s="93"/>
      <c r="Z741" s="93"/>
      <c r="AA741" s="93"/>
      <c r="AB741" s="93"/>
      <c r="AC741" s="93"/>
      <c r="AD741" s="93"/>
      <c r="AE741" s="93"/>
      <c r="AF741" s="93"/>
      <c r="AG741" s="93"/>
      <c r="AH741" s="93"/>
      <c r="AI741" s="93"/>
      <c r="AJ741" s="93"/>
      <c r="AK741" s="93"/>
      <c r="AL741" s="93"/>
      <c r="AM741" s="93"/>
      <c r="AN741" s="93"/>
      <c r="AO741" s="93"/>
      <c r="AP741" s="93"/>
      <c r="AQ741" s="93"/>
      <c r="AR741" s="93"/>
      <c r="AS741" s="93"/>
      <c r="AT741" s="93"/>
      <c r="AU741" s="93"/>
      <c r="AV741" s="93"/>
      <c r="AW741" s="93"/>
      <c r="AX741" s="93"/>
      <c r="AY741" s="93"/>
      <c r="AZ741" s="93"/>
      <c r="BA741" s="93"/>
      <c r="BB741" s="93"/>
      <c r="BC741" s="93"/>
      <c r="BD741" s="93"/>
      <c r="BE741" s="93"/>
      <c r="BF741" s="93"/>
      <c r="BG741" s="93"/>
      <c r="BH741" s="93"/>
      <c r="BI741" s="93"/>
      <c r="BJ741" s="93"/>
      <c r="BK741" s="93"/>
      <c r="BL741" s="93"/>
      <c r="BM741" s="93"/>
      <c r="BN741" s="93"/>
      <c r="BO741" s="93"/>
      <c r="BP741" s="93"/>
      <c r="BQ741" s="93"/>
      <c r="BR741" s="93"/>
      <c r="BS741" s="93"/>
      <c r="BT741" s="93"/>
      <c r="BU741" s="93"/>
      <c r="BV741" s="93"/>
      <c r="BW741" s="93"/>
      <c r="BX741" s="93"/>
      <c r="BY741" s="93"/>
      <c r="BZ741" s="93"/>
    </row>
    <row r="742">
      <c r="B742" t="s">
        <v>3038</v>
      </c>
      <c r="C742" s="89" t="s">
        <v>3039</v>
      </c>
      <c r="D742" s="90" t="s">
        <v>3040</v>
      </c>
      <c r="E742" s="91">
        <v>2017.0</v>
      </c>
      <c r="F742" s="104">
        <v>1.0</v>
      </c>
      <c r="G742" s="93"/>
      <c r="H742" s="93"/>
      <c r="I742" s="93"/>
      <c r="J742" s="93"/>
      <c r="K742" s="93"/>
      <c r="L742" s="93"/>
      <c r="M742" s="93"/>
      <c r="N742" s="93"/>
      <c r="O742" s="93"/>
      <c r="P742" s="93"/>
      <c r="Q742" s="93"/>
      <c r="R742" s="93"/>
      <c r="S742" s="93"/>
      <c r="T742" s="93"/>
      <c r="U742" s="93"/>
      <c r="V742" s="93"/>
      <c r="W742" s="93"/>
      <c r="X742" s="93"/>
      <c r="Y742" s="93"/>
      <c r="Z742" s="93"/>
      <c r="AA742" s="93"/>
      <c r="AB742" s="93"/>
      <c r="AC742" s="93"/>
      <c r="AD742" s="93"/>
      <c r="AE742" s="93"/>
      <c r="AF742" s="93"/>
      <c r="AG742" s="93"/>
      <c r="AH742" s="93"/>
      <c r="AI742" s="93"/>
      <c r="AJ742" s="93"/>
      <c r="AK742" s="93"/>
      <c r="AL742" s="93"/>
      <c r="AM742" s="93"/>
      <c r="AN742" s="93"/>
      <c r="AO742" s="93"/>
      <c r="AP742" s="93"/>
      <c r="AQ742" s="93"/>
      <c r="AR742" s="93"/>
      <c r="AS742" s="93"/>
      <c r="AT742" s="93"/>
      <c r="AU742" s="93"/>
      <c r="AV742" s="93"/>
      <c r="AW742" s="93"/>
      <c r="AX742" s="93"/>
      <c r="AY742" s="93"/>
      <c r="AZ742" s="93"/>
      <c r="BA742" s="93"/>
      <c r="BB742" s="93"/>
      <c r="BC742" s="93"/>
      <c r="BD742" s="93"/>
      <c r="BE742" s="93"/>
      <c r="BF742" s="93"/>
      <c r="BG742" s="93"/>
      <c r="BH742" s="93"/>
      <c r="BI742" s="93"/>
      <c r="BJ742" s="93"/>
      <c r="BK742" s="93"/>
      <c r="BL742" s="93"/>
      <c r="BM742" s="93"/>
      <c r="BN742" s="93"/>
      <c r="BO742" s="93"/>
      <c r="BP742" s="93"/>
      <c r="BQ742" s="93"/>
      <c r="BR742" s="93"/>
      <c r="BS742" s="93"/>
      <c r="BT742" s="93"/>
      <c r="BU742" s="93"/>
      <c r="BV742" s="93"/>
      <c r="BW742" s="93"/>
      <c r="BX742" s="93"/>
      <c r="BY742" s="93"/>
      <c r="BZ742" s="93"/>
    </row>
    <row r="743">
      <c r="B743" t="s">
        <v>3041</v>
      </c>
      <c r="C743" s="89" t="s">
        <v>3042</v>
      </c>
      <c r="D743" s="90" t="s">
        <v>3043</v>
      </c>
      <c r="E743" s="91">
        <v>2018.0</v>
      </c>
      <c r="F743" s="104">
        <v>1.0</v>
      </c>
      <c r="G743" s="93"/>
      <c r="H743" s="93"/>
      <c r="I743" s="93"/>
      <c r="J743" s="93"/>
      <c r="K743" s="93"/>
      <c r="L743" s="93"/>
      <c r="M743" s="93"/>
      <c r="N743" s="93"/>
      <c r="O743" s="93"/>
      <c r="P743" s="93"/>
      <c r="Q743" s="93"/>
      <c r="R743" s="93"/>
      <c r="S743" s="93"/>
      <c r="T743" s="93"/>
      <c r="U743" s="93"/>
      <c r="V743" s="93"/>
      <c r="W743" s="93"/>
      <c r="X743" s="93"/>
      <c r="Y743" s="93"/>
      <c r="Z743" s="93"/>
      <c r="AA743" s="93"/>
      <c r="AB743" s="93"/>
      <c r="AC743" s="93"/>
      <c r="AD743" s="93"/>
      <c r="AE743" s="93"/>
      <c r="AF743" s="93"/>
      <c r="AG743" s="93"/>
      <c r="AH743" s="93"/>
      <c r="AI743" s="93"/>
      <c r="AJ743" s="93"/>
      <c r="AK743" s="93"/>
      <c r="AL743" s="93"/>
      <c r="AM743" s="93"/>
      <c r="AN743" s="93"/>
      <c r="AO743" s="93"/>
      <c r="AP743" s="93"/>
      <c r="AQ743" s="93"/>
      <c r="AR743" s="93"/>
      <c r="AS743" s="93"/>
      <c r="AT743" s="93"/>
      <c r="AU743" s="93"/>
      <c r="AV743" s="93"/>
      <c r="AW743" s="93"/>
      <c r="AX743" s="93"/>
      <c r="AY743" s="93"/>
      <c r="AZ743" s="93"/>
      <c r="BA743" s="93"/>
      <c r="BB743" s="93"/>
      <c r="BC743" s="93"/>
      <c r="BD743" s="93"/>
      <c r="BE743" s="93"/>
      <c r="BF743" s="93"/>
      <c r="BG743" s="93"/>
      <c r="BH743" s="93"/>
      <c r="BI743" s="93"/>
      <c r="BJ743" s="93"/>
      <c r="BK743" s="93"/>
      <c r="BL743" s="93"/>
      <c r="BM743" s="93"/>
      <c r="BN743" s="93"/>
      <c r="BO743" s="93"/>
      <c r="BP743" s="93"/>
      <c r="BQ743" s="93"/>
      <c r="BR743" s="93"/>
      <c r="BS743" s="93"/>
      <c r="BT743" s="93"/>
      <c r="BU743" s="93"/>
      <c r="BV743" s="93"/>
      <c r="BW743" s="93"/>
      <c r="BX743" s="93"/>
      <c r="BY743" s="93"/>
      <c r="BZ743" s="93"/>
    </row>
    <row r="744">
      <c r="B744" t="s">
        <v>3044</v>
      </c>
      <c r="C744" s="89" t="s">
        <v>3045</v>
      </c>
      <c r="D744" s="90" t="s">
        <v>2909</v>
      </c>
      <c r="E744" s="91">
        <v>2019.0</v>
      </c>
      <c r="F744" s="104">
        <v>1.0</v>
      </c>
      <c r="G744" s="93"/>
      <c r="H744" s="93"/>
      <c r="I744" s="93"/>
      <c r="J744" s="93"/>
      <c r="K744" s="93"/>
      <c r="L744" s="93"/>
      <c r="M744" s="93"/>
      <c r="N744" s="93"/>
      <c r="O744" s="93"/>
      <c r="P744" s="93"/>
      <c r="Q744" s="93"/>
      <c r="R744" s="93"/>
      <c r="S744" s="93"/>
      <c r="T744" s="93"/>
      <c r="U744" s="93"/>
      <c r="V744" s="93"/>
      <c r="W744" s="93"/>
      <c r="X744" s="93"/>
      <c r="Y744" s="93"/>
      <c r="Z744" s="93"/>
      <c r="AA744" s="93"/>
      <c r="AB744" s="93"/>
      <c r="AC744" s="93"/>
      <c r="AD744" s="93"/>
      <c r="AE744" s="93"/>
      <c r="AF744" s="93"/>
      <c r="AG744" s="93"/>
      <c r="AH744" s="93"/>
      <c r="AI744" s="93"/>
      <c r="AJ744" s="93"/>
      <c r="AK744" s="93"/>
      <c r="AL744" s="93"/>
      <c r="AM744" s="93"/>
      <c r="AN744" s="93"/>
      <c r="AO744" s="93"/>
      <c r="AP744" s="93"/>
      <c r="AQ744" s="93"/>
      <c r="AR744" s="93"/>
      <c r="AS744" s="93"/>
      <c r="AT744" s="93"/>
      <c r="AU744" s="93"/>
      <c r="AV744" s="93"/>
      <c r="AW744" s="93"/>
      <c r="AX744" s="93"/>
      <c r="AY744" s="93"/>
      <c r="AZ744" s="93"/>
      <c r="BA744" s="93"/>
      <c r="BB744" s="93"/>
      <c r="BC744" s="93"/>
      <c r="BD744" s="93"/>
      <c r="BE744" s="93"/>
      <c r="BF744" s="93"/>
      <c r="BG744" s="93"/>
      <c r="BH744" s="93"/>
      <c r="BI744" s="93"/>
      <c r="BJ744" s="93"/>
      <c r="BK744" s="93"/>
      <c r="BL744" s="93"/>
      <c r="BM744" s="93"/>
      <c r="BN744" s="93"/>
      <c r="BO744" s="93"/>
      <c r="BP744" s="93"/>
      <c r="BQ744" s="93"/>
      <c r="BR744" s="93"/>
      <c r="BS744" s="93"/>
      <c r="BT744" s="93"/>
      <c r="BU744" s="93"/>
      <c r="BV744" s="93"/>
      <c r="BW744" s="93"/>
      <c r="BX744" s="93"/>
      <c r="BY744" s="93"/>
      <c r="BZ744" s="93"/>
    </row>
    <row r="745">
      <c r="B745" t="s">
        <v>3046</v>
      </c>
      <c r="C745" s="89" t="s">
        <v>3047</v>
      </c>
      <c r="D745" s="90" t="s">
        <v>3048</v>
      </c>
      <c r="E745" s="91">
        <v>2017.0</v>
      </c>
      <c r="F745" s="104">
        <v>1.0</v>
      </c>
      <c r="G745" s="93"/>
      <c r="H745" s="93"/>
      <c r="I745" s="93"/>
      <c r="J745" s="93"/>
      <c r="K745" s="93"/>
      <c r="L745" s="93"/>
      <c r="M745" s="93"/>
      <c r="N745" s="93"/>
      <c r="O745" s="93"/>
      <c r="P745" s="93"/>
      <c r="Q745" s="93"/>
      <c r="R745" s="93"/>
      <c r="S745" s="93"/>
      <c r="T745" s="93"/>
      <c r="U745" s="93"/>
      <c r="V745" s="93"/>
      <c r="W745" s="93"/>
      <c r="X745" s="93"/>
      <c r="Y745" s="93"/>
      <c r="Z745" s="93"/>
      <c r="AA745" s="93"/>
      <c r="AB745" s="93"/>
      <c r="AC745" s="93"/>
      <c r="AD745" s="93"/>
      <c r="AE745" s="93"/>
      <c r="AF745" s="93"/>
      <c r="AG745" s="93"/>
      <c r="AH745" s="93"/>
      <c r="AI745" s="93"/>
      <c r="AJ745" s="93"/>
      <c r="AK745" s="93"/>
      <c r="AL745" s="93"/>
      <c r="AM745" s="93"/>
      <c r="AN745" s="93"/>
      <c r="AO745" s="93"/>
      <c r="AP745" s="93"/>
      <c r="AQ745" s="93"/>
      <c r="AR745" s="93"/>
      <c r="AS745" s="93"/>
      <c r="AT745" s="93"/>
      <c r="AU745" s="93"/>
      <c r="AV745" s="93"/>
      <c r="AW745" s="93"/>
      <c r="AX745" s="93"/>
      <c r="AY745" s="93"/>
      <c r="AZ745" s="93"/>
      <c r="BA745" s="93"/>
      <c r="BB745" s="93"/>
      <c r="BC745" s="93"/>
      <c r="BD745" s="93"/>
      <c r="BE745" s="93"/>
      <c r="BF745" s="93"/>
      <c r="BG745" s="93"/>
      <c r="BH745" s="93"/>
      <c r="BI745" s="93"/>
      <c r="BJ745" s="93"/>
      <c r="BK745" s="93"/>
      <c r="BL745" s="93"/>
      <c r="BM745" s="93"/>
      <c r="BN745" s="93"/>
      <c r="BO745" s="93"/>
      <c r="BP745" s="93"/>
      <c r="BQ745" s="93"/>
      <c r="BR745" s="93"/>
      <c r="BS745" s="93"/>
      <c r="BT745" s="93"/>
      <c r="BU745" s="93"/>
      <c r="BV745" s="93"/>
      <c r="BW745" s="93"/>
      <c r="BX745" s="93"/>
      <c r="BY745" s="93"/>
      <c r="BZ745" s="93"/>
    </row>
    <row r="746">
      <c r="B746" t="s">
        <v>3049</v>
      </c>
      <c r="C746" s="89" t="s">
        <v>3050</v>
      </c>
      <c r="D746" s="90" t="s">
        <v>3051</v>
      </c>
      <c r="E746" s="91">
        <v>2016.0</v>
      </c>
      <c r="F746" s="104">
        <v>1.0</v>
      </c>
      <c r="G746" s="93"/>
      <c r="H746" s="93"/>
      <c r="I746" s="93"/>
      <c r="J746" s="93"/>
      <c r="K746" s="93"/>
      <c r="L746" s="93"/>
      <c r="M746" s="93"/>
      <c r="N746" s="93"/>
      <c r="O746" s="93"/>
      <c r="P746" s="93"/>
      <c r="Q746" s="93"/>
      <c r="R746" s="93"/>
      <c r="S746" s="93"/>
      <c r="T746" s="93"/>
      <c r="U746" s="93"/>
      <c r="V746" s="93"/>
      <c r="W746" s="93"/>
      <c r="X746" s="93"/>
      <c r="Y746" s="93"/>
      <c r="Z746" s="93"/>
      <c r="AA746" s="93"/>
      <c r="AB746" s="93"/>
      <c r="AC746" s="93"/>
      <c r="AD746" s="93"/>
      <c r="AE746" s="93"/>
      <c r="AF746" s="93"/>
      <c r="AG746" s="93"/>
      <c r="AH746" s="93"/>
      <c r="AI746" s="93"/>
      <c r="AJ746" s="93"/>
      <c r="AK746" s="93"/>
      <c r="AL746" s="93"/>
      <c r="AM746" s="93"/>
      <c r="AN746" s="93"/>
      <c r="AO746" s="93"/>
      <c r="AP746" s="93"/>
      <c r="AQ746" s="93"/>
      <c r="AR746" s="93"/>
      <c r="AS746" s="93"/>
      <c r="AT746" s="93"/>
      <c r="AU746" s="93"/>
      <c r="AV746" s="93"/>
      <c r="AW746" s="93"/>
      <c r="AX746" s="93"/>
      <c r="AY746" s="93"/>
      <c r="AZ746" s="93"/>
      <c r="BA746" s="93"/>
      <c r="BB746" s="93"/>
      <c r="BC746" s="93"/>
      <c r="BD746" s="93"/>
      <c r="BE746" s="93"/>
      <c r="BF746" s="93"/>
      <c r="BG746" s="93"/>
      <c r="BH746" s="93"/>
      <c r="BI746" s="93"/>
      <c r="BJ746" s="93"/>
      <c r="BK746" s="93"/>
      <c r="BL746" s="93"/>
      <c r="BM746" s="93"/>
      <c r="BN746" s="93"/>
      <c r="BO746" s="93"/>
      <c r="BP746" s="93"/>
      <c r="BQ746" s="93"/>
      <c r="BR746" s="93"/>
      <c r="BS746" s="93"/>
      <c r="BT746" s="93"/>
      <c r="BU746" s="93"/>
      <c r="BV746" s="93"/>
      <c r="BW746" s="93"/>
      <c r="BX746" s="93"/>
      <c r="BY746" s="93"/>
      <c r="BZ746" s="93"/>
    </row>
    <row r="747">
      <c r="A747" t="s">
        <v>1340</v>
      </c>
      <c r="B747" t="s">
        <v>3052</v>
      </c>
      <c r="C747" s="89" t="s">
        <v>3053</v>
      </c>
      <c r="D747" s="90" t="s">
        <v>1080</v>
      </c>
      <c r="E747" s="91">
        <v>2019.0</v>
      </c>
      <c r="F747" s="104">
        <v>1.0</v>
      </c>
      <c r="G747" s="93"/>
      <c r="H747" s="93"/>
      <c r="I747" s="93"/>
      <c r="J747" s="93"/>
      <c r="K747" s="93"/>
      <c r="L747" s="93"/>
      <c r="M747" s="93"/>
      <c r="N747" s="93"/>
      <c r="O747" s="93"/>
      <c r="P747" s="93"/>
      <c r="Q747" s="93"/>
      <c r="R747" s="93"/>
      <c r="S747" s="93"/>
      <c r="T747" s="93"/>
      <c r="U747" s="93"/>
      <c r="V747" s="93"/>
      <c r="W747" s="93"/>
      <c r="X747" s="93"/>
      <c r="Y747" s="93"/>
      <c r="Z747" s="93"/>
      <c r="AA747" s="93"/>
      <c r="AB747" s="93"/>
      <c r="AC747" s="93"/>
      <c r="AD747" s="93"/>
      <c r="AE747" s="93"/>
      <c r="AF747" s="93"/>
      <c r="AG747" s="93"/>
      <c r="AH747" s="93"/>
      <c r="AI747" s="93"/>
      <c r="AJ747" s="93"/>
      <c r="AK747" s="93"/>
      <c r="AL747" s="93"/>
      <c r="AM747" s="93"/>
      <c r="AN747" s="93"/>
      <c r="AO747" s="93"/>
      <c r="AP747" s="93"/>
      <c r="AQ747" s="93"/>
      <c r="AR747" s="93"/>
      <c r="AS747" s="93"/>
      <c r="AT747" s="93"/>
      <c r="AU747" s="93"/>
      <c r="AV747" s="93"/>
      <c r="AW747" s="93"/>
      <c r="AX747" s="93"/>
      <c r="AY747" s="93"/>
      <c r="AZ747" s="93"/>
      <c r="BA747" s="93"/>
      <c r="BB747" s="93"/>
      <c r="BC747" s="93"/>
      <c r="BD747" s="93"/>
      <c r="BE747" s="93"/>
      <c r="BF747" s="93"/>
      <c r="BG747" s="93"/>
      <c r="BH747" s="93"/>
      <c r="BI747" s="93"/>
      <c r="BJ747" s="93"/>
      <c r="BK747" s="93"/>
      <c r="BL747" s="93"/>
      <c r="BM747" s="93"/>
      <c r="BN747" s="93"/>
      <c r="BO747" s="93"/>
      <c r="BP747" s="93"/>
      <c r="BQ747" s="93"/>
      <c r="BR747" s="93"/>
      <c r="BS747" s="93"/>
      <c r="BT747" s="93"/>
      <c r="BU747" s="93"/>
      <c r="BV747" s="93"/>
      <c r="BW747" s="93"/>
      <c r="BX747" s="93"/>
      <c r="BY747" s="93"/>
      <c r="BZ747" s="93"/>
    </row>
    <row r="748">
      <c r="B748" t="s">
        <v>3054</v>
      </c>
      <c r="C748" s="89" t="s">
        <v>3055</v>
      </c>
      <c r="D748" s="90" t="s">
        <v>3056</v>
      </c>
      <c r="E748" s="91">
        <v>2019.0</v>
      </c>
      <c r="F748" s="104">
        <v>1.0</v>
      </c>
      <c r="G748" s="93"/>
      <c r="H748" s="93"/>
      <c r="I748" s="93"/>
      <c r="J748" s="93"/>
      <c r="K748" s="93"/>
      <c r="L748" s="93"/>
      <c r="M748" s="93"/>
      <c r="N748" s="93"/>
      <c r="O748" s="93"/>
      <c r="P748" s="93"/>
      <c r="Q748" s="93"/>
      <c r="R748" s="93"/>
      <c r="S748" s="93"/>
      <c r="T748" s="93"/>
      <c r="U748" s="93"/>
      <c r="V748" s="93"/>
      <c r="W748" s="93"/>
      <c r="X748" s="93"/>
      <c r="Y748" s="93"/>
      <c r="Z748" s="93"/>
      <c r="AA748" s="93"/>
      <c r="AB748" s="93"/>
      <c r="AC748" s="93"/>
      <c r="AD748" s="93"/>
      <c r="AE748" s="93"/>
      <c r="AF748" s="93"/>
      <c r="AG748" s="93"/>
      <c r="AH748" s="93"/>
      <c r="AI748" s="93"/>
      <c r="AJ748" s="93"/>
      <c r="AK748" s="93"/>
      <c r="AL748" s="93"/>
      <c r="AM748" s="93"/>
      <c r="AN748" s="93"/>
      <c r="AO748" s="93"/>
      <c r="AP748" s="93"/>
      <c r="AQ748" s="93"/>
      <c r="AR748" s="93"/>
      <c r="AS748" s="93"/>
      <c r="AT748" s="93"/>
      <c r="AU748" s="93"/>
      <c r="AV748" s="93"/>
      <c r="AW748" s="93"/>
      <c r="AX748" s="93"/>
      <c r="AY748" s="93"/>
      <c r="AZ748" s="93"/>
      <c r="BA748" s="93"/>
      <c r="BB748" s="93"/>
      <c r="BC748" s="93"/>
      <c r="BD748" s="93"/>
      <c r="BE748" s="93"/>
      <c r="BF748" s="93"/>
      <c r="BG748" s="93"/>
      <c r="BH748" s="93"/>
      <c r="BI748" s="93"/>
      <c r="BJ748" s="93"/>
      <c r="BK748" s="93"/>
      <c r="BL748" s="93"/>
      <c r="BM748" s="93"/>
      <c r="BN748" s="93"/>
      <c r="BO748" s="93"/>
      <c r="BP748" s="93"/>
      <c r="BQ748" s="93"/>
      <c r="BR748" s="93"/>
      <c r="BS748" s="93"/>
      <c r="BT748" s="93"/>
      <c r="BU748" s="93"/>
      <c r="BV748" s="93"/>
      <c r="BW748" s="93"/>
      <c r="BX748" s="93"/>
      <c r="BY748" s="93"/>
      <c r="BZ748" s="93"/>
    </row>
    <row r="749">
      <c r="B749" t="s">
        <v>3057</v>
      </c>
      <c r="C749" s="89" t="s">
        <v>3058</v>
      </c>
      <c r="D749" s="90" t="s">
        <v>3059</v>
      </c>
      <c r="E749" s="91">
        <v>2016.0</v>
      </c>
      <c r="F749" s="104">
        <v>1.0</v>
      </c>
      <c r="G749" s="93"/>
      <c r="H749" s="93"/>
      <c r="I749" s="93"/>
      <c r="J749" s="93"/>
      <c r="K749" s="93"/>
      <c r="L749" s="93"/>
      <c r="M749" s="93"/>
      <c r="N749" s="93"/>
      <c r="O749" s="93"/>
      <c r="P749" s="93"/>
      <c r="Q749" s="93"/>
      <c r="R749" s="93"/>
      <c r="S749" s="93"/>
      <c r="T749" s="93"/>
      <c r="U749" s="93"/>
      <c r="V749" s="93"/>
      <c r="W749" s="93"/>
      <c r="X749" s="93"/>
      <c r="Y749" s="93"/>
      <c r="Z749" s="93"/>
      <c r="AA749" s="93"/>
      <c r="AB749" s="93"/>
      <c r="AC749" s="93"/>
      <c r="AD749" s="93"/>
      <c r="AE749" s="93"/>
      <c r="AF749" s="93"/>
      <c r="AG749" s="93"/>
      <c r="AH749" s="93"/>
      <c r="AI749" s="93"/>
      <c r="AJ749" s="93"/>
      <c r="AK749" s="93"/>
      <c r="AL749" s="93"/>
      <c r="AM749" s="93"/>
      <c r="AN749" s="93"/>
      <c r="AO749" s="93"/>
      <c r="AP749" s="93"/>
      <c r="AQ749" s="93"/>
      <c r="AR749" s="93"/>
      <c r="AS749" s="93"/>
      <c r="AT749" s="93"/>
      <c r="AU749" s="93"/>
      <c r="AV749" s="93"/>
      <c r="AW749" s="93"/>
      <c r="AX749" s="93"/>
      <c r="AY749" s="93"/>
      <c r="AZ749" s="93"/>
      <c r="BA749" s="93"/>
      <c r="BB749" s="93"/>
      <c r="BC749" s="93"/>
      <c r="BD749" s="93"/>
      <c r="BE749" s="93"/>
      <c r="BF749" s="93"/>
      <c r="BG749" s="93"/>
      <c r="BH749" s="93"/>
      <c r="BI749" s="93"/>
      <c r="BJ749" s="93"/>
      <c r="BK749" s="93"/>
      <c r="BL749" s="93"/>
      <c r="BM749" s="93"/>
      <c r="BN749" s="93"/>
      <c r="BO749" s="93"/>
      <c r="BP749" s="93"/>
      <c r="BQ749" s="93"/>
      <c r="BR749" s="93"/>
      <c r="BS749" s="93"/>
      <c r="BT749" s="93"/>
      <c r="BU749" s="93"/>
      <c r="BV749" s="93"/>
      <c r="BW749" s="93"/>
      <c r="BX749" s="93"/>
      <c r="BY749" s="93"/>
      <c r="BZ749" s="93"/>
    </row>
    <row r="750">
      <c r="B750" t="s">
        <v>3060</v>
      </c>
      <c r="C750" s="89" t="s">
        <v>3061</v>
      </c>
      <c r="D750" s="90" t="s">
        <v>3062</v>
      </c>
      <c r="E750" s="91">
        <v>2020.0</v>
      </c>
      <c r="F750" s="104">
        <v>1.0</v>
      </c>
      <c r="G750" s="93"/>
      <c r="H750" s="93"/>
      <c r="I750" s="93"/>
      <c r="J750" s="93"/>
      <c r="K750" s="93"/>
      <c r="L750" s="93"/>
      <c r="M750" s="93"/>
      <c r="N750" s="93"/>
      <c r="O750" s="93"/>
      <c r="P750" s="93"/>
      <c r="Q750" s="93"/>
      <c r="R750" s="93"/>
      <c r="S750" s="93"/>
      <c r="T750" s="93"/>
      <c r="U750" s="93"/>
      <c r="V750" s="93"/>
      <c r="W750" s="93"/>
      <c r="X750" s="93"/>
      <c r="Y750" s="93"/>
      <c r="Z750" s="93"/>
      <c r="AA750" s="93"/>
      <c r="AB750" s="93"/>
      <c r="AC750" s="93"/>
      <c r="AD750" s="93"/>
      <c r="AE750" s="93"/>
      <c r="AF750" s="93"/>
      <c r="AG750" s="93"/>
      <c r="AH750" s="93"/>
      <c r="AI750" s="93"/>
      <c r="AJ750" s="93"/>
      <c r="AK750" s="93"/>
      <c r="AL750" s="93"/>
      <c r="AM750" s="93"/>
      <c r="AN750" s="93"/>
      <c r="AO750" s="93"/>
      <c r="AP750" s="93"/>
      <c r="AQ750" s="93"/>
      <c r="AR750" s="93"/>
      <c r="AS750" s="93"/>
      <c r="AT750" s="93"/>
      <c r="AU750" s="93"/>
      <c r="AV750" s="93"/>
      <c r="AW750" s="93"/>
      <c r="AX750" s="93"/>
      <c r="AY750" s="93"/>
      <c r="AZ750" s="93"/>
      <c r="BA750" s="93"/>
      <c r="BB750" s="93"/>
      <c r="BC750" s="93"/>
      <c r="BD750" s="93"/>
      <c r="BE750" s="93"/>
      <c r="BF750" s="93"/>
      <c r="BG750" s="93"/>
      <c r="BH750" s="93"/>
      <c r="BI750" s="93"/>
      <c r="BJ750" s="93"/>
      <c r="BK750" s="93"/>
      <c r="BL750" s="93"/>
      <c r="BM750" s="93"/>
      <c r="BN750" s="93"/>
      <c r="BO750" s="93"/>
      <c r="BP750" s="93"/>
      <c r="BQ750" s="93"/>
      <c r="BR750" s="93"/>
      <c r="BS750" s="93"/>
      <c r="BT750" s="93"/>
      <c r="BU750" s="93"/>
      <c r="BV750" s="93"/>
      <c r="BW750" s="93"/>
      <c r="BX750" s="93"/>
      <c r="BY750" s="93"/>
      <c r="BZ750" s="93"/>
    </row>
    <row r="751">
      <c r="A751" t="s">
        <v>1354</v>
      </c>
      <c r="B751" t="s">
        <v>3063</v>
      </c>
      <c r="C751" s="89" t="s">
        <v>3064</v>
      </c>
      <c r="D751" s="90" t="s">
        <v>2909</v>
      </c>
      <c r="E751" s="91">
        <v>2020.0</v>
      </c>
      <c r="F751" s="104">
        <v>1.0</v>
      </c>
      <c r="G751" s="93"/>
      <c r="H751" s="93"/>
      <c r="I751" s="93"/>
      <c r="J751" s="93" t="s">
        <v>748</v>
      </c>
      <c r="K751" s="93"/>
      <c r="L751" s="93"/>
      <c r="M751" s="93"/>
      <c r="N751" s="93"/>
      <c r="O751" s="93"/>
      <c r="P751" s="93"/>
      <c r="Q751" s="93"/>
      <c r="R751" s="93"/>
      <c r="S751" s="93"/>
      <c r="T751" s="93"/>
      <c r="U751" s="93"/>
      <c r="V751" s="93"/>
      <c r="W751" s="93"/>
      <c r="X751" s="93"/>
      <c r="Y751" s="93"/>
      <c r="Z751" s="93"/>
      <c r="AA751" s="93"/>
      <c r="AB751" s="93"/>
      <c r="AC751" s="93"/>
      <c r="AD751" s="93"/>
      <c r="AE751" s="93"/>
      <c r="AF751" s="93"/>
      <c r="AG751" s="93"/>
      <c r="AH751" s="93"/>
      <c r="AI751" s="93"/>
      <c r="AJ751" s="93"/>
      <c r="AK751" s="93"/>
      <c r="AL751" s="93"/>
      <c r="AM751" s="93"/>
      <c r="AN751" s="93"/>
      <c r="AO751" s="93"/>
      <c r="AP751" s="93"/>
      <c r="AQ751" s="93"/>
      <c r="AR751" s="93"/>
      <c r="AS751" s="93"/>
      <c r="AT751" s="93"/>
      <c r="AU751" s="93"/>
      <c r="AV751" s="93"/>
      <c r="AW751" s="93"/>
      <c r="AX751" s="93"/>
      <c r="AY751" s="93"/>
      <c r="AZ751" s="93"/>
      <c r="BA751" s="93"/>
      <c r="BB751" s="93"/>
      <c r="BC751" s="93"/>
      <c r="BD751" s="93"/>
      <c r="BE751" s="93"/>
      <c r="BF751" s="93"/>
      <c r="BG751" s="93"/>
      <c r="BH751" s="93"/>
      <c r="BI751" s="93"/>
      <c r="BJ751" s="93"/>
      <c r="BK751" s="93"/>
      <c r="BL751" s="93"/>
      <c r="BM751" s="93"/>
      <c r="BN751" s="93"/>
      <c r="BO751" s="93"/>
      <c r="BP751" s="93"/>
      <c r="BQ751" s="93"/>
      <c r="BR751" s="93"/>
      <c r="BS751" s="93"/>
      <c r="BT751" s="93"/>
      <c r="BU751" s="93"/>
      <c r="BV751" s="93"/>
      <c r="BW751" s="93"/>
      <c r="BX751" s="93"/>
      <c r="BY751" s="93"/>
      <c r="BZ751" s="93"/>
    </row>
    <row r="752">
      <c r="B752" t="s">
        <v>3065</v>
      </c>
      <c r="C752" s="89" t="s">
        <v>3066</v>
      </c>
      <c r="D752" s="90" t="s">
        <v>1080</v>
      </c>
      <c r="E752" s="91">
        <v>2019.0</v>
      </c>
      <c r="F752" s="104">
        <v>1.0</v>
      </c>
      <c r="G752" s="93"/>
      <c r="H752" s="93"/>
      <c r="I752" s="93"/>
      <c r="J752" s="93"/>
      <c r="K752" s="93"/>
      <c r="L752" s="93"/>
      <c r="M752" s="93"/>
      <c r="N752" s="93"/>
      <c r="O752" s="93"/>
      <c r="P752" s="93"/>
      <c r="Q752" s="93"/>
      <c r="R752" s="93"/>
      <c r="S752" s="93"/>
      <c r="T752" s="93"/>
      <c r="U752" s="93"/>
      <c r="V752" s="93"/>
      <c r="W752" s="93"/>
      <c r="X752" s="93"/>
      <c r="Y752" s="93"/>
      <c r="Z752" s="93"/>
      <c r="AA752" s="93"/>
      <c r="AB752" s="93"/>
      <c r="AC752" s="93"/>
      <c r="AD752" s="93"/>
      <c r="AE752" s="93"/>
      <c r="AF752" s="93"/>
      <c r="AG752" s="93"/>
      <c r="AH752" s="93"/>
      <c r="AI752" s="93"/>
      <c r="AJ752" s="93"/>
      <c r="AK752" s="93"/>
      <c r="AL752" s="93"/>
      <c r="AM752" s="93"/>
      <c r="AN752" s="93"/>
      <c r="AO752" s="93"/>
      <c r="AP752" s="93"/>
      <c r="AQ752" s="93"/>
      <c r="AR752" s="93"/>
      <c r="AS752" s="93"/>
      <c r="AT752" s="93"/>
      <c r="AU752" s="93"/>
      <c r="AV752" s="93"/>
      <c r="AW752" s="93"/>
      <c r="AX752" s="93"/>
      <c r="AY752" s="93"/>
      <c r="AZ752" s="93"/>
      <c r="BA752" s="93"/>
      <c r="BB752" s="93"/>
      <c r="BC752" s="93"/>
      <c r="BD752" s="93"/>
      <c r="BE752" s="93"/>
      <c r="BF752" s="93"/>
      <c r="BG752" s="93"/>
      <c r="BH752" s="93"/>
      <c r="BI752" s="93"/>
      <c r="BJ752" s="93"/>
      <c r="BK752" s="93"/>
      <c r="BL752" s="93"/>
      <c r="BM752" s="93"/>
      <c r="BN752" s="93"/>
      <c r="BO752" s="93"/>
      <c r="BP752" s="93"/>
      <c r="BQ752" s="93"/>
      <c r="BR752" s="93"/>
      <c r="BS752" s="93"/>
      <c r="BT752" s="93"/>
      <c r="BU752" s="93"/>
      <c r="BV752" s="93"/>
      <c r="BW752" s="93"/>
      <c r="BX752" s="93"/>
      <c r="BY752" s="93"/>
      <c r="BZ752" s="93"/>
    </row>
    <row r="753">
      <c r="B753" t="s">
        <v>3067</v>
      </c>
      <c r="C753" s="89" t="s">
        <v>3068</v>
      </c>
      <c r="D753" s="90" t="s">
        <v>3069</v>
      </c>
      <c r="E753" s="91">
        <v>2015.0</v>
      </c>
      <c r="F753" s="104">
        <v>1.0</v>
      </c>
      <c r="G753" s="93"/>
      <c r="H753" s="93"/>
      <c r="I753" s="93"/>
      <c r="J753" s="93"/>
      <c r="K753" s="93"/>
      <c r="L753" s="93"/>
      <c r="M753" s="93"/>
      <c r="N753" s="93"/>
      <c r="O753" s="93"/>
      <c r="P753" s="93"/>
      <c r="Q753" s="93"/>
      <c r="R753" s="93"/>
      <c r="S753" s="93"/>
      <c r="T753" s="93"/>
      <c r="U753" s="93"/>
      <c r="V753" s="93"/>
      <c r="W753" s="93"/>
      <c r="X753" s="93"/>
      <c r="Y753" s="93"/>
      <c r="Z753" s="93"/>
      <c r="AA753" s="93"/>
      <c r="AB753" s="93"/>
      <c r="AC753" s="93"/>
      <c r="AD753" s="93"/>
      <c r="AE753" s="93"/>
      <c r="AF753" s="93"/>
      <c r="AG753" s="93"/>
      <c r="AH753" s="93"/>
      <c r="AI753" s="93"/>
      <c r="AJ753" s="93"/>
      <c r="AK753" s="93"/>
      <c r="AL753" s="93"/>
      <c r="AM753" s="93"/>
      <c r="AN753" s="93"/>
      <c r="AO753" s="93"/>
      <c r="AP753" s="93"/>
      <c r="AQ753" s="93"/>
      <c r="AR753" s="93"/>
      <c r="AS753" s="93"/>
      <c r="AT753" s="93"/>
      <c r="AU753" s="93"/>
      <c r="AV753" s="93"/>
      <c r="AW753" s="93"/>
      <c r="AX753" s="93"/>
      <c r="AY753" s="93"/>
      <c r="AZ753" s="93"/>
      <c r="BA753" s="93"/>
      <c r="BB753" s="93"/>
      <c r="BC753" s="93"/>
      <c r="BD753" s="93"/>
      <c r="BE753" s="93"/>
      <c r="BF753" s="93"/>
      <c r="BG753" s="93"/>
      <c r="BH753" s="93"/>
      <c r="BI753" s="93"/>
      <c r="BJ753" s="93"/>
      <c r="BK753" s="93"/>
      <c r="BL753" s="93"/>
      <c r="BM753" s="93"/>
      <c r="BN753" s="93"/>
      <c r="BO753" s="93"/>
      <c r="BP753" s="93"/>
      <c r="BQ753" s="93"/>
      <c r="BR753" s="93"/>
      <c r="BS753" s="93"/>
      <c r="BT753" s="93"/>
      <c r="BU753" s="93"/>
      <c r="BV753" s="93"/>
      <c r="BW753" s="93"/>
      <c r="BX753" s="93"/>
      <c r="BY753" s="93"/>
      <c r="BZ753" s="93"/>
    </row>
    <row r="754">
      <c r="B754" t="s">
        <v>3070</v>
      </c>
      <c r="C754" s="89" t="s">
        <v>3071</v>
      </c>
      <c r="D754" s="90" t="s">
        <v>2960</v>
      </c>
      <c r="E754" s="91">
        <v>2019.0</v>
      </c>
      <c r="F754" s="104">
        <v>1.0</v>
      </c>
      <c r="G754" s="93"/>
      <c r="H754" s="93"/>
      <c r="I754" s="93"/>
      <c r="J754" s="93"/>
      <c r="K754" s="93"/>
      <c r="L754" s="93"/>
      <c r="M754" s="93"/>
      <c r="N754" s="93"/>
      <c r="O754" s="93"/>
      <c r="P754" s="93"/>
      <c r="Q754" s="93"/>
      <c r="R754" s="93"/>
      <c r="S754" s="93"/>
      <c r="T754" s="93"/>
      <c r="U754" s="93"/>
      <c r="V754" s="93"/>
      <c r="W754" s="93"/>
      <c r="X754" s="93"/>
      <c r="Y754" s="93"/>
      <c r="Z754" s="93"/>
      <c r="AA754" s="93"/>
      <c r="AB754" s="93"/>
      <c r="AC754" s="93"/>
      <c r="AD754" s="93"/>
      <c r="AE754" s="93"/>
      <c r="AF754" s="93"/>
      <c r="AG754" s="93"/>
      <c r="AH754" s="93"/>
      <c r="AI754" s="93"/>
      <c r="AJ754" s="93"/>
      <c r="AK754" s="93"/>
      <c r="AL754" s="93"/>
      <c r="AM754" s="93"/>
      <c r="AN754" s="93"/>
      <c r="AO754" s="93"/>
      <c r="AP754" s="93"/>
      <c r="AQ754" s="93"/>
      <c r="AR754" s="93"/>
      <c r="AS754" s="93"/>
      <c r="AT754" s="93"/>
      <c r="AU754" s="93"/>
      <c r="AV754" s="93"/>
      <c r="AW754" s="93"/>
      <c r="AX754" s="93"/>
      <c r="AY754" s="93"/>
      <c r="AZ754" s="93"/>
      <c r="BA754" s="93"/>
      <c r="BB754" s="93"/>
      <c r="BC754" s="93"/>
      <c r="BD754" s="93"/>
      <c r="BE754" s="93"/>
      <c r="BF754" s="93"/>
      <c r="BG754" s="93"/>
      <c r="BH754" s="93"/>
      <c r="BI754" s="93"/>
      <c r="BJ754" s="93"/>
      <c r="BK754" s="93"/>
      <c r="BL754" s="93"/>
      <c r="BM754" s="93"/>
      <c r="BN754" s="93"/>
      <c r="BO754" s="93"/>
      <c r="BP754" s="93"/>
      <c r="BQ754" s="93"/>
      <c r="BR754" s="93"/>
      <c r="BS754" s="93"/>
      <c r="BT754" s="93"/>
      <c r="BU754" s="93"/>
      <c r="BV754" s="93"/>
      <c r="BW754" s="93"/>
      <c r="BX754" s="93"/>
      <c r="BY754" s="93"/>
      <c r="BZ754" s="93"/>
    </row>
    <row r="755">
      <c r="B755" t="s">
        <v>3072</v>
      </c>
      <c r="C755" s="89" t="s">
        <v>3073</v>
      </c>
      <c r="D755" s="90" t="s">
        <v>3074</v>
      </c>
      <c r="E755" s="91">
        <v>2017.0</v>
      </c>
      <c r="F755" s="104">
        <v>1.0</v>
      </c>
      <c r="G755" s="93"/>
      <c r="H755" s="93"/>
      <c r="I755" s="93"/>
      <c r="J755" s="93"/>
      <c r="K755" s="93"/>
      <c r="L755" s="93"/>
      <c r="M755" s="93"/>
      <c r="N755" s="93"/>
      <c r="O755" s="93"/>
      <c r="P755" s="93"/>
      <c r="Q755" s="93"/>
      <c r="R755" s="93"/>
      <c r="S755" s="93"/>
      <c r="T755" s="93"/>
      <c r="U755" s="93"/>
      <c r="V755" s="93"/>
      <c r="W755" s="93"/>
      <c r="X755" s="93"/>
      <c r="Y755" s="93"/>
      <c r="Z755" s="93"/>
      <c r="AA755" s="93"/>
      <c r="AB755" s="93"/>
      <c r="AC755" s="93"/>
      <c r="AD755" s="93"/>
      <c r="AE755" s="93"/>
      <c r="AF755" s="93"/>
      <c r="AG755" s="93"/>
      <c r="AH755" s="93"/>
      <c r="AI755" s="93"/>
      <c r="AJ755" s="93"/>
      <c r="AK755" s="93"/>
      <c r="AL755" s="93"/>
      <c r="AM755" s="93"/>
      <c r="AN755" s="93"/>
      <c r="AO755" s="93"/>
      <c r="AP755" s="93"/>
      <c r="AQ755" s="93"/>
      <c r="AR755" s="93"/>
      <c r="AS755" s="93"/>
      <c r="AT755" s="93"/>
      <c r="AU755" s="93"/>
      <c r="AV755" s="93"/>
      <c r="AW755" s="93"/>
      <c r="AX755" s="93"/>
      <c r="AY755" s="93"/>
      <c r="AZ755" s="93"/>
      <c r="BA755" s="93"/>
      <c r="BB755" s="93"/>
      <c r="BC755" s="93"/>
      <c r="BD755" s="93"/>
      <c r="BE755" s="93"/>
      <c r="BF755" s="93"/>
      <c r="BG755" s="93"/>
      <c r="BH755" s="93"/>
      <c r="BI755" s="93"/>
      <c r="BJ755" s="93"/>
      <c r="BK755" s="93"/>
      <c r="BL755" s="93"/>
      <c r="BM755" s="93"/>
      <c r="BN755" s="93"/>
      <c r="BO755" s="93"/>
      <c r="BP755" s="93"/>
      <c r="BQ755" s="93"/>
      <c r="BR755" s="93"/>
      <c r="BS755" s="93"/>
      <c r="BT755" s="93"/>
      <c r="BU755" s="93"/>
      <c r="BV755" s="93"/>
      <c r="BW755" s="93"/>
      <c r="BX755" s="93"/>
      <c r="BY755" s="93"/>
      <c r="BZ755" s="93"/>
    </row>
    <row r="756">
      <c r="B756" t="s">
        <v>3075</v>
      </c>
      <c r="C756" s="89" t="s">
        <v>3076</v>
      </c>
      <c r="D756" s="90" t="s">
        <v>3077</v>
      </c>
      <c r="E756" s="91">
        <v>2018.0</v>
      </c>
      <c r="F756" s="104">
        <v>1.0</v>
      </c>
      <c r="G756" s="93"/>
      <c r="H756" s="93"/>
      <c r="I756" s="93"/>
      <c r="J756" s="93"/>
      <c r="K756" s="93"/>
      <c r="L756" s="93"/>
      <c r="M756" s="93"/>
      <c r="N756" s="93"/>
      <c r="O756" s="93"/>
      <c r="P756" s="93"/>
      <c r="Q756" s="93"/>
      <c r="R756" s="93"/>
      <c r="S756" s="93"/>
      <c r="T756" s="93"/>
      <c r="U756" s="93"/>
      <c r="V756" s="93"/>
      <c r="W756" s="93"/>
      <c r="X756" s="93"/>
      <c r="Y756" s="93"/>
      <c r="Z756" s="93"/>
      <c r="AA756" s="93"/>
      <c r="AB756" s="93"/>
      <c r="AC756" s="93"/>
      <c r="AD756" s="93"/>
      <c r="AE756" s="93"/>
      <c r="AF756" s="93"/>
      <c r="AG756" s="93"/>
      <c r="AH756" s="93"/>
      <c r="AI756" s="93"/>
      <c r="AJ756" s="93"/>
      <c r="AK756" s="93"/>
      <c r="AL756" s="93"/>
      <c r="AM756" s="93"/>
      <c r="AN756" s="93"/>
      <c r="AO756" s="93"/>
      <c r="AP756" s="93"/>
      <c r="AQ756" s="93"/>
      <c r="AR756" s="93"/>
      <c r="AS756" s="93"/>
      <c r="AT756" s="93"/>
      <c r="AU756" s="93"/>
      <c r="AV756" s="93"/>
      <c r="AW756" s="93"/>
      <c r="AX756" s="93"/>
      <c r="AY756" s="93"/>
      <c r="AZ756" s="93"/>
      <c r="BA756" s="93"/>
      <c r="BB756" s="93"/>
      <c r="BC756" s="93"/>
      <c r="BD756" s="93"/>
      <c r="BE756" s="93"/>
      <c r="BF756" s="93"/>
      <c r="BG756" s="93"/>
      <c r="BH756" s="93"/>
      <c r="BI756" s="93"/>
      <c r="BJ756" s="93"/>
      <c r="BK756" s="93"/>
      <c r="BL756" s="93"/>
      <c r="BM756" s="93"/>
      <c r="BN756" s="93"/>
      <c r="BO756" s="93"/>
      <c r="BP756" s="93"/>
      <c r="BQ756" s="93"/>
      <c r="BR756" s="93"/>
      <c r="BS756" s="93"/>
      <c r="BT756" s="93"/>
      <c r="BU756" s="93"/>
      <c r="BV756" s="93"/>
      <c r="BW756" s="93"/>
      <c r="BX756" s="93"/>
      <c r="BY756" s="93"/>
      <c r="BZ756" s="93"/>
    </row>
    <row r="757">
      <c r="B757" t="s">
        <v>3078</v>
      </c>
      <c r="C757" s="89" t="s">
        <v>3079</v>
      </c>
      <c r="D757" s="90" t="s">
        <v>3080</v>
      </c>
      <c r="E757" s="91">
        <v>2019.0</v>
      </c>
      <c r="F757" s="104">
        <v>1.0</v>
      </c>
      <c r="G757" s="93"/>
      <c r="H757" s="93"/>
      <c r="I757" s="93"/>
      <c r="J757" s="93"/>
      <c r="K757" s="93"/>
      <c r="L757" s="93"/>
      <c r="M757" s="93"/>
      <c r="N757" s="93"/>
      <c r="O757" s="93"/>
      <c r="P757" s="93"/>
      <c r="Q757" s="93"/>
      <c r="R757" s="93"/>
      <c r="S757" s="93"/>
      <c r="T757" s="93"/>
      <c r="U757" s="93"/>
      <c r="V757" s="93"/>
      <c r="W757" s="93"/>
      <c r="X757" s="93"/>
      <c r="Y757" s="93"/>
      <c r="Z757" s="93"/>
      <c r="AA757" s="93"/>
      <c r="AB757" s="93"/>
      <c r="AC757" s="93"/>
      <c r="AD757" s="93"/>
      <c r="AE757" s="93"/>
      <c r="AF757" s="93"/>
      <c r="AG757" s="93"/>
      <c r="AH757" s="93"/>
      <c r="AI757" s="93"/>
      <c r="AJ757" s="93"/>
      <c r="AK757" s="93"/>
      <c r="AL757" s="93"/>
      <c r="AM757" s="93"/>
      <c r="AN757" s="93"/>
      <c r="AO757" s="93"/>
      <c r="AP757" s="93"/>
      <c r="AQ757" s="93"/>
      <c r="AR757" s="93"/>
      <c r="AS757" s="93"/>
      <c r="AT757" s="93"/>
      <c r="AU757" s="93"/>
      <c r="AV757" s="93"/>
      <c r="AW757" s="93"/>
      <c r="AX757" s="93"/>
      <c r="AY757" s="93"/>
      <c r="AZ757" s="93"/>
      <c r="BA757" s="93"/>
      <c r="BB757" s="93"/>
      <c r="BC757" s="93"/>
      <c r="BD757" s="93"/>
      <c r="BE757" s="93"/>
      <c r="BF757" s="93"/>
      <c r="BG757" s="93"/>
      <c r="BH757" s="93"/>
      <c r="BI757" s="93"/>
      <c r="BJ757" s="93"/>
      <c r="BK757" s="93"/>
      <c r="BL757" s="93"/>
      <c r="BM757" s="93"/>
      <c r="BN757" s="93"/>
      <c r="BO757" s="93"/>
      <c r="BP757" s="93"/>
      <c r="BQ757" s="93"/>
      <c r="BR757" s="93"/>
      <c r="BS757" s="93"/>
      <c r="BT757" s="93"/>
      <c r="BU757" s="93"/>
      <c r="BV757" s="93"/>
      <c r="BW757" s="93"/>
      <c r="BX757" s="93"/>
      <c r="BY757" s="93"/>
      <c r="BZ757" s="93"/>
    </row>
    <row r="758">
      <c r="A758" t="s">
        <v>116</v>
      </c>
      <c r="B758" t="s">
        <v>3081</v>
      </c>
      <c r="C758" s="89" t="s">
        <v>3082</v>
      </c>
      <c r="D758" s="90" t="s">
        <v>3083</v>
      </c>
      <c r="E758" s="91">
        <v>2018.0</v>
      </c>
      <c r="F758" s="104">
        <v>1.0</v>
      </c>
      <c r="G758" s="93"/>
      <c r="H758" s="93"/>
      <c r="I758" s="93"/>
      <c r="J758" s="93"/>
      <c r="K758" s="93"/>
      <c r="L758" s="93"/>
      <c r="M758" s="93"/>
      <c r="N758" s="93"/>
      <c r="O758" s="93"/>
      <c r="P758" s="93"/>
      <c r="Q758" s="93"/>
      <c r="R758" s="93"/>
      <c r="S758" s="93"/>
      <c r="T758" s="93"/>
      <c r="U758" s="93"/>
      <c r="V758" s="93"/>
      <c r="W758" s="93"/>
      <c r="X758" s="93"/>
      <c r="Y758" s="93"/>
      <c r="Z758" s="93"/>
      <c r="AA758" s="93"/>
      <c r="AB758" s="93"/>
      <c r="AC758" s="93"/>
      <c r="AD758" s="93"/>
      <c r="AE758" s="93"/>
      <c r="AF758" s="93"/>
      <c r="AG758" s="93"/>
      <c r="AH758" s="93"/>
      <c r="AI758" s="93"/>
      <c r="AJ758" s="93"/>
      <c r="AK758" s="93"/>
      <c r="AL758" s="93"/>
      <c r="AM758" s="93"/>
      <c r="AN758" s="93"/>
      <c r="AO758" s="93"/>
      <c r="AP758" s="93"/>
      <c r="AQ758" s="93"/>
      <c r="AR758" s="93"/>
      <c r="AS758" s="93"/>
      <c r="AT758" s="93"/>
      <c r="AU758" s="93"/>
      <c r="AV758" s="93"/>
      <c r="AW758" s="93"/>
      <c r="AX758" s="93"/>
      <c r="AY758" s="93"/>
      <c r="AZ758" s="93"/>
      <c r="BA758" s="93"/>
      <c r="BB758" s="93"/>
      <c r="BC758" s="93"/>
      <c r="BD758" s="93"/>
      <c r="BE758" s="93"/>
      <c r="BF758" s="93"/>
      <c r="BG758" s="93"/>
      <c r="BH758" s="93"/>
      <c r="BI758" s="93"/>
      <c r="BJ758" s="93"/>
      <c r="BK758" s="93"/>
      <c r="BL758" s="93"/>
      <c r="BM758" s="93"/>
      <c r="BN758" s="93"/>
      <c r="BO758" s="93"/>
      <c r="BP758" s="93"/>
      <c r="BQ758" s="93"/>
      <c r="BR758" s="93"/>
      <c r="BS758" s="93"/>
      <c r="BT758" s="93"/>
      <c r="BU758" s="93"/>
      <c r="BV758" s="93"/>
      <c r="BW758" s="93"/>
      <c r="BX758" s="93"/>
      <c r="BY758" s="93"/>
      <c r="BZ758" s="93"/>
    </row>
    <row r="759">
      <c r="B759" t="s">
        <v>3084</v>
      </c>
      <c r="C759" s="89" t="s">
        <v>3085</v>
      </c>
      <c r="D759" s="90" t="s">
        <v>3086</v>
      </c>
      <c r="E759" s="91">
        <v>2017.0</v>
      </c>
      <c r="F759" s="104">
        <v>1.0</v>
      </c>
      <c r="G759" s="93"/>
      <c r="H759" s="93"/>
      <c r="I759" s="93"/>
      <c r="J759" s="93"/>
      <c r="K759" s="93"/>
      <c r="L759" s="93"/>
      <c r="M759" s="93"/>
      <c r="N759" s="93"/>
      <c r="O759" s="93"/>
      <c r="P759" s="93"/>
      <c r="Q759" s="93"/>
      <c r="R759" s="93"/>
      <c r="S759" s="93"/>
      <c r="T759" s="93"/>
      <c r="U759" s="93"/>
      <c r="V759" s="93"/>
      <c r="W759" s="93"/>
      <c r="X759" s="93"/>
      <c r="Y759" s="93"/>
      <c r="Z759" s="93"/>
      <c r="AA759" s="93"/>
      <c r="AB759" s="93"/>
      <c r="AC759" s="93"/>
      <c r="AD759" s="93"/>
      <c r="AE759" s="93"/>
      <c r="AF759" s="93"/>
      <c r="AG759" s="93"/>
      <c r="AH759" s="93"/>
      <c r="AI759" s="93"/>
      <c r="AJ759" s="93"/>
      <c r="AK759" s="93"/>
      <c r="AL759" s="93"/>
      <c r="AM759" s="93"/>
      <c r="AN759" s="93"/>
      <c r="AO759" s="93"/>
      <c r="AP759" s="93"/>
      <c r="AQ759" s="93"/>
      <c r="AR759" s="93"/>
      <c r="AS759" s="93"/>
      <c r="AT759" s="93"/>
      <c r="AU759" s="93"/>
      <c r="AV759" s="93"/>
      <c r="AW759" s="93"/>
      <c r="AX759" s="93"/>
      <c r="AY759" s="93"/>
      <c r="AZ759" s="93"/>
      <c r="BA759" s="93"/>
      <c r="BB759" s="93"/>
      <c r="BC759" s="93"/>
      <c r="BD759" s="93"/>
      <c r="BE759" s="93"/>
      <c r="BF759" s="93"/>
      <c r="BG759" s="93"/>
      <c r="BH759" s="93"/>
      <c r="BI759" s="93"/>
      <c r="BJ759" s="93"/>
      <c r="BK759" s="93"/>
      <c r="BL759" s="93"/>
      <c r="BM759" s="93"/>
      <c r="BN759" s="93"/>
      <c r="BO759" s="93"/>
      <c r="BP759" s="93"/>
      <c r="BQ759" s="93"/>
      <c r="BR759" s="93"/>
      <c r="BS759" s="93"/>
      <c r="BT759" s="93"/>
      <c r="BU759" s="93"/>
      <c r="BV759" s="93"/>
      <c r="BW759" s="93"/>
      <c r="BX759" s="93"/>
      <c r="BY759" s="93"/>
      <c r="BZ759" s="93"/>
    </row>
    <row r="760">
      <c r="B760" t="s">
        <v>3087</v>
      </c>
      <c r="C760" s="89" t="s">
        <v>3088</v>
      </c>
      <c r="D760" s="90" t="s">
        <v>3089</v>
      </c>
      <c r="E760" s="91">
        <v>2019.0</v>
      </c>
      <c r="F760" s="104">
        <v>1.0</v>
      </c>
      <c r="G760" s="93"/>
      <c r="H760" s="93"/>
      <c r="I760" s="93"/>
      <c r="J760" s="93"/>
      <c r="K760" s="93"/>
      <c r="L760" s="93"/>
      <c r="M760" s="93"/>
      <c r="N760" s="93"/>
      <c r="O760" s="93"/>
      <c r="P760" s="93"/>
      <c r="Q760" s="93"/>
      <c r="R760" s="93"/>
      <c r="S760" s="93"/>
      <c r="T760" s="93"/>
      <c r="U760" s="93"/>
      <c r="V760" s="93"/>
      <c r="W760" s="93"/>
      <c r="X760" s="93"/>
      <c r="Y760" s="93"/>
      <c r="Z760" s="93"/>
      <c r="AA760" s="93"/>
      <c r="AB760" s="93"/>
      <c r="AC760" s="93"/>
      <c r="AD760" s="93"/>
      <c r="AE760" s="93"/>
      <c r="AF760" s="93"/>
      <c r="AG760" s="93"/>
      <c r="AH760" s="93"/>
      <c r="AI760" s="93"/>
      <c r="AJ760" s="93"/>
      <c r="AK760" s="93"/>
      <c r="AL760" s="93"/>
      <c r="AM760" s="93"/>
      <c r="AN760" s="93"/>
      <c r="AO760" s="93"/>
      <c r="AP760" s="93"/>
      <c r="AQ760" s="93"/>
      <c r="AR760" s="93"/>
      <c r="AS760" s="93"/>
      <c r="AT760" s="93"/>
      <c r="AU760" s="93"/>
      <c r="AV760" s="93"/>
      <c r="AW760" s="93"/>
      <c r="AX760" s="93"/>
      <c r="AY760" s="93"/>
      <c r="AZ760" s="93"/>
      <c r="BA760" s="93"/>
      <c r="BB760" s="93"/>
      <c r="BC760" s="93"/>
      <c r="BD760" s="93"/>
      <c r="BE760" s="93"/>
      <c r="BF760" s="93"/>
      <c r="BG760" s="93"/>
      <c r="BH760" s="93"/>
      <c r="BI760" s="93"/>
      <c r="BJ760" s="93"/>
      <c r="BK760" s="93"/>
      <c r="BL760" s="93"/>
      <c r="BM760" s="93"/>
      <c r="BN760" s="93"/>
      <c r="BO760" s="93"/>
      <c r="BP760" s="93"/>
      <c r="BQ760" s="93"/>
      <c r="BR760" s="93"/>
      <c r="BS760" s="93"/>
      <c r="BT760" s="93"/>
      <c r="BU760" s="93"/>
      <c r="BV760" s="93"/>
      <c r="BW760" s="93"/>
      <c r="BX760" s="93"/>
      <c r="BY760" s="93"/>
      <c r="BZ760" s="93"/>
    </row>
    <row r="761">
      <c r="B761" t="s">
        <v>3090</v>
      </c>
      <c r="C761" s="89" t="s">
        <v>3091</v>
      </c>
      <c r="D761" s="90" t="s">
        <v>3092</v>
      </c>
      <c r="E761" s="91">
        <v>2019.0</v>
      </c>
      <c r="F761" s="104">
        <v>1.0</v>
      </c>
      <c r="G761" s="93"/>
      <c r="H761" s="93"/>
      <c r="I761" s="93"/>
      <c r="J761" s="93"/>
      <c r="K761" s="93"/>
      <c r="L761" s="93"/>
      <c r="M761" s="93"/>
      <c r="N761" s="93"/>
      <c r="O761" s="93"/>
      <c r="P761" s="93"/>
      <c r="Q761" s="93"/>
      <c r="R761" s="93"/>
      <c r="S761" s="93"/>
      <c r="T761" s="93"/>
      <c r="U761" s="93"/>
      <c r="V761" s="93"/>
      <c r="W761" s="93"/>
      <c r="X761" s="93"/>
      <c r="Y761" s="93"/>
      <c r="Z761" s="93"/>
      <c r="AA761" s="93"/>
      <c r="AB761" s="93"/>
      <c r="AC761" s="93"/>
      <c r="AD761" s="93"/>
      <c r="AE761" s="93"/>
      <c r="AF761" s="93"/>
      <c r="AG761" s="93"/>
      <c r="AH761" s="93"/>
      <c r="AI761" s="93"/>
      <c r="AJ761" s="93"/>
      <c r="AK761" s="93"/>
      <c r="AL761" s="93"/>
      <c r="AM761" s="93"/>
      <c r="AN761" s="93"/>
      <c r="AO761" s="93"/>
      <c r="AP761" s="93"/>
      <c r="AQ761" s="93"/>
      <c r="AR761" s="93"/>
      <c r="AS761" s="93"/>
      <c r="AT761" s="93"/>
      <c r="AU761" s="93"/>
      <c r="AV761" s="93"/>
      <c r="AW761" s="93"/>
      <c r="AX761" s="93"/>
      <c r="AY761" s="93"/>
      <c r="AZ761" s="93"/>
      <c r="BA761" s="93"/>
      <c r="BB761" s="93"/>
      <c r="BC761" s="93"/>
      <c r="BD761" s="93"/>
      <c r="BE761" s="93"/>
      <c r="BF761" s="93"/>
      <c r="BG761" s="93"/>
      <c r="BH761" s="93"/>
      <c r="BI761" s="93"/>
      <c r="BJ761" s="93"/>
      <c r="BK761" s="93"/>
      <c r="BL761" s="93"/>
      <c r="BM761" s="93"/>
      <c r="BN761" s="93"/>
      <c r="BO761" s="93"/>
      <c r="BP761" s="93"/>
      <c r="BQ761" s="93"/>
      <c r="BR761" s="93"/>
      <c r="BS761" s="93"/>
      <c r="BT761" s="93"/>
      <c r="BU761" s="93"/>
      <c r="BV761" s="93"/>
      <c r="BW761" s="93"/>
      <c r="BX761" s="93"/>
      <c r="BY761" s="93"/>
      <c r="BZ761" s="93"/>
    </row>
    <row r="762">
      <c r="B762" t="s">
        <v>3093</v>
      </c>
      <c r="C762" s="89" t="s">
        <v>3094</v>
      </c>
      <c r="D762" s="90" t="s">
        <v>3022</v>
      </c>
      <c r="E762" s="91">
        <v>2019.0</v>
      </c>
      <c r="F762" s="104">
        <v>1.0</v>
      </c>
      <c r="G762" s="93"/>
      <c r="H762" s="93"/>
      <c r="I762" s="93"/>
      <c r="J762" s="93"/>
      <c r="K762" s="93"/>
      <c r="L762" s="93"/>
      <c r="M762" s="93"/>
      <c r="N762" s="93"/>
      <c r="O762" s="93"/>
      <c r="P762" s="93"/>
      <c r="Q762" s="93"/>
      <c r="R762" s="93"/>
      <c r="S762" s="93"/>
      <c r="T762" s="93"/>
      <c r="U762" s="93"/>
      <c r="V762" s="93"/>
      <c r="W762" s="93"/>
      <c r="X762" s="93"/>
      <c r="Y762" s="93"/>
      <c r="Z762" s="93"/>
      <c r="AA762" s="93"/>
      <c r="AB762" s="93"/>
      <c r="AC762" s="93"/>
      <c r="AD762" s="93"/>
      <c r="AE762" s="93"/>
      <c r="AF762" s="93"/>
      <c r="AG762" s="93"/>
      <c r="AH762" s="93"/>
      <c r="AI762" s="93"/>
      <c r="AJ762" s="93"/>
      <c r="AK762" s="93"/>
      <c r="AL762" s="93"/>
      <c r="AM762" s="93"/>
      <c r="AN762" s="93"/>
      <c r="AO762" s="93"/>
      <c r="AP762" s="93"/>
      <c r="AQ762" s="93"/>
      <c r="AR762" s="93"/>
      <c r="AS762" s="93"/>
      <c r="AT762" s="93"/>
      <c r="AU762" s="93"/>
      <c r="AV762" s="93"/>
      <c r="AW762" s="93"/>
      <c r="AX762" s="93"/>
      <c r="AY762" s="93"/>
      <c r="AZ762" s="93"/>
      <c r="BA762" s="93"/>
      <c r="BB762" s="93"/>
      <c r="BC762" s="93"/>
      <c r="BD762" s="93"/>
      <c r="BE762" s="93"/>
      <c r="BF762" s="93"/>
      <c r="BG762" s="93"/>
      <c r="BH762" s="93"/>
      <c r="BI762" s="93"/>
      <c r="BJ762" s="93"/>
      <c r="BK762" s="93"/>
      <c r="BL762" s="93"/>
      <c r="BM762" s="93"/>
      <c r="BN762" s="93"/>
      <c r="BO762" s="93"/>
      <c r="BP762" s="93"/>
      <c r="BQ762" s="93"/>
      <c r="BR762" s="93"/>
      <c r="BS762" s="93"/>
      <c r="BT762" s="93"/>
      <c r="BU762" s="93"/>
      <c r="BV762" s="93"/>
      <c r="BW762" s="93"/>
      <c r="BX762" s="93"/>
      <c r="BY762" s="93"/>
      <c r="BZ762" s="93"/>
    </row>
    <row r="763">
      <c r="B763" t="s">
        <v>3095</v>
      </c>
      <c r="C763" s="89" t="s">
        <v>3096</v>
      </c>
      <c r="D763" s="90" t="s">
        <v>3097</v>
      </c>
      <c r="E763" s="91">
        <v>2016.0</v>
      </c>
      <c r="F763" s="104">
        <v>1.0</v>
      </c>
      <c r="G763" s="93"/>
      <c r="H763" s="93"/>
      <c r="I763" s="93"/>
      <c r="J763" s="93"/>
      <c r="K763" s="93"/>
      <c r="L763" s="93"/>
      <c r="M763" s="93"/>
      <c r="N763" s="93"/>
      <c r="O763" s="93"/>
      <c r="P763" s="93"/>
      <c r="Q763" s="93"/>
      <c r="R763" s="93"/>
      <c r="S763" s="93"/>
      <c r="T763" s="93"/>
      <c r="U763" s="93"/>
      <c r="V763" s="93"/>
      <c r="W763" s="93"/>
      <c r="X763" s="93"/>
      <c r="Y763" s="93"/>
      <c r="Z763" s="93"/>
      <c r="AA763" s="93"/>
      <c r="AB763" s="93"/>
      <c r="AC763" s="93"/>
      <c r="AD763" s="93"/>
      <c r="AE763" s="93"/>
      <c r="AF763" s="93"/>
      <c r="AG763" s="93"/>
      <c r="AH763" s="93"/>
      <c r="AI763" s="93"/>
      <c r="AJ763" s="93"/>
      <c r="AK763" s="93"/>
      <c r="AL763" s="93"/>
      <c r="AM763" s="93"/>
      <c r="AN763" s="93"/>
      <c r="AO763" s="93"/>
      <c r="AP763" s="93"/>
      <c r="AQ763" s="93"/>
      <c r="AR763" s="93"/>
      <c r="AS763" s="93"/>
      <c r="AT763" s="93"/>
      <c r="AU763" s="93"/>
      <c r="AV763" s="93"/>
      <c r="AW763" s="93"/>
      <c r="AX763" s="93"/>
      <c r="AY763" s="93"/>
      <c r="AZ763" s="93"/>
      <c r="BA763" s="93"/>
      <c r="BB763" s="93"/>
      <c r="BC763" s="93"/>
      <c r="BD763" s="93"/>
      <c r="BE763" s="93"/>
      <c r="BF763" s="93"/>
      <c r="BG763" s="93"/>
      <c r="BH763" s="93"/>
      <c r="BI763" s="93"/>
      <c r="BJ763" s="93"/>
      <c r="BK763" s="93"/>
      <c r="BL763" s="93"/>
      <c r="BM763" s="93"/>
      <c r="BN763" s="93"/>
      <c r="BO763" s="93"/>
      <c r="BP763" s="93"/>
      <c r="BQ763" s="93"/>
      <c r="BR763" s="93"/>
      <c r="BS763" s="93"/>
      <c r="BT763" s="93"/>
      <c r="BU763" s="93"/>
      <c r="BV763" s="93"/>
      <c r="BW763" s="93"/>
      <c r="BX763" s="93"/>
      <c r="BY763" s="93"/>
      <c r="BZ763" s="93"/>
    </row>
    <row r="764">
      <c r="B764" t="s">
        <v>3098</v>
      </c>
      <c r="C764" s="89" t="s">
        <v>3099</v>
      </c>
      <c r="D764" s="90" t="s">
        <v>3100</v>
      </c>
      <c r="E764" s="91">
        <v>2016.0</v>
      </c>
      <c r="F764" s="104">
        <v>1.0</v>
      </c>
      <c r="G764" s="93"/>
      <c r="H764" s="93"/>
      <c r="I764" s="93"/>
      <c r="J764" s="93"/>
      <c r="K764" s="93"/>
      <c r="L764" s="93"/>
      <c r="M764" s="93"/>
      <c r="N764" s="93"/>
      <c r="O764" s="93"/>
      <c r="P764" s="93"/>
      <c r="Q764" s="93"/>
      <c r="R764" s="93"/>
      <c r="S764" s="93"/>
      <c r="T764" s="93"/>
      <c r="U764" s="93"/>
      <c r="V764" s="93"/>
      <c r="W764" s="93"/>
      <c r="X764" s="93"/>
      <c r="Y764" s="93"/>
      <c r="Z764" s="93"/>
      <c r="AA764" s="93"/>
      <c r="AB764" s="93"/>
      <c r="AC764" s="93"/>
      <c r="AD764" s="93"/>
      <c r="AE764" s="93"/>
      <c r="AF764" s="93"/>
      <c r="AG764" s="93"/>
      <c r="AH764" s="93"/>
      <c r="AI764" s="93"/>
      <c r="AJ764" s="93"/>
      <c r="AK764" s="93"/>
      <c r="AL764" s="93"/>
      <c r="AM764" s="93"/>
      <c r="AN764" s="93"/>
      <c r="AO764" s="93"/>
      <c r="AP764" s="93"/>
      <c r="AQ764" s="93"/>
      <c r="AR764" s="93"/>
      <c r="AS764" s="93"/>
      <c r="AT764" s="93"/>
      <c r="AU764" s="93"/>
      <c r="AV764" s="93"/>
      <c r="AW764" s="93"/>
      <c r="AX764" s="93"/>
      <c r="AY764" s="93"/>
      <c r="AZ764" s="93"/>
      <c r="BA764" s="93"/>
      <c r="BB764" s="93"/>
      <c r="BC764" s="93"/>
      <c r="BD764" s="93"/>
      <c r="BE764" s="93"/>
      <c r="BF764" s="93"/>
      <c r="BG764" s="93"/>
      <c r="BH764" s="93"/>
      <c r="BI764" s="93"/>
      <c r="BJ764" s="93"/>
      <c r="BK764" s="93"/>
      <c r="BL764" s="93"/>
      <c r="BM764" s="93"/>
      <c r="BN764" s="93"/>
      <c r="BO764" s="93"/>
      <c r="BP764" s="93"/>
      <c r="BQ764" s="93"/>
      <c r="BR764" s="93"/>
      <c r="BS764" s="93"/>
      <c r="BT764" s="93"/>
      <c r="BU764" s="93"/>
      <c r="BV764" s="93"/>
      <c r="BW764" s="93"/>
      <c r="BX764" s="93"/>
      <c r="BY764" s="93"/>
      <c r="BZ764" s="93"/>
    </row>
    <row r="765">
      <c r="A765" t="s">
        <v>1331</v>
      </c>
      <c r="B765" t="s">
        <v>3101</v>
      </c>
      <c r="C765" s="89" t="s">
        <v>3102</v>
      </c>
      <c r="D765" s="90" t="s">
        <v>3103</v>
      </c>
      <c r="E765" s="91">
        <v>2018.0</v>
      </c>
      <c r="F765" s="104">
        <v>1.0</v>
      </c>
      <c r="G765" s="93"/>
      <c r="H765" s="93"/>
      <c r="I765" s="93"/>
      <c r="J765" s="93"/>
      <c r="K765" s="93"/>
      <c r="L765" s="93"/>
      <c r="M765" s="93"/>
      <c r="N765" s="93"/>
      <c r="O765" s="93"/>
      <c r="P765" s="93"/>
      <c r="Q765" s="93"/>
      <c r="R765" s="93"/>
      <c r="S765" s="93"/>
      <c r="T765" s="93"/>
      <c r="U765" s="93"/>
      <c r="V765" s="93"/>
      <c r="W765" s="93"/>
      <c r="X765" s="93"/>
      <c r="Y765" s="93"/>
      <c r="Z765" s="93"/>
      <c r="AA765" s="93"/>
      <c r="AB765" s="93"/>
      <c r="AC765" s="93"/>
      <c r="AD765" s="93"/>
      <c r="AE765" s="93"/>
      <c r="AF765" s="93"/>
      <c r="AG765" s="93"/>
      <c r="AH765" s="93"/>
      <c r="AI765" s="93"/>
      <c r="AJ765" s="93"/>
      <c r="AK765" s="93"/>
      <c r="AL765" s="93"/>
      <c r="AM765" s="93"/>
      <c r="AN765" s="93"/>
      <c r="AO765" s="93"/>
      <c r="AP765" s="93"/>
      <c r="AQ765" s="93"/>
      <c r="AR765" s="93"/>
      <c r="AS765" s="93"/>
      <c r="AT765" s="93"/>
      <c r="AU765" s="93"/>
      <c r="AV765" s="93"/>
      <c r="AW765" s="93"/>
      <c r="AX765" s="93"/>
      <c r="AY765" s="93"/>
      <c r="AZ765" s="93"/>
      <c r="BA765" s="93"/>
      <c r="BB765" s="93"/>
      <c r="BC765" s="93"/>
      <c r="BD765" s="93"/>
      <c r="BE765" s="93"/>
      <c r="BF765" s="93"/>
      <c r="BG765" s="93"/>
      <c r="BH765" s="93"/>
      <c r="BI765" s="93"/>
      <c r="BJ765" s="93"/>
      <c r="BK765" s="93"/>
      <c r="BL765" s="93"/>
      <c r="BM765" s="93"/>
      <c r="BN765" s="93"/>
      <c r="BO765" s="93"/>
      <c r="BP765" s="93"/>
      <c r="BQ765" s="93"/>
      <c r="BR765" s="93"/>
      <c r="BS765" s="93"/>
      <c r="BT765" s="93"/>
      <c r="BU765" s="93"/>
      <c r="BV765" s="93"/>
      <c r="BW765" s="93"/>
      <c r="BX765" s="93"/>
      <c r="BY765" s="93"/>
      <c r="BZ765" s="93"/>
    </row>
    <row r="766">
      <c r="B766" t="s">
        <v>3104</v>
      </c>
      <c r="C766" s="89" t="s">
        <v>3105</v>
      </c>
      <c r="D766" s="90" t="s">
        <v>2795</v>
      </c>
      <c r="E766" s="91">
        <v>2016.0</v>
      </c>
      <c r="F766" s="104">
        <v>1.0</v>
      </c>
      <c r="G766" s="93"/>
      <c r="H766" s="93"/>
      <c r="I766" s="93"/>
      <c r="J766" s="93"/>
      <c r="K766" s="93"/>
      <c r="L766" s="93"/>
      <c r="M766" s="93"/>
      <c r="N766" s="93"/>
      <c r="O766" s="93"/>
      <c r="P766" s="93"/>
      <c r="Q766" s="93"/>
      <c r="R766" s="93"/>
      <c r="S766" s="93"/>
      <c r="T766" s="93"/>
      <c r="U766" s="93"/>
      <c r="V766" s="93"/>
      <c r="W766" s="93"/>
      <c r="X766" s="93"/>
      <c r="Y766" s="93"/>
      <c r="Z766" s="93"/>
      <c r="AA766" s="93"/>
      <c r="AB766" s="93"/>
      <c r="AC766" s="93"/>
      <c r="AD766" s="93"/>
      <c r="AE766" s="93"/>
      <c r="AF766" s="93"/>
      <c r="AG766" s="93"/>
      <c r="AH766" s="93"/>
      <c r="AI766" s="93"/>
      <c r="AJ766" s="93"/>
      <c r="AK766" s="93"/>
      <c r="AL766" s="93"/>
      <c r="AM766" s="93"/>
      <c r="AN766" s="93"/>
      <c r="AO766" s="93"/>
      <c r="AP766" s="93"/>
      <c r="AQ766" s="93"/>
      <c r="AR766" s="93"/>
      <c r="AS766" s="93"/>
      <c r="AT766" s="93"/>
      <c r="AU766" s="93"/>
      <c r="AV766" s="93"/>
      <c r="AW766" s="93"/>
      <c r="AX766" s="93"/>
      <c r="AY766" s="93"/>
      <c r="AZ766" s="93"/>
      <c r="BA766" s="93"/>
      <c r="BB766" s="93"/>
      <c r="BC766" s="93"/>
      <c r="BD766" s="93"/>
      <c r="BE766" s="93"/>
      <c r="BF766" s="93"/>
      <c r="BG766" s="93"/>
      <c r="BH766" s="93"/>
      <c r="BI766" s="93"/>
      <c r="BJ766" s="93"/>
      <c r="BK766" s="93"/>
      <c r="BL766" s="93"/>
      <c r="BM766" s="93"/>
      <c r="BN766" s="93"/>
      <c r="BO766" s="93"/>
      <c r="BP766" s="93"/>
      <c r="BQ766" s="93"/>
      <c r="BR766" s="93"/>
      <c r="BS766" s="93"/>
      <c r="BT766" s="93"/>
      <c r="BU766" s="93"/>
      <c r="BV766" s="93"/>
      <c r="BW766" s="93"/>
      <c r="BX766" s="93"/>
      <c r="BY766" s="93"/>
      <c r="BZ766" s="93"/>
    </row>
    <row r="767">
      <c r="A767" t="s">
        <v>1340</v>
      </c>
      <c r="B767" t="s">
        <v>3106</v>
      </c>
      <c r="C767" s="89" t="s">
        <v>3107</v>
      </c>
      <c r="D767" s="90" t="s">
        <v>2874</v>
      </c>
      <c r="E767" s="91">
        <v>2019.0</v>
      </c>
      <c r="F767" s="104">
        <v>1.0</v>
      </c>
      <c r="G767" s="93"/>
      <c r="H767" s="93"/>
      <c r="I767" s="93"/>
      <c r="J767" s="93"/>
      <c r="K767" s="93"/>
      <c r="L767" s="93"/>
      <c r="M767" s="93"/>
      <c r="N767" s="93"/>
      <c r="O767" s="93"/>
      <c r="P767" s="93"/>
      <c r="Q767" s="93"/>
      <c r="R767" s="93"/>
      <c r="S767" s="93"/>
      <c r="T767" s="93"/>
      <c r="U767" s="93"/>
      <c r="V767" s="93"/>
      <c r="W767" s="93"/>
      <c r="X767" s="93"/>
      <c r="Y767" s="93"/>
      <c r="Z767" s="93"/>
      <c r="AA767" s="93"/>
      <c r="AB767" s="93"/>
      <c r="AC767" s="93"/>
      <c r="AD767" s="93"/>
      <c r="AE767" s="93"/>
      <c r="AF767" s="93"/>
      <c r="AG767" s="93"/>
      <c r="AH767" s="93"/>
      <c r="AI767" s="93"/>
      <c r="AJ767" s="93"/>
      <c r="AK767" s="93"/>
      <c r="AL767" s="93"/>
      <c r="AM767" s="93"/>
      <c r="AN767" s="93"/>
      <c r="AO767" s="93"/>
      <c r="AP767" s="93"/>
      <c r="AQ767" s="93"/>
      <c r="AR767" s="93"/>
      <c r="AS767" s="93"/>
      <c r="AT767" s="93"/>
      <c r="AU767" s="93"/>
      <c r="AV767" s="93"/>
      <c r="AW767" s="93"/>
      <c r="AX767" s="93"/>
      <c r="AY767" s="93"/>
      <c r="AZ767" s="93"/>
      <c r="BA767" s="93"/>
      <c r="BB767" s="93"/>
      <c r="BC767" s="93"/>
      <c r="BD767" s="93"/>
      <c r="BE767" s="93"/>
      <c r="BF767" s="93"/>
      <c r="BG767" s="93"/>
      <c r="BH767" s="93"/>
      <c r="BI767" s="93"/>
      <c r="BJ767" s="93"/>
      <c r="BK767" s="93"/>
      <c r="BL767" s="93"/>
      <c r="BM767" s="93"/>
      <c r="BN767" s="93"/>
      <c r="BO767" s="93"/>
      <c r="BP767" s="93"/>
      <c r="BQ767" s="93"/>
      <c r="BR767" s="93"/>
      <c r="BS767" s="93"/>
      <c r="BT767" s="93"/>
      <c r="BU767" s="93"/>
      <c r="BV767" s="93"/>
      <c r="BW767" s="93"/>
      <c r="BX767" s="93"/>
      <c r="BY767" s="93"/>
      <c r="BZ767" s="93"/>
    </row>
    <row r="768">
      <c r="B768" t="s">
        <v>3108</v>
      </c>
      <c r="C768" s="89" t="s">
        <v>3109</v>
      </c>
      <c r="D768" s="90" t="s">
        <v>3110</v>
      </c>
      <c r="E768" s="91">
        <v>2016.0</v>
      </c>
      <c r="F768" s="104">
        <v>1.0</v>
      </c>
      <c r="G768" s="93"/>
      <c r="H768" s="93"/>
      <c r="I768" s="93"/>
      <c r="J768" s="93"/>
      <c r="K768" s="93"/>
      <c r="L768" s="93"/>
      <c r="M768" s="93"/>
      <c r="N768" s="93"/>
      <c r="O768" s="93"/>
      <c r="P768" s="93"/>
      <c r="Q768" s="93"/>
      <c r="R768" s="93"/>
      <c r="S768" s="93"/>
      <c r="T768" s="93"/>
      <c r="U768" s="93"/>
      <c r="V768" s="93"/>
      <c r="W768" s="93"/>
      <c r="X768" s="93"/>
      <c r="Y768" s="93"/>
      <c r="Z768" s="93"/>
      <c r="AA768" s="93"/>
      <c r="AB768" s="93"/>
      <c r="AC768" s="93"/>
      <c r="AD768" s="93"/>
      <c r="AE768" s="93"/>
      <c r="AF768" s="93"/>
      <c r="AG768" s="93"/>
      <c r="AH768" s="93"/>
      <c r="AI768" s="93"/>
      <c r="AJ768" s="93"/>
      <c r="AK768" s="93"/>
      <c r="AL768" s="93"/>
      <c r="AM768" s="93"/>
      <c r="AN768" s="93"/>
      <c r="AO768" s="93"/>
      <c r="AP768" s="93"/>
      <c r="AQ768" s="93"/>
      <c r="AR768" s="93"/>
      <c r="AS768" s="93"/>
      <c r="AT768" s="93"/>
      <c r="AU768" s="93"/>
      <c r="AV768" s="93"/>
      <c r="AW768" s="93"/>
      <c r="AX768" s="93"/>
      <c r="AY768" s="93"/>
      <c r="AZ768" s="93"/>
      <c r="BA768" s="93"/>
      <c r="BB768" s="93"/>
      <c r="BC768" s="93"/>
      <c r="BD768" s="93"/>
      <c r="BE768" s="93"/>
      <c r="BF768" s="93"/>
      <c r="BG768" s="93"/>
      <c r="BH768" s="93"/>
      <c r="BI768" s="93"/>
      <c r="BJ768" s="93"/>
      <c r="BK768" s="93"/>
      <c r="BL768" s="93"/>
      <c r="BM768" s="93"/>
      <c r="BN768" s="93"/>
      <c r="BO768" s="93"/>
      <c r="BP768" s="93"/>
      <c r="BQ768" s="93"/>
      <c r="BR768" s="93"/>
      <c r="BS768" s="93"/>
      <c r="BT768" s="93"/>
      <c r="BU768" s="93"/>
      <c r="BV768" s="93"/>
      <c r="BW768" s="93"/>
      <c r="BX768" s="93"/>
      <c r="BY768" s="93"/>
      <c r="BZ768" s="93"/>
    </row>
    <row r="769">
      <c r="B769" t="s">
        <v>3111</v>
      </c>
      <c r="C769" s="89" t="s">
        <v>3112</v>
      </c>
      <c r="D769" s="90" t="s">
        <v>3113</v>
      </c>
      <c r="E769" s="91">
        <v>2019.0</v>
      </c>
      <c r="F769" s="104">
        <v>1.0</v>
      </c>
      <c r="G769" s="93"/>
      <c r="H769" s="93"/>
      <c r="I769" s="93"/>
      <c r="J769" s="93"/>
      <c r="K769" s="93"/>
      <c r="L769" s="93"/>
      <c r="M769" s="93"/>
      <c r="N769" s="93"/>
      <c r="O769" s="93"/>
      <c r="P769" s="93"/>
      <c r="Q769" s="93"/>
      <c r="R769" s="93"/>
      <c r="S769" s="93"/>
      <c r="T769" s="93"/>
      <c r="U769" s="93"/>
      <c r="V769" s="93"/>
      <c r="W769" s="93"/>
      <c r="X769" s="93"/>
      <c r="Y769" s="93"/>
      <c r="Z769" s="93"/>
      <c r="AA769" s="93"/>
      <c r="AB769" s="93"/>
      <c r="AC769" s="93"/>
      <c r="AD769" s="93"/>
      <c r="AE769" s="93"/>
      <c r="AF769" s="93"/>
      <c r="AG769" s="93"/>
      <c r="AH769" s="93"/>
      <c r="AI769" s="93"/>
      <c r="AJ769" s="93"/>
      <c r="AK769" s="93"/>
      <c r="AL769" s="93"/>
      <c r="AM769" s="93"/>
      <c r="AN769" s="93"/>
      <c r="AO769" s="93"/>
      <c r="AP769" s="93"/>
      <c r="AQ769" s="93"/>
      <c r="AR769" s="93"/>
      <c r="AS769" s="93"/>
      <c r="AT769" s="93"/>
      <c r="AU769" s="93"/>
      <c r="AV769" s="93"/>
      <c r="AW769" s="93"/>
      <c r="AX769" s="93"/>
      <c r="AY769" s="93"/>
      <c r="AZ769" s="93"/>
      <c r="BA769" s="93"/>
      <c r="BB769" s="93"/>
      <c r="BC769" s="93"/>
      <c r="BD769" s="93"/>
      <c r="BE769" s="93"/>
      <c r="BF769" s="93"/>
      <c r="BG769" s="93"/>
      <c r="BH769" s="93"/>
      <c r="BI769" s="93"/>
      <c r="BJ769" s="93"/>
      <c r="BK769" s="93"/>
      <c r="BL769" s="93"/>
      <c r="BM769" s="93"/>
      <c r="BN769" s="93"/>
      <c r="BO769" s="93"/>
      <c r="BP769" s="93"/>
      <c r="BQ769" s="93"/>
      <c r="BR769" s="93"/>
      <c r="BS769" s="93"/>
      <c r="BT769" s="93"/>
      <c r="BU769" s="93"/>
      <c r="BV769" s="93"/>
      <c r="BW769" s="93"/>
      <c r="BX769" s="93"/>
      <c r="BY769" s="93"/>
      <c r="BZ769" s="93"/>
    </row>
    <row r="770">
      <c r="B770" t="s">
        <v>3114</v>
      </c>
      <c r="C770" s="89" t="s">
        <v>3115</v>
      </c>
      <c r="D770" s="90" t="s">
        <v>1765</v>
      </c>
      <c r="E770" s="91">
        <v>2017.0</v>
      </c>
      <c r="F770" s="104">
        <v>1.0</v>
      </c>
      <c r="G770" s="93"/>
      <c r="H770" s="93"/>
      <c r="I770" s="93"/>
      <c r="J770" s="93"/>
      <c r="K770" s="93"/>
      <c r="L770" s="93"/>
      <c r="M770" s="93"/>
      <c r="N770" s="93"/>
      <c r="O770" s="93"/>
      <c r="P770" s="93"/>
      <c r="Q770" s="93"/>
      <c r="R770" s="93"/>
      <c r="S770" s="93"/>
      <c r="T770" s="93"/>
      <c r="U770" s="93"/>
      <c r="V770" s="93"/>
      <c r="W770" s="93"/>
      <c r="X770" s="93"/>
      <c r="Y770" s="93"/>
      <c r="Z770" s="93"/>
      <c r="AA770" s="93"/>
      <c r="AB770" s="93"/>
      <c r="AC770" s="93"/>
      <c r="AD770" s="93"/>
      <c r="AE770" s="93"/>
      <c r="AF770" s="93"/>
      <c r="AG770" s="93"/>
      <c r="AH770" s="93"/>
      <c r="AI770" s="93"/>
      <c r="AJ770" s="93"/>
      <c r="AK770" s="93"/>
      <c r="AL770" s="93"/>
      <c r="AM770" s="93"/>
      <c r="AN770" s="93"/>
      <c r="AO770" s="93"/>
      <c r="AP770" s="93"/>
      <c r="AQ770" s="93"/>
      <c r="AR770" s="93"/>
      <c r="AS770" s="93"/>
      <c r="AT770" s="93"/>
      <c r="AU770" s="93"/>
      <c r="AV770" s="93"/>
      <c r="AW770" s="93"/>
      <c r="AX770" s="93"/>
      <c r="AY770" s="93"/>
      <c r="AZ770" s="93"/>
      <c r="BA770" s="93"/>
      <c r="BB770" s="93"/>
      <c r="BC770" s="93"/>
      <c r="BD770" s="93"/>
      <c r="BE770" s="93"/>
      <c r="BF770" s="93"/>
      <c r="BG770" s="93"/>
      <c r="BH770" s="93"/>
      <c r="BI770" s="93"/>
      <c r="BJ770" s="93"/>
      <c r="BK770" s="93"/>
      <c r="BL770" s="93"/>
      <c r="BM770" s="93"/>
      <c r="BN770" s="93"/>
      <c r="BO770" s="93"/>
      <c r="BP770" s="93"/>
      <c r="BQ770" s="93"/>
      <c r="BR770" s="93"/>
      <c r="BS770" s="93"/>
      <c r="BT770" s="93"/>
      <c r="BU770" s="93"/>
      <c r="BV770" s="93"/>
      <c r="BW770" s="93"/>
      <c r="BX770" s="93"/>
      <c r="BY770" s="93"/>
      <c r="BZ770" s="93"/>
    </row>
    <row r="771">
      <c r="A771" t="s">
        <v>1354</v>
      </c>
      <c r="B771" t="s">
        <v>3116</v>
      </c>
      <c r="C771" s="89" t="s">
        <v>3117</v>
      </c>
      <c r="D771" s="90" t="s">
        <v>2874</v>
      </c>
      <c r="E771" s="91">
        <v>2017.0</v>
      </c>
      <c r="F771" s="93"/>
      <c r="G771" s="93"/>
      <c r="H771" s="93"/>
      <c r="I771" s="93"/>
      <c r="J771" s="93"/>
      <c r="K771" s="103">
        <v>1.0</v>
      </c>
      <c r="L771" s="93"/>
      <c r="M771" s="93"/>
      <c r="N771" s="93"/>
      <c r="O771" s="93"/>
      <c r="P771" s="93"/>
      <c r="Q771" s="93"/>
      <c r="R771" s="93"/>
      <c r="S771" s="93"/>
      <c r="T771" s="93"/>
      <c r="U771" s="93"/>
      <c r="V771" s="93"/>
      <c r="W771" s="90" t="s">
        <v>3118</v>
      </c>
      <c r="X771" s="90" t="s">
        <v>3119</v>
      </c>
      <c r="Y771" s="90" t="s">
        <v>3120</v>
      </c>
      <c r="Z771" s="90" t="s">
        <v>3121</v>
      </c>
      <c r="AA771" s="93"/>
      <c r="AB771" s="103">
        <v>1.0</v>
      </c>
      <c r="AC771" s="93"/>
      <c r="AD771" s="103">
        <v>1.0</v>
      </c>
      <c r="AE771" s="93"/>
      <c r="AF771" s="93"/>
      <c r="AG771" s="93"/>
      <c r="AH771" s="90" t="s">
        <v>3122</v>
      </c>
      <c r="AI771" s="103">
        <v>1.0</v>
      </c>
      <c r="AJ771" s="93"/>
      <c r="AK771" s="93"/>
      <c r="AL771" s="93"/>
      <c r="AM771" s="103">
        <v>1.0</v>
      </c>
      <c r="AN771" s="103">
        <v>1.0</v>
      </c>
      <c r="AO771" s="93"/>
      <c r="AP771" s="93"/>
      <c r="AQ771" s="93"/>
      <c r="AR771" s="103">
        <v>1.0</v>
      </c>
      <c r="AS771" s="93"/>
      <c r="AT771" s="93"/>
      <c r="AU771" s="93"/>
      <c r="AV771" s="93"/>
      <c r="AW771" s="93"/>
      <c r="AX771" s="93"/>
      <c r="AY771" s="93"/>
      <c r="AZ771" s="93"/>
      <c r="BA771" s="93"/>
      <c r="BB771" s="93"/>
      <c r="BC771" s="103">
        <v>1.0</v>
      </c>
      <c r="BD771" s="93"/>
      <c r="BE771" s="93"/>
      <c r="BF771" s="93"/>
      <c r="BG771" s="93"/>
      <c r="BH771" s="93"/>
      <c r="BI771" s="93"/>
      <c r="BJ771" s="93"/>
      <c r="BK771" s="93"/>
      <c r="BL771" s="93"/>
      <c r="BM771" s="93"/>
      <c r="BN771" s="93"/>
      <c r="BO771" s="93"/>
      <c r="BP771" s="93"/>
      <c r="BQ771" s="93"/>
      <c r="BR771" s="93"/>
      <c r="BS771" s="93"/>
      <c r="BT771" s="93"/>
      <c r="BU771" s="93"/>
      <c r="BV771" s="103">
        <v>1.0</v>
      </c>
      <c r="BW771" s="103">
        <v>1.0</v>
      </c>
      <c r="BX771" s="93"/>
      <c r="BY771" s="103">
        <v>1.0</v>
      </c>
      <c r="BZ771" s="93"/>
    </row>
    <row r="772">
      <c r="B772" t="s">
        <v>3123</v>
      </c>
      <c r="C772" s="89" t="s">
        <v>3124</v>
      </c>
      <c r="D772" s="90" t="s">
        <v>3125</v>
      </c>
      <c r="E772" s="91">
        <v>2020.0</v>
      </c>
      <c r="F772" s="104">
        <v>1.0</v>
      </c>
      <c r="G772" s="93"/>
      <c r="H772" s="93"/>
      <c r="I772" s="93"/>
      <c r="J772" s="93"/>
      <c r="K772" s="93"/>
      <c r="L772" s="93"/>
      <c r="M772" s="93"/>
      <c r="N772" s="93"/>
      <c r="O772" s="93"/>
      <c r="P772" s="93"/>
      <c r="Q772" s="93"/>
      <c r="R772" s="93"/>
      <c r="S772" s="93"/>
      <c r="T772" s="93"/>
      <c r="U772" s="93"/>
      <c r="V772" s="93"/>
      <c r="W772" s="93"/>
      <c r="X772" s="93"/>
      <c r="Y772" s="93"/>
      <c r="Z772" s="93"/>
      <c r="AA772" s="93"/>
      <c r="AB772" s="93"/>
      <c r="AC772" s="93"/>
      <c r="AD772" s="93"/>
      <c r="AE772" s="93"/>
      <c r="AF772" s="93"/>
      <c r="AG772" s="93"/>
      <c r="AH772" s="93"/>
      <c r="AI772" s="93"/>
      <c r="AJ772" s="93"/>
      <c r="AK772" s="93"/>
      <c r="AL772" s="93"/>
      <c r="AM772" s="93"/>
      <c r="AN772" s="93"/>
      <c r="AO772" s="93"/>
      <c r="AP772" s="93"/>
      <c r="AQ772" s="93"/>
      <c r="AR772" s="93"/>
      <c r="AS772" s="93"/>
      <c r="AT772" s="93"/>
      <c r="AU772" s="93"/>
      <c r="AV772" s="93"/>
      <c r="AW772" s="93"/>
      <c r="AX772" s="93"/>
      <c r="AY772" s="93"/>
      <c r="AZ772" s="93"/>
      <c r="BA772" s="93"/>
      <c r="BB772" s="93"/>
      <c r="BC772" s="93"/>
      <c r="BD772" s="93"/>
      <c r="BE772" s="93"/>
      <c r="BF772" s="93"/>
      <c r="BG772" s="93"/>
      <c r="BH772" s="93"/>
      <c r="BI772" s="93"/>
      <c r="BJ772" s="93"/>
      <c r="BK772" s="93"/>
      <c r="BL772" s="93"/>
      <c r="BM772" s="93"/>
      <c r="BN772" s="93"/>
      <c r="BO772" s="93"/>
      <c r="BP772" s="93"/>
      <c r="BQ772" s="93"/>
      <c r="BR772" s="93"/>
      <c r="BS772" s="93"/>
      <c r="BT772" s="93"/>
      <c r="BU772" s="93"/>
      <c r="BV772" s="93"/>
      <c r="BW772" s="93"/>
      <c r="BX772" s="93"/>
      <c r="BY772" s="93"/>
      <c r="BZ772" s="93"/>
    </row>
    <row r="773">
      <c r="B773" t="s">
        <v>3126</v>
      </c>
      <c r="C773" s="89" t="s">
        <v>3127</v>
      </c>
      <c r="D773" s="90" t="s">
        <v>3128</v>
      </c>
      <c r="E773" s="91">
        <v>2019.0</v>
      </c>
      <c r="F773" s="104">
        <v>1.0</v>
      </c>
      <c r="G773" s="93"/>
      <c r="H773" s="93"/>
      <c r="I773" s="93"/>
      <c r="J773" s="93"/>
      <c r="K773" s="93"/>
      <c r="L773" s="93"/>
      <c r="M773" s="93"/>
      <c r="N773" s="93"/>
      <c r="O773" s="93"/>
      <c r="P773" s="93"/>
      <c r="Q773" s="93"/>
      <c r="R773" s="93"/>
      <c r="S773" s="93"/>
      <c r="T773" s="93"/>
      <c r="U773" s="93"/>
      <c r="V773" s="93"/>
      <c r="W773" s="93"/>
      <c r="X773" s="93"/>
      <c r="Y773" s="93"/>
      <c r="Z773" s="93"/>
      <c r="AA773" s="93"/>
      <c r="AB773" s="93"/>
      <c r="AC773" s="93"/>
      <c r="AD773" s="93"/>
      <c r="AE773" s="93"/>
      <c r="AF773" s="93"/>
      <c r="AG773" s="93"/>
      <c r="AH773" s="93"/>
      <c r="AI773" s="93"/>
      <c r="AJ773" s="93"/>
      <c r="AK773" s="93"/>
      <c r="AL773" s="93"/>
      <c r="AM773" s="93"/>
      <c r="AN773" s="93"/>
      <c r="AO773" s="93"/>
      <c r="AP773" s="93"/>
      <c r="AQ773" s="93"/>
      <c r="AR773" s="93"/>
      <c r="AS773" s="93"/>
      <c r="AT773" s="93"/>
      <c r="AU773" s="93"/>
      <c r="AV773" s="93"/>
      <c r="AW773" s="93"/>
      <c r="AX773" s="93"/>
      <c r="AY773" s="93"/>
      <c r="AZ773" s="93"/>
      <c r="BA773" s="93"/>
      <c r="BB773" s="93"/>
      <c r="BC773" s="93"/>
      <c r="BD773" s="93"/>
      <c r="BE773" s="93"/>
      <c r="BF773" s="93"/>
      <c r="BG773" s="93"/>
      <c r="BH773" s="93"/>
      <c r="BI773" s="93"/>
      <c r="BJ773" s="93"/>
      <c r="BK773" s="93"/>
      <c r="BL773" s="93"/>
      <c r="BM773" s="93"/>
      <c r="BN773" s="93"/>
      <c r="BO773" s="93"/>
      <c r="BP773" s="93"/>
      <c r="BQ773" s="93"/>
      <c r="BR773" s="93"/>
      <c r="BS773" s="93"/>
      <c r="BT773" s="93"/>
      <c r="BU773" s="93"/>
      <c r="BV773" s="93"/>
      <c r="BW773" s="93"/>
      <c r="BX773" s="93"/>
      <c r="BY773" s="93"/>
      <c r="BZ773" s="93"/>
    </row>
    <row r="774">
      <c r="B774" t="s">
        <v>3129</v>
      </c>
      <c r="C774" s="89" t="s">
        <v>3130</v>
      </c>
      <c r="D774" s="90" t="s">
        <v>3131</v>
      </c>
      <c r="E774" s="91">
        <v>2017.0</v>
      </c>
      <c r="F774" s="104">
        <v>1.0</v>
      </c>
      <c r="G774" s="93"/>
      <c r="H774" s="93"/>
      <c r="I774" s="93"/>
      <c r="J774" s="93"/>
      <c r="K774" s="93"/>
      <c r="L774" s="93"/>
      <c r="M774" s="93"/>
      <c r="N774" s="93"/>
      <c r="O774" s="93"/>
      <c r="P774" s="93"/>
      <c r="Q774" s="93"/>
      <c r="R774" s="93"/>
      <c r="S774" s="93"/>
      <c r="T774" s="93"/>
      <c r="U774" s="93"/>
      <c r="V774" s="93"/>
      <c r="W774" s="93"/>
      <c r="X774" s="93"/>
      <c r="Y774" s="93"/>
      <c r="Z774" s="93"/>
      <c r="AA774" s="93"/>
      <c r="AB774" s="93"/>
      <c r="AC774" s="93"/>
      <c r="AD774" s="93"/>
      <c r="AE774" s="93"/>
      <c r="AF774" s="93"/>
      <c r="AG774" s="93"/>
      <c r="AH774" s="93"/>
      <c r="AI774" s="93"/>
      <c r="AJ774" s="93"/>
      <c r="AK774" s="93"/>
      <c r="AL774" s="93"/>
      <c r="AM774" s="93"/>
      <c r="AN774" s="93"/>
      <c r="AO774" s="93"/>
      <c r="AP774" s="93"/>
      <c r="AQ774" s="93"/>
      <c r="AR774" s="93"/>
      <c r="AS774" s="93"/>
      <c r="AT774" s="93"/>
      <c r="AU774" s="93"/>
      <c r="AV774" s="93"/>
      <c r="AW774" s="93"/>
      <c r="AX774" s="93"/>
      <c r="AY774" s="93"/>
      <c r="AZ774" s="93"/>
      <c r="BA774" s="93"/>
      <c r="BB774" s="93"/>
      <c r="BC774" s="93"/>
      <c r="BD774" s="93"/>
      <c r="BE774" s="93"/>
      <c r="BF774" s="93"/>
      <c r="BG774" s="93"/>
      <c r="BH774" s="93"/>
      <c r="BI774" s="93"/>
      <c r="BJ774" s="93"/>
      <c r="BK774" s="93"/>
      <c r="BL774" s="93"/>
      <c r="BM774" s="93"/>
      <c r="BN774" s="93"/>
      <c r="BO774" s="93"/>
      <c r="BP774" s="93"/>
      <c r="BQ774" s="93"/>
      <c r="BR774" s="93"/>
      <c r="BS774" s="93"/>
      <c r="BT774" s="93"/>
      <c r="BU774" s="93"/>
      <c r="BV774" s="93"/>
      <c r="BW774" s="93"/>
      <c r="BX774" s="93"/>
      <c r="BY774" s="93"/>
      <c r="BZ774" s="93"/>
    </row>
    <row r="775">
      <c r="B775" t="s">
        <v>3132</v>
      </c>
      <c r="C775" s="89" t="s">
        <v>3133</v>
      </c>
      <c r="D775" s="90" t="s">
        <v>2795</v>
      </c>
      <c r="E775" s="91">
        <v>2019.0</v>
      </c>
      <c r="F775" s="104">
        <v>1.0</v>
      </c>
      <c r="G775" s="93"/>
      <c r="H775" s="93"/>
      <c r="I775" s="93"/>
      <c r="J775" s="93"/>
      <c r="K775" s="93"/>
      <c r="L775" s="93"/>
      <c r="M775" s="93"/>
      <c r="N775" s="93"/>
      <c r="O775" s="93"/>
      <c r="P775" s="93"/>
      <c r="Q775" s="93"/>
      <c r="R775" s="93"/>
      <c r="S775" s="93"/>
      <c r="T775" s="93"/>
      <c r="U775" s="93"/>
      <c r="V775" s="93"/>
      <c r="W775" s="93"/>
      <c r="X775" s="93"/>
      <c r="Y775" s="93"/>
      <c r="Z775" s="93"/>
      <c r="AA775" s="93"/>
      <c r="AB775" s="93"/>
      <c r="AC775" s="93"/>
      <c r="AD775" s="93"/>
      <c r="AE775" s="93"/>
      <c r="AF775" s="93"/>
      <c r="AG775" s="93"/>
      <c r="AH775" s="93"/>
      <c r="AI775" s="93"/>
      <c r="AJ775" s="93"/>
      <c r="AK775" s="93"/>
      <c r="AL775" s="93"/>
      <c r="AM775" s="93"/>
      <c r="AN775" s="93"/>
      <c r="AO775" s="93"/>
      <c r="AP775" s="93"/>
      <c r="AQ775" s="93"/>
      <c r="AR775" s="93"/>
      <c r="AS775" s="93"/>
      <c r="AT775" s="93"/>
      <c r="AU775" s="93"/>
      <c r="AV775" s="93"/>
      <c r="AW775" s="93"/>
      <c r="AX775" s="93"/>
      <c r="AY775" s="93"/>
      <c r="AZ775" s="93"/>
      <c r="BA775" s="93"/>
      <c r="BB775" s="93"/>
      <c r="BC775" s="93"/>
      <c r="BD775" s="93"/>
      <c r="BE775" s="93"/>
      <c r="BF775" s="93"/>
      <c r="BG775" s="93"/>
      <c r="BH775" s="93"/>
      <c r="BI775" s="93"/>
      <c r="BJ775" s="93"/>
      <c r="BK775" s="93"/>
      <c r="BL775" s="93"/>
      <c r="BM775" s="93"/>
      <c r="BN775" s="93"/>
      <c r="BO775" s="93"/>
      <c r="BP775" s="93"/>
      <c r="BQ775" s="93"/>
      <c r="BR775" s="93"/>
      <c r="BS775" s="93"/>
      <c r="BT775" s="93"/>
      <c r="BU775" s="93"/>
      <c r="BV775" s="93"/>
      <c r="BW775" s="93"/>
      <c r="BX775" s="93"/>
      <c r="BY775" s="93"/>
      <c r="BZ775" s="93"/>
    </row>
    <row r="776">
      <c r="B776" t="s">
        <v>3134</v>
      </c>
      <c r="C776" s="89" t="s">
        <v>3135</v>
      </c>
      <c r="D776" s="90" t="s">
        <v>3136</v>
      </c>
      <c r="E776" s="91">
        <v>2019.0</v>
      </c>
      <c r="F776" s="104">
        <v>1.0</v>
      </c>
      <c r="G776" s="93"/>
      <c r="H776" s="93"/>
      <c r="I776" s="93"/>
      <c r="J776" s="93"/>
      <c r="K776" s="93"/>
      <c r="L776" s="93"/>
      <c r="M776" s="93"/>
      <c r="N776" s="93"/>
      <c r="O776" s="93"/>
      <c r="P776" s="93"/>
      <c r="Q776" s="93"/>
      <c r="R776" s="93"/>
      <c r="S776" s="93"/>
      <c r="T776" s="93"/>
      <c r="U776" s="93"/>
      <c r="V776" s="93"/>
      <c r="W776" s="93"/>
      <c r="X776" s="93"/>
      <c r="Y776" s="93"/>
      <c r="Z776" s="93"/>
      <c r="AA776" s="93"/>
      <c r="AB776" s="93"/>
      <c r="AC776" s="93"/>
      <c r="AD776" s="93"/>
      <c r="AE776" s="93"/>
      <c r="AF776" s="93"/>
      <c r="AG776" s="93"/>
      <c r="AH776" s="93"/>
      <c r="AI776" s="93"/>
      <c r="AJ776" s="93"/>
      <c r="AK776" s="93"/>
      <c r="AL776" s="93"/>
      <c r="AM776" s="93"/>
      <c r="AN776" s="93"/>
      <c r="AO776" s="93"/>
      <c r="AP776" s="93"/>
      <c r="AQ776" s="93"/>
      <c r="AR776" s="93"/>
      <c r="AS776" s="93"/>
      <c r="AT776" s="93"/>
      <c r="AU776" s="93"/>
      <c r="AV776" s="93"/>
      <c r="AW776" s="93"/>
      <c r="AX776" s="93"/>
      <c r="AY776" s="93"/>
      <c r="AZ776" s="93"/>
      <c r="BA776" s="93"/>
      <c r="BB776" s="93"/>
      <c r="BC776" s="93"/>
      <c r="BD776" s="93"/>
      <c r="BE776" s="93"/>
      <c r="BF776" s="93"/>
      <c r="BG776" s="93"/>
      <c r="BH776" s="93"/>
      <c r="BI776" s="93"/>
      <c r="BJ776" s="93"/>
      <c r="BK776" s="93"/>
      <c r="BL776" s="93"/>
      <c r="BM776" s="93"/>
      <c r="BN776" s="93"/>
      <c r="BO776" s="93"/>
      <c r="BP776" s="93"/>
      <c r="BQ776" s="93"/>
      <c r="BR776" s="93"/>
      <c r="BS776" s="93"/>
      <c r="BT776" s="93"/>
      <c r="BU776" s="93"/>
      <c r="BV776" s="93"/>
      <c r="BW776" s="93"/>
      <c r="BX776" s="93"/>
      <c r="BY776" s="93"/>
      <c r="BZ776" s="93"/>
    </row>
    <row r="777">
      <c r="B777" t="s">
        <v>3137</v>
      </c>
      <c r="C777" s="89" t="s">
        <v>3138</v>
      </c>
      <c r="D777" s="90" t="s">
        <v>2874</v>
      </c>
      <c r="E777" s="91">
        <v>2016.0</v>
      </c>
      <c r="F777" s="104">
        <v>1.0</v>
      </c>
      <c r="G777" s="93"/>
      <c r="H777" s="93"/>
      <c r="I777" s="93"/>
      <c r="J777" s="93"/>
      <c r="K777" s="93"/>
      <c r="L777" s="93"/>
      <c r="M777" s="93"/>
      <c r="N777" s="93"/>
      <c r="O777" s="93"/>
      <c r="P777" s="93"/>
      <c r="Q777" s="93"/>
      <c r="R777" s="93"/>
      <c r="S777" s="93"/>
      <c r="T777" s="93"/>
      <c r="U777" s="93"/>
      <c r="V777" s="93"/>
      <c r="W777" s="93"/>
      <c r="X777" s="93"/>
      <c r="Y777" s="93"/>
      <c r="Z777" s="93"/>
      <c r="AA777" s="93"/>
      <c r="AB777" s="93"/>
      <c r="AC777" s="93"/>
      <c r="AD777" s="93"/>
      <c r="AE777" s="93"/>
      <c r="AF777" s="93"/>
      <c r="AG777" s="93"/>
      <c r="AH777" s="93"/>
      <c r="AI777" s="93"/>
      <c r="AJ777" s="93"/>
      <c r="AK777" s="93"/>
      <c r="AL777" s="93"/>
      <c r="AM777" s="93"/>
      <c r="AN777" s="93"/>
      <c r="AO777" s="93"/>
      <c r="AP777" s="93"/>
      <c r="AQ777" s="93"/>
      <c r="AR777" s="93"/>
      <c r="AS777" s="93"/>
      <c r="AT777" s="93"/>
      <c r="AU777" s="93"/>
      <c r="AV777" s="93"/>
      <c r="AW777" s="93"/>
      <c r="AX777" s="93"/>
      <c r="AY777" s="93"/>
      <c r="AZ777" s="93"/>
      <c r="BA777" s="93"/>
      <c r="BB777" s="93"/>
      <c r="BC777" s="93"/>
      <c r="BD777" s="93"/>
      <c r="BE777" s="93"/>
      <c r="BF777" s="93"/>
      <c r="BG777" s="93"/>
      <c r="BH777" s="93"/>
      <c r="BI777" s="93"/>
      <c r="BJ777" s="93"/>
      <c r="BK777" s="93"/>
      <c r="BL777" s="93"/>
      <c r="BM777" s="93"/>
      <c r="BN777" s="93"/>
      <c r="BO777" s="93"/>
      <c r="BP777" s="93"/>
      <c r="BQ777" s="93"/>
      <c r="BR777" s="93"/>
      <c r="BS777" s="93"/>
      <c r="BT777" s="93"/>
      <c r="BU777" s="93"/>
      <c r="BV777" s="93"/>
      <c r="BW777" s="93"/>
      <c r="BX777" s="93"/>
      <c r="BY777" s="93"/>
      <c r="BZ777" s="93"/>
    </row>
    <row r="778">
      <c r="B778" t="s">
        <v>3139</v>
      </c>
      <c r="C778" s="89" t="s">
        <v>3140</v>
      </c>
      <c r="D778" s="90" t="s">
        <v>3141</v>
      </c>
      <c r="E778" s="91">
        <v>2019.0</v>
      </c>
      <c r="F778" s="104">
        <v>1.0</v>
      </c>
      <c r="G778" s="93"/>
      <c r="H778" s="93"/>
      <c r="I778" s="93"/>
      <c r="J778" s="93"/>
      <c r="K778" s="93"/>
      <c r="L778" s="93"/>
      <c r="M778" s="93"/>
      <c r="N778" s="93"/>
      <c r="O778" s="93"/>
      <c r="P778" s="93"/>
      <c r="Q778" s="93"/>
      <c r="R778" s="93"/>
      <c r="S778" s="93"/>
      <c r="T778" s="93"/>
      <c r="U778" s="93"/>
      <c r="V778" s="93"/>
      <c r="W778" s="93"/>
      <c r="X778" s="93"/>
      <c r="Y778" s="93"/>
      <c r="Z778" s="93"/>
      <c r="AA778" s="93"/>
      <c r="AB778" s="93"/>
      <c r="AC778" s="93"/>
      <c r="AD778" s="93"/>
      <c r="AE778" s="93"/>
      <c r="AF778" s="93"/>
      <c r="AG778" s="93"/>
      <c r="AH778" s="93"/>
      <c r="AI778" s="93"/>
      <c r="AJ778" s="93"/>
      <c r="AK778" s="93"/>
      <c r="AL778" s="93"/>
      <c r="AM778" s="93"/>
      <c r="AN778" s="93"/>
      <c r="AO778" s="93"/>
      <c r="AP778" s="93"/>
      <c r="AQ778" s="93"/>
      <c r="AR778" s="93"/>
      <c r="AS778" s="93"/>
      <c r="AT778" s="93"/>
      <c r="AU778" s="93"/>
      <c r="AV778" s="93"/>
      <c r="AW778" s="93"/>
      <c r="AX778" s="93"/>
      <c r="AY778" s="93"/>
      <c r="AZ778" s="93"/>
      <c r="BA778" s="93"/>
      <c r="BB778" s="93"/>
      <c r="BC778" s="93"/>
      <c r="BD778" s="93"/>
      <c r="BE778" s="93"/>
      <c r="BF778" s="93"/>
      <c r="BG778" s="93"/>
      <c r="BH778" s="93"/>
      <c r="BI778" s="93"/>
      <c r="BJ778" s="93"/>
      <c r="BK778" s="93"/>
      <c r="BL778" s="93"/>
      <c r="BM778" s="93"/>
      <c r="BN778" s="93"/>
      <c r="BO778" s="93"/>
      <c r="BP778" s="93"/>
      <c r="BQ778" s="93"/>
      <c r="BR778" s="93"/>
      <c r="BS778" s="93"/>
      <c r="BT778" s="93"/>
      <c r="BU778" s="93"/>
      <c r="BV778" s="93"/>
      <c r="BW778" s="93"/>
      <c r="BX778" s="93"/>
      <c r="BY778" s="93"/>
      <c r="BZ778" s="93"/>
    </row>
    <row r="779">
      <c r="B779" t="s">
        <v>3142</v>
      </c>
      <c r="C779" s="89" t="s">
        <v>3143</v>
      </c>
      <c r="D779" s="90" t="s">
        <v>3144</v>
      </c>
      <c r="E779" s="91">
        <v>2019.0</v>
      </c>
      <c r="F779" s="104">
        <v>1.0</v>
      </c>
      <c r="G779" s="93"/>
      <c r="H779" s="93"/>
      <c r="I779" s="93"/>
      <c r="J779" s="93"/>
      <c r="K779" s="93"/>
      <c r="L779" s="93"/>
      <c r="M779" s="93"/>
      <c r="N779" s="93"/>
      <c r="O779" s="93"/>
      <c r="P779" s="93"/>
      <c r="Q779" s="93"/>
      <c r="R779" s="93"/>
      <c r="S779" s="93"/>
      <c r="T779" s="93"/>
      <c r="U779" s="93"/>
      <c r="V779" s="93"/>
      <c r="W779" s="93"/>
      <c r="X779" s="93"/>
      <c r="Y779" s="93"/>
      <c r="Z779" s="93"/>
      <c r="AA779" s="93"/>
      <c r="AB779" s="93"/>
      <c r="AC779" s="93"/>
      <c r="AD779" s="93"/>
      <c r="AE779" s="93"/>
      <c r="AF779" s="93"/>
      <c r="AG779" s="93"/>
      <c r="AH779" s="93"/>
      <c r="AI779" s="93"/>
      <c r="AJ779" s="93"/>
      <c r="AK779" s="93"/>
      <c r="AL779" s="93"/>
      <c r="AM779" s="93"/>
      <c r="AN779" s="93"/>
      <c r="AO779" s="93"/>
      <c r="AP779" s="93"/>
      <c r="AQ779" s="93"/>
      <c r="AR779" s="93"/>
      <c r="AS779" s="93"/>
      <c r="AT779" s="93"/>
      <c r="AU779" s="93"/>
      <c r="AV779" s="93"/>
      <c r="AW779" s="93"/>
      <c r="AX779" s="93"/>
      <c r="AY779" s="93"/>
      <c r="AZ779" s="93"/>
      <c r="BA779" s="93"/>
      <c r="BB779" s="93"/>
      <c r="BC779" s="93"/>
      <c r="BD779" s="93"/>
      <c r="BE779" s="93"/>
      <c r="BF779" s="93"/>
      <c r="BG779" s="93"/>
      <c r="BH779" s="93"/>
      <c r="BI779" s="93"/>
      <c r="BJ779" s="93"/>
      <c r="BK779" s="93"/>
      <c r="BL779" s="93"/>
      <c r="BM779" s="93"/>
      <c r="BN779" s="93"/>
      <c r="BO779" s="93"/>
      <c r="BP779" s="93"/>
      <c r="BQ779" s="93"/>
      <c r="BR779" s="93"/>
      <c r="BS779" s="93"/>
      <c r="BT779" s="93"/>
      <c r="BU779" s="93"/>
      <c r="BV779" s="93"/>
      <c r="BW779" s="93"/>
      <c r="BX779" s="93"/>
      <c r="BY779" s="93"/>
      <c r="BZ779" s="93"/>
    </row>
    <row r="780">
      <c r="B780" t="s">
        <v>3145</v>
      </c>
      <c r="C780" s="89" t="s">
        <v>3146</v>
      </c>
      <c r="D780" s="90" t="s">
        <v>3147</v>
      </c>
      <c r="E780" s="91">
        <v>2019.0</v>
      </c>
      <c r="F780" s="104">
        <v>1.0</v>
      </c>
      <c r="G780" s="93"/>
      <c r="H780" s="93"/>
      <c r="I780" s="93"/>
      <c r="J780" s="93"/>
      <c r="K780" s="93"/>
      <c r="L780" s="93"/>
      <c r="M780" s="93"/>
      <c r="N780" s="93"/>
      <c r="O780" s="93"/>
      <c r="P780" s="93"/>
      <c r="Q780" s="93"/>
      <c r="R780" s="93"/>
      <c r="S780" s="93"/>
      <c r="T780" s="93"/>
      <c r="U780" s="93"/>
      <c r="V780" s="93"/>
      <c r="W780" s="93"/>
      <c r="X780" s="93"/>
      <c r="Y780" s="93"/>
      <c r="Z780" s="93"/>
      <c r="AA780" s="93"/>
      <c r="AB780" s="93"/>
      <c r="AC780" s="93"/>
      <c r="AD780" s="93"/>
      <c r="AE780" s="93"/>
      <c r="AF780" s="93"/>
      <c r="AG780" s="93"/>
      <c r="AH780" s="93"/>
      <c r="AI780" s="93"/>
      <c r="AJ780" s="93"/>
      <c r="AK780" s="93"/>
      <c r="AL780" s="93"/>
      <c r="AM780" s="93"/>
      <c r="AN780" s="93"/>
      <c r="AO780" s="93"/>
      <c r="AP780" s="93"/>
      <c r="AQ780" s="93"/>
      <c r="AR780" s="93"/>
      <c r="AS780" s="93"/>
      <c r="AT780" s="93"/>
      <c r="AU780" s="93"/>
      <c r="AV780" s="93"/>
      <c r="AW780" s="93"/>
      <c r="AX780" s="93"/>
      <c r="AY780" s="93"/>
      <c r="AZ780" s="93"/>
      <c r="BA780" s="93"/>
      <c r="BB780" s="93"/>
      <c r="BC780" s="93"/>
      <c r="BD780" s="93"/>
      <c r="BE780" s="93"/>
      <c r="BF780" s="93"/>
      <c r="BG780" s="93"/>
      <c r="BH780" s="93"/>
      <c r="BI780" s="93"/>
      <c r="BJ780" s="93"/>
      <c r="BK780" s="93"/>
      <c r="BL780" s="93"/>
      <c r="BM780" s="93"/>
      <c r="BN780" s="93"/>
      <c r="BO780" s="93"/>
      <c r="BP780" s="93"/>
      <c r="BQ780" s="93"/>
      <c r="BR780" s="93"/>
      <c r="BS780" s="93"/>
      <c r="BT780" s="93"/>
      <c r="BU780" s="93"/>
      <c r="BV780" s="93"/>
      <c r="BW780" s="93"/>
      <c r="BX780" s="93"/>
      <c r="BY780" s="93"/>
      <c r="BZ780" s="93"/>
    </row>
    <row r="781">
      <c r="B781" t="s">
        <v>3148</v>
      </c>
      <c r="C781" s="89" t="s">
        <v>3149</v>
      </c>
      <c r="D781" s="90" t="s">
        <v>2885</v>
      </c>
      <c r="E781" s="91">
        <v>2019.0</v>
      </c>
      <c r="F781" s="104">
        <v>1.0</v>
      </c>
      <c r="G781" s="93"/>
      <c r="H781" s="93"/>
      <c r="I781" s="93"/>
      <c r="J781" s="93"/>
      <c r="K781" s="93"/>
      <c r="L781" s="93"/>
      <c r="M781" s="93"/>
      <c r="N781" s="93"/>
      <c r="O781" s="93"/>
      <c r="P781" s="93"/>
      <c r="Q781" s="93"/>
      <c r="R781" s="93"/>
      <c r="S781" s="93"/>
      <c r="T781" s="93"/>
      <c r="U781" s="93"/>
      <c r="V781" s="93"/>
      <c r="W781" s="93"/>
      <c r="X781" s="93"/>
      <c r="Y781" s="93"/>
      <c r="Z781" s="93"/>
      <c r="AA781" s="93"/>
      <c r="AB781" s="93"/>
      <c r="AC781" s="93"/>
      <c r="AD781" s="93"/>
      <c r="AE781" s="93"/>
      <c r="AF781" s="93"/>
      <c r="AG781" s="93"/>
      <c r="AH781" s="93"/>
      <c r="AI781" s="93"/>
      <c r="AJ781" s="93"/>
      <c r="AK781" s="93"/>
      <c r="AL781" s="93"/>
      <c r="AM781" s="93"/>
      <c r="AN781" s="93"/>
      <c r="AO781" s="93"/>
      <c r="AP781" s="93"/>
      <c r="AQ781" s="93"/>
      <c r="AR781" s="93"/>
      <c r="AS781" s="93"/>
      <c r="AT781" s="93"/>
      <c r="AU781" s="93"/>
      <c r="AV781" s="93"/>
      <c r="AW781" s="93"/>
      <c r="AX781" s="93"/>
      <c r="AY781" s="93"/>
      <c r="AZ781" s="93"/>
      <c r="BA781" s="93"/>
      <c r="BB781" s="93"/>
      <c r="BC781" s="93"/>
      <c r="BD781" s="93"/>
      <c r="BE781" s="93"/>
      <c r="BF781" s="93"/>
      <c r="BG781" s="93"/>
      <c r="BH781" s="93"/>
      <c r="BI781" s="93"/>
      <c r="BJ781" s="93"/>
      <c r="BK781" s="93"/>
      <c r="BL781" s="93"/>
      <c r="BM781" s="93"/>
      <c r="BN781" s="93"/>
      <c r="BO781" s="93"/>
      <c r="BP781" s="93"/>
      <c r="BQ781" s="93"/>
      <c r="BR781" s="93"/>
      <c r="BS781" s="93"/>
      <c r="BT781" s="93"/>
      <c r="BU781" s="93"/>
      <c r="BV781" s="93"/>
      <c r="BW781" s="93"/>
      <c r="BX781" s="93"/>
      <c r="BY781" s="93"/>
      <c r="BZ781" s="93"/>
    </row>
    <row r="782">
      <c r="B782" t="s">
        <v>3150</v>
      </c>
      <c r="C782" s="89" t="s">
        <v>3151</v>
      </c>
      <c r="D782" s="90" t="s">
        <v>3152</v>
      </c>
      <c r="E782" s="91">
        <v>2017.0</v>
      </c>
      <c r="F782" s="104">
        <v>1.0</v>
      </c>
      <c r="G782" s="93"/>
      <c r="H782" s="93"/>
      <c r="I782" s="93"/>
      <c r="J782" s="93"/>
      <c r="K782" s="93"/>
      <c r="L782" s="93"/>
      <c r="M782" s="93"/>
      <c r="N782" s="93"/>
      <c r="O782" s="93"/>
      <c r="P782" s="93"/>
      <c r="Q782" s="93"/>
      <c r="R782" s="93"/>
      <c r="S782" s="93"/>
      <c r="T782" s="93"/>
      <c r="U782" s="93"/>
      <c r="V782" s="93"/>
      <c r="W782" s="93"/>
      <c r="X782" s="93"/>
      <c r="Y782" s="93"/>
      <c r="Z782" s="93"/>
      <c r="AA782" s="93"/>
      <c r="AB782" s="93"/>
      <c r="AC782" s="93"/>
      <c r="AD782" s="93"/>
      <c r="AE782" s="93"/>
      <c r="AF782" s="93"/>
      <c r="AG782" s="93"/>
      <c r="AH782" s="93"/>
      <c r="AI782" s="93"/>
      <c r="AJ782" s="93"/>
      <c r="AK782" s="93"/>
      <c r="AL782" s="93"/>
      <c r="AM782" s="93"/>
      <c r="AN782" s="93"/>
      <c r="AO782" s="93"/>
      <c r="AP782" s="93"/>
      <c r="AQ782" s="93"/>
      <c r="AR782" s="93"/>
      <c r="AS782" s="93"/>
      <c r="AT782" s="93"/>
      <c r="AU782" s="93"/>
      <c r="AV782" s="93"/>
      <c r="AW782" s="93"/>
      <c r="AX782" s="93"/>
      <c r="AY782" s="93"/>
      <c r="AZ782" s="93"/>
      <c r="BA782" s="93"/>
      <c r="BB782" s="93"/>
      <c r="BC782" s="93"/>
      <c r="BD782" s="93"/>
      <c r="BE782" s="93"/>
      <c r="BF782" s="93"/>
      <c r="BG782" s="93"/>
      <c r="BH782" s="93"/>
      <c r="BI782" s="93"/>
      <c r="BJ782" s="93"/>
      <c r="BK782" s="93"/>
      <c r="BL782" s="93"/>
      <c r="BM782" s="93"/>
      <c r="BN782" s="93"/>
      <c r="BO782" s="93"/>
      <c r="BP782" s="93"/>
      <c r="BQ782" s="93"/>
      <c r="BR782" s="93"/>
      <c r="BS782" s="93"/>
      <c r="BT782" s="93"/>
      <c r="BU782" s="93"/>
      <c r="BV782" s="93"/>
      <c r="BW782" s="93"/>
      <c r="BX782" s="93"/>
      <c r="BY782" s="93"/>
      <c r="BZ782" s="93"/>
    </row>
    <row r="783">
      <c r="A783" t="s">
        <v>116</v>
      </c>
      <c r="B783" t="s">
        <v>3153</v>
      </c>
      <c r="C783" s="89" t="s">
        <v>3154</v>
      </c>
      <c r="D783" s="90" t="s">
        <v>3155</v>
      </c>
      <c r="E783" s="91">
        <v>2017.0</v>
      </c>
      <c r="F783" s="104">
        <v>1.0</v>
      </c>
      <c r="G783" s="93"/>
      <c r="H783" s="93"/>
      <c r="I783" s="93"/>
      <c r="J783" s="93"/>
      <c r="K783" s="93"/>
      <c r="L783" s="93"/>
      <c r="M783" s="93"/>
      <c r="N783" s="93"/>
      <c r="O783" s="93"/>
      <c r="P783" s="93"/>
      <c r="Q783" s="93"/>
      <c r="R783" s="93"/>
      <c r="S783" s="93"/>
      <c r="T783" s="93"/>
      <c r="U783" s="93"/>
      <c r="V783" s="93"/>
      <c r="W783" s="93"/>
      <c r="X783" s="93"/>
      <c r="Y783" s="93"/>
      <c r="Z783" s="93"/>
      <c r="AA783" s="93"/>
      <c r="AB783" s="93"/>
      <c r="AC783" s="93"/>
      <c r="AD783" s="93"/>
      <c r="AE783" s="93"/>
      <c r="AF783" s="93"/>
      <c r="AG783" s="93"/>
      <c r="AH783" s="93"/>
      <c r="AI783" s="93"/>
      <c r="AJ783" s="93"/>
      <c r="AK783" s="93"/>
      <c r="AL783" s="93"/>
      <c r="AM783" s="93"/>
      <c r="AN783" s="93"/>
      <c r="AO783" s="93"/>
      <c r="AP783" s="93"/>
      <c r="AQ783" s="93"/>
      <c r="AR783" s="93"/>
      <c r="AS783" s="93"/>
      <c r="AT783" s="93"/>
      <c r="AU783" s="93"/>
      <c r="AV783" s="93"/>
      <c r="AW783" s="93"/>
      <c r="AX783" s="93"/>
      <c r="AY783" s="93"/>
      <c r="AZ783" s="93"/>
      <c r="BA783" s="93"/>
      <c r="BB783" s="93"/>
      <c r="BC783" s="93"/>
      <c r="BD783" s="93"/>
      <c r="BE783" s="93"/>
      <c r="BF783" s="93"/>
      <c r="BG783" s="93"/>
      <c r="BH783" s="93"/>
      <c r="BI783" s="93"/>
      <c r="BJ783" s="93"/>
      <c r="BK783" s="93"/>
      <c r="BL783" s="93"/>
      <c r="BM783" s="93"/>
      <c r="BN783" s="93"/>
      <c r="BO783" s="93"/>
      <c r="BP783" s="93"/>
      <c r="BQ783" s="93"/>
      <c r="BR783" s="93"/>
      <c r="BS783" s="93"/>
      <c r="BT783" s="93"/>
      <c r="BU783" s="93"/>
      <c r="BV783" s="93"/>
      <c r="BW783" s="93"/>
      <c r="BX783" s="93"/>
      <c r="BY783" s="93"/>
      <c r="BZ783" s="93"/>
    </row>
    <row r="784">
      <c r="A784" t="s">
        <v>1331</v>
      </c>
      <c r="B784" t="s">
        <v>3156</v>
      </c>
      <c r="C784" s="89" t="s">
        <v>3157</v>
      </c>
      <c r="D784" s="90" t="s">
        <v>3158</v>
      </c>
      <c r="E784" s="91">
        <v>2016.0</v>
      </c>
      <c r="F784" s="104">
        <v>1.0</v>
      </c>
      <c r="G784" s="93"/>
      <c r="H784" s="93"/>
      <c r="I784" s="93"/>
      <c r="J784" s="93"/>
      <c r="K784" s="93"/>
      <c r="L784" s="93"/>
      <c r="M784" s="93"/>
      <c r="N784" s="93"/>
      <c r="O784" s="93"/>
      <c r="P784" s="93"/>
      <c r="Q784" s="93"/>
      <c r="R784" s="93"/>
      <c r="S784" s="93"/>
      <c r="T784" s="93"/>
      <c r="U784" s="93"/>
      <c r="V784" s="93"/>
      <c r="W784" s="93"/>
      <c r="X784" s="93"/>
      <c r="Y784" s="93"/>
      <c r="Z784" s="93"/>
      <c r="AA784" s="93"/>
      <c r="AB784" s="93"/>
      <c r="AC784" s="93"/>
      <c r="AD784" s="93"/>
      <c r="AE784" s="93"/>
      <c r="AF784" s="93"/>
      <c r="AG784" s="93"/>
      <c r="AH784" s="93"/>
      <c r="AI784" s="93"/>
      <c r="AJ784" s="93"/>
      <c r="AK784" s="93"/>
      <c r="AL784" s="93"/>
      <c r="AM784" s="93"/>
      <c r="AN784" s="93"/>
      <c r="AO784" s="93"/>
      <c r="AP784" s="93"/>
      <c r="AQ784" s="93"/>
      <c r="AR784" s="93"/>
      <c r="AS784" s="93"/>
      <c r="AT784" s="93"/>
      <c r="AU784" s="93"/>
      <c r="AV784" s="93"/>
      <c r="AW784" s="93"/>
      <c r="AX784" s="93"/>
      <c r="AY784" s="93"/>
      <c r="AZ784" s="93"/>
      <c r="BA784" s="93"/>
      <c r="BB784" s="93"/>
      <c r="BC784" s="93"/>
      <c r="BD784" s="93"/>
      <c r="BE784" s="93"/>
      <c r="BF784" s="93"/>
      <c r="BG784" s="93"/>
      <c r="BH784" s="93"/>
      <c r="BI784" s="93"/>
      <c r="BJ784" s="93"/>
      <c r="BK784" s="93"/>
      <c r="BL784" s="93"/>
      <c r="BM784" s="93"/>
      <c r="BN784" s="93"/>
      <c r="BO784" s="93"/>
      <c r="BP784" s="93"/>
      <c r="BQ784" s="93"/>
      <c r="BR784" s="93"/>
      <c r="BS784" s="93"/>
      <c r="BT784" s="93"/>
      <c r="BU784" s="93"/>
      <c r="BV784" s="93"/>
      <c r="BW784" s="93"/>
      <c r="BX784" s="93"/>
      <c r="BY784" s="93"/>
      <c r="BZ784" s="93"/>
    </row>
    <row r="785">
      <c r="B785" t="s">
        <v>3159</v>
      </c>
      <c r="C785" s="89" t="s">
        <v>3160</v>
      </c>
      <c r="D785" s="90" t="s">
        <v>3011</v>
      </c>
      <c r="E785" s="91">
        <v>2016.0</v>
      </c>
      <c r="F785" s="104">
        <v>1.0</v>
      </c>
      <c r="G785" s="93"/>
      <c r="H785" s="93"/>
      <c r="I785" s="93"/>
      <c r="J785" s="93"/>
      <c r="K785" s="93"/>
      <c r="L785" s="93"/>
      <c r="M785" s="93"/>
      <c r="N785" s="93"/>
      <c r="O785" s="93"/>
      <c r="P785" s="93"/>
      <c r="Q785" s="93"/>
      <c r="R785" s="93"/>
      <c r="S785" s="93"/>
      <c r="T785" s="93"/>
      <c r="U785" s="93"/>
      <c r="V785" s="93"/>
      <c r="W785" s="93"/>
      <c r="X785" s="93"/>
      <c r="Y785" s="93"/>
      <c r="Z785" s="93"/>
      <c r="AA785" s="93"/>
      <c r="AB785" s="93"/>
      <c r="AC785" s="93"/>
      <c r="AD785" s="93"/>
      <c r="AE785" s="93"/>
      <c r="AF785" s="93"/>
      <c r="AG785" s="93"/>
      <c r="AH785" s="93"/>
      <c r="AI785" s="93"/>
      <c r="AJ785" s="93"/>
      <c r="AK785" s="93"/>
      <c r="AL785" s="93"/>
      <c r="AM785" s="93"/>
      <c r="AN785" s="93"/>
      <c r="AO785" s="93"/>
      <c r="AP785" s="93"/>
      <c r="AQ785" s="93"/>
      <c r="AR785" s="93"/>
      <c r="AS785" s="93"/>
      <c r="AT785" s="93"/>
      <c r="AU785" s="93"/>
      <c r="AV785" s="93"/>
      <c r="AW785" s="93"/>
      <c r="AX785" s="93"/>
      <c r="AY785" s="93"/>
      <c r="AZ785" s="93"/>
      <c r="BA785" s="93"/>
      <c r="BB785" s="93"/>
      <c r="BC785" s="93"/>
      <c r="BD785" s="93"/>
      <c r="BE785" s="93"/>
      <c r="BF785" s="93"/>
      <c r="BG785" s="93"/>
      <c r="BH785" s="93"/>
      <c r="BI785" s="93"/>
      <c r="BJ785" s="93"/>
      <c r="BK785" s="93"/>
      <c r="BL785" s="93"/>
      <c r="BM785" s="93"/>
      <c r="BN785" s="93"/>
      <c r="BO785" s="93"/>
      <c r="BP785" s="93"/>
      <c r="BQ785" s="93"/>
      <c r="BR785" s="93"/>
      <c r="BS785" s="93"/>
      <c r="BT785" s="93"/>
      <c r="BU785" s="93"/>
      <c r="BV785" s="93"/>
      <c r="BW785" s="93"/>
      <c r="BX785" s="93"/>
      <c r="BY785" s="93"/>
      <c r="BZ785" s="93"/>
    </row>
    <row r="786">
      <c r="B786" t="s">
        <v>3161</v>
      </c>
      <c r="C786" s="89" t="s">
        <v>3162</v>
      </c>
      <c r="D786" s="90" t="s">
        <v>3163</v>
      </c>
      <c r="E786" s="91">
        <v>2019.0</v>
      </c>
      <c r="F786" s="104">
        <v>1.0</v>
      </c>
      <c r="G786" s="93"/>
      <c r="H786" s="93"/>
      <c r="I786" s="93"/>
      <c r="J786" s="93"/>
      <c r="K786" s="93"/>
      <c r="L786" s="93"/>
      <c r="M786" s="93"/>
      <c r="N786" s="93"/>
      <c r="O786" s="93"/>
      <c r="P786" s="93"/>
      <c r="Q786" s="93"/>
      <c r="R786" s="93"/>
      <c r="S786" s="93"/>
      <c r="T786" s="93"/>
      <c r="U786" s="93"/>
      <c r="V786" s="93"/>
      <c r="W786" s="93"/>
      <c r="X786" s="93"/>
      <c r="Y786" s="93"/>
      <c r="Z786" s="93"/>
      <c r="AA786" s="93"/>
      <c r="AB786" s="93"/>
      <c r="AC786" s="93"/>
      <c r="AD786" s="93"/>
      <c r="AE786" s="93"/>
      <c r="AF786" s="93"/>
      <c r="AG786" s="93"/>
      <c r="AH786" s="93"/>
      <c r="AI786" s="93"/>
      <c r="AJ786" s="93"/>
      <c r="AK786" s="93"/>
      <c r="AL786" s="93"/>
      <c r="AM786" s="93"/>
      <c r="AN786" s="93"/>
      <c r="AO786" s="93"/>
      <c r="AP786" s="93"/>
      <c r="AQ786" s="93"/>
      <c r="AR786" s="93"/>
      <c r="AS786" s="93"/>
      <c r="AT786" s="93"/>
      <c r="AU786" s="93"/>
      <c r="AV786" s="93"/>
      <c r="AW786" s="93"/>
      <c r="AX786" s="93"/>
      <c r="AY786" s="93"/>
      <c r="AZ786" s="93"/>
      <c r="BA786" s="93"/>
      <c r="BB786" s="93"/>
      <c r="BC786" s="93"/>
      <c r="BD786" s="93"/>
      <c r="BE786" s="93"/>
      <c r="BF786" s="93"/>
      <c r="BG786" s="93"/>
      <c r="BH786" s="93"/>
      <c r="BI786" s="93"/>
      <c r="BJ786" s="93"/>
      <c r="BK786" s="93"/>
      <c r="BL786" s="93"/>
      <c r="BM786" s="93"/>
      <c r="BN786" s="93"/>
      <c r="BO786" s="93"/>
      <c r="BP786" s="93"/>
      <c r="BQ786" s="93"/>
      <c r="BR786" s="93"/>
      <c r="BS786" s="93"/>
      <c r="BT786" s="93"/>
      <c r="BU786" s="93"/>
      <c r="BV786" s="93"/>
      <c r="BW786" s="93"/>
      <c r="BX786" s="93"/>
      <c r="BY786" s="93"/>
      <c r="BZ786" s="93"/>
    </row>
    <row r="787">
      <c r="A787" t="s">
        <v>1340</v>
      </c>
      <c r="B787" t="s">
        <v>3164</v>
      </c>
      <c r="C787" s="89" t="s">
        <v>3165</v>
      </c>
      <c r="D787" s="90" t="s">
        <v>3083</v>
      </c>
      <c r="E787" s="91">
        <v>2014.0</v>
      </c>
      <c r="F787" s="104">
        <v>1.0</v>
      </c>
      <c r="G787" s="93"/>
      <c r="H787" s="93"/>
      <c r="I787" s="93"/>
      <c r="J787" s="93"/>
      <c r="K787" s="93"/>
      <c r="L787" s="93"/>
      <c r="M787" s="93"/>
      <c r="N787" s="93"/>
      <c r="O787" s="93"/>
      <c r="P787" s="93"/>
      <c r="Q787" s="93"/>
      <c r="R787" s="93"/>
      <c r="S787" s="93"/>
      <c r="T787" s="93"/>
      <c r="U787" s="93"/>
      <c r="V787" s="93"/>
      <c r="W787" s="93"/>
      <c r="X787" s="93"/>
      <c r="Y787" s="93"/>
      <c r="Z787" s="93"/>
      <c r="AA787" s="93"/>
      <c r="AB787" s="93"/>
      <c r="AC787" s="93"/>
      <c r="AD787" s="93"/>
      <c r="AE787" s="93"/>
      <c r="AF787" s="93"/>
      <c r="AG787" s="93"/>
      <c r="AH787" s="93"/>
      <c r="AI787" s="93"/>
      <c r="AJ787" s="93"/>
      <c r="AK787" s="93"/>
      <c r="AL787" s="93"/>
      <c r="AM787" s="93"/>
      <c r="AN787" s="93"/>
      <c r="AO787" s="93"/>
      <c r="AP787" s="93"/>
      <c r="AQ787" s="93"/>
      <c r="AR787" s="93"/>
      <c r="AS787" s="93"/>
      <c r="AT787" s="93"/>
      <c r="AU787" s="93"/>
      <c r="AV787" s="93"/>
      <c r="AW787" s="93"/>
      <c r="AX787" s="93"/>
      <c r="AY787" s="93"/>
      <c r="AZ787" s="93"/>
      <c r="BA787" s="93"/>
      <c r="BB787" s="93"/>
      <c r="BC787" s="93"/>
      <c r="BD787" s="93"/>
      <c r="BE787" s="93"/>
      <c r="BF787" s="93"/>
      <c r="BG787" s="93"/>
      <c r="BH787" s="93"/>
      <c r="BI787" s="93"/>
      <c r="BJ787" s="93"/>
      <c r="BK787" s="93"/>
      <c r="BL787" s="93"/>
      <c r="BM787" s="93"/>
      <c r="BN787" s="93"/>
      <c r="BO787" s="93"/>
      <c r="BP787" s="93"/>
      <c r="BQ787" s="93"/>
      <c r="BR787" s="93"/>
      <c r="BS787" s="93"/>
      <c r="BT787" s="93"/>
      <c r="BU787" s="93"/>
      <c r="BV787" s="93"/>
      <c r="BW787" s="93"/>
      <c r="BX787" s="93"/>
      <c r="BY787" s="93"/>
      <c r="BZ787" s="93"/>
    </row>
    <row r="788">
      <c r="A788" t="s">
        <v>1354</v>
      </c>
      <c r="B788" t="s">
        <v>3166</v>
      </c>
      <c r="C788" s="89" t="s">
        <v>3167</v>
      </c>
      <c r="D788" s="90" t="s">
        <v>3069</v>
      </c>
      <c r="E788" s="91">
        <v>2015.0</v>
      </c>
      <c r="F788" s="104">
        <v>1.0</v>
      </c>
      <c r="G788" s="93"/>
      <c r="H788" s="93"/>
      <c r="I788" s="93"/>
      <c r="J788" s="93"/>
      <c r="K788" s="93"/>
      <c r="L788" s="93"/>
      <c r="M788" s="93"/>
      <c r="N788" s="93"/>
      <c r="O788" s="93"/>
      <c r="P788" s="93"/>
      <c r="Q788" s="93"/>
      <c r="R788" s="93"/>
      <c r="S788" s="93"/>
      <c r="T788" s="93"/>
      <c r="U788" s="93"/>
      <c r="V788" s="93"/>
      <c r="W788" s="93"/>
      <c r="X788" s="93"/>
      <c r="Y788" s="93"/>
      <c r="Z788" s="93"/>
      <c r="AA788" s="93"/>
      <c r="AB788" s="93"/>
      <c r="AC788" s="93"/>
      <c r="AD788" s="93"/>
      <c r="AE788" s="93"/>
      <c r="AF788" s="93"/>
      <c r="AG788" s="93"/>
      <c r="AH788" s="93"/>
      <c r="AI788" s="93"/>
      <c r="AJ788" s="93"/>
      <c r="AK788" s="93"/>
      <c r="AL788" s="93"/>
      <c r="AM788" s="93"/>
      <c r="AN788" s="93"/>
      <c r="AO788" s="93"/>
      <c r="AP788" s="93"/>
      <c r="AQ788" s="93"/>
      <c r="AR788" s="93"/>
      <c r="AS788" s="93"/>
      <c r="AT788" s="93"/>
      <c r="AU788" s="93"/>
      <c r="AV788" s="93"/>
      <c r="AW788" s="93"/>
      <c r="AX788" s="93"/>
      <c r="AY788" s="93"/>
      <c r="AZ788" s="93"/>
      <c r="BA788" s="93"/>
      <c r="BB788" s="93"/>
      <c r="BC788" s="93"/>
      <c r="BD788" s="93"/>
      <c r="BE788" s="93"/>
      <c r="BF788" s="93"/>
      <c r="BG788" s="93"/>
      <c r="BH788" s="93"/>
      <c r="BI788" s="93"/>
      <c r="BJ788" s="93"/>
      <c r="BK788" s="93"/>
      <c r="BL788" s="93"/>
      <c r="BM788" s="93"/>
      <c r="BN788" s="93"/>
      <c r="BO788" s="93"/>
      <c r="BP788" s="93"/>
      <c r="BQ788" s="93"/>
      <c r="BR788" s="93"/>
      <c r="BS788" s="93"/>
      <c r="BT788" s="93"/>
      <c r="BU788" s="93"/>
      <c r="BV788" s="93"/>
      <c r="BW788" s="93"/>
      <c r="BX788" s="93"/>
      <c r="BY788" s="93"/>
      <c r="BZ788" s="93"/>
    </row>
    <row r="789">
      <c r="B789" t="s">
        <v>3168</v>
      </c>
      <c r="C789" s="89" t="s">
        <v>3169</v>
      </c>
      <c r="D789" s="90" t="s">
        <v>2874</v>
      </c>
      <c r="E789" s="91">
        <v>2017.0</v>
      </c>
      <c r="F789" s="104">
        <v>1.0</v>
      </c>
      <c r="G789" s="93"/>
      <c r="H789" s="93"/>
      <c r="I789" s="93"/>
      <c r="J789" s="93"/>
      <c r="K789" s="93"/>
      <c r="L789" s="93"/>
      <c r="M789" s="93"/>
      <c r="N789" s="93"/>
      <c r="O789" s="93"/>
      <c r="P789" s="93"/>
      <c r="Q789" s="93"/>
      <c r="R789" s="93"/>
      <c r="S789" s="93"/>
      <c r="T789" s="93"/>
      <c r="U789" s="93"/>
      <c r="V789" s="93"/>
      <c r="W789" s="93"/>
      <c r="X789" s="93"/>
      <c r="Y789" s="93"/>
      <c r="Z789" s="93"/>
      <c r="AA789" s="93"/>
      <c r="AB789" s="93"/>
      <c r="AC789" s="93"/>
      <c r="AD789" s="93"/>
      <c r="AE789" s="93"/>
      <c r="AF789" s="93"/>
      <c r="AG789" s="93"/>
      <c r="AH789" s="93"/>
      <c r="AI789" s="93"/>
      <c r="AJ789" s="93"/>
      <c r="AK789" s="93"/>
      <c r="AL789" s="93"/>
      <c r="AM789" s="93"/>
      <c r="AN789" s="93"/>
      <c r="AO789" s="93"/>
      <c r="AP789" s="93"/>
      <c r="AQ789" s="93"/>
      <c r="AR789" s="93"/>
      <c r="AS789" s="93"/>
      <c r="AT789" s="93"/>
      <c r="AU789" s="93"/>
      <c r="AV789" s="93"/>
      <c r="AW789" s="93"/>
      <c r="AX789" s="93"/>
      <c r="AY789" s="93"/>
      <c r="AZ789" s="93"/>
      <c r="BA789" s="93"/>
      <c r="BB789" s="93"/>
      <c r="BC789" s="93"/>
      <c r="BD789" s="93"/>
      <c r="BE789" s="93"/>
      <c r="BF789" s="93"/>
      <c r="BG789" s="93"/>
      <c r="BH789" s="93"/>
      <c r="BI789" s="93"/>
      <c r="BJ789" s="93"/>
      <c r="BK789" s="93"/>
      <c r="BL789" s="93"/>
      <c r="BM789" s="93"/>
      <c r="BN789" s="93"/>
      <c r="BO789" s="93"/>
      <c r="BP789" s="93"/>
      <c r="BQ789" s="93"/>
      <c r="BR789" s="93"/>
      <c r="BS789" s="93"/>
      <c r="BT789" s="93"/>
      <c r="BU789" s="93"/>
      <c r="BV789" s="93"/>
      <c r="BW789" s="93"/>
      <c r="BX789" s="93"/>
      <c r="BY789" s="93"/>
      <c r="BZ789" s="93"/>
    </row>
    <row r="790">
      <c r="B790" t="s">
        <v>3170</v>
      </c>
      <c r="C790" s="89" t="s">
        <v>3171</v>
      </c>
      <c r="D790" s="90" t="s">
        <v>3172</v>
      </c>
      <c r="E790" s="91">
        <v>2019.0</v>
      </c>
      <c r="F790" s="104">
        <v>1.0</v>
      </c>
      <c r="G790" s="93"/>
      <c r="H790" s="93"/>
      <c r="I790" s="93"/>
      <c r="J790" s="93"/>
      <c r="K790" s="93"/>
      <c r="L790" s="93"/>
      <c r="M790" s="93"/>
      <c r="N790" s="93"/>
      <c r="O790" s="93"/>
      <c r="P790" s="93"/>
      <c r="Q790" s="93"/>
      <c r="R790" s="93"/>
      <c r="S790" s="93"/>
      <c r="T790" s="93"/>
      <c r="U790" s="93"/>
      <c r="V790" s="93"/>
      <c r="W790" s="93"/>
      <c r="X790" s="93"/>
      <c r="Y790" s="93"/>
      <c r="Z790" s="93"/>
      <c r="AA790" s="93"/>
      <c r="AB790" s="93"/>
      <c r="AC790" s="93"/>
      <c r="AD790" s="93"/>
      <c r="AE790" s="93"/>
      <c r="AF790" s="93"/>
      <c r="AG790" s="93"/>
      <c r="AH790" s="93"/>
      <c r="AI790" s="93"/>
      <c r="AJ790" s="93"/>
      <c r="AK790" s="93"/>
      <c r="AL790" s="93"/>
      <c r="AM790" s="93"/>
      <c r="AN790" s="93"/>
      <c r="AO790" s="93"/>
      <c r="AP790" s="93"/>
      <c r="AQ790" s="93"/>
      <c r="AR790" s="93"/>
      <c r="AS790" s="93"/>
      <c r="AT790" s="93"/>
      <c r="AU790" s="93"/>
      <c r="AV790" s="93"/>
      <c r="AW790" s="93"/>
      <c r="AX790" s="93"/>
      <c r="AY790" s="93"/>
      <c r="AZ790" s="93"/>
      <c r="BA790" s="93"/>
      <c r="BB790" s="93"/>
      <c r="BC790" s="93"/>
      <c r="BD790" s="93"/>
      <c r="BE790" s="93"/>
      <c r="BF790" s="93"/>
      <c r="BG790" s="93"/>
      <c r="BH790" s="93"/>
      <c r="BI790" s="93"/>
      <c r="BJ790" s="93"/>
      <c r="BK790" s="93"/>
      <c r="BL790" s="93"/>
      <c r="BM790" s="93"/>
      <c r="BN790" s="93"/>
      <c r="BO790" s="93"/>
      <c r="BP790" s="93"/>
      <c r="BQ790" s="93"/>
      <c r="BR790" s="93"/>
      <c r="BS790" s="93"/>
      <c r="BT790" s="93"/>
      <c r="BU790" s="93"/>
      <c r="BV790" s="93"/>
      <c r="BW790" s="93"/>
      <c r="BX790" s="93"/>
      <c r="BY790" s="93"/>
      <c r="BZ790" s="93"/>
    </row>
    <row r="791">
      <c r="A791" t="s">
        <v>116</v>
      </c>
      <c r="B791" t="s">
        <v>3173</v>
      </c>
      <c r="C791" s="89" t="s">
        <v>3174</v>
      </c>
      <c r="D791" s="90" t="s">
        <v>268</v>
      </c>
      <c r="E791" s="91">
        <v>2019.0</v>
      </c>
      <c r="F791" s="104">
        <v>1.0</v>
      </c>
      <c r="G791" s="93"/>
      <c r="H791" s="93"/>
      <c r="I791" s="93"/>
      <c r="J791" s="93"/>
      <c r="K791" s="93"/>
      <c r="L791" s="93"/>
      <c r="M791" s="93"/>
      <c r="N791" s="93"/>
      <c r="O791" s="93"/>
      <c r="P791" s="93"/>
      <c r="Q791" s="93"/>
      <c r="R791" s="93"/>
      <c r="S791" s="93"/>
      <c r="T791" s="93"/>
      <c r="U791" s="93"/>
      <c r="V791" s="93"/>
      <c r="W791" s="93"/>
      <c r="X791" s="93"/>
      <c r="Y791" s="93"/>
      <c r="Z791" s="93"/>
      <c r="AA791" s="93"/>
      <c r="AB791" s="93"/>
      <c r="AC791" s="93"/>
      <c r="AD791" s="93"/>
      <c r="AE791" s="93"/>
      <c r="AF791" s="93"/>
      <c r="AG791" s="93"/>
      <c r="AH791" s="93"/>
      <c r="AI791" s="93"/>
      <c r="AJ791" s="93"/>
      <c r="AK791" s="93"/>
      <c r="AL791" s="93"/>
      <c r="AM791" s="93"/>
      <c r="AN791" s="93"/>
      <c r="AO791" s="93"/>
      <c r="AP791" s="93"/>
      <c r="AQ791" s="93"/>
      <c r="AR791" s="93"/>
      <c r="AS791" s="93"/>
      <c r="AT791" s="93"/>
      <c r="AU791" s="93"/>
      <c r="AV791" s="93"/>
      <c r="AW791" s="93"/>
      <c r="AX791" s="93"/>
      <c r="AY791" s="93"/>
      <c r="AZ791" s="93"/>
      <c r="BA791" s="93"/>
      <c r="BB791" s="93"/>
      <c r="BC791" s="93"/>
      <c r="BD791" s="93"/>
      <c r="BE791" s="93"/>
      <c r="BF791" s="93"/>
      <c r="BG791" s="93"/>
      <c r="BH791" s="93"/>
      <c r="BI791" s="93"/>
      <c r="BJ791" s="93"/>
      <c r="BK791" s="93"/>
      <c r="BL791" s="93"/>
      <c r="BM791" s="93"/>
      <c r="BN791" s="93"/>
      <c r="BO791" s="93"/>
      <c r="BP791" s="93"/>
      <c r="BQ791" s="93"/>
      <c r="BR791" s="93"/>
      <c r="BS791" s="93"/>
      <c r="BT791" s="93"/>
      <c r="BU791" s="93"/>
      <c r="BV791" s="93"/>
      <c r="BW791" s="93"/>
      <c r="BX791" s="93"/>
      <c r="BY791" s="93"/>
      <c r="BZ791" s="93"/>
    </row>
    <row r="792">
      <c r="B792" t="s">
        <v>3175</v>
      </c>
      <c r="C792" s="89" t="s">
        <v>3176</v>
      </c>
      <c r="D792" s="90" t="s">
        <v>3177</v>
      </c>
      <c r="E792" s="91">
        <v>2018.0</v>
      </c>
      <c r="F792" s="104">
        <v>1.0</v>
      </c>
      <c r="G792" s="93"/>
      <c r="H792" s="93"/>
      <c r="I792" s="93"/>
      <c r="J792" s="93"/>
      <c r="K792" s="93"/>
      <c r="L792" s="93"/>
      <c r="M792" s="93"/>
      <c r="N792" s="93"/>
      <c r="O792" s="93"/>
      <c r="P792" s="93"/>
      <c r="Q792" s="93"/>
      <c r="R792" s="93"/>
      <c r="S792" s="93"/>
      <c r="T792" s="93"/>
      <c r="U792" s="93"/>
      <c r="V792" s="93"/>
      <c r="W792" s="93"/>
      <c r="X792" s="93"/>
      <c r="Y792" s="93"/>
      <c r="Z792" s="93"/>
      <c r="AA792" s="93"/>
      <c r="AB792" s="93"/>
      <c r="AC792" s="93"/>
      <c r="AD792" s="93"/>
      <c r="AE792" s="93"/>
      <c r="AF792" s="93"/>
      <c r="AG792" s="93"/>
      <c r="AH792" s="93"/>
      <c r="AI792" s="93"/>
      <c r="AJ792" s="93"/>
      <c r="AK792" s="93"/>
      <c r="AL792" s="93"/>
      <c r="AM792" s="93"/>
      <c r="AN792" s="93"/>
      <c r="AO792" s="93"/>
      <c r="AP792" s="93"/>
      <c r="AQ792" s="93"/>
      <c r="AR792" s="93"/>
      <c r="AS792" s="93"/>
      <c r="AT792" s="93"/>
      <c r="AU792" s="93"/>
      <c r="AV792" s="93"/>
      <c r="AW792" s="93"/>
      <c r="AX792" s="93"/>
      <c r="AY792" s="93"/>
      <c r="AZ792" s="93"/>
      <c r="BA792" s="93"/>
      <c r="BB792" s="93"/>
      <c r="BC792" s="93"/>
      <c r="BD792" s="93"/>
      <c r="BE792" s="93"/>
      <c r="BF792" s="93"/>
      <c r="BG792" s="93"/>
      <c r="BH792" s="93"/>
      <c r="BI792" s="93"/>
      <c r="BJ792" s="93"/>
      <c r="BK792" s="93"/>
      <c r="BL792" s="93"/>
      <c r="BM792" s="93"/>
      <c r="BN792" s="93"/>
      <c r="BO792" s="93"/>
      <c r="BP792" s="93"/>
      <c r="BQ792" s="93"/>
      <c r="BR792" s="93"/>
      <c r="BS792" s="93"/>
      <c r="BT792" s="93"/>
      <c r="BU792" s="93"/>
      <c r="BV792" s="93"/>
      <c r="BW792" s="93"/>
      <c r="BX792" s="93"/>
      <c r="BY792" s="93"/>
      <c r="BZ792" s="93"/>
    </row>
    <row r="793">
      <c r="B793" t="s">
        <v>3178</v>
      </c>
      <c r="C793" s="89" t="s">
        <v>3179</v>
      </c>
      <c r="D793" s="90" t="s">
        <v>2909</v>
      </c>
      <c r="E793" s="91">
        <v>2020.0</v>
      </c>
      <c r="F793" s="104">
        <v>1.0</v>
      </c>
      <c r="G793" s="93"/>
      <c r="H793" s="93"/>
      <c r="I793" s="93"/>
      <c r="J793" s="93"/>
      <c r="K793" s="93"/>
      <c r="L793" s="93"/>
      <c r="M793" s="93"/>
      <c r="N793" s="93"/>
      <c r="O793" s="93"/>
      <c r="P793" s="93"/>
      <c r="Q793" s="93"/>
      <c r="R793" s="93"/>
      <c r="S793" s="93"/>
      <c r="T793" s="93"/>
      <c r="U793" s="93"/>
      <c r="V793" s="93"/>
      <c r="W793" s="93"/>
      <c r="X793" s="93"/>
      <c r="Y793" s="93"/>
      <c r="Z793" s="93"/>
      <c r="AA793" s="93"/>
      <c r="AB793" s="93"/>
      <c r="AC793" s="93"/>
      <c r="AD793" s="93"/>
      <c r="AE793" s="93"/>
      <c r="AF793" s="93"/>
      <c r="AG793" s="93"/>
      <c r="AH793" s="93"/>
      <c r="AI793" s="93"/>
      <c r="AJ793" s="93"/>
      <c r="AK793" s="93"/>
      <c r="AL793" s="93"/>
      <c r="AM793" s="93"/>
      <c r="AN793" s="93"/>
      <c r="AO793" s="93"/>
      <c r="AP793" s="93"/>
      <c r="AQ793" s="93"/>
      <c r="AR793" s="93"/>
      <c r="AS793" s="93"/>
      <c r="AT793" s="93"/>
      <c r="AU793" s="93"/>
      <c r="AV793" s="93"/>
      <c r="AW793" s="93"/>
      <c r="AX793" s="93"/>
      <c r="AY793" s="93"/>
      <c r="AZ793" s="93"/>
      <c r="BA793" s="93"/>
      <c r="BB793" s="93"/>
      <c r="BC793" s="93"/>
      <c r="BD793" s="93"/>
      <c r="BE793" s="93"/>
      <c r="BF793" s="93"/>
      <c r="BG793" s="93"/>
      <c r="BH793" s="93"/>
      <c r="BI793" s="93"/>
      <c r="BJ793" s="93"/>
      <c r="BK793" s="93"/>
      <c r="BL793" s="93"/>
      <c r="BM793" s="93"/>
      <c r="BN793" s="93"/>
      <c r="BO793" s="93"/>
      <c r="BP793" s="93"/>
      <c r="BQ793" s="93"/>
      <c r="BR793" s="93"/>
      <c r="BS793" s="93"/>
      <c r="BT793" s="93"/>
      <c r="BU793" s="93"/>
      <c r="BV793" s="93"/>
      <c r="BW793" s="93"/>
      <c r="BX793" s="93"/>
      <c r="BY793" s="93"/>
      <c r="BZ793" s="93"/>
    </row>
    <row r="794">
      <c r="B794" t="s">
        <v>3180</v>
      </c>
      <c r="C794" s="89" t="s">
        <v>3181</v>
      </c>
      <c r="D794" s="90" t="s">
        <v>2874</v>
      </c>
      <c r="E794" s="91">
        <v>2018.0</v>
      </c>
      <c r="F794" s="104">
        <v>1.0</v>
      </c>
      <c r="G794" s="93"/>
      <c r="H794" s="93"/>
      <c r="I794" s="93"/>
      <c r="J794" s="93"/>
      <c r="K794" s="93"/>
      <c r="L794" s="93"/>
      <c r="M794" s="93"/>
      <c r="N794" s="93"/>
      <c r="O794" s="93"/>
      <c r="P794" s="93"/>
      <c r="Q794" s="93"/>
      <c r="R794" s="93"/>
      <c r="S794" s="93"/>
      <c r="T794" s="93"/>
      <c r="U794" s="93"/>
      <c r="V794" s="93"/>
      <c r="W794" s="93"/>
      <c r="X794" s="93"/>
      <c r="Y794" s="93"/>
      <c r="Z794" s="93"/>
      <c r="AA794" s="93"/>
      <c r="AB794" s="93"/>
      <c r="AC794" s="93"/>
      <c r="AD794" s="93"/>
      <c r="AE794" s="93"/>
      <c r="AF794" s="93"/>
      <c r="AG794" s="93"/>
      <c r="AH794" s="93"/>
      <c r="AI794" s="93"/>
      <c r="AJ794" s="93"/>
      <c r="AK794" s="93"/>
      <c r="AL794" s="93"/>
      <c r="AM794" s="93"/>
      <c r="AN794" s="93"/>
      <c r="AO794" s="93"/>
      <c r="AP794" s="93"/>
      <c r="AQ794" s="93"/>
      <c r="AR794" s="93"/>
      <c r="AS794" s="93"/>
      <c r="AT794" s="93"/>
      <c r="AU794" s="93"/>
      <c r="AV794" s="93"/>
      <c r="AW794" s="93"/>
      <c r="AX794" s="93"/>
      <c r="AY794" s="93"/>
      <c r="AZ794" s="93"/>
      <c r="BA794" s="93"/>
      <c r="BB794" s="93"/>
      <c r="BC794" s="93"/>
      <c r="BD794" s="93"/>
      <c r="BE794" s="93"/>
      <c r="BF794" s="93"/>
      <c r="BG794" s="93"/>
      <c r="BH794" s="93"/>
      <c r="BI794" s="93"/>
      <c r="BJ794" s="93"/>
      <c r="BK794" s="93"/>
      <c r="BL794" s="93"/>
      <c r="BM794" s="93"/>
      <c r="BN794" s="93"/>
      <c r="BO794" s="93"/>
      <c r="BP794" s="93"/>
      <c r="BQ794" s="93"/>
      <c r="BR794" s="93"/>
      <c r="BS794" s="93"/>
      <c r="BT794" s="93"/>
      <c r="BU794" s="93"/>
      <c r="BV794" s="93"/>
      <c r="BW794" s="93"/>
      <c r="BX794" s="93"/>
      <c r="BY794" s="93"/>
      <c r="BZ794" s="93"/>
    </row>
    <row r="795">
      <c r="B795" t="s">
        <v>3182</v>
      </c>
      <c r="C795" s="89" t="s">
        <v>3183</v>
      </c>
      <c r="D795" s="90" t="s">
        <v>2840</v>
      </c>
      <c r="E795" s="91">
        <v>2017.0</v>
      </c>
      <c r="F795" s="104">
        <v>1.0</v>
      </c>
      <c r="G795" s="93"/>
      <c r="H795" s="93"/>
      <c r="I795" s="93"/>
      <c r="J795" s="93"/>
      <c r="K795" s="93"/>
      <c r="L795" s="93"/>
      <c r="M795" s="93"/>
      <c r="N795" s="93"/>
      <c r="O795" s="93"/>
      <c r="P795" s="93"/>
      <c r="Q795" s="93"/>
      <c r="R795" s="93"/>
      <c r="S795" s="93"/>
      <c r="T795" s="93"/>
      <c r="U795" s="93"/>
      <c r="V795" s="93"/>
      <c r="W795" s="93"/>
      <c r="X795" s="93"/>
      <c r="Y795" s="93"/>
      <c r="Z795" s="93"/>
      <c r="AA795" s="93"/>
      <c r="AB795" s="93"/>
      <c r="AC795" s="93"/>
      <c r="AD795" s="93"/>
      <c r="AE795" s="93"/>
      <c r="AF795" s="93"/>
      <c r="AG795" s="93"/>
      <c r="AH795" s="93"/>
      <c r="AI795" s="93"/>
      <c r="AJ795" s="93"/>
      <c r="AK795" s="93"/>
      <c r="AL795" s="93"/>
      <c r="AM795" s="93"/>
      <c r="AN795" s="93"/>
      <c r="AO795" s="93"/>
      <c r="AP795" s="93"/>
      <c r="AQ795" s="93"/>
      <c r="AR795" s="93"/>
      <c r="AS795" s="93"/>
      <c r="AT795" s="93"/>
      <c r="AU795" s="93"/>
      <c r="AV795" s="93"/>
      <c r="AW795" s="93"/>
      <c r="AX795" s="93"/>
      <c r="AY795" s="93"/>
      <c r="AZ795" s="93"/>
      <c r="BA795" s="93"/>
      <c r="BB795" s="93"/>
      <c r="BC795" s="93"/>
      <c r="BD795" s="93"/>
      <c r="BE795" s="93"/>
      <c r="BF795" s="93"/>
      <c r="BG795" s="93"/>
      <c r="BH795" s="93"/>
      <c r="BI795" s="93"/>
      <c r="BJ795" s="93"/>
      <c r="BK795" s="93"/>
      <c r="BL795" s="93"/>
      <c r="BM795" s="93"/>
      <c r="BN795" s="93"/>
      <c r="BO795" s="93"/>
      <c r="BP795" s="93"/>
      <c r="BQ795" s="93"/>
      <c r="BR795" s="93"/>
      <c r="BS795" s="93"/>
      <c r="BT795" s="93"/>
      <c r="BU795" s="93"/>
      <c r="BV795" s="93"/>
      <c r="BW795" s="93"/>
      <c r="BX795" s="93"/>
      <c r="BY795" s="93"/>
      <c r="BZ795" s="93"/>
    </row>
    <row r="796">
      <c r="B796" t="s">
        <v>3184</v>
      </c>
      <c r="C796" s="89" t="s">
        <v>3185</v>
      </c>
      <c r="D796" s="90" t="s">
        <v>3186</v>
      </c>
      <c r="E796" s="91">
        <v>2019.0</v>
      </c>
      <c r="F796" s="104">
        <v>1.0</v>
      </c>
      <c r="G796" s="93"/>
      <c r="H796" s="93"/>
      <c r="I796" s="93"/>
      <c r="J796" s="93"/>
      <c r="K796" s="93"/>
      <c r="L796" s="93"/>
      <c r="M796" s="93"/>
      <c r="N796" s="93"/>
      <c r="O796" s="93"/>
      <c r="P796" s="93"/>
      <c r="Q796" s="93"/>
      <c r="R796" s="93"/>
      <c r="S796" s="93"/>
      <c r="T796" s="93"/>
      <c r="U796" s="93"/>
      <c r="V796" s="93"/>
      <c r="W796" s="93"/>
      <c r="X796" s="93"/>
      <c r="Y796" s="93"/>
      <c r="Z796" s="93"/>
      <c r="AA796" s="93"/>
      <c r="AB796" s="93"/>
      <c r="AC796" s="93"/>
      <c r="AD796" s="93"/>
      <c r="AE796" s="93"/>
      <c r="AF796" s="93"/>
      <c r="AG796" s="93"/>
      <c r="AH796" s="93"/>
      <c r="AI796" s="93"/>
      <c r="AJ796" s="93"/>
      <c r="AK796" s="93"/>
      <c r="AL796" s="93"/>
      <c r="AM796" s="93"/>
      <c r="AN796" s="93"/>
      <c r="AO796" s="93"/>
      <c r="AP796" s="93"/>
      <c r="AQ796" s="93"/>
      <c r="AR796" s="93"/>
      <c r="AS796" s="93"/>
      <c r="AT796" s="93"/>
      <c r="AU796" s="93"/>
      <c r="AV796" s="93"/>
      <c r="AW796" s="93"/>
      <c r="AX796" s="93"/>
      <c r="AY796" s="93"/>
      <c r="AZ796" s="93"/>
      <c r="BA796" s="93"/>
      <c r="BB796" s="93"/>
      <c r="BC796" s="93"/>
      <c r="BD796" s="93"/>
      <c r="BE796" s="93"/>
      <c r="BF796" s="93"/>
      <c r="BG796" s="93"/>
      <c r="BH796" s="93"/>
      <c r="BI796" s="93"/>
      <c r="BJ796" s="93"/>
      <c r="BK796" s="93"/>
      <c r="BL796" s="93"/>
      <c r="BM796" s="93"/>
      <c r="BN796" s="93"/>
      <c r="BO796" s="93"/>
      <c r="BP796" s="93"/>
      <c r="BQ796" s="93"/>
      <c r="BR796" s="93"/>
      <c r="BS796" s="93"/>
      <c r="BT796" s="93"/>
      <c r="BU796" s="93"/>
      <c r="BV796" s="93"/>
      <c r="BW796" s="93"/>
      <c r="BX796" s="93"/>
      <c r="BY796" s="93"/>
      <c r="BZ796" s="93"/>
    </row>
    <row r="797">
      <c r="B797" t="s">
        <v>3187</v>
      </c>
      <c r="C797" s="89" t="s">
        <v>3188</v>
      </c>
      <c r="D797" s="90" t="s">
        <v>3189</v>
      </c>
      <c r="E797" s="91">
        <v>2018.0</v>
      </c>
      <c r="F797" s="104">
        <v>1.0</v>
      </c>
      <c r="G797" s="93"/>
      <c r="H797" s="93"/>
      <c r="I797" s="93"/>
      <c r="J797" s="93"/>
      <c r="K797" s="93"/>
      <c r="L797" s="93"/>
      <c r="M797" s="93"/>
      <c r="N797" s="93"/>
      <c r="O797" s="93"/>
      <c r="P797" s="93"/>
      <c r="Q797" s="93"/>
      <c r="R797" s="93"/>
      <c r="S797" s="93"/>
      <c r="T797" s="93"/>
      <c r="U797" s="93"/>
      <c r="V797" s="93"/>
      <c r="W797" s="93"/>
      <c r="X797" s="93"/>
      <c r="Y797" s="93"/>
      <c r="Z797" s="93"/>
      <c r="AA797" s="93"/>
      <c r="AB797" s="93"/>
      <c r="AC797" s="93"/>
      <c r="AD797" s="93"/>
      <c r="AE797" s="93"/>
      <c r="AF797" s="93"/>
      <c r="AG797" s="93"/>
      <c r="AH797" s="93"/>
      <c r="AI797" s="93"/>
      <c r="AJ797" s="93"/>
      <c r="AK797" s="93"/>
      <c r="AL797" s="93"/>
      <c r="AM797" s="93"/>
      <c r="AN797" s="93"/>
      <c r="AO797" s="93"/>
      <c r="AP797" s="93"/>
      <c r="AQ797" s="93"/>
      <c r="AR797" s="93"/>
      <c r="AS797" s="93"/>
      <c r="AT797" s="93"/>
      <c r="AU797" s="93"/>
      <c r="AV797" s="93"/>
      <c r="AW797" s="93"/>
      <c r="AX797" s="93"/>
      <c r="AY797" s="93"/>
      <c r="AZ797" s="93"/>
      <c r="BA797" s="93"/>
      <c r="BB797" s="93"/>
      <c r="BC797" s="93"/>
      <c r="BD797" s="93"/>
      <c r="BE797" s="93"/>
      <c r="BF797" s="93"/>
      <c r="BG797" s="93"/>
      <c r="BH797" s="93"/>
      <c r="BI797" s="93"/>
      <c r="BJ797" s="93"/>
      <c r="BK797" s="93"/>
      <c r="BL797" s="93"/>
      <c r="BM797" s="93"/>
      <c r="BN797" s="93"/>
      <c r="BO797" s="93"/>
      <c r="BP797" s="93"/>
      <c r="BQ797" s="93"/>
      <c r="BR797" s="93"/>
      <c r="BS797" s="93"/>
      <c r="BT797" s="93"/>
      <c r="BU797" s="93"/>
      <c r="BV797" s="93"/>
      <c r="BW797" s="93"/>
      <c r="BX797" s="93"/>
      <c r="BY797" s="93"/>
      <c r="BZ797" s="93"/>
    </row>
    <row r="798">
      <c r="B798" t="s">
        <v>3190</v>
      </c>
      <c r="C798" s="89" t="s">
        <v>3191</v>
      </c>
      <c r="D798" s="90" t="s">
        <v>3113</v>
      </c>
      <c r="E798" s="91">
        <v>2020.0</v>
      </c>
      <c r="F798" s="93" t="s">
        <v>1488</v>
      </c>
      <c r="G798" s="93"/>
      <c r="H798" s="93"/>
      <c r="I798" s="93"/>
      <c r="J798" s="93"/>
      <c r="K798" s="93"/>
      <c r="L798" s="93"/>
      <c r="M798" s="93"/>
      <c r="N798" s="93"/>
      <c r="O798" s="93"/>
      <c r="P798" s="93"/>
      <c r="Q798" s="93"/>
      <c r="R798" s="93"/>
      <c r="S798" s="93"/>
      <c r="T798" s="93"/>
      <c r="U798" s="93"/>
      <c r="V798" s="93"/>
      <c r="W798" s="93"/>
      <c r="X798" s="93"/>
      <c r="Y798" s="93"/>
      <c r="Z798" s="93"/>
      <c r="AA798" s="93"/>
      <c r="AB798" s="93"/>
      <c r="AC798" s="93"/>
      <c r="AD798" s="93"/>
      <c r="AE798" s="93"/>
      <c r="AF798" s="93"/>
      <c r="AG798" s="93"/>
      <c r="AH798" s="93"/>
      <c r="AI798" s="93"/>
      <c r="AJ798" s="93"/>
      <c r="AK798" s="93"/>
      <c r="AL798" s="93"/>
      <c r="AM798" s="93"/>
      <c r="AN798" s="93"/>
      <c r="AO798" s="93"/>
      <c r="AP798" s="93"/>
      <c r="AQ798" s="93"/>
      <c r="AR798" s="93"/>
      <c r="AS798" s="93"/>
      <c r="AT798" s="93"/>
      <c r="AU798" s="93"/>
      <c r="AV798" s="93"/>
      <c r="AW798" s="93"/>
      <c r="AX798" s="93"/>
      <c r="AY798" s="93"/>
      <c r="AZ798" s="93"/>
      <c r="BA798" s="93"/>
      <c r="BB798" s="93"/>
      <c r="BC798" s="93"/>
      <c r="BD798" s="93"/>
      <c r="BE798" s="93"/>
      <c r="BF798" s="93"/>
      <c r="BG798" s="93"/>
      <c r="BH798" s="93"/>
      <c r="BI798" s="93"/>
      <c r="BJ798" s="93"/>
      <c r="BK798" s="93"/>
      <c r="BL798" s="93"/>
      <c r="BM798" s="93"/>
      <c r="BN798" s="93"/>
      <c r="BO798" s="93"/>
      <c r="BP798" s="93"/>
      <c r="BQ798" s="93"/>
      <c r="BR798" s="93"/>
      <c r="BS798" s="93"/>
      <c r="BT798" s="93"/>
      <c r="BU798" s="93"/>
      <c r="BV798" s="93"/>
      <c r="BW798" s="93"/>
      <c r="BX798" s="93"/>
      <c r="BY798" s="93"/>
      <c r="BZ798" s="93"/>
    </row>
    <row r="799">
      <c r="B799" t="s">
        <v>3192</v>
      </c>
      <c r="C799" s="89" t="s">
        <v>3193</v>
      </c>
      <c r="D799" s="90" t="s">
        <v>3194</v>
      </c>
      <c r="E799" s="91">
        <v>2018.0</v>
      </c>
      <c r="F799" s="104">
        <v>1.0</v>
      </c>
      <c r="G799" s="93"/>
      <c r="H799" s="93"/>
      <c r="I799" s="93"/>
      <c r="J799" s="93"/>
      <c r="K799" s="93"/>
      <c r="L799" s="93"/>
      <c r="M799" s="93"/>
      <c r="N799" s="93"/>
      <c r="O799" s="93"/>
      <c r="P799" s="93"/>
      <c r="Q799" s="93"/>
      <c r="R799" s="93"/>
      <c r="S799" s="93"/>
      <c r="T799" s="93"/>
      <c r="U799" s="93"/>
      <c r="V799" s="93"/>
      <c r="W799" s="93"/>
      <c r="X799" s="93"/>
      <c r="Y799" s="93"/>
      <c r="Z799" s="93"/>
      <c r="AA799" s="93"/>
      <c r="AB799" s="93"/>
      <c r="AC799" s="93"/>
      <c r="AD799" s="93"/>
      <c r="AE799" s="93"/>
      <c r="AF799" s="93"/>
      <c r="AG799" s="93"/>
      <c r="AH799" s="93"/>
      <c r="AI799" s="93"/>
      <c r="AJ799" s="93"/>
      <c r="AK799" s="93"/>
      <c r="AL799" s="93"/>
      <c r="AM799" s="93"/>
      <c r="AN799" s="93"/>
      <c r="AO799" s="93"/>
      <c r="AP799" s="93"/>
      <c r="AQ799" s="93"/>
      <c r="AR799" s="93"/>
      <c r="AS799" s="93"/>
      <c r="AT799" s="93"/>
      <c r="AU799" s="93"/>
      <c r="AV799" s="93"/>
      <c r="AW799" s="93"/>
      <c r="AX799" s="93"/>
      <c r="AY799" s="93"/>
      <c r="AZ799" s="93"/>
      <c r="BA799" s="93"/>
      <c r="BB799" s="93"/>
      <c r="BC799" s="93"/>
      <c r="BD799" s="93"/>
      <c r="BE799" s="93"/>
      <c r="BF799" s="93"/>
      <c r="BG799" s="93"/>
      <c r="BH799" s="93"/>
      <c r="BI799" s="93"/>
      <c r="BJ799" s="93"/>
      <c r="BK799" s="93"/>
      <c r="BL799" s="93"/>
      <c r="BM799" s="93"/>
      <c r="BN799" s="93"/>
      <c r="BO799" s="93"/>
      <c r="BP799" s="93"/>
      <c r="BQ799" s="93"/>
      <c r="BR799" s="93"/>
      <c r="BS799" s="93"/>
      <c r="BT799" s="93"/>
      <c r="BU799" s="93"/>
      <c r="BV799" s="93"/>
      <c r="BW799" s="93"/>
      <c r="BX799" s="93"/>
      <c r="BY799" s="93"/>
      <c r="BZ799" s="93"/>
    </row>
    <row r="800">
      <c r="B800" t="s">
        <v>3195</v>
      </c>
      <c r="C800" s="89" t="s">
        <v>3196</v>
      </c>
      <c r="D800" s="90" t="s">
        <v>3197</v>
      </c>
      <c r="E800" s="91">
        <v>2017.0</v>
      </c>
      <c r="F800" s="104">
        <v>1.0</v>
      </c>
      <c r="G800" s="93"/>
      <c r="H800" s="93"/>
      <c r="I800" s="93"/>
      <c r="J800" s="93"/>
      <c r="K800" s="93"/>
      <c r="L800" s="93"/>
      <c r="M800" s="93"/>
      <c r="N800" s="93"/>
      <c r="O800" s="93"/>
      <c r="P800" s="93"/>
      <c r="Q800" s="93"/>
      <c r="R800" s="93"/>
      <c r="S800" s="93"/>
      <c r="T800" s="93"/>
      <c r="U800" s="93"/>
      <c r="V800" s="93"/>
      <c r="W800" s="93"/>
      <c r="X800" s="93"/>
      <c r="Y800" s="93"/>
      <c r="Z800" s="93"/>
      <c r="AA800" s="93"/>
      <c r="AB800" s="93"/>
      <c r="AC800" s="93"/>
      <c r="AD800" s="93"/>
      <c r="AE800" s="93"/>
      <c r="AF800" s="93"/>
      <c r="AG800" s="93"/>
      <c r="AH800" s="93"/>
      <c r="AI800" s="93"/>
      <c r="AJ800" s="93"/>
      <c r="AK800" s="93"/>
      <c r="AL800" s="93"/>
      <c r="AM800" s="93"/>
      <c r="AN800" s="93"/>
      <c r="AO800" s="93"/>
      <c r="AP800" s="93"/>
      <c r="AQ800" s="93"/>
      <c r="AR800" s="93"/>
      <c r="AS800" s="93"/>
      <c r="AT800" s="93"/>
      <c r="AU800" s="93"/>
      <c r="AV800" s="93"/>
      <c r="AW800" s="93"/>
      <c r="AX800" s="93"/>
      <c r="AY800" s="93"/>
      <c r="AZ800" s="93"/>
      <c r="BA800" s="93"/>
      <c r="BB800" s="93"/>
      <c r="BC800" s="93"/>
      <c r="BD800" s="93"/>
      <c r="BE800" s="93"/>
      <c r="BF800" s="93"/>
      <c r="BG800" s="93"/>
      <c r="BH800" s="93"/>
      <c r="BI800" s="93"/>
      <c r="BJ800" s="93"/>
      <c r="BK800" s="93"/>
      <c r="BL800" s="93"/>
      <c r="BM800" s="93"/>
      <c r="BN800" s="93"/>
      <c r="BO800" s="93"/>
      <c r="BP800" s="93"/>
      <c r="BQ800" s="93"/>
      <c r="BR800" s="93"/>
      <c r="BS800" s="93"/>
      <c r="BT800" s="93"/>
      <c r="BU800" s="93"/>
      <c r="BV800" s="93"/>
      <c r="BW800" s="93"/>
      <c r="BX800" s="93"/>
      <c r="BY800" s="93"/>
      <c r="BZ800" s="93"/>
    </row>
    <row r="801">
      <c r="B801" t="s">
        <v>3198</v>
      </c>
      <c r="C801" s="89" t="s">
        <v>3199</v>
      </c>
      <c r="D801" s="90" t="s">
        <v>2856</v>
      </c>
      <c r="E801" s="91">
        <v>2019.0</v>
      </c>
      <c r="F801" s="104">
        <v>1.0</v>
      </c>
      <c r="G801" s="93"/>
      <c r="H801" s="93"/>
      <c r="I801" s="93"/>
      <c r="J801" s="93"/>
      <c r="K801" s="93"/>
      <c r="L801" s="93"/>
      <c r="M801" s="93"/>
      <c r="N801" s="93"/>
      <c r="O801" s="93"/>
      <c r="P801" s="93"/>
      <c r="Q801" s="93"/>
      <c r="R801" s="93"/>
      <c r="S801" s="93"/>
      <c r="T801" s="93"/>
      <c r="U801" s="93"/>
      <c r="V801" s="93"/>
      <c r="W801" s="93"/>
      <c r="X801" s="93"/>
      <c r="Y801" s="93"/>
      <c r="Z801" s="93"/>
      <c r="AA801" s="93"/>
      <c r="AB801" s="93"/>
      <c r="AC801" s="93"/>
      <c r="AD801" s="93"/>
      <c r="AE801" s="93"/>
      <c r="AF801" s="93"/>
      <c r="AG801" s="93"/>
      <c r="AH801" s="93"/>
      <c r="AI801" s="93"/>
      <c r="AJ801" s="93"/>
      <c r="AK801" s="93"/>
      <c r="AL801" s="93"/>
      <c r="AM801" s="93"/>
      <c r="AN801" s="93"/>
      <c r="AO801" s="93"/>
      <c r="AP801" s="93"/>
      <c r="AQ801" s="93"/>
      <c r="AR801" s="93"/>
      <c r="AS801" s="93"/>
      <c r="AT801" s="93"/>
      <c r="AU801" s="93"/>
      <c r="AV801" s="93"/>
      <c r="AW801" s="93"/>
      <c r="AX801" s="93"/>
      <c r="AY801" s="93"/>
      <c r="AZ801" s="93"/>
      <c r="BA801" s="93"/>
      <c r="BB801" s="93"/>
      <c r="BC801" s="93"/>
      <c r="BD801" s="93"/>
      <c r="BE801" s="93"/>
      <c r="BF801" s="93"/>
      <c r="BG801" s="93"/>
      <c r="BH801" s="93"/>
      <c r="BI801" s="93"/>
      <c r="BJ801" s="93"/>
      <c r="BK801" s="93"/>
      <c r="BL801" s="93"/>
      <c r="BM801" s="93"/>
      <c r="BN801" s="93"/>
      <c r="BO801" s="93"/>
      <c r="BP801" s="93"/>
      <c r="BQ801" s="93"/>
      <c r="BR801" s="93"/>
      <c r="BS801" s="93"/>
      <c r="BT801" s="93"/>
      <c r="BU801" s="93"/>
      <c r="BV801" s="93"/>
      <c r="BW801" s="93"/>
      <c r="BX801" s="93"/>
      <c r="BY801" s="93"/>
      <c r="BZ801" s="93"/>
    </row>
    <row r="802">
      <c r="A802" t="s">
        <v>1331</v>
      </c>
      <c r="B802" t="s">
        <v>3200</v>
      </c>
      <c r="C802" s="89" t="s">
        <v>3201</v>
      </c>
      <c r="D802" s="90" t="s">
        <v>3202</v>
      </c>
      <c r="E802" s="91">
        <v>2018.0</v>
      </c>
      <c r="F802" s="104">
        <v>1.0</v>
      </c>
      <c r="G802" s="93"/>
      <c r="H802" s="93"/>
      <c r="I802" s="93"/>
      <c r="J802" s="93"/>
      <c r="K802" s="93"/>
      <c r="L802" s="93"/>
      <c r="M802" s="93"/>
      <c r="N802" s="93"/>
      <c r="O802" s="93"/>
      <c r="P802" s="93"/>
      <c r="Q802" s="93"/>
      <c r="R802" s="93"/>
      <c r="S802" s="93"/>
      <c r="T802" s="93"/>
      <c r="U802" s="93"/>
      <c r="V802" s="93"/>
      <c r="W802" s="93"/>
      <c r="X802" s="93"/>
      <c r="Y802" s="93"/>
      <c r="Z802" s="93"/>
      <c r="AA802" s="93"/>
      <c r="AB802" s="93"/>
      <c r="AC802" s="93"/>
      <c r="AD802" s="93"/>
      <c r="AE802" s="93"/>
      <c r="AF802" s="93"/>
      <c r="AG802" s="93"/>
      <c r="AH802" s="93"/>
      <c r="AI802" s="93"/>
      <c r="AJ802" s="93"/>
      <c r="AK802" s="93"/>
      <c r="AL802" s="93"/>
      <c r="AM802" s="93"/>
      <c r="AN802" s="93"/>
      <c r="AO802" s="93"/>
      <c r="AP802" s="93"/>
      <c r="AQ802" s="93"/>
      <c r="AR802" s="93"/>
      <c r="AS802" s="93"/>
      <c r="AT802" s="93"/>
      <c r="AU802" s="93"/>
      <c r="AV802" s="93"/>
      <c r="AW802" s="93"/>
      <c r="AX802" s="93"/>
      <c r="AY802" s="93"/>
      <c r="AZ802" s="93"/>
      <c r="BA802" s="93"/>
      <c r="BB802" s="93"/>
      <c r="BC802" s="93"/>
      <c r="BD802" s="93"/>
      <c r="BE802" s="93"/>
      <c r="BF802" s="93"/>
      <c r="BG802" s="93"/>
      <c r="BH802" s="93"/>
      <c r="BI802" s="93"/>
      <c r="BJ802" s="93"/>
      <c r="BK802" s="93"/>
      <c r="BL802" s="93"/>
      <c r="BM802" s="93"/>
      <c r="BN802" s="93"/>
      <c r="BO802" s="93"/>
      <c r="BP802" s="93"/>
      <c r="BQ802" s="93"/>
      <c r="BR802" s="93"/>
      <c r="BS802" s="93"/>
      <c r="BT802" s="93"/>
      <c r="BU802" s="93"/>
      <c r="BV802" s="93"/>
      <c r="BW802" s="93"/>
      <c r="BX802" s="93"/>
      <c r="BY802" s="93"/>
      <c r="BZ802" s="93"/>
    </row>
    <row r="803">
      <c r="B803" t="s">
        <v>3203</v>
      </c>
      <c r="C803" s="89" t="s">
        <v>3204</v>
      </c>
      <c r="D803" s="90" t="s">
        <v>2874</v>
      </c>
      <c r="E803" s="91">
        <v>2019.0</v>
      </c>
      <c r="F803" s="104">
        <v>1.0</v>
      </c>
      <c r="G803" s="93"/>
      <c r="H803" s="93"/>
      <c r="I803" s="93"/>
      <c r="J803" s="93"/>
      <c r="K803" s="93"/>
      <c r="L803" s="93"/>
      <c r="M803" s="93"/>
      <c r="N803" s="93"/>
      <c r="O803" s="93"/>
      <c r="P803" s="93"/>
      <c r="Q803" s="93"/>
      <c r="R803" s="93"/>
      <c r="S803" s="93"/>
      <c r="T803" s="93"/>
      <c r="U803" s="93"/>
      <c r="V803" s="93"/>
      <c r="W803" s="93"/>
      <c r="X803" s="93"/>
      <c r="Y803" s="93"/>
      <c r="Z803" s="93"/>
      <c r="AA803" s="93"/>
      <c r="AB803" s="93"/>
      <c r="AC803" s="93"/>
      <c r="AD803" s="93"/>
      <c r="AE803" s="93"/>
      <c r="AF803" s="93"/>
      <c r="AG803" s="93"/>
      <c r="AH803" s="93"/>
      <c r="AI803" s="93"/>
      <c r="AJ803" s="93"/>
      <c r="AK803" s="93"/>
      <c r="AL803" s="93"/>
      <c r="AM803" s="93"/>
      <c r="AN803" s="93"/>
      <c r="AO803" s="93"/>
      <c r="AP803" s="93"/>
      <c r="AQ803" s="93"/>
      <c r="AR803" s="93"/>
      <c r="AS803" s="93"/>
      <c r="AT803" s="93"/>
      <c r="AU803" s="93"/>
      <c r="AV803" s="93"/>
      <c r="AW803" s="93"/>
      <c r="AX803" s="93"/>
      <c r="AY803" s="93"/>
      <c r="AZ803" s="93"/>
      <c r="BA803" s="93"/>
      <c r="BB803" s="93"/>
      <c r="BC803" s="93"/>
      <c r="BD803" s="93"/>
      <c r="BE803" s="93"/>
      <c r="BF803" s="93"/>
      <c r="BG803" s="93"/>
      <c r="BH803" s="93"/>
      <c r="BI803" s="93"/>
      <c r="BJ803" s="93"/>
      <c r="BK803" s="93"/>
      <c r="BL803" s="93"/>
      <c r="BM803" s="93"/>
      <c r="BN803" s="93"/>
      <c r="BO803" s="93"/>
      <c r="BP803" s="93"/>
      <c r="BQ803" s="93"/>
      <c r="BR803" s="93"/>
      <c r="BS803" s="93"/>
      <c r="BT803" s="93"/>
      <c r="BU803" s="93"/>
      <c r="BV803" s="93"/>
      <c r="BW803" s="93"/>
      <c r="BX803" s="93"/>
      <c r="BY803" s="93"/>
      <c r="BZ803" s="93"/>
    </row>
    <row r="804">
      <c r="B804" t="s">
        <v>3205</v>
      </c>
      <c r="C804" s="89" t="s">
        <v>3206</v>
      </c>
      <c r="D804" s="90" t="s">
        <v>3207</v>
      </c>
      <c r="E804" s="91">
        <v>2017.0</v>
      </c>
      <c r="F804" s="104">
        <v>1.0</v>
      </c>
      <c r="G804" s="93"/>
      <c r="H804" s="93"/>
      <c r="I804" s="93"/>
      <c r="J804" s="93"/>
      <c r="K804" s="93"/>
      <c r="L804" s="93"/>
      <c r="M804" s="93"/>
      <c r="N804" s="93"/>
      <c r="O804" s="93"/>
      <c r="P804" s="93"/>
      <c r="Q804" s="93"/>
      <c r="R804" s="93"/>
      <c r="S804" s="93"/>
      <c r="T804" s="93"/>
      <c r="U804" s="93"/>
      <c r="V804" s="93"/>
      <c r="W804" s="93"/>
      <c r="X804" s="93"/>
      <c r="Y804" s="93"/>
      <c r="Z804" s="93"/>
      <c r="AA804" s="93"/>
      <c r="AB804" s="93"/>
      <c r="AC804" s="93"/>
      <c r="AD804" s="93"/>
      <c r="AE804" s="93"/>
      <c r="AF804" s="93"/>
      <c r="AG804" s="93"/>
      <c r="AH804" s="93"/>
      <c r="AI804" s="93"/>
      <c r="AJ804" s="93"/>
      <c r="AK804" s="93"/>
      <c r="AL804" s="93"/>
      <c r="AM804" s="93"/>
      <c r="AN804" s="93"/>
      <c r="AO804" s="93"/>
      <c r="AP804" s="93"/>
      <c r="AQ804" s="93"/>
      <c r="AR804" s="93"/>
      <c r="AS804" s="93"/>
      <c r="AT804" s="93"/>
      <c r="AU804" s="93"/>
      <c r="AV804" s="93"/>
      <c r="AW804" s="93"/>
      <c r="AX804" s="93"/>
      <c r="AY804" s="93"/>
      <c r="AZ804" s="93"/>
      <c r="BA804" s="93"/>
      <c r="BB804" s="93"/>
      <c r="BC804" s="93"/>
      <c r="BD804" s="93"/>
      <c r="BE804" s="93"/>
      <c r="BF804" s="93"/>
      <c r="BG804" s="93"/>
      <c r="BH804" s="93"/>
      <c r="BI804" s="93"/>
      <c r="BJ804" s="93"/>
      <c r="BK804" s="93"/>
      <c r="BL804" s="93"/>
      <c r="BM804" s="93"/>
      <c r="BN804" s="93"/>
      <c r="BO804" s="93"/>
      <c r="BP804" s="93"/>
      <c r="BQ804" s="93"/>
      <c r="BR804" s="93"/>
      <c r="BS804" s="93"/>
      <c r="BT804" s="93"/>
      <c r="BU804" s="93"/>
      <c r="BV804" s="93"/>
      <c r="BW804" s="93"/>
      <c r="BX804" s="93"/>
      <c r="BY804" s="93"/>
      <c r="BZ804" s="93"/>
    </row>
    <row r="805">
      <c r="B805" t="s">
        <v>3208</v>
      </c>
      <c r="C805" s="89" t="s">
        <v>3209</v>
      </c>
      <c r="D805" s="90" t="s">
        <v>2795</v>
      </c>
      <c r="E805" s="91">
        <v>2016.0</v>
      </c>
      <c r="F805" s="104">
        <v>1.0</v>
      </c>
      <c r="G805" s="93"/>
      <c r="H805" s="93"/>
      <c r="I805" s="93"/>
      <c r="J805" s="93"/>
      <c r="K805" s="93"/>
      <c r="L805" s="93"/>
      <c r="M805" s="93"/>
      <c r="N805" s="93"/>
      <c r="O805" s="93"/>
      <c r="P805" s="93"/>
      <c r="Q805" s="93"/>
      <c r="R805" s="93"/>
      <c r="S805" s="93"/>
      <c r="T805" s="93"/>
      <c r="U805" s="93"/>
      <c r="V805" s="93"/>
      <c r="W805" s="93"/>
      <c r="X805" s="93"/>
      <c r="Y805" s="93"/>
      <c r="Z805" s="93"/>
      <c r="AA805" s="93"/>
      <c r="AB805" s="93"/>
      <c r="AC805" s="93"/>
      <c r="AD805" s="93"/>
      <c r="AE805" s="93"/>
      <c r="AF805" s="93"/>
      <c r="AG805" s="93"/>
      <c r="AH805" s="93"/>
      <c r="AI805" s="93"/>
      <c r="AJ805" s="93"/>
      <c r="AK805" s="93"/>
      <c r="AL805" s="93"/>
      <c r="AM805" s="93"/>
      <c r="AN805" s="93"/>
      <c r="AO805" s="93"/>
      <c r="AP805" s="93"/>
      <c r="AQ805" s="93"/>
      <c r="AR805" s="93"/>
      <c r="AS805" s="93"/>
      <c r="AT805" s="93"/>
      <c r="AU805" s="93"/>
      <c r="AV805" s="93"/>
      <c r="AW805" s="93"/>
      <c r="AX805" s="93"/>
      <c r="AY805" s="93"/>
      <c r="AZ805" s="93"/>
      <c r="BA805" s="93"/>
      <c r="BB805" s="93"/>
      <c r="BC805" s="93"/>
      <c r="BD805" s="93"/>
      <c r="BE805" s="93"/>
      <c r="BF805" s="93"/>
      <c r="BG805" s="93"/>
      <c r="BH805" s="93"/>
      <c r="BI805" s="93"/>
      <c r="BJ805" s="93"/>
      <c r="BK805" s="93"/>
      <c r="BL805" s="93"/>
      <c r="BM805" s="93"/>
      <c r="BN805" s="93"/>
      <c r="BO805" s="93"/>
      <c r="BP805" s="93"/>
      <c r="BQ805" s="93"/>
      <c r="BR805" s="93"/>
      <c r="BS805" s="93"/>
      <c r="BT805" s="93"/>
      <c r="BU805" s="93"/>
      <c r="BV805" s="93"/>
      <c r="BW805" s="93"/>
      <c r="BX805" s="93"/>
      <c r="BY805" s="93"/>
      <c r="BZ805" s="93"/>
    </row>
    <row r="806">
      <c r="B806" t="s">
        <v>3210</v>
      </c>
      <c r="C806" s="89" t="s">
        <v>3211</v>
      </c>
      <c r="D806" s="90" t="s">
        <v>2834</v>
      </c>
      <c r="E806" s="91">
        <v>2017.0</v>
      </c>
      <c r="F806" s="104">
        <v>1.0</v>
      </c>
      <c r="G806" s="93"/>
      <c r="H806" s="93"/>
      <c r="I806" s="93"/>
      <c r="J806" s="93"/>
      <c r="K806" s="93"/>
      <c r="L806" s="93"/>
      <c r="M806" s="93"/>
      <c r="N806" s="93"/>
      <c r="O806" s="93"/>
      <c r="P806" s="93"/>
      <c r="Q806" s="93"/>
      <c r="R806" s="93"/>
      <c r="S806" s="93"/>
      <c r="T806" s="93"/>
      <c r="U806" s="93"/>
      <c r="V806" s="93"/>
      <c r="W806" s="93"/>
      <c r="X806" s="93"/>
      <c r="Y806" s="93"/>
      <c r="Z806" s="93"/>
      <c r="AA806" s="93"/>
      <c r="AB806" s="93"/>
      <c r="AC806" s="93"/>
      <c r="AD806" s="93"/>
      <c r="AE806" s="93"/>
      <c r="AF806" s="93"/>
      <c r="AG806" s="93"/>
      <c r="AH806" s="93"/>
      <c r="AI806" s="93"/>
      <c r="AJ806" s="93"/>
      <c r="AK806" s="93"/>
      <c r="AL806" s="93"/>
      <c r="AM806" s="93"/>
      <c r="AN806" s="93"/>
      <c r="AO806" s="93"/>
      <c r="AP806" s="93"/>
      <c r="AQ806" s="93"/>
      <c r="AR806" s="93"/>
      <c r="AS806" s="93"/>
      <c r="AT806" s="93"/>
      <c r="AU806" s="93"/>
      <c r="AV806" s="93"/>
      <c r="AW806" s="93"/>
      <c r="AX806" s="93"/>
      <c r="AY806" s="93"/>
      <c r="AZ806" s="93"/>
      <c r="BA806" s="93"/>
      <c r="BB806" s="93"/>
      <c r="BC806" s="93"/>
      <c r="BD806" s="93"/>
      <c r="BE806" s="93"/>
      <c r="BF806" s="93"/>
      <c r="BG806" s="93"/>
      <c r="BH806" s="93"/>
      <c r="BI806" s="93"/>
      <c r="BJ806" s="93"/>
      <c r="BK806" s="93"/>
      <c r="BL806" s="93"/>
      <c r="BM806" s="93"/>
      <c r="BN806" s="93"/>
      <c r="BO806" s="93"/>
      <c r="BP806" s="93"/>
      <c r="BQ806" s="93"/>
      <c r="BR806" s="93"/>
      <c r="BS806" s="93"/>
      <c r="BT806" s="93"/>
      <c r="BU806" s="93"/>
      <c r="BV806" s="93"/>
      <c r="BW806" s="93"/>
      <c r="BX806" s="93"/>
      <c r="BY806" s="93"/>
      <c r="BZ806" s="93"/>
    </row>
    <row r="807">
      <c r="B807" t="s">
        <v>3212</v>
      </c>
      <c r="C807" s="89" t="s">
        <v>3213</v>
      </c>
      <c r="D807" s="90" t="s">
        <v>3113</v>
      </c>
      <c r="E807" s="91">
        <v>2019.0</v>
      </c>
      <c r="F807" s="104">
        <v>1.0</v>
      </c>
      <c r="G807" s="93"/>
      <c r="H807" s="93"/>
      <c r="I807" s="93"/>
      <c r="J807" s="93"/>
      <c r="K807" s="93"/>
      <c r="L807" s="93"/>
      <c r="M807" s="93"/>
      <c r="N807" s="93"/>
      <c r="O807" s="93"/>
      <c r="P807" s="93"/>
      <c r="Q807" s="93"/>
      <c r="R807" s="93"/>
      <c r="S807" s="93"/>
      <c r="T807" s="93"/>
      <c r="U807" s="93"/>
      <c r="V807" s="93"/>
      <c r="W807" s="93"/>
      <c r="X807" s="93"/>
      <c r="Y807" s="93"/>
      <c r="Z807" s="93"/>
      <c r="AA807" s="93"/>
      <c r="AB807" s="93"/>
      <c r="AC807" s="93"/>
      <c r="AD807" s="93"/>
      <c r="AE807" s="93"/>
      <c r="AF807" s="93"/>
      <c r="AG807" s="93"/>
      <c r="AH807" s="93"/>
      <c r="AI807" s="93"/>
      <c r="AJ807" s="93"/>
      <c r="AK807" s="93"/>
      <c r="AL807" s="93"/>
      <c r="AM807" s="93"/>
      <c r="AN807" s="93"/>
      <c r="AO807" s="93"/>
      <c r="AP807" s="93"/>
      <c r="AQ807" s="93"/>
      <c r="AR807" s="93"/>
      <c r="AS807" s="93"/>
      <c r="AT807" s="93"/>
      <c r="AU807" s="93"/>
      <c r="AV807" s="93"/>
      <c r="AW807" s="93"/>
      <c r="AX807" s="93"/>
      <c r="AY807" s="93"/>
      <c r="AZ807" s="93"/>
      <c r="BA807" s="93"/>
      <c r="BB807" s="93"/>
      <c r="BC807" s="93"/>
      <c r="BD807" s="93"/>
      <c r="BE807" s="93"/>
      <c r="BF807" s="93"/>
      <c r="BG807" s="93"/>
      <c r="BH807" s="93"/>
      <c r="BI807" s="93"/>
      <c r="BJ807" s="93"/>
      <c r="BK807" s="93"/>
      <c r="BL807" s="93"/>
      <c r="BM807" s="93"/>
      <c r="BN807" s="93"/>
      <c r="BO807" s="93"/>
      <c r="BP807" s="93"/>
      <c r="BQ807" s="93"/>
      <c r="BR807" s="93"/>
      <c r="BS807" s="93"/>
      <c r="BT807" s="93"/>
      <c r="BU807" s="93"/>
      <c r="BV807" s="93"/>
      <c r="BW807" s="93"/>
      <c r="BX807" s="93"/>
      <c r="BY807" s="93"/>
      <c r="BZ807" s="93"/>
    </row>
    <row r="808">
      <c r="B808" t="s">
        <v>3214</v>
      </c>
      <c r="C808" s="89" t="s">
        <v>3215</v>
      </c>
      <c r="D808" s="90" t="s">
        <v>3172</v>
      </c>
      <c r="E808" s="91">
        <v>2019.0</v>
      </c>
      <c r="F808" s="104">
        <v>1.0</v>
      </c>
      <c r="G808" s="93"/>
      <c r="H808" s="93"/>
      <c r="I808" s="93"/>
      <c r="J808" s="93"/>
      <c r="K808" s="93"/>
      <c r="L808" s="93"/>
      <c r="M808" s="93"/>
      <c r="N808" s="93"/>
      <c r="O808" s="93"/>
      <c r="P808" s="93"/>
      <c r="Q808" s="93"/>
      <c r="R808" s="93"/>
      <c r="S808" s="93"/>
      <c r="T808" s="93"/>
      <c r="U808" s="93"/>
      <c r="V808" s="93"/>
      <c r="W808" s="93"/>
      <c r="X808" s="93"/>
      <c r="Y808" s="93"/>
      <c r="Z808" s="93"/>
      <c r="AA808" s="93"/>
      <c r="AB808" s="93"/>
      <c r="AC808" s="93"/>
      <c r="AD808" s="93"/>
      <c r="AE808" s="93"/>
      <c r="AF808" s="93"/>
      <c r="AG808" s="93"/>
      <c r="AH808" s="93"/>
      <c r="AI808" s="93"/>
      <c r="AJ808" s="93"/>
      <c r="AK808" s="93"/>
      <c r="AL808" s="93"/>
      <c r="AM808" s="93"/>
      <c r="AN808" s="93"/>
      <c r="AO808" s="93"/>
      <c r="AP808" s="93"/>
      <c r="AQ808" s="93"/>
      <c r="AR808" s="93"/>
      <c r="AS808" s="93"/>
      <c r="AT808" s="93"/>
      <c r="AU808" s="93"/>
      <c r="AV808" s="93"/>
      <c r="AW808" s="93"/>
      <c r="AX808" s="93"/>
      <c r="AY808" s="93"/>
      <c r="AZ808" s="93"/>
      <c r="BA808" s="93"/>
      <c r="BB808" s="93"/>
      <c r="BC808" s="93"/>
      <c r="BD808" s="93"/>
      <c r="BE808" s="93"/>
      <c r="BF808" s="93"/>
      <c r="BG808" s="93"/>
      <c r="BH808" s="93"/>
      <c r="BI808" s="93"/>
      <c r="BJ808" s="93"/>
      <c r="BK808" s="93"/>
      <c r="BL808" s="93"/>
      <c r="BM808" s="93"/>
      <c r="BN808" s="93"/>
      <c r="BO808" s="93"/>
      <c r="BP808" s="93"/>
      <c r="BQ808" s="93"/>
      <c r="BR808" s="93"/>
      <c r="BS808" s="93"/>
      <c r="BT808" s="93"/>
      <c r="BU808" s="93"/>
      <c r="BV808" s="93"/>
      <c r="BW808" s="93"/>
      <c r="BX808" s="93"/>
      <c r="BY808" s="93"/>
      <c r="BZ808" s="93"/>
    </row>
    <row r="809">
      <c r="B809" t="s">
        <v>3216</v>
      </c>
      <c r="C809" s="89" t="s">
        <v>3217</v>
      </c>
      <c r="D809" s="90" t="s">
        <v>3218</v>
      </c>
      <c r="E809" s="91">
        <v>2017.0</v>
      </c>
      <c r="F809" s="104">
        <v>1.0</v>
      </c>
      <c r="G809" s="93"/>
      <c r="H809" s="93"/>
      <c r="I809" s="93"/>
      <c r="J809" s="93"/>
      <c r="K809" s="93"/>
      <c r="L809" s="93"/>
      <c r="M809" s="93"/>
      <c r="N809" s="93"/>
      <c r="O809" s="93"/>
      <c r="P809" s="93"/>
      <c r="Q809" s="93"/>
      <c r="R809" s="93"/>
      <c r="S809" s="93"/>
      <c r="T809" s="93"/>
      <c r="U809" s="93"/>
      <c r="V809" s="93"/>
      <c r="W809" s="93"/>
      <c r="X809" s="93"/>
      <c r="Y809" s="93"/>
      <c r="Z809" s="93"/>
      <c r="AA809" s="93"/>
      <c r="AB809" s="93"/>
      <c r="AC809" s="93"/>
      <c r="AD809" s="93"/>
      <c r="AE809" s="93"/>
      <c r="AF809" s="93"/>
      <c r="AG809" s="93"/>
      <c r="AH809" s="93"/>
      <c r="AI809" s="93"/>
      <c r="AJ809" s="93"/>
      <c r="AK809" s="93"/>
      <c r="AL809" s="93"/>
      <c r="AM809" s="93"/>
      <c r="AN809" s="93"/>
      <c r="AO809" s="93"/>
      <c r="AP809" s="93"/>
      <c r="AQ809" s="93"/>
      <c r="AR809" s="93"/>
      <c r="AS809" s="93"/>
      <c r="AT809" s="93"/>
      <c r="AU809" s="93"/>
      <c r="AV809" s="93"/>
      <c r="AW809" s="93"/>
      <c r="AX809" s="93"/>
      <c r="AY809" s="93"/>
      <c r="AZ809" s="93"/>
      <c r="BA809" s="93"/>
      <c r="BB809" s="93"/>
      <c r="BC809" s="93"/>
      <c r="BD809" s="93"/>
      <c r="BE809" s="93"/>
      <c r="BF809" s="93"/>
      <c r="BG809" s="93"/>
      <c r="BH809" s="93"/>
      <c r="BI809" s="93"/>
      <c r="BJ809" s="93"/>
      <c r="BK809" s="93"/>
      <c r="BL809" s="93"/>
      <c r="BM809" s="93"/>
      <c r="BN809" s="93"/>
      <c r="BO809" s="93"/>
      <c r="BP809" s="93"/>
      <c r="BQ809" s="93"/>
      <c r="BR809" s="93"/>
      <c r="BS809" s="93"/>
      <c r="BT809" s="93"/>
      <c r="BU809" s="93"/>
      <c r="BV809" s="93"/>
      <c r="BW809" s="93"/>
      <c r="BX809" s="93"/>
      <c r="BY809" s="93"/>
      <c r="BZ809" s="93"/>
    </row>
    <row r="810">
      <c r="A810" t="s">
        <v>1340</v>
      </c>
      <c r="B810" t="s">
        <v>3219</v>
      </c>
      <c r="C810" s="89" t="s">
        <v>3220</v>
      </c>
      <c r="D810" s="90" t="s">
        <v>3221</v>
      </c>
      <c r="E810" s="91">
        <v>2016.0</v>
      </c>
      <c r="F810" s="104">
        <v>1.0</v>
      </c>
      <c r="G810" s="93"/>
      <c r="H810" s="93"/>
      <c r="I810" s="93"/>
      <c r="J810" s="93"/>
      <c r="K810" s="93"/>
      <c r="L810" s="93"/>
      <c r="M810" s="93"/>
      <c r="N810" s="93"/>
      <c r="O810" s="93"/>
      <c r="P810" s="93"/>
      <c r="Q810" s="93"/>
      <c r="R810" s="93"/>
      <c r="S810" s="93"/>
      <c r="T810" s="93"/>
      <c r="U810" s="93"/>
      <c r="V810" s="93"/>
      <c r="W810" s="93"/>
      <c r="X810" s="93"/>
      <c r="Y810" s="93"/>
      <c r="Z810" s="93"/>
      <c r="AA810" s="93"/>
      <c r="AB810" s="93"/>
      <c r="AC810" s="93"/>
      <c r="AD810" s="93"/>
      <c r="AE810" s="93"/>
      <c r="AF810" s="93"/>
      <c r="AG810" s="93"/>
      <c r="AH810" s="93"/>
      <c r="AI810" s="93"/>
      <c r="AJ810" s="93"/>
      <c r="AK810" s="93"/>
      <c r="AL810" s="93"/>
      <c r="AM810" s="93"/>
      <c r="AN810" s="93"/>
      <c r="AO810" s="93"/>
      <c r="AP810" s="93"/>
      <c r="AQ810" s="93"/>
      <c r="AR810" s="93"/>
      <c r="AS810" s="93"/>
      <c r="AT810" s="93"/>
      <c r="AU810" s="93"/>
      <c r="AV810" s="93"/>
      <c r="AW810" s="93"/>
      <c r="AX810" s="93"/>
      <c r="AY810" s="93"/>
      <c r="AZ810" s="93"/>
      <c r="BA810" s="93"/>
      <c r="BB810" s="93"/>
      <c r="BC810" s="93"/>
      <c r="BD810" s="93"/>
      <c r="BE810" s="93"/>
      <c r="BF810" s="93"/>
      <c r="BG810" s="93"/>
      <c r="BH810" s="93"/>
      <c r="BI810" s="93"/>
      <c r="BJ810" s="93"/>
      <c r="BK810" s="93"/>
      <c r="BL810" s="93"/>
      <c r="BM810" s="93"/>
      <c r="BN810" s="93"/>
      <c r="BO810" s="93"/>
      <c r="BP810" s="93"/>
      <c r="BQ810" s="93"/>
      <c r="BR810" s="93"/>
      <c r="BS810" s="93"/>
      <c r="BT810" s="93"/>
      <c r="BU810" s="93"/>
      <c r="BV810" s="93"/>
      <c r="BW810" s="93"/>
      <c r="BX810" s="93"/>
      <c r="BY810" s="93"/>
      <c r="BZ810" s="93"/>
    </row>
    <row r="811">
      <c r="B811" t="s">
        <v>3222</v>
      </c>
      <c r="C811" s="89" t="s">
        <v>3223</v>
      </c>
      <c r="D811" s="90" t="s">
        <v>3224</v>
      </c>
      <c r="E811" s="91">
        <v>2016.0</v>
      </c>
      <c r="F811" s="104">
        <v>1.0</v>
      </c>
      <c r="G811" s="93"/>
      <c r="H811" s="93"/>
      <c r="I811" s="93"/>
      <c r="J811" s="93"/>
      <c r="K811" s="93"/>
      <c r="L811" s="93"/>
      <c r="M811" s="93"/>
      <c r="N811" s="93"/>
      <c r="O811" s="93"/>
      <c r="P811" s="93"/>
      <c r="Q811" s="93"/>
      <c r="R811" s="93"/>
      <c r="S811" s="93"/>
      <c r="T811" s="93"/>
      <c r="U811" s="93"/>
      <c r="V811" s="93"/>
      <c r="W811" s="93"/>
      <c r="X811" s="93"/>
      <c r="Y811" s="93"/>
      <c r="Z811" s="93"/>
      <c r="AA811" s="93"/>
      <c r="AB811" s="93"/>
      <c r="AC811" s="93"/>
      <c r="AD811" s="93"/>
      <c r="AE811" s="93"/>
      <c r="AF811" s="93"/>
      <c r="AG811" s="93"/>
      <c r="AH811" s="93"/>
      <c r="AI811" s="93"/>
      <c r="AJ811" s="93"/>
      <c r="AK811" s="93"/>
      <c r="AL811" s="93"/>
      <c r="AM811" s="93"/>
      <c r="AN811" s="93"/>
      <c r="AO811" s="93"/>
      <c r="AP811" s="93"/>
      <c r="AQ811" s="93"/>
      <c r="AR811" s="93"/>
      <c r="AS811" s="93"/>
      <c r="AT811" s="93"/>
      <c r="AU811" s="93"/>
      <c r="AV811" s="93"/>
      <c r="AW811" s="93"/>
      <c r="AX811" s="93"/>
      <c r="AY811" s="93"/>
      <c r="AZ811" s="93"/>
      <c r="BA811" s="93"/>
      <c r="BB811" s="93"/>
      <c r="BC811" s="93"/>
      <c r="BD811" s="93"/>
      <c r="BE811" s="93"/>
      <c r="BF811" s="93"/>
      <c r="BG811" s="93"/>
      <c r="BH811" s="93"/>
      <c r="BI811" s="93"/>
      <c r="BJ811" s="93"/>
      <c r="BK811" s="93"/>
      <c r="BL811" s="93"/>
      <c r="BM811" s="93"/>
      <c r="BN811" s="93"/>
      <c r="BO811" s="93"/>
      <c r="BP811" s="93"/>
      <c r="BQ811" s="93"/>
      <c r="BR811" s="93"/>
      <c r="BS811" s="93"/>
      <c r="BT811" s="93"/>
      <c r="BU811" s="93"/>
      <c r="BV811" s="93"/>
      <c r="BW811" s="93"/>
      <c r="BX811" s="93"/>
      <c r="BY811" s="93"/>
      <c r="BZ811" s="93"/>
    </row>
    <row r="812">
      <c r="B812" t="s">
        <v>3225</v>
      </c>
      <c r="C812" s="89" t="s">
        <v>3226</v>
      </c>
      <c r="D812" s="90" t="s">
        <v>2817</v>
      </c>
      <c r="E812" s="91">
        <v>2019.0</v>
      </c>
      <c r="F812" s="104">
        <v>1.0</v>
      </c>
      <c r="G812" s="93"/>
      <c r="H812" s="93"/>
      <c r="I812" s="93"/>
      <c r="J812" s="93"/>
      <c r="K812" s="93"/>
      <c r="L812" s="93"/>
      <c r="M812" s="93"/>
      <c r="N812" s="93"/>
      <c r="O812" s="93"/>
      <c r="P812" s="93"/>
      <c r="Q812" s="93"/>
      <c r="R812" s="93"/>
      <c r="S812" s="93"/>
      <c r="T812" s="93"/>
      <c r="U812" s="93"/>
      <c r="V812" s="93"/>
      <c r="W812" s="93"/>
      <c r="X812" s="93"/>
      <c r="Y812" s="93"/>
      <c r="Z812" s="93"/>
      <c r="AA812" s="93"/>
      <c r="AB812" s="93"/>
      <c r="AC812" s="93"/>
      <c r="AD812" s="93"/>
      <c r="AE812" s="93"/>
      <c r="AF812" s="93"/>
      <c r="AG812" s="93"/>
      <c r="AH812" s="93"/>
      <c r="AI812" s="93"/>
      <c r="AJ812" s="93"/>
      <c r="AK812" s="93"/>
      <c r="AL812" s="93"/>
      <c r="AM812" s="93"/>
      <c r="AN812" s="93"/>
      <c r="AO812" s="93"/>
      <c r="AP812" s="93"/>
      <c r="AQ812" s="93"/>
      <c r="AR812" s="93"/>
      <c r="AS812" s="93"/>
      <c r="AT812" s="93"/>
      <c r="AU812" s="93"/>
      <c r="AV812" s="93"/>
      <c r="AW812" s="93"/>
      <c r="AX812" s="93"/>
      <c r="AY812" s="93"/>
      <c r="AZ812" s="93"/>
      <c r="BA812" s="93"/>
      <c r="BB812" s="93"/>
      <c r="BC812" s="93"/>
      <c r="BD812" s="93"/>
      <c r="BE812" s="93"/>
      <c r="BF812" s="93"/>
      <c r="BG812" s="93"/>
      <c r="BH812" s="93"/>
      <c r="BI812" s="93"/>
      <c r="BJ812" s="93"/>
      <c r="BK812" s="93"/>
      <c r="BL812" s="93"/>
      <c r="BM812" s="93"/>
      <c r="BN812" s="93"/>
      <c r="BO812" s="93"/>
      <c r="BP812" s="93"/>
      <c r="BQ812" s="93"/>
      <c r="BR812" s="93"/>
      <c r="BS812" s="93"/>
      <c r="BT812" s="93"/>
      <c r="BU812" s="93"/>
      <c r="BV812" s="93"/>
      <c r="BW812" s="93"/>
      <c r="BX812" s="93"/>
      <c r="BY812" s="93"/>
      <c r="BZ812" s="93"/>
    </row>
    <row r="813">
      <c r="B813" t="s">
        <v>3227</v>
      </c>
      <c r="C813" s="89" t="s">
        <v>3228</v>
      </c>
      <c r="D813" s="90" t="s">
        <v>3229</v>
      </c>
      <c r="E813" s="91">
        <v>2018.0</v>
      </c>
      <c r="F813" s="104">
        <v>1.0</v>
      </c>
      <c r="G813" s="93"/>
      <c r="H813" s="93"/>
      <c r="I813" s="93"/>
      <c r="J813" s="93"/>
      <c r="K813" s="93"/>
      <c r="L813" s="93"/>
      <c r="M813" s="93"/>
      <c r="N813" s="93"/>
      <c r="O813" s="93"/>
      <c r="P813" s="93"/>
      <c r="Q813" s="93"/>
      <c r="R813" s="93"/>
      <c r="S813" s="93"/>
      <c r="T813" s="93"/>
      <c r="U813" s="93"/>
      <c r="V813" s="93"/>
      <c r="W813" s="93"/>
      <c r="X813" s="93"/>
      <c r="Y813" s="93"/>
      <c r="Z813" s="93"/>
      <c r="AA813" s="93"/>
      <c r="AB813" s="93"/>
      <c r="AC813" s="93"/>
      <c r="AD813" s="93"/>
      <c r="AE813" s="93"/>
      <c r="AF813" s="93"/>
      <c r="AG813" s="93"/>
      <c r="AH813" s="93"/>
      <c r="AI813" s="93"/>
      <c r="AJ813" s="93"/>
      <c r="AK813" s="93"/>
      <c r="AL813" s="93"/>
      <c r="AM813" s="93"/>
      <c r="AN813" s="93"/>
      <c r="AO813" s="93"/>
      <c r="AP813" s="93"/>
      <c r="AQ813" s="93"/>
      <c r="AR813" s="93"/>
      <c r="AS813" s="93"/>
      <c r="AT813" s="93"/>
      <c r="AU813" s="93"/>
      <c r="AV813" s="93"/>
      <c r="AW813" s="93"/>
      <c r="AX813" s="93"/>
      <c r="AY813" s="93"/>
      <c r="AZ813" s="93"/>
      <c r="BA813" s="93"/>
      <c r="BB813" s="93"/>
      <c r="BC813" s="93"/>
      <c r="BD813" s="93"/>
      <c r="BE813" s="93"/>
      <c r="BF813" s="93"/>
      <c r="BG813" s="93"/>
      <c r="BH813" s="93"/>
      <c r="BI813" s="93"/>
      <c r="BJ813" s="93"/>
      <c r="BK813" s="93"/>
      <c r="BL813" s="93"/>
      <c r="BM813" s="93"/>
      <c r="BN813" s="93"/>
      <c r="BO813" s="93"/>
      <c r="BP813" s="93"/>
      <c r="BQ813" s="93"/>
      <c r="BR813" s="93"/>
      <c r="BS813" s="93"/>
      <c r="BT813" s="93"/>
      <c r="BU813" s="93"/>
      <c r="BV813" s="93"/>
      <c r="BW813" s="93"/>
      <c r="BX813" s="93"/>
      <c r="BY813" s="93"/>
      <c r="BZ813" s="93"/>
    </row>
    <row r="814">
      <c r="B814" t="s">
        <v>3230</v>
      </c>
      <c r="C814" s="89" t="s">
        <v>3231</v>
      </c>
      <c r="D814" s="90" t="s">
        <v>2885</v>
      </c>
      <c r="E814" s="91">
        <v>2019.0</v>
      </c>
      <c r="F814" s="104">
        <v>1.0</v>
      </c>
      <c r="G814" s="93"/>
      <c r="H814" s="93"/>
      <c r="I814" s="93"/>
      <c r="J814" s="93"/>
      <c r="K814" s="93"/>
      <c r="L814" s="93"/>
      <c r="M814" s="93"/>
      <c r="N814" s="93"/>
      <c r="O814" s="93"/>
      <c r="P814" s="93"/>
      <c r="Q814" s="93"/>
      <c r="R814" s="93"/>
      <c r="S814" s="93"/>
      <c r="T814" s="93"/>
      <c r="U814" s="93"/>
      <c r="V814" s="93"/>
      <c r="W814" s="93"/>
      <c r="X814" s="93"/>
      <c r="Y814" s="93"/>
      <c r="Z814" s="93"/>
      <c r="AA814" s="93"/>
      <c r="AB814" s="93"/>
      <c r="AC814" s="93"/>
      <c r="AD814" s="93"/>
      <c r="AE814" s="93"/>
      <c r="AF814" s="93"/>
      <c r="AG814" s="93"/>
      <c r="AH814" s="93"/>
      <c r="AI814" s="93"/>
      <c r="AJ814" s="93"/>
      <c r="AK814" s="93"/>
      <c r="AL814" s="93"/>
      <c r="AM814" s="93"/>
      <c r="AN814" s="93"/>
      <c r="AO814" s="93"/>
      <c r="AP814" s="93"/>
      <c r="AQ814" s="93"/>
      <c r="AR814" s="93"/>
      <c r="AS814" s="93"/>
      <c r="AT814" s="93"/>
      <c r="AU814" s="93"/>
      <c r="AV814" s="93"/>
      <c r="AW814" s="93"/>
      <c r="AX814" s="93"/>
      <c r="AY814" s="93"/>
      <c r="AZ814" s="93"/>
      <c r="BA814" s="93"/>
      <c r="BB814" s="93"/>
      <c r="BC814" s="93"/>
      <c r="BD814" s="93"/>
      <c r="BE814" s="93"/>
      <c r="BF814" s="93"/>
      <c r="BG814" s="93"/>
      <c r="BH814" s="93"/>
      <c r="BI814" s="93"/>
      <c r="BJ814" s="93"/>
      <c r="BK814" s="93"/>
      <c r="BL814" s="93"/>
      <c r="BM814" s="93"/>
      <c r="BN814" s="93"/>
      <c r="BO814" s="93"/>
      <c r="BP814" s="93"/>
      <c r="BQ814" s="93"/>
      <c r="BR814" s="93"/>
      <c r="BS814" s="93"/>
      <c r="BT814" s="93"/>
      <c r="BU814" s="93"/>
      <c r="BV814" s="93"/>
      <c r="BW814" s="93"/>
      <c r="BX814" s="93"/>
      <c r="BY814" s="93"/>
      <c r="BZ814" s="93"/>
    </row>
    <row r="815">
      <c r="A815" t="s">
        <v>1354</v>
      </c>
      <c r="B815" t="s">
        <v>3232</v>
      </c>
      <c r="C815" s="89" t="s">
        <v>3233</v>
      </c>
      <c r="D815" s="90" t="s">
        <v>2874</v>
      </c>
      <c r="E815" s="91">
        <v>2016.0</v>
      </c>
      <c r="F815" s="104">
        <v>1.0</v>
      </c>
      <c r="G815" s="93"/>
      <c r="H815" s="93"/>
      <c r="I815" s="93"/>
      <c r="J815" s="93"/>
      <c r="K815" s="93"/>
      <c r="L815" s="93"/>
      <c r="M815" s="93"/>
      <c r="N815" s="93"/>
      <c r="O815" s="93"/>
      <c r="P815" s="93"/>
      <c r="Q815" s="93"/>
      <c r="R815" s="93"/>
      <c r="S815" s="93"/>
      <c r="T815" s="93"/>
      <c r="U815" s="93"/>
      <c r="V815" s="93"/>
      <c r="W815" s="93"/>
      <c r="X815" s="93"/>
      <c r="Y815" s="93"/>
      <c r="Z815" s="93"/>
      <c r="AA815" s="93"/>
      <c r="AB815" s="93"/>
      <c r="AC815" s="93"/>
      <c r="AD815" s="93"/>
      <c r="AE815" s="93"/>
      <c r="AF815" s="93"/>
      <c r="AG815" s="93"/>
      <c r="AH815" s="93"/>
      <c r="AI815" s="93"/>
      <c r="AJ815" s="93"/>
      <c r="AK815" s="93"/>
      <c r="AL815" s="93"/>
      <c r="AM815" s="93"/>
      <c r="AN815" s="93"/>
      <c r="AO815" s="93"/>
      <c r="AP815" s="93"/>
      <c r="AQ815" s="93"/>
      <c r="AR815" s="93"/>
      <c r="AS815" s="93"/>
      <c r="AT815" s="93"/>
      <c r="AU815" s="93"/>
      <c r="AV815" s="93"/>
      <c r="AW815" s="93"/>
      <c r="AX815" s="93"/>
      <c r="AY815" s="93"/>
      <c r="AZ815" s="93"/>
      <c r="BA815" s="93"/>
      <c r="BB815" s="93"/>
      <c r="BC815" s="93"/>
      <c r="BD815" s="93"/>
      <c r="BE815" s="93"/>
      <c r="BF815" s="93"/>
      <c r="BG815" s="93"/>
      <c r="BH815" s="93"/>
      <c r="BI815" s="93"/>
      <c r="BJ815" s="93"/>
      <c r="BK815" s="93"/>
      <c r="BL815" s="93"/>
      <c r="BM815" s="93"/>
      <c r="BN815" s="93"/>
      <c r="BO815" s="93"/>
      <c r="BP815" s="93"/>
      <c r="BQ815" s="93"/>
      <c r="BR815" s="93"/>
      <c r="BS815" s="93"/>
      <c r="BT815" s="93"/>
      <c r="BU815" s="93"/>
      <c r="BV815" s="93"/>
      <c r="BW815" s="93"/>
      <c r="BX815" s="93"/>
      <c r="BY815" s="93"/>
      <c r="BZ815" s="93"/>
    </row>
    <row r="816">
      <c r="B816" t="s">
        <v>3234</v>
      </c>
      <c r="C816" s="89" t="s">
        <v>3235</v>
      </c>
      <c r="D816" s="90" t="s">
        <v>2882</v>
      </c>
      <c r="E816" s="91">
        <v>2019.0</v>
      </c>
      <c r="F816" s="104">
        <v>1.0</v>
      </c>
      <c r="G816" s="93"/>
      <c r="H816" s="93"/>
      <c r="I816" s="93"/>
      <c r="J816" s="93"/>
      <c r="K816" s="93"/>
      <c r="L816" s="93"/>
      <c r="M816" s="93"/>
      <c r="N816" s="93"/>
      <c r="O816" s="93"/>
      <c r="P816" s="93"/>
      <c r="Q816" s="93"/>
      <c r="R816" s="93"/>
      <c r="S816" s="93"/>
      <c r="T816" s="93"/>
      <c r="U816" s="93"/>
      <c r="V816" s="93"/>
      <c r="W816" s="93"/>
      <c r="X816" s="93"/>
      <c r="Y816" s="93"/>
      <c r="Z816" s="93"/>
      <c r="AA816" s="93"/>
      <c r="AB816" s="93"/>
      <c r="AC816" s="93"/>
      <c r="AD816" s="93"/>
      <c r="AE816" s="93"/>
      <c r="AF816" s="93"/>
      <c r="AG816" s="93"/>
      <c r="AH816" s="93"/>
      <c r="AI816" s="93"/>
      <c r="AJ816" s="93"/>
      <c r="AK816" s="93"/>
      <c r="AL816" s="93"/>
      <c r="AM816" s="93"/>
      <c r="AN816" s="93"/>
      <c r="AO816" s="93"/>
      <c r="AP816" s="93"/>
      <c r="AQ816" s="93"/>
      <c r="AR816" s="93"/>
      <c r="AS816" s="93"/>
      <c r="AT816" s="93"/>
      <c r="AU816" s="93"/>
      <c r="AV816" s="93"/>
      <c r="AW816" s="93"/>
      <c r="AX816" s="93"/>
      <c r="AY816" s="93"/>
      <c r="AZ816" s="93"/>
      <c r="BA816" s="93"/>
      <c r="BB816" s="93"/>
      <c r="BC816" s="93"/>
      <c r="BD816" s="93"/>
      <c r="BE816" s="93"/>
      <c r="BF816" s="93"/>
      <c r="BG816" s="93"/>
      <c r="BH816" s="93"/>
      <c r="BI816" s="93"/>
      <c r="BJ816" s="93"/>
      <c r="BK816" s="93"/>
      <c r="BL816" s="93"/>
      <c r="BM816" s="93"/>
      <c r="BN816" s="93"/>
      <c r="BO816" s="93"/>
      <c r="BP816" s="93"/>
      <c r="BQ816" s="93"/>
      <c r="BR816" s="93"/>
      <c r="BS816" s="93"/>
      <c r="BT816" s="93"/>
      <c r="BU816" s="93"/>
      <c r="BV816" s="93"/>
      <c r="BW816" s="93"/>
      <c r="BX816" s="93"/>
      <c r="BY816" s="93"/>
      <c r="BZ816" s="93"/>
    </row>
    <row r="817">
      <c r="B817" t="s">
        <v>3236</v>
      </c>
      <c r="C817" s="89" t="s">
        <v>3237</v>
      </c>
      <c r="D817" s="90" t="s">
        <v>3238</v>
      </c>
      <c r="E817" s="91">
        <v>2019.0</v>
      </c>
      <c r="F817" s="104">
        <v>1.0</v>
      </c>
      <c r="G817" s="93"/>
      <c r="H817" s="93"/>
      <c r="I817" s="93"/>
      <c r="J817" s="93"/>
      <c r="K817" s="93"/>
      <c r="L817" s="93"/>
      <c r="M817" s="93"/>
      <c r="N817" s="93"/>
      <c r="O817" s="93"/>
      <c r="P817" s="93"/>
      <c r="Q817" s="93"/>
      <c r="R817" s="93"/>
      <c r="S817" s="93"/>
      <c r="T817" s="93"/>
      <c r="U817" s="93"/>
      <c r="V817" s="93"/>
      <c r="W817" s="93"/>
      <c r="X817" s="93"/>
      <c r="Y817" s="93"/>
      <c r="Z817" s="93"/>
      <c r="AA817" s="93"/>
      <c r="AB817" s="93"/>
      <c r="AC817" s="93"/>
      <c r="AD817" s="93"/>
      <c r="AE817" s="93"/>
      <c r="AF817" s="93"/>
      <c r="AG817" s="93"/>
      <c r="AH817" s="93"/>
      <c r="AI817" s="93"/>
      <c r="AJ817" s="93"/>
      <c r="AK817" s="93"/>
      <c r="AL817" s="93"/>
      <c r="AM817" s="93"/>
      <c r="AN817" s="93"/>
      <c r="AO817" s="93"/>
      <c r="AP817" s="93"/>
      <c r="AQ817" s="93"/>
      <c r="AR817" s="93"/>
      <c r="AS817" s="93"/>
      <c r="AT817" s="93"/>
      <c r="AU817" s="93"/>
      <c r="AV817" s="93"/>
      <c r="AW817" s="93"/>
      <c r="AX817" s="93"/>
      <c r="AY817" s="93"/>
      <c r="AZ817" s="93"/>
      <c r="BA817" s="93"/>
      <c r="BB817" s="93"/>
      <c r="BC817" s="93"/>
      <c r="BD817" s="93"/>
      <c r="BE817" s="93"/>
      <c r="BF817" s="93"/>
      <c r="BG817" s="93"/>
      <c r="BH817" s="93"/>
      <c r="BI817" s="93"/>
      <c r="BJ817" s="93"/>
      <c r="BK817" s="93"/>
      <c r="BL817" s="93"/>
      <c r="BM817" s="93"/>
      <c r="BN817" s="93"/>
      <c r="BO817" s="93"/>
      <c r="BP817" s="93"/>
      <c r="BQ817" s="93"/>
      <c r="BR817" s="93"/>
      <c r="BS817" s="93"/>
      <c r="BT817" s="93"/>
      <c r="BU817" s="93"/>
      <c r="BV817" s="93"/>
      <c r="BW817" s="93"/>
      <c r="BX817" s="93"/>
      <c r="BY817" s="93"/>
      <c r="BZ817" s="93"/>
    </row>
    <row r="818">
      <c r="B818" t="s">
        <v>3239</v>
      </c>
      <c r="C818" s="89" t="s">
        <v>3240</v>
      </c>
      <c r="D818" s="90" t="s">
        <v>3241</v>
      </c>
      <c r="E818" s="91">
        <v>2020.0</v>
      </c>
      <c r="F818" s="104">
        <v>1.0</v>
      </c>
      <c r="G818" s="93"/>
      <c r="H818" s="93"/>
      <c r="I818" s="93"/>
      <c r="J818" s="93"/>
      <c r="K818" s="93"/>
      <c r="L818" s="93"/>
      <c r="M818" s="93"/>
      <c r="N818" s="93"/>
      <c r="O818" s="93"/>
      <c r="P818" s="93"/>
      <c r="Q818" s="93"/>
      <c r="R818" s="93"/>
      <c r="S818" s="93"/>
      <c r="T818" s="93"/>
      <c r="U818" s="93"/>
      <c r="V818" s="93"/>
      <c r="W818" s="93"/>
      <c r="X818" s="93"/>
      <c r="Y818" s="93"/>
      <c r="Z818" s="93"/>
      <c r="AA818" s="93"/>
      <c r="AB818" s="93"/>
      <c r="AC818" s="93"/>
      <c r="AD818" s="93"/>
      <c r="AE818" s="93"/>
      <c r="AF818" s="93"/>
      <c r="AG818" s="93"/>
      <c r="AH818" s="93"/>
      <c r="AI818" s="93"/>
      <c r="AJ818" s="93"/>
      <c r="AK818" s="93"/>
      <c r="AL818" s="93"/>
      <c r="AM818" s="93"/>
      <c r="AN818" s="93"/>
      <c r="AO818" s="93"/>
      <c r="AP818" s="93"/>
      <c r="AQ818" s="93"/>
      <c r="AR818" s="93"/>
      <c r="AS818" s="93"/>
      <c r="AT818" s="93"/>
      <c r="AU818" s="93"/>
      <c r="AV818" s="93"/>
      <c r="AW818" s="93"/>
      <c r="AX818" s="93"/>
      <c r="AY818" s="93"/>
      <c r="AZ818" s="93"/>
      <c r="BA818" s="93"/>
      <c r="BB818" s="93"/>
      <c r="BC818" s="93"/>
      <c r="BD818" s="93"/>
      <c r="BE818" s="93"/>
      <c r="BF818" s="93"/>
      <c r="BG818" s="93"/>
      <c r="BH818" s="93"/>
      <c r="BI818" s="93"/>
      <c r="BJ818" s="93"/>
      <c r="BK818" s="93"/>
      <c r="BL818" s="93"/>
      <c r="BM818" s="93"/>
      <c r="BN818" s="93"/>
      <c r="BO818" s="93"/>
      <c r="BP818" s="93"/>
      <c r="BQ818" s="93"/>
      <c r="BR818" s="93"/>
      <c r="BS818" s="93"/>
      <c r="BT818" s="93"/>
      <c r="BU818" s="93"/>
      <c r="BV818" s="93"/>
      <c r="BW818" s="93"/>
      <c r="BX818" s="93"/>
      <c r="BY818" s="93"/>
      <c r="BZ818" s="93"/>
    </row>
    <row r="819">
      <c r="A819" t="s">
        <v>116</v>
      </c>
      <c r="B819" t="s">
        <v>3242</v>
      </c>
      <c r="C819" s="89" t="s">
        <v>3243</v>
      </c>
      <c r="D819" s="90" t="s">
        <v>2874</v>
      </c>
      <c r="E819" s="91">
        <v>2018.0</v>
      </c>
      <c r="F819" s="104">
        <v>1.0</v>
      </c>
      <c r="G819" s="93"/>
      <c r="H819" s="93"/>
      <c r="I819" s="93"/>
      <c r="J819" s="93"/>
      <c r="K819" s="93"/>
      <c r="L819" s="93"/>
      <c r="M819" s="93"/>
      <c r="N819" s="93"/>
      <c r="O819" s="93"/>
      <c r="P819" s="93"/>
      <c r="Q819" s="93"/>
      <c r="R819" s="93"/>
      <c r="S819" s="93"/>
      <c r="T819" s="93"/>
      <c r="U819" s="93"/>
      <c r="V819" s="93"/>
      <c r="W819" s="93"/>
      <c r="X819" s="93"/>
      <c r="Y819" s="93"/>
      <c r="Z819" s="93"/>
      <c r="AA819" s="93"/>
      <c r="AB819" s="93"/>
      <c r="AC819" s="93"/>
      <c r="AD819" s="93"/>
      <c r="AE819" s="93"/>
      <c r="AF819" s="93"/>
      <c r="AG819" s="93"/>
      <c r="AH819" s="93"/>
      <c r="AI819" s="93"/>
      <c r="AJ819" s="93"/>
      <c r="AK819" s="93"/>
      <c r="AL819" s="93"/>
      <c r="AM819" s="93"/>
      <c r="AN819" s="93"/>
      <c r="AO819" s="93"/>
      <c r="AP819" s="93"/>
      <c r="AQ819" s="93"/>
      <c r="AR819" s="93"/>
      <c r="AS819" s="93"/>
      <c r="AT819" s="93"/>
      <c r="AU819" s="93"/>
      <c r="AV819" s="93"/>
      <c r="AW819" s="93"/>
      <c r="AX819" s="93"/>
      <c r="AY819" s="93"/>
      <c r="AZ819" s="93"/>
      <c r="BA819" s="93"/>
      <c r="BB819" s="93"/>
      <c r="BC819" s="93"/>
      <c r="BD819" s="93"/>
      <c r="BE819" s="93"/>
      <c r="BF819" s="93"/>
      <c r="BG819" s="93"/>
      <c r="BH819" s="93"/>
      <c r="BI819" s="93"/>
      <c r="BJ819" s="93"/>
      <c r="BK819" s="93"/>
      <c r="BL819" s="93"/>
      <c r="BM819" s="93"/>
      <c r="BN819" s="93"/>
      <c r="BO819" s="93"/>
      <c r="BP819" s="93"/>
      <c r="BQ819" s="93"/>
      <c r="BR819" s="93"/>
      <c r="BS819" s="93"/>
      <c r="BT819" s="93"/>
      <c r="BU819" s="93"/>
      <c r="BV819" s="93"/>
      <c r="BW819" s="93"/>
      <c r="BX819" s="93"/>
      <c r="BY819" s="93"/>
      <c r="BZ819" s="93"/>
    </row>
    <row r="820">
      <c r="B820" t="s">
        <v>3244</v>
      </c>
      <c r="C820" s="89" t="s">
        <v>3245</v>
      </c>
      <c r="D820" s="90" t="s">
        <v>2912</v>
      </c>
      <c r="E820" s="91">
        <v>2019.0</v>
      </c>
      <c r="F820" s="104">
        <v>1.0</v>
      </c>
      <c r="G820" s="93"/>
      <c r="H820" s="93"/>
      <c r="I820" s="93"/>
      <c r="J820" s="93"/>
      <c r="K820" s="93"/>
      <c r="L820" s="93"/>
      <c r="M820" s="93"/>
      <c r="N820" s="93"/>
      <c r="O820" s="93"/>
      <c r="P820" s="93"/>
      <c r="Q820" s="93"/>
      <c r="R820" s="93"/>
      <c r="S820" s="93"/>
      <c r="T820" s="93"/>
      <c r="U820" s="93"/>
      <c r="V820" s="93"/>
      <c r="W820" s="93"/>
      <c r="X820" s="93"/>
      <c r="Y820" s="93"/>
      <c r="Z820" s="93"/>
      <c r="AA820" s="93"/>
      <c r="AB820" s="93"/>
      <c r="AC820" s="93"/>
      <c r="AD820" s="93"/>
      <c r="AE820" s="93"/>
      <c r="AF820" s="93"/>
      <c r="AG820" s="93"/>
      <c r="AH820" s="93"/>
      <c r="AI820" s="93"/>
      <c r="AJ820" s="93"/>
      <c r="AK820" s="93"/>
      <c r="AL820" s="93"/>
      <c r="AM820" s="93"/>
      <c r="AN820" s="93"/>
      <c r="AO820" s="93"/>
      <c r="AP820" s="93"/>
      <c r="AQ820" s="93"/>
      <c r="AR820" s="93"/>
      <c r="AS820" s="93"/>
      <c r="AT820" s="93"/>
      <c r="AU820" s="93"/>
      <c r="AV820" s="93"/>
      <c r="AW820" s="93"/>
      <c r="AX820" s="93"/>
      <c r="AY820" s="93"/>
      <c r="AZ820" s="93"/>
      <c r="BA820" s="93"/>
      <c r="BB820" s="93"/>
      <c r="BC820" s="93"/>
      <c r="BD820" s="93"/>
      <c r="BE820" s="93"/>
      <c r="BF820" s="93"/>
      <c r="BG820" s="93"/>
      <c r="BH820" s="93"/>
      <c r="BI820" s="93"/>
      <c r="BJ820" s="93"/>
      <c r="BK820" s="93"/>
      <c r="BL820" s="93"/>
      <c r="BM820" s="93"/>
      <c r="BN820" s="93"/>
      <c r="BO820" s="93"/>
      <c r="BP820" s="93"/>
      <c r="BQ820" s="93"/>
      <c r="BR820" s="93"/>
      <c r="BS820" s="93"/>
      <c r="BT820" s="93"/>
      <c r="BU820" s="93"/>
      <c r="BV820" s="93"/>
      <c r="BW820" s="93"/>
      <c r="BX820" s="93"/>
      <c r="BY820" s="93"/>
      <c r="BZ820" s="93"/>
    </row>
    <row r="821">
      <c r="B821" t="s">
        <v>3246</v>
      </c>
      <c r="C821" s="89" t="s">
        <v>3247</v>
      </c>
      <c r="D821" s="90" t="s">
        <v>3248</v>
      </c>
      <c r="E821" s="91">
        <v>2019.0</v>
      </c>
      <c r="F821" s="104">
        <v>1.0</v>
      </c>
      <c r="G821" s="93"/>
      <c r="H821" s="93"/>
      <c r="I821" s="93"/>
      <c r="J821" s="93"/>
      <c r="K821" s="93"/>
      <c r="L821" s="93"/>
      <c r="M821" s="93"/>
      <c r="N821" s="93"/>
      <c r="O821" s="93"/>
      <c r="P821" s="93"/>
      <c r="Q821" s="93"/>
      <c r="R821" s="93"/>
      <c r="S821" s="93"/>
      <c r="T821" s="93"/>
      <c r="U821" s="93"/>
      <c r="V821" s="93"/>
      <c r="W821" s="93"/>
      <c r="X821" s="93"/>
      <c r="Y821" s="93"/>
      <c r="Z821" s="93"/>
      <c r="AA821" s="93"/>
      <c r="AB821" s="93"/>
      <c r="AC821" s="93"/>
      <c r="AD821" s="93"/>
      <c r="AE821" s="93"/>
      <c r="AF821" s="93"/>
      <c r="AG821" s="93"/>
      <c r="AH821" s="93"/>
      <c r="AI821" s="93"/>
      <c r="AJ821" s="93"/>
      <c r="AK821" s="93"/>
      <c r="AL821" s="93"/>
      <c r="AM821" s="93"/>
      <c r="AN821" s="93"/>
      <c r="AO821" s="93"/>
      <c r="AP821" s="93"/>
      <c r="AQ821" s="93"/>
      <c r="AR821" s="93"/>
      <c r="AS821" s="93"/>
      <c r="AT821" s="93"/>
      <c r="AU821" s="93"/>
      <c r="AV821" s="93"/>
      <c r="AW821" s="93"/>
      <c r="AX821" s="93"/>
      <c r="AY821" s="93"/>
      <c r="AZ821" s="93"/>
      <c r="BA821" s="93"/>
      <c r="BB821" s="93"/>
      <c r="BC821" s="93"/>
      <c r="BD821" s="93"/>
      <c r="BE821" s="93"/>
      <c r="BF821" s="93"/>
      <c r="BG821" s="93"/>
      <c r="BH821" s="93"/>
      <c r="BI821" s="93"/>
      <c r="BJ821" s="93"/>
      <c r="BK821" s="93"/>
      <c r="BL821" s="93"/>
      <c r="BM821" s="93"/>
      <c r="BN821" s="93"/>
      <c r="BO821" s="93"/>
      <c r="BP821" s="93"/>
      <c r="BQ821" s="93"/>
      <c r="BR821" s="93"/>
      <c r="BS821" s="93"/>
      <c r="BT821" s="93"/>
      <c r="BU821" s="93"/>
      <c r="BV821" s="93"/>
      <c r="BW821" s="93"/>
      <c r="BX821" s="93"/>
      <c r="BY821" s="93"/>
      <c r="BZ821" s="93"/>
    </row>
    <row r="822">
      <c r="A822" t="s">
        <v>1331</v>
      </c>
      <c r="B822" t="s">
        <v>3249</v>
      </c>
      <c r="C822" s="89" t="s">
        <v>3250</v>
      </c>
      <c r="D822" s="90" t="s">
        <v>3251</v>
      </c>
      <c r="E822" s="91">
        <v>2016.0</v>
      </c>
      <c r="F822" s="104">
        <v>1.0</v>
      </c>
      <c r="G822" s="93"/>
      <c r="H822" s="93"/>
      <c r="I822" s="93"/>
      <c r="J822" s="93"/>
      <c r="K822" s="93"/>
      <c r="L822" s="93"/>
      <c r="M822" s="93"/>
      <c r="N822" s="93"/>
      <c r="O822" s="93"/>
      <c r="P822" s="93"/>
      <c r="Q822" s="93"/>
      <c r="R822" s="93"/>
      <c r="S822" s="93"/>
      <c r="T822" s="93"/>
      <c r="U822" s="93"/>
      <c r="V822" s="93"/>
      <c r="W822" s="93"/>
      <c r="X822" s="93"/>
      <c r="Y822" s="93"/>
      <c r="Z822" s="93"/>
      <c r="AA822" s="93"/>
      <c r="AB822" s="93"/>
      <c r="AC822" s="93"/>
      <c r="AD822" s="93"/>
      <c r="AE822" s="93"/>
      <c r="AF822" s="93"/>
      <c r="AG822" s="93"/>
      <c r="AH822" s="93"/>
      <c r="AI822" s="93"/>
      <c r="AJ822" s="93"/>
      <c r="AK822" s="93"/>
      <c r="AL822" s="93"/>
      <c r="AM822" s="93"/>
      <c r="AN822" s="93"/>
      <c r="AO822" s="93"/>
      <c r="AP822" s="93"/>
      <c r="AQ822" s="93"/>
      <c r="AR822" s="93"/>
      <c r="AS822" s="93"/>
      <c r="AT822" s="93"/>
      <c r="AU822" s="93"/>
      <c r="AV822" s="93"/>
      <c r="AW822" s="93"/>
      <c r="AX822" s="93"/>
      <c r="AY822" s="93"/>
      <c r="AZ822" s="93"/>
      <c r="BA822" s="93"/>
      <c r="BB822" s="93"/>
      <c r="BC822" s="93"/>
      <c r="BD822" s="93"/>
      <c r="BE822" s="93"/>
      <c r="BF822" s="93"/>
      <c r="BG822" s="93"/>
      <c r="BH822" s="93"/>
      <c r="BI822" s="93"/>
      <c r="BJ822" s="93"/>
      <c r="BK822" s="93"/>
      <c r="BL822" s="93"/>
      <c r="BM822" s="93"/>
      <c r="BN822" s="93"/>
      <c r="BO822" s="93"/>
      <c r="BP822" s="93"/>
      <c r="BQ822" s="93"/>
      <c r="BR822" s="93"/>
      <c r="BS822" s="93"/>
      <c r="BT822" s="93"/>
      <c r="BU822" s="93"/>
      <c r="BV822" s="93"/>
      <c r="BW822" s="93"/>
      <c r="BX822" s="93"/>
      <c r="BY822" s="93"/>
      <c r="BZ822" s="93"/>
    </row>
    <row r="823">
      <c r="B823" t="s">
        <v>3252</v>
      </c>
      <c r="C823" s="89" t="s">
        <v>3253</v>
      </c>
      <c r="D823" s="90" t="s">
        <v>3103</v>
      </c>
      <c r="E823" s="91">
        <v>2018.0</v>
      </c>
      <c r="F823" s="104">
        <v>1.0</v>
      </c>
      <c r="G823" s="93"/>
      <c r="H823" s="93"/>
      <c r="I823" s="93"/>
      <c r="J823" s="93"/>
      <c r="K823" s="93"/>
      <c r="L823" s="93"/>
      <c r="M823" s="93"/>
      <c r="N823" s="93"/>
      <c r="O823" s="93"/>
      <c r="P823" s="93"/>
      <c r="Q823" s="93"/>
      <c r="R823" s="93"/>
      <c r="S823" s="93"/>
      <c r="T823" s="93"/>
      <c r="U823" s="93"/>
      <c r="V823" s="93"/>
      <c r="W823" s="93"/>
      <c r="X823" s="93"/>
      <c r="Y823" s="93"/>
      <c r="Z823" s="93"/>
      <c r="AA823" s="93"/>
      <c r="AB823" s="93"/>
      <c r="AC823" s="93"/>
      <c r="AD823" s="93"/>
      <c r="AE823" s="93"/>
      <c r="AF823" s="93"/>
      <c r="AG823" s="93"/>
      <c r="AH823" s="93"/>
      <c r="AI823" s="93"/>
      <c r="AJ823" s="93"/>
      <c r="AK823" s="93"/>
      <c r="AL823" s="93"/>
      <c r="AM823" s="93"/>
      <c r="AN823" s="93"/>
      <c r="AO823" s="93"/>
      <c r="AP823" s="93"/>
      <c r="AQ823" s="93"/>
      <c r="AR823" s="93"/>
      <c r="AS823" s="93"/>
      <c r="AT823" s="93"/>
      <c r="AU823" s="93"/>
      <c r="AV823" s="93"/>
      <c r="AW823" s="93"/>
      <c r="AX823" s="93"/>
      <c r="AY823" s="93"/>
      <c r="AZ823" s="93"/>
      <c r="BA823" s="93"/>
      <c r="BB823" s="93"/>
      <c r="BC823" s="93"/>
      <c r="BD823" s="93"/>
      <c r="BE823" s="93"/>
      <c r="BF823" s="93"/>
      <c r="BG823" s="93"/>
      <c r="BH823" s="93"/>
      <c r="BI823" s="93"/>
      <c r="BJ823" s="93"/>
      <c r="BK823" s="93"/>
      <c r="BL823" s="93"/>
      <c r="BM823" s="93"/>
      <c r="BN823" s="93"/>
      <c r="BO823" s="93"/>
      <c r="BP823" s="93"/>
      <c r="BQ823" s="93"/>
      <c r="BR823" s="93"/>
      <c r="BS823" s="93"/>
      <c r="BT823" s="93"/>
      <c r="BU823" s="93"/>
      <c r="BV823" s="93"/>
      <c r="BW823" s="93"/>
      <c r="BX823" s="93"/>
      <c r="BY823" s="93"/>
      <c r="BZ823" s="93"/>
    </row>
    <row r="824">
      <c r="A824" t="s">
        <v>1340</v>
      </c>
      <c r="B824" t="s">
        <v>3254</v>
      </c>
      <c r="C824" s="89" t="s">
        <v>3255</v>
      </c>
      <c r="D824" s="90" t="s">
        <v>2837</v>
      </c>
      <c r="E824" s="91">
        <v>2016.0</v>
      </c>
      <c r="F824" s="104">
        <v>1.0</v>
      </c>
      <c r="G824" s="93"/>
      <c r="H824" s="93"/>
      <c r="I824" s="93"/>
      <c r="J824" s="93"/>
      <c r="K824" s="93"/>
      <c r="L824" s="93"/>
      <c r="M824" s="93"/>
      <c r="N824" s="104">
        <v>1.0</v>
      </c>
      <c r="O824" s="93"/>
      <c r="P824" s="93"/>
      <c r="Q824" s="93"/>
      <c r="R824" s="93"/>
      <c r="S824" s="93"/>
      <c r="T824" s="93"/>
      <c r="U824" s="93"/>
      <c r="V824" s="90" t="s">
        <v>3256</v>
      </c>
      <c r="W824" s="90" t="s">
        <v>3257</v>
      </c>
      <c r="X824" s="90" t="s">
        <v>3258</v>
      </c>
      <c r="Y824" s="90" t="s">
        <v>3259</v>
      </c>
      <c r="Z824" s="90" t="s">
        <v>3260</v>
      </c>
      <c r="AA824" s="104">
        <v>1.0</v>
      </c>
      <c r="AB824" s="104">
        <v>1.0</v>
      </c>
      <c r="AC824" s="93"/>
      <c r="AD824" s="104">
        <v>1.0</v>
      </c>
      <c r="AE824" s="93"/>
      <c r="AF824" s="93"/>
      <c r="AG824" s="93"/>
      <c r="AH824" s="90" t="s">
        <v>3261</v>
      </c>
      <c r="AI824" s="104">
        <v>1.0</v>
      </c>
      <c r="AJ824" s="93"/>
      <c r="AK824" s="93"/>
      <c r="AL824" s="93"/>
      <c r="AM824" s="93"/>
      <c r="AN824" s="93"/>
      <c r="AO824" s="93"/>
      <c r="AP824" s="93"/>
      <c r="AQ824" s="93"/>
      <c r="AR824" s="93" t="s">
        <v>1203</v>
      </c>
      <c r="AS824" s="93"/>
      <c r="AT824" s="93"/>
      <c r="AU824" s="93"/>
      <c r="AV824" s="93"/>
      <c r="AW824" s="93"/>
      <c r="AX824" s="93"/>
      <c r="AY824" s="93"/>
      <c r="AZ824" s="93"/>
      <c r="BA824" s="93"/>
      <c r="BB824" s="93"/>
      <c r="BC824" s="93"/>
      <c r="BD824" s="93"/>
      <c r="BE824" s="93"/>
      <c r="BF824" s="104">
        <v>1.0</v>
      </c>
      <c r="BG824" s="93"/>
      <c r="BH824" s="93"/>
      <c r="BI824" s="93" t="s">
        <v>1203</v>
      </c>
      <c r="BJ824" s="93"/>
      <c r="BK824" s="93"/>
      <c r="BL824" s="93"/>
      <c r="BM824" s="93"/>
      <c r="BN824" s="93"/>
      <c r="BO824" s="93"/>
      <c r="BP824" s="93"/>
      <c r="BQ824" s="104">
        <v>1.0</v>
      </c>
      <c r="BR824" s="93"/>
      <c r="BS824" s="93"/>
      <c r="BT824" s="104">
        <v>1.0</v>
      </c>
      <c r="BU824" s="93"/>
      <c r="BV824" s="104">
        <v>1.0</v>
      </c>
      <c r="BW824" s="93"/>
      <c r="BX824" s="93"/>
      <c r="BY824" s="104">
        <v>1.0</v>
      </c>
      <c r="BZ824" s="93"/>
    </row>
    <row r="825">
      <c r="B825" t="s">
        <v>3262</v>
      </c>
      <c r="C825" s="89" t="s">
        <v>3263</v>
      </c>
      <c r="D825" s="90" t="s">
        <v>2874</v>
      </c>
      <c r="E825" s="91">
        <v>2016.0</v>
      </c>
      <c r="F825" s="104">
        <v>1.0</v>
      </c>
      <c r="G825" s="93"/>
      <c r="H825" s="93"/>
      <c r="I825" s="93"/>
      <c r="J825" s="93"/>
      <c r="K825" s="93"/>
      <c r="L825" s="93"/>
      <c r="M825" s="93"/>
      <c r="N825" s="93"/>
      <c r="O825" s="93"/>
      <c r="P825" s="93"/>
      <c r="Q825" s="93"/>
      <c r="R825" s="93"/>
      <c r="S825" s="93"/>
      <c r="T825" s="93"/>
      <c r="U825" s="93"/>
      <c r="V825" s="93"/>
      <c r="W825" s="93"/>
      <c r="X825" s="93"/>
      <c r="Y825" s="93"/>
      <c r="Z825" s="93"/>
      <c r="AA825" s="93"/>
      <c r="AB825" s="93"/>
      <c r="AC825" s="93"/>
      <c r="AD825" s="93"/>
      <c r="AE825" s="93"/>
      <c r="AF825" s="93"/>
      <c r="AG825" s="93"/>
      <c r="AH825" s="93"/>
      <c r="AI825" s="93"/>
      <c r="AJ825" s="93"/>
      <c r="AK825" s="93"/>
      <c r="AL825" s="93"/>
      <c r="AM825" s="93"/>
      <c r="AN825" s="93"/>
      <c r="AO825" s="93"/>
      <c r="AP825" s="93"/>
      <c r="AQ825" s="93"/>
      <c r="AR825" s="93"/>
      <c r="AS825" s="93"/>
      <c r="AT825" s="93"/>
      <c r="AU825" s="93"/>
      <c r="AV825" s="93"/>
      <c r="AW825" s="93"/>
      <c r="AX825" s="93"/>
      <c r="AY825" s="93"/>
      <c r="AZ825" s="93"/>
      <c r="BA825" s="93"/>
      <c r="BB825" s="93"/>
      <c r="BC825" s="93"/>
      <c r="BD825" s="93"/>
      <c r="BE825" s="93"/>
      <c r="BF825" s="93"/>
      <c r="BG825" s="93"/>
      <c r="BH825" s="93"/>
      <c r="BI825" s="93"/>
      <c r="BJ825" s="93"/>
      <c r="BK825" s="93"/>
      <c r="BL825" s="93"/>
      <c r="BM825" s="93"/>
      <c r="BN825" s="93"/>
      <c r="BO825" s="93"/>
      <c r="BP825" s="93"/>
      <c r="BQ825" s="93"/>
      <c r="BR825" s="93"/>
      <c r="BS825" s="93"/>
      <c r="BT825" s="93"/>
      <c r="BU825" s="93"/>
      <c r="BV825" s="93"/>
      <c r="BW825" s="93"/>
      <c r="BX825" s="93"/>
      <c r="BY825" s="93"/>
      <c r="BZ825" s="93"/>
    </row>
    <row r="826">
      <c r="B826" t="s">
        <v>3264</v>
      </c>
      <c r="C826" s="89" t="s">
        <v>3265</v>
      </c>
      <c r="D826" s="90" t="s">
        <v>3266</v>
      </c>
      <c r="E826" s="91">
        <v>2019.0</v>
      </c>
      <c r="F826" s="104">
        <v>1.0</v>
      </c>
      <c r="G826" s="93"/>
      <c r="H826" s="93"/>
      <c r="I826" s="93"/>
      <c r="J826" s="93"/>
      <c r="K826" s="93"/>
      <c r="L826" s="93"/>
      <c r="M826" s="93"/>
      <c r="N826" s="93"/>
      <c r="O826" s="93"/>
      <c r="P826" s="93"/>
      <c r="Q826" s="93"/>
      <c r="R826" s="93"/>
      <c r="S826" s="93"/>
      <c r="T826" s="93"/>
      <c r="U826" s="93"/>
      <c r="V826" s="93"/>
      <c r="W826" s="93"/>
      <c r="X826" s="93"/>
      <c r="Y826" s="93"/>
      <c r="Z826" s="93"/>
      <c r="AA826" s="93"/>
      <c r="AB826" s="93"/>
      <c r="AC826" s="93"/>
      <c r="AD826" s="93"/>
      <c r="AE826" s="93"/>
      <c r="AF826" s="93"/>
      <c r="AG826" s="93"/>
      <c r="AH826" s="93"/>
      <c r="AI826" s="93"/>
      <c r="AJ826" s="93"/>
      <c r="AK826" s="93"/>
      <c r="AL826" s="93"/>
      <c r="AM826" s="93"/>
      <c r="AN826" s="93"/>
      <c r="AO826" s="93"/>
      <c r="AP826" s="93"/>
      <c r="AQ826" s="93"/>
      <c r="AR826" s="93"/>
      <c r="AS826" s="93"/>
      <c r="AT826" s="93"/>
      <c r="AU826" s="93"/>
      <c r="AV826" s="93"/>
      <c r="AW826" s="93"/>
      <c r="AX826" s="93"/>
      <c r="AY826" s="93"/>
      <c r="AZ826" s="93"/>
      <c r="BA826" s="93"/>
      <c r="BB826" s="93"/>
      <c r="BC826" s="93"/>
      <c r="BD826" s="93"/>
      <c r="BE826" s="93"/>
      <c r="BF826" s="93"/>
      <c r="BG826" s="93"/>
      <c r="BH826" s="93"/>
      <c r="BI826" s="93"/>
      <c r="BJ826" s="93"/>
      <c r="BK826" s="93"/>
      <c r="BL826" s="93"/>
      <c r="BM826" s="93"/>
      <c r="BN826" s="93"/>
      <c r="BO826" s="93"/>
      <c r="BP826" s="93"/>
      <c r="BQ826" s="93"/>
      <c r="BR826" s="93"/>
      <c r="BS826" s="93"/>
      <c r="BT826" s="93"/>
      <c r="BU826" s="93"/>
      <c r="BV826" s="93"/>
      <c r="BW826" s="93"/>
      <c r="BX826" s="93"/>
      <c r="BY826" s="93"/>
      <c r="BZ826" s="93"/>
    </row>
    <row r="827">
      <c r="A827" t="s">
        <v>1354</v>
      </c>
      <c r="B827" t="s">
        <v>3267</v>
      </c>
      <c r="C827" s="89" t="s">
        <v>3268</v>
      </c>
      <c r="D827" s="90" t="s">
        <v>2834</v>
      </c>
      <c r="E827" s="91">
        <v>2017.0</v>
      </c>
      <c r="F827" s="104">
        <v>1.0</v>
      </c>
      <c r="G827" s="93"/>
      <c r="H827" s="93"/>
      <c r="I827" s="93"/>
      <c r="J827" s="93"/>
      <c r="K827" s="93"/>
      <c r="L827" s="93"/>
      <c r="M827" s="93"/>
      <c r="N827" s="93"/>
      <c r="O827" s="93"/>
      <c r="P827" s="93"/>
      <c r="Q827" s="93"/>
      <c r="R827" s="93"/>
      <c r="S827" s="93"/>
      <c r="T827" s="93"/>
      <c r="U827" s="93"/>
      <c r="V827" s="93"/>
      <c r="W827" s="93"/>
      <c r="X827" s="93"/>
      <c r="Y827" s="93"/>
      <c r="Z827" s="93"/>
      <c r="AA827" s="93"/>
      <c r="AB827" s="93"/>
      <c r="AC827" s="93"/>
      <c r="AD827" s="93"/>
      <c r="AE827" s="93"/>
      <c r="AF827" s="93"/>
      <c r="AG827" s="93"/>
      <c r="AH827" s="93"/>
      <c r="AI827" s="93"/>
      <c r="AJ827" s="93"/>
      <c r="AK827" s="93"/>
      <c r="AL827" s="93"/>
      <c r="AM827" s="93"/>
      <c r="AN827" s="93"/>
      <c r="AO827" s="93"/>
      <c r="AP827" s="93"/>
      <c r="AQ827" s="93"/>
      <c r="AR827" s="93"/>
      <c r="AS827" s="93"/>
      <c r="AT827" s="93"/>
      <c r="AU827" s="93"/>
      <c r="AV827" s="93"/>
      <c r="AW827" s="93"/>
      <c r="AX827" s="93"/>
      <c r="AY827" s="93"/>
      <c r="AZ827" s="93"/>
      <c r="BA827" s="93"/>
      <c r="BB827" s="93"/>
      <c r="BC827" s="93"/>
      <c r="BD827" s="93"/>
      <c r="BE827" s="93"/>
      <c r="BF827" s="93"/>
      <c r="BG827" s="93"/>
      <c r="BH827" s="93"/>
      <c r="BI827" s="93"/>
      <c r="BJ827" s="93"/>
      <c r="BK827" s="93"/>
      <c r="BL827" s="93"/>
      <c r="BM827" s="93"/>
      <c r="BN827" s="93"/>
      <c r="BO827" s="93"/>
      <c r="BP827" s="93"/>
      <c r="BQ827" s="93"/>
      <c r="BR827" s="93"/>
      <c r="BS827" s="93"/>
      <c r="BT827" s="93"/>
      <c r="BU827" s="93"/>
      <c r="BV827" s="93"/>
      <c r="BW827" s="93"/>
      <c r="BX827" s="93"/>
      <c r="BY827" s="93"/>
      <c r="BZ827" s="93"/>
    </row>
    <row r="828">
      <c r="B828" t="s">
        <v>3269</v>
      </c>
      <c r="C828" s="89" t="s">
        <v>3270</v>
      </c>
      <c r="D828" s="90" t="s">
        <v>3271</v>
      </c>
      <c r="E828" s="91">
        <v>2016.0</v>
      </c>
      <c r="F828" s="104">
        <v>1.0</v>
      </c>
      <c r="G828" s="93"/>
      <c r="H828" s="93"/>
      <c r="I828" s="93"/>
      <c r="J828" s="93"/>
      <c r="K828" s="93"/>
      <c r="L828" s="93"/>
      <c r="M828" s="93"/>
      <c r="N828" s="93"/>
      <c r="O828" s="93"/>
      <c r="P828" s="93"/>
      <c r="Q828" s="93"/>
      <c r="R828" s="93"/>
      <c r="S828" s="93"/>
      <c r="T828" s="93"/>
      <c r="U828" s="93"/>
      <c r="V828" s="93"/>
      <c r="W828" s="93"/>
      <c r="X828" s="93"/>
      <c r="Y828" s="93"/>
      <c r="Z828" s="93"/>
      <c r="AA828" s="93"/>
      <c r="AB828" s="93"/>
      <c r="AC828" s="93"/>
      <c r="AD828" s="93"/>
      <c r="AE828" s="93"/>
      <c r="AF828" s="93"/>
      <c r="AG828" s="93"/>
      <c r="AH828" s="93"/>
      <c r="AI828" s="93"/>
      <c r="AJ828" s="93"/>
      <c r="AK828" s="93"/>
      <c r="AL828" s="93"/>
      <c r="AM828" s="93"/>
      <c r="AN828" s="93"/>
      <c r="AO828" s="93"/>
      <c r="AP828" s="93"/>
      <c r="AQ828" s="93"/>
      <c r="AR828" s="93"/>
      <c r="AS828" s="93"/>
      <c r="AT828" s="93"/>
      <c r="AU828" s="93"/>
      <c r="AV828" s="93"/>
      <c r="AW828" s="93"/>
      <c r="AX828" s="93"/>
      <c r="AY828" s="93"/>
      <c r="AZ828" s="93"/>
      <c r="BA828" s="93"/>
      <c r="BB828" s="93"/>
      <c r="BC828" s="93"/>
      <c r="BD828" s="93"/>
      <c r="BE828" s="93"/>
      <c r="BF828" s="93"/>
      <c r="BG828" s="93"/>
      <c r="BH828" s="93"/>
      <c r="BI828" s="93"/>
      <c r="BJ828" s="93"/>
      <c r="BK828" s="93"/>
      <c r="BL828" s="93"/>
      <c r="BM828" s="93"/>
      <c r="BN828" s="93"/>
      <c r="BO828" s="93"/>
      <c r="BP828" s="93"/>
      <c r="BQ828" s="93"/>
      <c r="BR828" s="93"/>
      <c r="BS828" s="93"/>
      <c r="BT828" s="93"/>
      <c r="BU828" s="93"/>
      <c r="BV828" s="93"/>
      <c r="BW828" s="93"/>
      <c r="BX828" s="93"/>
      <c r="BY828" s="93"/>
      <c r="BZ828" s="93"/>
    </row>
    <row r="829">
      <c r="B829" t="s">
        <v>3272</v>
      </c>
      <c r="C829" s="89" t="s">
        <v>3273</v>
      </c>
      <c r="D829" s="90" t="s">
        <v>2837</v>
      </c>
      <c r="E829" s="91">
        <v>2017.0</v>
      </c>
      <c r="F829" s="104">
        <v>1.0</v>
      </c>
      <c r="G829" s="93"/>
      <c r="H829" s="93"/>
      <c r="I829" s="93"/>
      <c r="J829" s="93"/>
      <c r="K829" s="93"/>
      <c r="L829" s="93"/>
      <c r="M829" s="93"/>
      <c r="N829" s="93"/>
      <c r="O829" s="93"/>
      <c r="P829" s="93"/>
      <c r="Q829" s="93"/>
      <c r="R829" s="93"/>
      <c r="S829" s="93"/>
      <c r="T829" s="93"/>
      <c r="U829" s="93"/>
      <c r="V829" s="93"/>
      <c r="W829" s="93"/>
      <c r="X829" s="93"/>
      <c r="Y829" s="93"/>
      <c r="Z829" s="93"/>
      <c r="AA829" s="93"/>
      <c r="AB829" s="93"/>
      <c r="AC829" s="93"/>
      <c r="AD829" s="93"/>
      <c r="AE829" s="93"/>
      <c r="AF829" s="93"/>
      <c r="AG829" s="93"/>
      <c r="AH829" s="93"/>
      <c r="AI829" s="93"/>
      <c r="AJ829" s="93"/>
      <c r="AK829" s="93"/>
      <c r="AL829" s="93"/>
      <c r="AM829" s="93"/>
      <c r="AN829" s="93"/>
      <c r="AO829" s="93"/>
      <c r="AP829" s="93"/>
      <c r="AQ829" s="93"/>
      <c r="AR829" s="93"/>
      <c r="AS829" s="93"/>
      <c r="AT829" s="93"/>
      <c r="AU829" s="93"/>
      <c r="AV829" s="93"/>
      <c r="AW829" s="93"/>
      <c r="AX829" s="93"/>
      <c r="AY829" s="93"/>
      <c r="AZ829" s="93"/>
      <c r="BA829" s="93"/>
      <c r="BB829" s="93"/>
      <c r="BC829" s="93"/>
      <c r="BD829" s="93"/>
      <c r="BE829" s="93"/>
      <c r="BF829" s="93"/>
      <c r="BG829" s="93"/>
      <c r="BH829" s="93"/>
      <c r="BI829" s="93"/>
      <c r="BJ829" s="93"/>
      <c r="BK829" s="93"/>
      <c r="BL829" s="93"/>
      <c r="BM829" s="93"/>
      <c r="BN829" s="93"/>
      <c r="BO829" s="93"/>
      <c r="BP829" s="93"/>
      <c r="BQ829" s="93"/>
      <c r="BR829" s="93"/>
      <c r="BS829" s="93"/>
      <c r="BT829" s="93"/>
      <c r="BU829" s="93"/>
      <c r="BV829" s="93"/>
      <c r="BW829" s="93"/>
      <c r="BX829" s="93"/>
      <c r="BY829" s="93"/>
      <c r="BZ829" s="93"/>
    </row>
    <row r="830">
      <c r="B830" t="s">
        <v>3274</v>
      </c>
      <c r="C830" s="89" t="s">
        <v>3275</v>
      </c>
      <c r="D830" s="90" t="s">
        <v>3276</v>
      </c>
      <c r="E830" s="91">
        <v>2018.0</v>
      </c>
      <c r="F830" s="104">
        <v>1.0</v>
      </c>
      <c r="G830" s="93"/>
      <c r="H830" s="93"/>
      <c r="I830" s="93"/>
      <c r="J830" s="93"/>
      <c r="K830" s="93"/>
      <c r="L830" s="93"/>
      <c r="M830" s="93"/>
      <c r="N830" s="93"/>
      <c r="O830" s="93"/>
      <c r="P830" s="93"/>
      <c r="Q830" s="93"/>
      <c r="R830" s="93"/>
      <c r="S830" s="93"/>
      <c r="T830" s="93"/>
      <c r="U830" s="93"/>
      <c r="V830" s="93"/>
      <c r="W830" s="93"/>
      <c r="X830" s="93"/>
      <c r="Y830" s="93"/>
      <c r="Z830" s="93"/>
      <c r="AA830" s="93"/>
      <c r="AB830" s="93"/>
      <c r="AC830" s="93"/>
      <c r="AD830" s="93"/>
      <c r="AE830" s="93"/>
      <c r="AF830" s="93"/>
      <c r="AG830" s="93"/>
      <c r="AH830" s="93"/>
      <c r="AI830" s="93"/>
      <c r="AJ830" s="93"/>
      <c r="AK830" s="93"/>
      <c r="AL830" s="93"/>
      <c r="AM830" s="93"/>
      <c r="AN830" s="93"/>
      <c r="AO830" s="93"/>
      <c r="AP830" s="93"/>
      <c r="AQ830" s="93"/>
      <c r="AR830" s="93"/>
      <c r="AS830" s="93"/>
      <c r="AT830" s="93"/>
      <c r="AU830" s="93"/>
      <c r="AV830" s="93"/>
      <c r="AW830" s="93"/>
      <c r="AX830" s="93"/>
      <c r="AY830" s="93"/>
      <c r="AZ830" s="93"/>
      <c r="BA830" s="93"/>
      <c r="BB830" s="93"/>
      <c r="BC830" s="93"/>
      <c r="BD830" s="93"/>
      <c r="BE830" s="93"/>
      <c r="BF830" s="93"/>
      <c r="BG830" s="93"/>
      <c r="BH830" s="93"/>
      <c r="BI830" s="93"/>
      <c r="BJ830" s="93"/>
      <c r="BK830" s="93"/>
      <c r="BL830" s="93"/>
      <c r="BM830" s="93"/>
      <c r="BN830" s="93"/>
      <c r="BO830" s="93"/>
      <c r="BP830" s="93"/>
      <c r="BQ830" s="93"/>
      <c r="BR830" s="93"/>
      <c r="BS830" s="93"/>
      <c r="BT830" s="93"/>
      <c r="BU830" s="93"/>
      <c r="BV830" s="93"/>
      <c r="BW830" s="93"/>
      <c r="BX830" s="93"/>
      <c r="BY830" s="93"/>
      <c r="BZ830" s="93"/>
    </row>
    <row r="831">
      <c r="B831" t="s">
        <v>3277</v>
      </c>
      <c r="C831" s="89" t="s">
        <v>3278</v>
      </c>
      <c r="D831" s="90" t="s">
        <v>3279</v>
      </c>
      <c r="E831" s="91">
        <v>2019.0</v>
      </c>
      <c r="F831" s="104">
        <v>1.0</v>
      </c>
      <c r="G831" s="93"/>
      <c r="H831" s="93"/>
      <c r="I831" s="93"/>
      <c r="J831" s="93"/>
      <c r="K831" s="93"/>
      <c r="L831" s="93"/>
      <c r="M831" s="93"/>
      <c r="N831" s="93"/>
      <c r="O831" s="93"/>
      <c r="P831" s="93"/>
      <c r="Q831" s="93"/>
      <c r="R831" s="93"/>
      <c r="S831" s="93"/>
      <c r="T831" s="93"/>
      <c r="U831" s="93"/>
      <c r="V831" s="93"/>
      <c r="W831" s="93"/>
      <c r="X831" s="93"/>
      <c r="Y831" s="93"/>
      <c r="Z831" s="93"/>
      <c r="AA831" s="93"/>
      <c r="AB831" s="93"/>
      <c r="AC831" s="93"/>
      <c r="AD831" s="93"/>
      <c r="AE831" s="93"/>
      <c r="AF831" s="93"/>
      <c r="AG831" s="93"/>
      <c r="AH831" s="93"/>
      <c r="AI831" s="93"/>
      <c r="AJ831" s="93"/>
      <c r="AK831" s="93"/>
      <c r="AL831" s="93"/>
      <c r="AM831" s="93"/>
      <c r="AN831" s="93"/>
      <c r="AO831" s="93"/>
      <c r="AP831" s="93"/>
      <c r="AQ831" s="93"/>
      <c r="AR831" s="93"/>
      <c r="AS831" s="93"/>
      <c r="AT831" s="93"/>
      <c r="AU831" s="93"/>
      <c r="AV831" s="93"/>
      <c r="AW831" s="93"/>
      <c r="AX831" s="93"/>
      <c r="AY831" s="93"/>
      <c r="AZ831" s="93"/>
      <c r="BA831" s="93"/>
      <c r="BB831" s="93"/>
      <c r="BC831" s="93"/>
      <c r="BD831" s="93"/>
      <c r="BE831" s="93"/>
      <c r="BF831" s="93"/>
      <c r="BG831" s="93"/>
      <c r="BH831" s="93"/>
      <c r="BI831" s="93"/>
      <c r="BJ831" s="93"/>
      <c r="BK831" s="93"/>
      <c r="BL831" s="93"/>
      <c r="BM831" s="93"/>
      <c r="BN831" s="93"/>
      <c r="BO831" s="93"/>
      <c r="BP831" s="93"/>
      <c r="BQ831" s="93"/>
      <c r="BR831" s="93"/>
      <c r="BS831" s="93"/>
      <c r="BT831" s="93"/>
      <c r="BU831" s="93"/>
      <c r="BV831" s="93"/>
      <c r="BW831" s="93"/>
      <c r="BX831" s="93"/>
      <c r="BY831" s="93"/>
      <c r="BZ831" s="93"/>
    </row>
    <row r="832">
      <c r="B832" t="s">
        <v>3280</v>
      </c>
      <c r="C832" s="89" t="s">
        <v>3281</v>
      </c>
      <c r="D832" s="90" t="s">
        <v>3282</v>
      </c>
      <c r="E832" s="91">
        <v>2019.0</v>
      </c>
      <c r="F832" s="104">
        <v>1.0</v>
      </c>
      <c r="G832" s="93"/>
      <c r="H832" s="93"/>
      <c r="I832" s="93"/>
      <c r="J832" s="93"/>
      <c r="K832" s="93"/>
      <c r="L832" s="93"/>
      <c r="M832" s="93"/>
      <c r="N832" s="93"/>
      <c r="O832" s="93"/>
      <c r="P832" s="93"/>
      <c r="Q832" s="93"/>
      <c r="R832" s="93"/>
      <c r="S832" s="93"/>
      <c r="T832" s="93"/>
      <c r="U832" s="93"/>
      <c r="V832" s="93"/>
      <c r="W832" s="93"/>
      <c r="X832" s="93"/>
      <c r="Y832" s="93"/>
      <c r="Z832" s="93"/>
      <c r="AA832" s="93"/>
      <c r="AB832" s="93"/>
      <c r="AC832" s="93"/>
      <c r="AD832" s="93"/>
      <c r="AE832" s="93"/>
      <c r="AF832" s="93"/>
      <c r="AG832" s="93"/>
      <c r="AH832" s="93"/>
      <c r="AI832" s="93"/>
      <c r="AJ832" s="93"/>
      <c r="AK832" s="93"/>
      <c r="AL832" s="93"/>
      <c r="AM832" s="93"/>
      <c r="AN832" s="93"/>
      <c r="AO832" s="93"/>
      <c r="AP832" s="93"/>
      <c r="AQ832" s="93"/>
      <c r="AR832" s="93"/>
      <c r="AS832" s="93"/>
      <c r="AT832" s="93"/>
      <c r="AU832" s="93"/>
      <c r="AV832" s="93"/>
      <c r="AW832" s="93"/>
      <c r="AX832" s="93"/>
      <c r="AY832" s="93"/>
      <c r="AZ832" s="93"/>
      <c r="BA832" s="93"/>
      <c r="BB832" s="93"/>
      <c r="BC832" s="93"/>
      <c r="BD832" s="93"/>
      <c r="BE832" s="93"/>
      <c r="BF832" s="93"/>
      <c r="BG832" s="93"/>
      <c r="BH832" s="93"/>
      <c r="BI832" s="93"/>
      <c r="BJ832" s="93"/>
      <c r="BK832" s="93"/>
      <c r="BL832" s="93"/>
      <c r="BM832" s="93"/>
      <c r="BN832" s="93"/>
      <c r="BO832" s="93"/>
      <c r="BP832" s="93"/>
      <c r="BQ832" s="93"/>
      <c r="BR832" s="93"/>
      <c r="BS832" s="93"/>
      <c r="BT832" s="93"/>
      <c r="BU832" s="93"/>
      <c r="BV832" s="93"/>
      <c r="BW832" s="93"/>
      <c r="BX832" s="93"/>
      <c r="BY832" s="93"/>
      <c r="BZ832" s="93"/>
    </row>
    <row r="833">
      <c r="B833" t="s">
        <v>3283</v>
      </c>
      <c r="C833" s="89" t="s">
        <v>3284</v>
      </c>
      <c r="D833" s="90" t="s">
        <v>3285</v>
      </c>
      <c r="E833" s="91">
        <v>2018.0</v>
      </c>
      <c r="F833" s="104">
        <v>1.0</v>
      </c>
      <c r="G833" s="93"/>
      <c r="H833" s="93"/>
      <c r="I833" s="93"/>
      <c r="J833" s="93"/>
      <c r="K833" s="93"/>
      <c r="L833" s="93"/>
      <c r="M833" s="93"/>
      <c r="N833" s="93"/>
      <c r="O833" s="93"/>
      <c r="P833" s="93"/>
      <c r="Q833" s="93"/>
      <c r="R833" s="93"/>
      <c r="S833" s="93"/>
      <c r="T833" s="93"/>
      <c r="U833" s="93"/>
      <c r="V833" s="93"/>
      <c r="W833" s="93"/>
      <c r="X833" s="93"/>
      <c r="Y833" s="93"/>
      <c r="Z833" s="93"/>
      <c r="AA833" s="93"/>
      <c r="AB833" s="93"/>
      <c r="AC833" s="93"/>
      <c r="AD833" s="93"/>
      <c r="AE833" s="93"/>
      <c r="AF833" s="93"/>
      <c r="AG833" s="93"/>
      <c r="AH833" s="93"/>
      <c r="AI833" s="93"/>
      <c r="AJ833" s="93"/>
      <c r="AK833" s="93"/>
      <c r="AL833" s="93"/>
      <c r="AM833" s="93"/>
      <c r="AN833" s="93"/>
      <c r="AO833" s="93"/>
      <c r="AP833" s="93"/>
      <c r="AQ833" s="93"/>
      <c r="AR833" s="93"/>
      <c r="AS833" s="93"/>
      <c r="AT833" s="93"/>
      <c r="AU833" s="93"/>
      <c r="AV833" s="93"/>
      <c r="AW833" s="93"/>
      <c r="AX833" s="93"/>
      <c r="AY833" s="93"/>
      <c r="AZ833" s="93"/>
      <c r="BA833" s="93"/>
      <c r="BB833" s="93"/>
      <c r="BC833" s="93"/>
      <c r="BD833" s="93"/>
      <c r="BE833" s="93"/>
      <c r="BF833" s="93"/>
      <c r="BG833" s="93"/>
      <c r="BH833" s="93"/>
      <c r="BI833" s="93"/>
      <c r="BJ833" s="93"/>
      <c r="BK833" s="93"/>
      <c r="BL833" s="93"/>
      <c r="BM833" s="93"/>
      <c r="BN833" s="93"/>
      <c r="BO833" s="93"/>
      <c r="BP833" s="93"/>
      <c r="BQ833" s="93"/>
      <c r="BR833" s="93"/>
      <c r="BS833" s="93"/>
      <c r="BT833" s="93"/>
      <c r="BU833" s="93"/>
      <c r="BV833" s="93"/>
      <c r="BW833" s="93"/>
      <c r="BX833" s="93"/>
      <c r="BY833" s="93"/>
      <c r="BZ833" s="93"/>
    </row>
    <row r="834">
      <c r="B834" t="s">
        <v>3286</v>
      </c>
      <c r="C834" s="89" t="s">
        <v>3287</v>
      </c>
      <c r="D834" s="90" t="s">
        <v>2941</v>
      </c>
      <c r="E834" s="91">
        <v>2015.0</v>
      </c>
      <c r="F834" s="104">
        <v>1.0</v>
      </c>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3"/>
      <c r="AF834" s="93"/>
      <c r="AG834" s="93"/>
      <c r="AH834" s="93"/>
      <c r="AI834" s="93"/>
      <c r="AJ834" s="93"/>
      <c r="AK834" s="93"/>
      <c r="AL834" s="93"/>
      <c r="AM834" s="93"/>
      <c r="AN834" s="93"/>
      <c r="AO834" s="93"/>
      <c r="AP834" s="93"/>
      <c r="AQ834" s="93"/>
      <c r="AR834" s="93"/>
      <c r="AS834" s="93"/>
      <c r="AT834" s="93"/>
      <c r="AU834" s="93"/>
      <c r="AV834" s="93"/>
      <c r="AW834" s="93"/>
      <c r="AX834" s="93"/>
      <c r="AY834" s="93"/>
      <c r="AZ834" s="93"/>
      <c r="BA834" s="93"/>
      <c r="BB834" s="93"/>
      <c r="BC834" s="93"/>
      <c r="BD834" s="93"/>
      <c r="BE834" s="93"/>
      <c r="BF834" s="93"/>
      <c r="BG834" s="93"/>
      <c r="BH834" s="93"/>
      <c r="BI834" s="93"/>
      <c r="BJ834" s="93"/>
      <c r="BK834" s="93"/>
      <c r="BL834" s="93"/>
      <c r="BM834" s="93"/>
      <c r="BN834" s="93"/>
      <c r="BO834" s="93"/>
      <c r="BP834" s="93"/>
      <c r="BQ834" s="93"/>
      <c r="BR834" s="93"/>
      <c r="BS834" s="93"/>
      <c r="BT834" s="93"/>
      <c r="BU834" s="93"/>
      <c r="BV834" s="93"/>
      <c r="BW834" s="93"/>
      <c r="BX834" s="93"/>
      <c r="BY834" s="93"/>
      <c r="BZ834" s="93"/>
    </row>
    <row r="835">
      <c r="B835" t="s">
        <v>3288</v>
      </c>
      <c r="C835" s="89" t="s">
        <v>3289</v>
      </c>
      <c r="D835" s="90" t="s">
        <v>2856</v>
      </c>
      <c r="E835" s="91">
        <v>2018.0</v>
      </c>
      <c r="F835" s="104">
        <v>1.0</v>
      </c>
      <c r="G835" s="93"/>
      <c r="H835" s="93"/>
      <c r="I835" s="93"/>
      <c r="J835" s="93"/>
      <c r="K835" s="93"/>
      <c r="L835" s="93"/>
      <c r="M835" s="93"/>
      <c r="N835" s="93"/>
      <c r="O835" s="93"/>
      <c r="P835" s="93"/>
      <c r="Q835" s="93"/>
      <c r="R835" s="93"/>
      <c r="S835" s="93"/>
      <c r="T835" s="93"/>
      <c r="U835" s="93"/>
      <c r="V835" s="93"/>
      <c r="W835" s="93"/>
      <c r="X835" s="93"/>
      <c r="Y835" s="93"/>
      <c r="Z835" s="93"/>
      <c r="AA835" s="93"/>
      <c r="AB835" s="93"/>
      <c r="AC835" s="93"/>
      <c r="AD835" s="93"/>
      <c r="AE835" s="93"/>
      <c r="AF835" s="93"/>
      <c r="AG835" s="93"/>
      <c r="AH835" s="93"/>
      <c r="AI835" s="93"/>
      <c r="AJ835" s="93"/>
      <c r="AK835" s="93"/>
      <c r="AL835" s="93"/>
      <c r="AM835" s="93"/>
      <c r="AN835" s="93"/>
      <c r="AO835" s="93"/>
      <c r="AP835" s="93"/>
      <c r="AQ835" s="93"/>
      <c r="AR835" s="93"/>
      <c r="AS835" s="93"/>
      <c r="AT835" s="93"/>
      <c r="AU835" s="93"/>
      <c r="AV835" s="93"/>
      <c r="AW835" s="93"/>
      <c r="AX835" s="93"/>
      <c r="AY835" s="93"/>
      <c r="AZ835" s="93"/>
      <c r="BA835" s="93"/>
      <c r="BB835" s="93"/>
      <c r="BC835" s="93"/>
      <c r="BD835" s="93"/>
      <c r="BE835" s="93"/>
      <c r="BF835" s="93"/>
      <c r="BG835" s="93"/>
      <c r="BH835" s="93"/>
      <c r="BI835" s="93"/>
      <c r="BJ835" s="93"/>
      <c r="BK835" s="93"/>
      <c r="BL835" s="93"/>
      <c r="BM835" s="93"/>
      <c r="BN835" s="93"/>
      <c r="BO835" s="93"/>
      <c r="BP835" s="93"/>
      <c r="BQ835" s="93"/>
      <c r="BR835" s="93"/>
      <c r="BS835" s="93"/>
      <c r="BT835" s="93"/>
      <c r="BU835" s="93"/>
      <c r="BV835" s="93"/>
      <c r="BW835" s="93"/>
      <c r="BX835" s="93"/>
      <c r="BY835" s="93"/>
      <c r="BZ835" s="93"/>
    </row>
    <row r="836">
      <c r="B836" t="s">
        <v>3290</v>
      </c>
      <c r="C836" s="89" t="s">
        <v>3291</v>
      </c>
      <c r="D836" s="90" t="s">
        <v>3292</v>
      </c>
      <c r="E836" s="91">
        <v>2019.0</v>
      </c>
      <c r="F836" s="104">
        <v>1.0</v>
      </c>
      <c r="G836" s="93"/>
      <c r="H836" s="93"/>
      <c r="I836" s="93"/>
      <c r="J836" s="93"/>
      <c r="K836" s="93"/>
      <c r="L836" s="93"/>
      <c r="M836" s="93"/>
      <c r="N836" s="93"/>
      <c r="O836" s="93"/>
      <c r="P836" s="93"/>
      <c r="Q836" s="93"/>
      <c r="R836" s="93"/>
      <c r="S836" s="93"/>
      <c r="T836" s="93"/>
      <c r="U836" s="93"/>
      <c r="V836" s="93"/>
      <c r="W836" s="93"/>
      <c r="X836" s="93"/>
      <c r="Y836" s="93"/>
      <c r="Z836" s="93"/>
      <c r="AA836" s="93"/>
      <c r="AB836" s="93"/>
      <c r="AC836" s="93"/>
      <c r="AD836" s="93"/>
      <c r="AE836" s="93"/>
      <c r="AF836" s="93"/>
      <c r="AG836" s="93"/>
      <c r="AH836" s="93"/>
      <c r="AI836" s="93"/>
      <c r="AJ836" s="93"/>
      <c r="AK836" s="93"/>
      <c r="AL836" s="93"/>
      <c r="AM836" s="93"/>
      <c r="AN836" s="93"/>
      <c r="AO836" s="93"/>
      <c r="AP836" s="93"/>
      <c r="AQ836" s="93"/>
      <c r="AR836" s="93"/>
      <c r="AS836" s="93"/>
      <c r="AT836" s="93"/>
      <c r="AU836" s="93"/>
      <c r="AV836" s="93"/>
      <c r="AW836" s="93"/>
      <c r="AX836" s="93"/>
      <c r="AY836" s="93"/>
      <c r="AZ836" s="93"/>
      <c r="BA836" s="93"/>
      <c r="BB836" s="93"/>
      <c r="BC836" s="93"/>
      <c r="BD836" s="93"/>
      <c r="BE836" s="93"/>
      <c r="BF836" s="93"/>
      <c r="BG836" s="93"/>
      <c r="BH836" s="93"/>
      <c r="BI836" s="93"/>
      <c r="BJ836" s="93"/>
      <c r="BK836" s="93"/>
      <c r="BL836" s="93"/>
      <c r="BM836" s="93"/>
      <c r="BN836" s="93"/>
      <c r="BO836" s="93"/>
      <c r="BP836" s="93"/>
      <c r="BQ836" s="93"/>
      <c r="BR836" s="93"/>
      <c r="BS836" s="93"/>
      <c r="BT836" s="93"/>
      <c r="BU836" s="93"/>
      <c r="BV836" s="93"/>
      <c r="BW836" s="93"/>
      <c r="BX836" s="93"/>
      <c r="BY836" s="93"/>
      <c r="BZ836" s="93"/>
    </row>
    <row r="837">
      <c r="B837" t="s">
        <v>3293</v>
      </c>
      <c r="C837" s="89" t="s">
        <v>3294</v>
      </c>
      <c r="D837" s="90" t="s">
        <v>3100</v>
      </c>
      <c r="E837" s="91">
        <v>2019.0</v>
      </c>
      <c r="F837" s="104">
        <v>1.0</v>
      </c>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3"/>
      <c r="AF837" s="93"/>
      <c r="AG837" s="93"/>
      <c r="AH837" s="93"/>
      <c r="AI837" s="93"/>
      <c r="AJ837" s="93"/>
      <c r="AK837" s="93"/>
      <c r="AL837" s="93"/>
      <c r="AM837" s="93"/>
      <c r="AN837" s="93"/>
      <c r="AO837" s="93"/>
      <c r="AP837" s="93"/>
      <c r="AQ837" s="93"/>
      <c r="AR837" s="93"/>
      <c r="AS837" s="93"/>
      <c r="AT837" s="93"/>
      <c r="AU837" s="93"/>
      <c r="AV837" s="93"/>
      <c r="AW837" s="93"/>
      <c r="AX837" s="93"/>
      <c r="AY837" s="93"/>
      <c r="AZ837" s="93"/>
      <c r="BA837" s="93"/>
      <c r="BB837" s="93"/>
      <c r="BC837" s="93"/>
      <c r="BD837" s="93"/>
      <c r="BE837" s="93"/>
      <c r="BF837" s="93"/>
      <c r="BG837" s="93"/>
      <c r="BH837" s="93"/>
      <c r="BI837" s="93"/>
      <c r="BJ837" s="93"/>
      <c r="BK837" s="93"/>
      <c r="BL837" s="93"/>
      <c r="BM837" s="93"/>
      <c r="BN837" s="93"/>
      <c r="BO837" s="93"/>
      <c r="BP837" s="93"/>
      <c r="BQ837" s="93"/>
      <c r="BR837" s="93"/>
      <c r="BS837" s="93"/>
      <c r="BT837" s="93"/>
      <c r="BU837" s="93"/>
      <c r="BV837" s="93"/>
      <c r="BW837" s="93"/>
      <c r="BX837" s="93"/>
      <c r="BY837" s="93"/>
      <c r="BZ837" s="93"/>
    </row>
    <row r="838">
      <c r="B838" t="s">
        <v>3295</v>
      </c>
      <c r="C838" s="89" t="s">
        <v>3296</v>
      </c>
      <c r="D838" s="90" t="s">
        <v>3297</v>
      </c>
      <c r="E838" s="91">
        <v>2017.0</v>
      </c>
      <c r="F838" s="104">
        <v>1.0</v>
      </c>
      <c r="G838" s="93"/>
      <c r="H838" s="93"/>
      <c r="I838" s="93"/>
      <c r="J838" s="93"/>
      <c r="K838" s="93"/>
      <c r="L838" s="93"/>
      <c r="M838" s="93"/>
      <c r="N838" s="93"/>
      <c r="O838" s="93"/>
      <c r="P838" s="93"/>
      <c r="Q838" s="93"/>
      <c r="R838" s="93"/>
      <c r="S838" s="93"/>
      <c r="T838" s="93"/>
      <c r="U838" s="93"/>
      <c r="V838" s="93"/>
      <c r="W838" s="93"/>
      <c r="X838" s="93"/>
      <c r="Y838" s="93"/>
      <c r="Z838" s="93"/>
      <c r="AA838" s="93"/>
      <c r="AB838" s="93"/>
      <c r="AC838" s="93"/>
      <c r="AD838" s="93"/>
      <c r="AE838" s="93"/>
      <c r="AF838" s="93"/>
      <c r="AG838" s="93"/>
      <c r="AH838" s="93"/>
      <c r="AI838" s="93"/>
      <c r="AJ838" s="93"/>
      <c r="AK838" s="93"/>
      <c r="AL838" s="93"/>
      <c r="AM838" s="93"/>
      <c r="AN838" s="93"/>
      <c r="AO838" s="93"/>
      <c r="AP838" s="93"/>
      <c r="AQ838" s="93"/>
      <c r="AR838" s="93"/>
      <c r="AS838" s="93"/>
      <c r="AT838" s="93"/>
      <c r="AU838" s="93"/>
      <c r="AV838" s="93"/>
      <c r="AW838" s="93"/>
      <c r="AX838" s="93"/>
      <c r="AY838" s="93"/>
      <c r="AZ838" s="93"/>
      <c r="BA838" s="93"/>
      <c r="BB838" s="93"/>
      <c r="BC838" s="93"/>
      <c r="BD838" s="93"/>
      <c r="BE838" s="93"/>
      <c r="BF838" s="93"/>
      <c r="BG838" s="93"/>
      <c r="BH838" s="93"/>
      <c r="BI838" s="93"/>
      <c r="BJ838" s="93"/>
      <c r="BK838" s="93"/>
      <c r="BL838" s="93"/>
      <c r="BM838" s="93"/>
      <c r="BN838" s="93"/>
      <c r="BO838" s="93"/>
      <c r="BP838" s="93"/>
      <c r="BQ838" s="93"/>
      <c r="BR838" s="93"/>
      <c r="BS838" s="93"/>
      <c r="BT838" s="93"/>
      <c r="BU838" s="93"/>
      <c r="BV838" s="93"/>
      <c r="BW838" s="93"/>
      <c r="BX838" s="93"/>
      <c r="BY838" s="93"/>
      <c r="BZ838" s="93"/>
    </row>
    <row r="839">
      <c r="A839" t="s">
        <v>116</v>
      </c>
      <c r="B839" t="s">
        <v>3298</v>
      </c>
      <c r="C839" s="89" t="s">
        <v>3299</v>
      </c>
      <c r="D839" s="90" t="s">
        <v>3251</v>
      </c>
      <c r="E839" s="91">
        <v>2016.0</v>
      </c>
      <c r="F839" s="104">
        <v>1.0</v>
      </c>
      <c r="G839" s="93"/>
      <c r="H839" s="93"/>
      <c r="I839" s="93"/>
      <c r="J839" s="93"/>
      <c r="K839" s="93"/>
      <c r="L839" s="93"/>
      <c r="M839" s="93"/>
      <c r="N839" s="93"/>
      <c r="O839" s="93"/>
      <c r="P839" s="93"/>
      <c r="Q839" s="93"/>
      <c r="R839" s="93"/>
      <c r="S839" s="93"/>
      <c r="T839" s="93"/>
      <c r="U839" s="93"/>
      <c r="V839" s="93"/>
      <c r="W839" s="93"/>
      <c r="X839" s="93"/>
      <c r="Y839" s="93"/>
      <c r="Z839" s="93"/>
      <c r="AA839" s="93"/>
      <c r="AB839" s="93"/>
      <c r="AC839" s="93"/>
      <c r="AD839" s="93"/>
      <c r="AE839" s="93"/>
      <c r="AF839" s="93"/>
      <c r="AG839" s="93"/>
      <c r="AH839" s="93"/>
      <c r="AI839" s="93"/>
      <c r="AJ839" s="93"/>
      <c r="AK839" s="93"/>
      <c r="AL839" s="93"/>
      <c r="AM839" s="93"/>
      <c r="AN839" s="93"/>
      <c r="AO839" s="93"/>
      <c r="AP839" s="93"/>
      <c r="AQ839" s="93"/>
      <c r="AR839" s="93"/>
      <c r="AS839" s="93"/>
      <c r="AT839" s="93"/>
      <c r="AU839" s="93"/>
      <c r="AV839" s="93"/>
      <c r="AW839" s="93"/>
      <c r="AX839" s="93"/>
      <c r="AY839" s="93"/>
      <c r="AZ839" s="93"/>
      <c r="BA839" s="93"/>
      <c r="BB839" s="93"/>
      <c r="BC839" s="93"/>
      <c r="BD839" s="93"/>
      <c r="BE839" s="93"/>
      <c r="BF839" s="93"/>
      <c r="BG839" s="93"/>
      <c r="BH839" s="93"/>
      <c r="BI839" s="93"/>
      <c r="BJ839" s="93"/>
      <c r="BK839" s="93"/>
      <c r="BL839" s="93"/>
      <c r="BM839" s="93"/>
      <c r="BN839" s="93"/>
      <c r="BO839" s="93"/>
      <c r="BP839" s="93"/>
      <c r="BQ839" s="93"/>
      <c r="BR839" s="93"/>
      <c r="BS839" s="93"/>
      <c r="BT839" s="93"/>
      <c r="BU839" s="93"/>
      <c r="BV839" s="93"/>
      <c r="BW839" s="93"/>
      <c r="BX839" s="93"/>
      <c r="BY839" s="93"/>
      <c r="BZ839" s="93"/>
    </row>
    <row r="840">
      <c r="B840" t="s">
        <v>3300</v>
      </c>
      <c r="C840" s="89" t="s">
        <v>3301</v>
      </c>
      <c r="D840" s="90" t="s">
        <v>2874</v>
      </c>
      <c r="E840" s="91">
        <v>2016.0</v>
      </c>
      <c r="F840" s="104">
        <v>1.0</v>
      </c>
      <c r="G840" s="93"/>
      <c r="H840" s="93"/>
      <c r="I840" s="93"/>
      <c r="J840" s="93"/>
      <c r="K840" s="93"/>
      <c r="L840" s="93"/>
      <c r="M840" s="93"/>
      <c r="N840" s="93"/>
      <c r="O840" s="93"/>
      <c r="P840" s="93"/>
      <c r="Q840" s="93"/>
      <c r="R840" s="93"/>
      <c r="S840" s="93"/>
      <c r="T840" s="93"/>
      <c r="U840" s="93"/>
      <c r="V840" s="93"/>
      <c r="W840" s="93"/>
      <c r="X840" s="93"/>
      <c r="Y840" s="93"/>
      <c r="Z840" s="93"/>
      <c r="AA840" s="93"/>
      <c r="AB840" s="93"/>
      <c r="AC840" s="93"/>
      <c r="AD840" s="93"/>
      <c r="AE840" s="93"/>
      <c r="AF840" s="93"/>
      <c r="AG840" s="93"/>
      <c r="AH840" s="93"/>
      <c r="AI840" s="93"/>
      <c r="AJ840" s="93"/>
      <c r="AK840" s="93"/>
      <c r="AL840" s="93"/>
      <c r="AM840" s="93"/>
      <c r="AN840" s="93"/>
      <c r="AO840" s="93"/>
      <c r="AP840" s="93"/>
      <c r="AQ840" s="93"/>
      <c r="AR840" s="93"/>
      <c r="AS840" s="93"/>
      <c r="AT840" s="93"/>
      <c r="AU840" s="93"/>
      <c r="AV840" s="93"/>
      <c r="AW840" s="93"/>
      <c r="AX840" s="93"/>
      <c r="AY840" s="93"/>
      <c r="AZ840" s="93"/>
      <c r="BA840" s="93"/>
      <c r="BB840" s="93"/>
      <c r="BC840" s="93"/>
      <c r="BD840" s="93"/>
      <c r="BE840" s="93"/>
      <c r="BF840" s="93"/>
      <c r="BG840" s="93"/>
      <c r="BH840" s="93"/>
      <c r="BI840" s="93"/>
      <c r="BJ840" s="93"/>
      <c r="BK840" s="93"/>
      <c r="BL840" s="93"/>
      <c r="BM840" s="93"/>
      <c r="BN840" s="93"/>
      <c r="BO840" s="93"/>
      <c r="BP840" s="93"/>
      <c r="BQ840" s="93"/>
      <c r="BR840" s="93"/>
      <c r="BS840" s="93"/>
      <c r="BT840" s="93"/>
      <c r="BU840" s="93"/>
      <c r="BV840" s="93"/>
      <c r="BW840" s="93"/>
      <c r="BX840" s="93"/>
      <c r="BY840" s="93"/>
      <c r="BZ840" s="93"/>
    </row>
    <row r="841">
      <c r="A841" t="s">
        <v>1331</v>
      </c>
      <c r="B841" t="s">
        <v>3302</v>
      </c>
      <c r="C841" s="89" t="s">
        <v>3303</v>
      </c>
      <c r="D841" s="90" t="s">
        <v>2817</v>
      </c>
      <c r="E841" s="91">
        <v>2019.0</v>
      </c>
      <c r="F841" s="93"/>
      <c r="G841" s="93"/>
      <c r="H841" s="104">
        <v>1.0</v>
      </c>
      <c r="I841" s="93"/>
      <c r="J841" s="104">
        <v>1.0</v>
      </c>
      <c r="K841" s="93"/>
      <c r="L841" s="93"/>
      <c r="M841" s="93"/>
      <c r="N841" s="93"/>
      <c r="O841" s="93"/>
      <c r="P841" s="93"/>
      <c r="Q841" s="93"/>
      <c r="R841" s="93"/>
      <c r="S841" s="93"/>
      <c r="T841" s="93"/>
      <c r="U841" s="93"/>
      <c r="V841" s="93"/>
      <c r="W841" s="93" t="s">
        <v>3304</v>
      </c>
      <c r="X841" s="93" t="s">
        <v>3305</v>
      </c>
      <c r="Y841" s="93" t="s">
        <v>3306</v>
      </c>
      <c r="Z841" s="93" t="s">
        <v>1385</v>
      </c>
      <c r="AA841" s="104">
        <v>1.0</v>
      </c>
      <c r="AB841" s="93"/>
      <c r="AC841" s="93"/>
      <c r="AD841" s="104">
        <v>1.0</v>
      </c>
      <c r="AE841" s="93"/>
      <c r="AF841" s="93"/>
      <c r="AG841" s="93"/>
      <c r="AH841" s="90" t="s">
        <v>3307</v>
      </c>
      <c r="AI841" s="104">
        <v>1.0</v>
      </c>
      <c r="AJ841" s="93"/>
      <c r="AK841" s="93"/>
      <c r="AL841" s="93"/>
      <c r="AM841" s="93"/>
      <c r="AN841" s="93"/>
      <c r="AO841" s="93"/>
      <c r="AP841" s="93"/>
      <c r="AQ841" s="93"/>
      <c r="AR841" s="104">
        <v>1.0</v>
      </c>
      <c r="AS841" s="93"/>
      <c r="AT841" s="93"/>
      <c r="AU841" s="93"/>
      <c r="AV841" s="93"/>
      <c r="AW841" s="93"/>
      <c r="AX841" s="93"/>
      <c r="AY841" s="93"/>
      <c r="AZ841" s="93"/>
      <c r="BA841" s="93"/>
      <c r="BB841" s="93"/>
      <c r="BC841" s="93"/>
      <c r="BD841" s="93"/>
      <c r="BE841" s="93"/>
      <c r="BF841" s="93"/>
      <c r="BG841" s="93"/>
      <c r="BH841" s="93"/>
      <c r="BI841" s="104">
        <v>1.0</v>
      </c>
      <c r="BJ841" s="93"/>
      <c r="BK841" s="93"/>
      <c r="BL841" s="93"/>
      <c r="BM841" s="93"/>
      <c r="BN841" s="93"/>
      <c r="BO841" s="93"/>
      <c r="BP841" s="93"/>
      <c r="BQ841" s="93"/>
      <c r="BR841" s="93"/>
      <c r="BS841" s="93"/>
      <c r="BT841" s="93"/>
      <c r="BU841" s="93"/>
      <c r="BV841" s="93"/>
      <c r="BW841" s="104">
        <v>1.0</v>
      </c>
      <c r="BX841" s="93"/>
      <c r="BY841" s="104">
        <v>1.0</v>
      </c>
      <c r="BZ841" s="93"/>
    </row>
    <row r="842">
      <c r="B842" t="s">
        <v>3308</v>
      </c>
      <c r="C842" s="89" t="s">
        <v>3309</v>
      </c>
      <c r="D842" s="90" t="s">
        <v>3310</v>
      </c>
      <c r="E842" s="91">
        <v>2017.0</v>
      </c>
      <c r="F842" s="104">
        <v>1.0</v>
      </c>
      <c r="G842" s="93"/>
      <c r="H842" s="93"/>
      <c r="I842" s="93"/>
      <c r="J842" s="93"/>
      <c r="K842" s="93"/>
      <c r="L842" s="93"/>
      <c r="M842" s="93"/>
      <c r="N842" s="93"/>
      <c r="O842" s="93"/>
      <c r="P842" s="93"/>
      <c r="Q842" s="93"/>
      <c r="R842" s="93"/>
      <c r="S842" s="93"/>
      <c r="T842" s="93"/>
      <c r="U842" s="93"/>
      <c r="V842" s="93"/>
      <c r="W842" s="93"/>
      <c r="X842" s="93"/>
      <c r="Y842" s="93"/>
      <c r="Z842" s="93"/>
      <c r="AA842" s="93"/>
      <c r="AB842" s="93"/>
      <c r="AC842" s="93"/>
      <c r="AD842" s="93"/>
      <c r="AE842" s="93"/>
      <c r="AF842" s="93"/>
      <c r="AG842" s="93"/>
      <c r="AH842" s="93"/>
      <c r="AI842" s="93"/>
      <c r="AJ842" s="93"/>
      <c r="AK842" s="93"/>
      <c r="AL842" s="93"/>
      <c r="AM842" s="93"/>
      <c r="AN842" s="93"/>
      <c r="AO842" s="93"/>
      <c r="AP842" s="93"/>
      <c r="AQ842" s="93"/>
      <c r="AR842" s="93"/>
      <c r="AS842" s="93"/>
      <c r="AT842" s="93"/>
      <c r="AU842" s="93"/>
      <c r="AV842" s="93"/>
      <c r="AW842" s="93"/>
      <c r="AX842" s="93"/>
      <c r="AY842" s="93"/>
      <c r="AZ842" s="93"/>
      <c r="BA842" s="93"/>
      <c r="BB842" s="93"/>
      <c r="BC842" s="93"/>
      <c r="BD842" s="93"/>
      <c r="BE842" s="93"/>
      <c r="BF842" s="93"/>
      <c r="BG842" s="93"/>
      <c r="BH842" s="93"/>
      <c r="BI842" s="93"/>
      <c r="BJ842" s="93"/>
      <c r="BK842" s="93"/>
      <c r="BL842" s="93"/>
      <c r="BM842" s="93"/>
      <c r="BN842" s="93"/>
      <c r="BO842" s="93"/>
      <c r="BP842" s="93"/>
      <c r="BQ842" s="93"/>
      <c r="BR842" s="93"/>
      <c r="BS842" s="93"/>
      <c r="BT842" s="93"/>
      <c r="BU842" s="93"/>
      <c r="BV842" s="93"/>
      <c r="BW842" s="93"/>
      <c r="BX842" s="93"/>
      <c r="BY842" s="93"/>
      <c r="BZ842" s="93"/>
    </row>
    <row r="843">
      <c r="A843" t="s">
        <v>1340</v>
      </c>
      <c r="B843" t="s">
        <v>3311</v>
      </c>
      <c r="C843" s="89" t="s">
        <v>3312</v>
      </c>
      <c r="D843" s="90" t="s">
        <v>2817</v>
      </c>
      <c r="E843" s="91">
        <v>2019.0</v>
      </c>
      <c r="F843" s="104">
        <v>1.0</v>
      </c>
      <c r="G843" s="93"/>
      <c r="H843" s="93"/>
      <c r="I843" s="104">
        <v>1.0</v>
      </c>
      <c r="J843" s="104">
        <v>1.0</v>
      </c>
      <c r="K843" s="93"/>
      <c r="L843" s="93"/>
      <c r="M843" s="93"/>
      <c r="N843" s="93"/>
      <c r="O843" s="93"/>
      <c r="P843" s="93"/>
      <c r="Q843" s="93"/>
      <c r="R843" s="93"/>
      <c r="S843" s="93"/>
      <c r="T843" s="93"/>
      <c r="U843" s="93"/>
      <c r="V843" s="90" t="s">
        <v>3313</v>
      </c>
      <c r="W843" s="90" t="s">
        <v>3314</v>
      </c>
      <c r="X843" s="90" t="s">
        <v>3315</v>
      </c>
      <c r="Y843" s="90" t="s">
        <v>3316</v>
      </c>
      <c r="Z843" s="90" t="s">
        <v>3317</v>
      </c>
      <c r="AA843" s="104">
        <v>1.0</v>
      </c>
      <c r="AB843" s="93"/>
      <c r="AC843" s="93"/>
      <c r="AD843" s="104">
        <v>1.0</v>
      </c>
      <c r="AE843" s="93"/>
      <c r="AF843" s="93"/>
      <c r="AG843" s="93"/>
      <c r="AH843" s="90" t="s">
        <v>3318</v>
      </c>
      <c r="AI843" s="93" t="s">
        <v>1203</v>
      </c>
      <c r="AJ843" s="93"/>
      <c r="AK843" s="93"/>
      <c r="AL843" s="93"/>
      <c r="AM843" s="93"/>
      <c r="AN843" s="93"/>
      <c r="AO843" s="93"/>
      <c r="AP843" s="93"/>
      <c r="AQ843" s="93"/>
      <c r="AR843" s="93"/>
      <c r="AS843" s="93"/>
      <c r="AT843" s="93"/>
      <c r="AU843" s="104">
        <v>1.0</v>
      </c>
      <c r="AV843" s="93"/>
      <c r="AW843" s="93"/>
      <c r="AX843" s="93"/>
      <c r="AY843" s="93"/>
      <c r="AZ843" s="93"/>
      <c r="BA843" s="93"/>
      <c r="BB843" s="104">
        <v>1.0</v>
      </c>
      <c r="BC843" s="104">
        <v>1.0</v>
      </c>
      <c r="BD843" s="93"/>
      <c r="BE843" s="93"/>
      <c r="BF843" s="93"/>
      <c r="BG843" s="93"/>
      <c r="BH843" s="93"/>
      <c r="BI843" s="93"/>
      <c r="BJ843" s="93"/>
      <c r="BK843" s="93"/>
      <c r="BL843" s="93"/>
      <c r="BM843" s="93"/>
      <c r="BN843" s="93"/>
      <c r="BO843" s="93"/>
      <c r="BP843" s="93"/>
      <c r="BQ843" s="93"/>
      <c r="BR843" s="93"/>
      <c r="BS843" s="93"/>
      <c r="BT843" s="93"/>
      <c r="BU843" s="93"/>
      <c r="BV843" s="104">
        <v>1.0</v>
      </c>
      <c r="BW843" s="104">
        <v>1.0</v>
      </c>
      <c r="BX843" s="93"/>
      <c r="BY843" s="104">
        <v>1.0</v>
      </c>
      <c r="BZ843" s="93"/>
    </row>
    <row r="844">
      <c r="B844" t="s">
        <v>3319</v>
      </c>
      <c r="C844" s="89" t="s">
        <v>3320</v>
      </c>
      <c r="D844" s="90" t="s">
        <v>1357</v>
      </c>
      <c r="E844" s="91">
        <v>2020.0</v>
      </c>
      <c r="F844" s="104">
        <v>1.0</v>
      </c>
      <c r="G844" s="93"/>
      <c r="H844" s="93"/>
      <c r="I844" s="93"/>
      <c r="J844" s="93"/>
      <c r="K844" s="93"/>
      <c r="L844" s="93"/>
      <c r="M844" s="93"/>
      <c r="N844" s="93"/>
      <c r="O844" s="93"/>
      <c r="P844" s="93"/>
      <c r="Q844" s="93"/>
      <c r="R844" s="93"/>
      <c r="S844" s="93"/>
      <c r="T844" s="93"/>
      <c r="U844" s="93"/>
      <c r="V844" s="93"/>
      <c r="W844" s="93"/>
      <c r="X844" s="93"/>
      <c r="Y844" s="93"/>
      <c r="Z844" s="93"/>
      <c r="AA844" s="93"/>
      <c r="AB844" s="93"/>
      <c r="AC844" s="93"/>
      <c r="AD844" s="93"/>
      <c r="AE844" s="93"/>
      <c r="AF844" s="93"/>
      <c r="AG844" s="93"/>
      <c r="AH844" s="93"/>
      <c r="AI844" s="93"/>
      <c r="AJ844" s="93"/>
      <c r="AK844" s="93"/>
      <c r="AL844" s="93"/>
      <c r="AM844" s="93"/>
      <c r="AN844" s="93"/>
      <c r="AO844" s="93"/>
      <c r="AP844" s="93"/>
      <c r="AQ844" s="93"/>
      <c r="AR844" s="93"/>
      <c r="AS844" s="93"/>
      <c r="AT844" s="93"/>
      <c r="AU844" s="93"/>
      <c r="AV844" s="93"/>
      <c r="AW844" s="93"/>
      <c r="AX844" s="93"/>
      <c r="AY844" s="93"/>
      <c r="AZ844" s="93"/>
      <c r="BA844" s="93"/>
      <c r="BB844" s="93"/>
      <c r="BC844" s="93"/>
      <c r="BD844" s="93"/>
      <c r="BE844" s="93"/>
      <c r="BF844" s="93"/>
      <c r="BG844" s="93"/>
      <c r="BH844" s="93"/>
      <c r="BI844" s="93"/>
      <c r="BJ844" s="93"/>
      <c r="BK844" s="93"/>
      <c r="BL844" s="93"/>
      <c r="BM844" s="93"/>
      <c r="BN844" s="93"/>
      <c r="BO844" s="93"/>
      <c r="BP844" s="93"/>
      <c r="BQ844" s="93"/>
      <c r="BR844" s="93"/>
      <c r="BS844" s="93"/>
      <c r="BT844" s="93"/>
      <c r="BU844" s="93"/>
      <c r="BV844" s="93"/>
      <c r="BW844" s="93"/>
      <c r="BX844" s="93"/>
      <c r="BY844" s="93"/>
      <c r="BZ844" s="93"/>
    </row>
    <row r="845">
      <c r="B845" t="s">
        <v>3321</v>
      </c>
      <c r="C845" s="89" t="s">
        <v>3322</v>
      </c>
      <c r="D845" s="90" t="s">
        <v>3323</v>
      </c>
      <c r="E845" s="91">
        <v>2016.0</v>
      </c>
      <c r="F845" s="104">
        <v>1.0</v>
      </c>
      <c r="G845" s="93"/>
      <c r="H845" s="93"/>
      <c r="I845" s="93"/>
      <c r="J845" s="93"/>
      <c r="K845" s="93"/>
      <c r="L845" s="93"/>
      <c r="M845" s="93"/>
      <c r="N845" s="93"/>
      <c r="O845" s="93"/>
      <c r="P845" s="93"/>
      <c r="Q845" s="93"/>
      <c r="R845" s="93"/>
      <c r="S845" s="93"/>
      <c r="T845" s="93"/>
      <c r="U845" s="93"/>
      <c r="V845" s="93"/>
      <c r="W845" s="93"/>
      <c r="X845" s="93"/>
      <c r="Y845" s="93"/>
      <c r="Z845" s="93"/>
      <c r="AA845" s="93"/>
      <c r="AB845" s="93"/>
      <c r="AC845" s="93"/>
      <c r="AD845" s="93"/>
      <c r="AE845" s="93"/>
      <c r="AF845" s="93"/>
      <c r="AG845" s="93"/>
      <c r="AH845" s="93"/>
      <c r="AI845" s="93"/>
      <c r="AJ845" s="93"/>
      <c r="AK845" s="93"/>
      <c r="AL845" s="93"/>
      <c r="AM845" s="93"/>
      <c r="AN845" s="93"/>
      <c r="AO845" s="93"/>
      <c r="AP845" s="93"/>
      <c r="AQ845" s="93"/>
      <c r="AR845" s="93"/>
      <c r="AS845" s="93"/>
      <c r="AT845" s="93"/>
      <c r="AU845" s="93"/>
      <c r="AV845" s="93"/>
      <c r="AW845" s="93"/>
      <c r="AX845" s="93"/>
      <c r="AY845" s="93"/>
      <c r="AZ845" s="93"/>
      <c r="BA845" s="93"/>
      <c r="BB845" s="93"/>
      <c r="BC845" s="93"/>
      <c r="BD845" s="93"/>
      <c r="BE845" s="93"/>
      <c r="BF845" s="93"/>
      <c r="BG845" s="93"/>
      <c r="BH845" s="93"/>
      <c r="BI845" s="93"/>
      <c r="BJ845" s="93"/>
      <c r="BK845" s="93"/>
      <c r="BL845" s="93"/>
      <c r="BM845" s="93"/>
      <c r="BN845" s="93"/>
      <c r="BO845" s="93"/>
      <c r="BP845" s="93"/>
      <c r="BQ845" s="93"/>
      <c r="BR845" s="93"/>
      <c r="BS845" s="93"/>
      <c r="BT845" s="93"/>
      <c r="BU845" s="93"/>
      <c r="BV845" s="93"/>
      <c r="BW845" s="93"/>
      <c r="BX845" s="93"/>
      <c r="BY845" s="93"/>
      <c r="BZ845" s="93"/>
    </row>
    <row r="846">
      <c r="A846" t="s">
        <v>1354</v>
      </c>
      <c r="B846" t="s">
        <v>3324</v>
      </c>
      <c r="C846" s="89" t="s">
        <v>3325</v>
      </c>
      <c r="D846" s="90" t="s">
        <v>3158</v>
      </c>
      <c r="E846" s="91">
        <v>2016.0</v>
      </c>
      <c r="F846" s="104">
        <v>1.0</v>
      </c>
      <c r="G846" s="93"/>
      <c r="H846" s="93"/>
      <c r="I846" s="93"/>
      <c r="J846" s="93"/>
      <c r="K846" s="93"/>
      <c r="L846" s="93"/>
      <c r="M846" s="93"/>
      <c r="N846" s="93"/>
      <c r="O846" s="93"/>
      <c r="P846" s="93"/>
      <c r="Q846" s="93"/>
      <c r="R846" s="93"/>
      <c r="S846" s="93"/>
      <c r="T846" s="93"/>
      <c r="U846" s="93"/>
      <c r="V846" s="93"/>
      <c r="W846" s="93"/>
      <c r="X846" s="93"/>
      <c r="Y846" s="93"/>
      <c r="Z846" s="93"/>
      <c r="AA846" s="93"/>
      <c r="AB846" s="93"/>
      <c r="AC846" s="93"/>
      <c r="AD846" s="93"/>
      <c r="AE846" s="93"/>
      <c r="AF846" s="93"/>
      <c r="AG846" s="93"/>
      <c r="AH846" s="93"/>
      <c r="AI846" s="93"/>
      <c r="AJ846" s="93"/>
      <c r="AK846" s="93"/>
      <c r="AL846" s="93"/>
      <c r="AM846" s="93"/>
      <c r="AN846" s="93"/>
      <c r="AO846" s="93"/>
      <c r="AP846" s="93"/>
      <c r="AQ846" s="93"/>
      <c r="AR846" s="93"/>
      <c r="AS846" s="93"/>
      <c r="AT846" s="93"/>
      <c r="AU846" s="93"/>
      <c r="AV846" s="93"/>
      <c r="AW846" s="93"/>
      <c r="AX846" s="93"/>
      <c r="AY846" s="93"/>
      <c r="AZ846" s="93"/>
      <c r="BA846" s="93"/>
      <c r="BB846" s="93"/>
      <c r="BC846" s="93"/>
      <c r="BD846" s="93"/>
      <c r="BE846" s="93"/>
      <c r="BF846" s="93"/>
      <c r="BG846" s="93"/>
      <c r="BH846" s="93"/>
      <c r="BI846" s="93"/>
      <c r="BJ846" s="93"/>
      <c r="BK846" s="93"/>
      <c r="BL846" s="93"/>
      <c r="BM846" s="93"/>
      <c r="BN846" s="93"/>
      <c r="BO846" s="93"/>
      <c r="BP846" s="93"/>
      <c r="BQ846" s="93"/>
      <c r="BR846" s="93"/>
      <c r="BS846" s="93"/>
      <c r="BT846" s="93"/>
      <c r="BU846" s="93"/>
      <c r="BV846" s="93"/>
      <c r="BW846" s="93"/>
      <c r="BX846" s="93"/>
      <c r="BY846" s="93"/>
      <c r="BZ846" s="93"/>
    </row>
    <row r="847">
      <c r="B847" t="s">
        <v>3326</v>
      </c>
      <c r="C847" s="89" t="s">
        <v>3327</v>
      </c>
      <c r="D847" s="90" t="s">
        <v>3328</v>
      </c>
      <c r="E847" s="91">
        <v>2019.0</v>
      </c>
      <c r="F847" s="104">
        <v>1.0</v>
      </c>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3"/>
      <c r="AF847" s="93"/>
      <c r="AG847" s="93"/>
      <c r="AH847" s="93"/>
      <c r="AI847" s="93"/>
      <c r="AJ847" s="93"/>
      <c r="AK847" s="93"/>
      <c r="AL847" s="93"/>
      <c r="AM847" s="93"/>
      <c r="AN847" s="93"/>
      <c r="AO847" s="93"/>
      <c r="AP847" s="93"/>
      <c r="AQ847" s="93"/>
      <c r="AR847" s="93"/>
      <c r="AS847" s="93"/>
      <c r="AT847" s="93"/>
      <c r="AU847" s="93"/>
      <c r="AV847" s="93"/>
      <c r="AW847" s="93"/>
      <c r="AX847" s="93"/>
      <c r="AY847" s="93"/>
      <c r="AZ847" s="93"/>
      <c r="BA847" s="93"/>
      <c r="BB847" s="93"/>
      <c r="BC847" s="93"/>
      <c r="BD847" s="93"/>
      <c r="BE847" s="93"/>
      <c r="BF847" s="93"/>
      <c r="BG847" s="93"/>
      <c r="BH847" s="93"/>
      <c r="BI847" s="93"/>
      <c r="BJ847" s="93"/>
      <c r="BK847" s="93"/>
      <c r="BL847" s="93"/>
      <c r="BM847" s="93"/>
      <c r="BN847" s="93"/>
      <c r="BO847" s="93"/>
      <c r="BP847" s="93"/>
      <c r="BQ847" s="93"/>
      <c r="BR847" s="93"/>
      <c r="BS847" s="93"/>
      <c r="BT847" s="93"/>
      <c r="BU847" s="93"/>
      <c r="BV847" s="93"/>
      <c r="BW847" s="93"/>
      <c r="BX847" s="93"/>
      <c r="BY847" s="93"/>
      <c r="BZ847" s="93"/>
    </row>
    <row r="848">
      <c r="B848" t="s">
        <v>3329</v>
      </c>
      <c r="C848" s="89" t="s">
        <v>3330</v>
      </c>
      <c r="D848" s="90" t="s">
        <v>3331</v>
      </c>
      <c r="E848" s="91">
        <v>2017.0</v>
      </c>
      <c r="F848" s="104">
        <v>1.0</v>
      </c>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3"/>
      <c r="AF848" s="93"/>
      <c r="AG848" s="93"/>
      <c r="AH848" s="93"/>
      <c r="AI848" s="93"/>
      <c r="AJ848" s="93"/>
      <c r="AK848" s="93"/>
      <c r="AL848" s="93"/>
      <c r="AM848" s="93"/>
      <c r="AN848" s="93"/>
      <c r="AO848" s="93"/>
      <c r="AP848" s="93"/>
      <c r="AQ848" s="93"/>
      <c r="AR848" s="93"/>
      <c r="AS848" s="93"/>
      <c r="AT848" s="93"/>
      <c r="AU848" s="93"/>
      <c r="AV848" s="93"/>
      <c r="AW848" s="93"/>
      <c r="AX848" s="93"/>
      <c r="AY848" s="93"/>
      <c r="AZ848" s="93"/>
      <c r="BA848" s="93"/>
      <c r="BB848" s="93"/>
      <c r="BC848" s="93"/>
      <c r="BD848" s="93"/>
      <c r="BE848" s="93"/>
      <c r="BF848" s="93"/>
      <c r="BG848" s="93"/>
      <c r="BH848" s="93"/>
      <c r="BI848" s="93"/>
      <c r="BJ848" s="93"/>
      <c r="BK848" s="93"/>
      <c r="BL848" s="93"/>
      <c r="BM848" s="93"/>
      <c r="BN848" s="93"/>
      <c r="BO848" s="93"/>
      <c r="BP848" s="93"/>
      <c r="BQ848" s="93"/>
      <c r="BR848" s="93"/>
      <c r="BS848" s="93"/>
      <c r="BT848" s="93"/>
      <c r="BU848" s="93"/>
      <c r="BV848" s="93"/>
      <c r="BW848" s="93"/>
      <c r="BX848" s="93"/>
      <c r="BY848" s="93"/>
      <c r="BZ848" s="93"/>
    </row>
    <row r="849">
      <c r="B849" t="s">
        <v>3332</v>
      </c>
      <c r="C849" s="89" t="s">
        <v>3333</v>
      </c>
      <c r="D849" s="90" t="s">
        <v>3334</v>
      </c>
      <c r="E849" s="91">
        <v>2019.0</v>
      </c>
      <c r="F849" s="104">
        <v>1.0</v>
      </c>
      <c r="G849" s="93"/>
      <c r="H849" s="93"/>
      <c r="I849" s="93"/>
      <c r="J849" s="93"/>
      <c r="K849" s="93"/>
      <c r="L849" s="93"/>
      <c r="M849" s="93"/>
      <c r="N849" s="93"/>
      <c r="O849" s="93"/>
      <c r="P849" s="93"/>
      <c r="Q849" s="93"/>
      <c r="R849" s="93"/>
      <c r="S849" s="93"/>
      <c r="T849" s="93"/>
      <c r="U849" s="93"/>
      <c r="V849" s="93"/>
      <c r="W849" s="93"/>
      <c r="X849" s="93"/>
      <c r="Y849" s="93"/>
      <c r="Z849" s="93"/>
      <c r="AA849" s="93"/>
      <c r="AB849" s="93"/>
      <c r="AC849" s="93"/>
      <c r="AD849" s="93"/>
      <c r="AE849" s="93"/>
      <c r="AF849" s="93"/>
      <c r="AG849" s="93"/>
      <c r="AH849" s="93"/>
      <c r="AI849" s="93"/>
      <c r="AJ849" s="93"/>
      <c r="AK849" s="93"/>
      <c r="AL849" s="93"/>
      <c r="AM849" s="93"/>
      <c r="AN849" s="93"/>
      <c r="AO849" s="93"/>
      <c r="AP849" s="93"/>
      <c r="AQ849" s="93"/>
      <c r="AR849" s="93"/>
      <c r="AS849" s="93"/>
      <c r="AT849" s="93"/>
      <c r="AU849" s="93"/>
      <c r="AV849" s="93"/>
      <c r="AW849" s="93"/>
      <c r="AX849" s="93"/>
      <c r="AY849" s="93"/>
      <c r="AZ849" s="93"/>
      <c r="BA849" s="93"/>
      <c r="BB849" s="93"/>
      <c r="BC849" s="93"/>
      <c r="BD849" s="93"/>
      <c r="BE849" s="93"/>
      <c r="BF849" s="93"/>
      <c r="BG849" s="93"/>
      <c r="BH849" s="93"/>
      <c r="BI849" s="93"/>
      <c r="BJ849" s="93"/>
      <c r="BK849" s="93"/>
      <c r="BL849" s="93"/>
      <c r="BM849" s="93"/>
      <c r="BN849" s="93"/>
      <c r="BO849" s="93"/>
      <c r="BP849" s="93"/>
      <c r="BQ849" s="93"/>
      <c r="BR849" s="93"/>
      <c r="BS849" s="93"/>
      <c r="BT849" s="93"/>
      <c r="BU849" s="93"/>
      <c r="BV849" s="93"/>
      <c r="BW849" s="93"/>
      <c r="BX849" s="93"/>
      <c r="BY849" s="93"/>
      <c r="BZ849" s="93"/>
    </row>
    <row r="850">
      <c r="B850" t="s">
        <v>3335</v>
      </c>
      <c r="C850" s="89" t="s">
        <v>3336</v>
      </c>
      <c r="D850" s="90" t="s">
        <v>3337</v>
      </c>
      <c r="E850" s="91">
        <v>2018.0</v>
      </c>
      <c r="F850" s="104">
        <v>1.0</v>
      </c>
      <c r="G850" s="93"/>
      <c r="H850" s="93"/>
      <c r="I850" s="93"/>
      <c r="J850" s="93"/>
      <c r="K850" s="93"/>
      <c r="L850" s="93"/>
      <c r="M850" s="93"/>
      <c r="N850" s="93"/>
      <c r="O850" s="93"/>
      <c r="P850" s="93"/>
      <c r="Q850" s="93"/>
      <c r="R850" s="93"/>
      <c r="S850" s="93"/>
      <c r="T850" s="93"/>
      <c r="U850" s="93"/>
      <c r="V850" s="93"/>
      <c r="W850" s="93"/>
      <c r="X850" s="93"/>
      <c r="Y850" s="93"/>
      <c r="Z850" s="93"/>
      <c r="AA850" s="93"/>
      <c r="AB850" s="93"/>
      <c r="AC850" s="93"/>
      <c r="AD850" s="93"/>
      <c r="AE850" s="93"/>
      <c r="AF850" s="93"/>
      <c r="AG850" s="93"/>
      <c r="AH850" s="93"/>
      <c r="AI850" s="93"/>
      <c r="AJ850" s="93"/>
      <c r="AK850" s="93"/>
      <c r="AL850" s="93"/>
      <c r="AM850" s="93"/>
      <c r="AN850" s="93"/>
      <c r="AO850" s="93"/>
      <c r="AP850" s="93"/>
      <c r="AQ850" s="93"/>
      <c r="AR850" s="93"/>
      <c r="AS850" s="93"/>
      <c r="AT850" s="93"/>
      <c r="AU850" s="93"/>
      <c r="AV850" s="93"/>
      <c r="AW850" s="93"/>
      <c r="AX850" s="93"/>
      <c r="AY850" s="93"/>
      <c r="AZ850" s="93"/>
      <c r="BA850" s="93"/>
      <c r="BB850" s="93"/>
      <c r="BC850" s="93"/>
      <c r="BD850" s="93"/>
      <c r="BE850" s="93"/>
      <c r="BF850" s="93"/>
      <c r="BG850" s="93"/>
      <c r="BH850" s="93"/>
      <c r="BI850" s="93"/>
      <c r="BJ850" s="93"/>
      <c r="BK850" s="93"/>
      <c r="BL850" s="93"/>
      <c r="BM850" s="93"/>
      <c r="BN850" s="93"/>
      <c r="BO850" s="93"/>
      <c r="BP850" s="93"/>
      <c r="BQ850" s="93"/>
      <c r="BR850" s="93"/>
      <c r="BS850" s="93"/>
      <c r="BT850" s="93"/>
      <c r="BU850" s="93"/>
      <c r="BV850" s="93"/>
      <c r="BW850" s="93"/>
      <c r="BX850" s="93"/>
      <c r="BY850" s="93"/>
      <c r="BZ850" s="93"/>
    </row>
    <row r="851">
      <c r="B851" t="s">
        <v>3338</v>
      </c>
      <c r="C851" s="89" t="s">
        <v>3339</v>
      </c>
      <c r="D851" s="90" t="s">
        <v>3340</v>
      </c>
      <c r="E851" s="91">
        <v>2018.0</v>
      </c>
      <c r="F851" s="104">
        <v>1.0</v>
      </c>
      <c r="G851" s="93"/>
      <c r="H851" s="93"/>
      <c r="I851" s="93"/>
      <c r="J851" s="93"/>
      <c r="K851" s="93"/>
      <c r="L851" s="93"/>
      <c r="M851" s="93"/>
      <c r="N851" s="93"/>
      <c r="O851" s="93"/>
      <c r="P851" s="93"/>
      <c r="Q851" s="93"/>
      <c r="R851" s="93"/>
      <c r="S851" s="93"/>
      <c r="T851" s="93"/>
      <c r="U851" s="93"/>
      <c r="V851" s="93"/>
      <c r="W851" s="93"/>
      <c r="X851" s="93"/>
      <c r="Y851" s="93"/>
      <c r="Z851" s="93"/>
      <c r="AA851" s="93"/>
      <c r="AB851" s="93"/>
      <c r="AC851" s="93"/>
      <c r="AD851" s="93"/>
      <c r="AE851" s="93"/>
      <c r="AF851" s="93"/>
      <c r="AG851" s="93"/>
      <c r="AH851" s="93"/>
      <c r="AI851" s="93"/>
      <c r="AJ851" s="93"/>
      <c r="AK851" s="93"/>
      <c r="AL851" s="93"/>
      <c r="AM851" s="93"/>
      <c r="AN851" s="93"/>
      <c r="AO851" s="93"/>
      <c r="AP851" s="93"/>
      <c r="AQ851" s="93"/>
      <c r="AR851" s="93"/>
      <c r="AS851" s="93"/>
      <c r="AT851" s="93"/>
      <c r="AU851" s="93"/>
      <c r="AV851" s="93"/>
      <c r="AW851" s="93"/>
      <c r="AX851" s="93"/>
      <c r="AY851" s="93"/>
      <c r="AZ851" s="93"/>
      <c r="BA851" s="93"/>
      <c r="BB851" s="93"/>
      <c r="BC851" s="93"/>
      <c r="BD851" s="93"/>
      <c r="BE851" s="93"/>
      <c r="BF851" s="93"/>
      <c r="BG851" s="93"/>
      <c r="BH851" s="93"/>
      <c r="BI851" s="93"/>
      <c r="BJ851" s="93"/>
      <c r="BK851" s="93"/>
      <c r="BL851" s="93"/>
      <c r="BM851" s="93"/>
      <c r="BN851" s="93"/>
      <c r="BO851" s="93"/>
      <c r="BP851" s="93"/>
      <c r="BQ851" s="93"/>
      <c r="BR851" s="93"/>
      <c r="BS851" s="93"/>
      <c r="BT851" s="93"/>
      <c r="BU851" s="93"/>
      <c r="BV851" s="93"/>
      <c r="BW851" s="93"/>
      <c r="BX851" s="93"/>
      <c r="BY851" s="93"/>
      <c r="BZ851" s="93"/>
    </row>
    <row r="852">
      <c r="B852" t="s">
        <v>3341</v>
      </c>
      <c r="C852" s="89" t="s">
        <v>3342</v>
      </c>
      <c r="D852" s="90" t="s">
        <v>3343</v>
      </c>
      <c r="E852" s="91">
        <v>2020.0</v>
      </c>
      <c r="F852" s="104">
        <v>1.0</v>
      </c>
      <c r="G852" s="93"/>
      <c r="H852" s="93"/>
      <c r="I852" s="93"/>
      <c r="J852" s="93"/>
      <c r="K852" s="93"/>
      <c r="L852" s="93"/>
      <c r="M852" s="93"/>
      <c r="N852" s="93"/>
      <c r="O852" s="93"/>
      <c r="P852" s="93"/>
      <c r="Q852" s="93"/>
      <c r="R852" s="93"/>
      <c r="S852" s="93"/>
      <c r="T852" s="93"/>
      <c r="U852" s="93"/>
      <c r="V852" s="93"/>
      <c r="W852" s="93"/>
      <c r="X852" s="93"/>
      <c r="Y852" s="93"/>
      <c r="Z852" s="93"/>
      <c r="AA852" s="93"/>
      <c r="AB852" s="93"/>
      <c r="AC852" s="93"/>
      <c r="AD852" s="93"/>
      <c r="AE852" s="93"/>
      <c r="AF852" s="93"/>
      <c r="AG852" s="93"/>
      <c r="AH852" s="93"/>
      <c r="AI852" s="93"/>
      <c r="AJ852" s="93"/>
      <c r="AK852" s="93"/>
      <c r="AL852" s="93"/>
      <c r="AM852" s="93"/>
      <c r="AN852" s="93"/>
      <c r="AO852" s="93"/>
      <c r="AP852" s="93"/>
      <c r="AQ852" s="93"/>
      <c r="AR852" s="93"/>
      <c r="AS852" s="93"/>
      <c r="AT852" s="93"/>
      <c r="AU852" s="93"/>
      <c r="AV852" s="93"/>
      <c r="AW852" s="93"/>
      <c r="AX852" s="93"/>
      <c r="AY852" s="93"/>
      <c r="AZ852" s="93"/>
      <c r="BA852" s="93"/>
      <c r="BB852" s="93"/>
      <c r="BC852" s="93"/>
      <c r="BD852" s="93"/>
      <c r="BE852" s="93"/>
      <c r="BF852" s="93"/>
      <c r="BG852" s="93"/>
      <c r="BH852" s="93"/>
      <c r="BI852" s="93"/>
      <c r="BJ852" s="93"/>
      <c r="BK852" s="93"/>
      <c r="BL852" s="93"/>
      <c r="BM852" s="93"/>
      <c r="BN852" s="93"/>
      <c r="BO852" s="93"/>
      <c r="BP852" s="93"/>
      <c r="BQ852" s="93"/>
      <c r="BR852" s="93"/>
      <c r="BS852" s="93"/>
      <c r="BT852" s="93"/>
      <c r="BU852" s="93"/>
      <c r="BV852" s="93"/>
      <c r="BW852" s="93"/>
      <c r="BX852" s="93"/>
      <c r="BY852" s="93"/>
      <c r="BZ852" s="93"/>
    </row>
    <row r="853">
      <c r="B853" t="s">
        <v>3344</v>
      </c>
      <c r="C853" s="89" t="s">
        <v>3345</v>
      </c>
      <c r="D853" s="90" t="s">
        <v>3346</v>
      </c>
      <c r="E853" s="91">
        <v>2017.0</v>
      </c>
      <c r="F853" s="104">
        <v>1.0</v>
      </c>
      <c r="G853" s="93"/>
      <c r="H853" s="93"/>
      <c r="I853" s="93"/>
      <c r="J853" s="93"/>
      <c r="K853" s="93"/>
      <c r="L853" s="93"/>
      <c r="M853" s="93"/>
      <c r="N853" s="93"/>
      <c r="O853" s="93"/>
      <c r="P853" s="93"/>
      <c r="Q853" s="93"/>
      <c r="R853" s="93"/>
      <c r="S853" s="93"/>
      <c r="T853" s="93"/>
      <c r="U853" s="93"/>
      <c r="V853" s="93"/>
      <c r="W853" s="93"/>
      <c r="X853" s="93"/>
      <c r="Y853" s="93"/>
      <c r="Z853" s="93"/>
      <c r="AA853" s="93"/>
      <c r="AB853" s="93"/>
      <c r="AC853" s="93"/>
      <c r="AD853" s="93"/>
      <c r="AE853" s="93"/>
      <c r="AF853" s="93"/>
      <c r="AG853" s="93"/>
      <c r="AH853" s="93"/>
      <c r="AI853" s="93"/>
      <c r="AJ853" s="93"/>
      <c r="AK853" s="93"/>
      <c r="AL853" s="93"/>
      <c r="AM853" s="93"/>
      <c r="AN853" s="93"/>
      <c r="AO853" s="93"/>
      <c r="AP853" s="93"/>
      <c r="AQ853" s="93"/>
      <c r="AR853" s="93"/>
      <c r="AS853" s="93"/>
      <c r="AT853" s="93"/>
      <c r="AU853" s="93"/>
      <c r="AV853" s="93"/>
      <c r="AW853" s="93"/>
      <c r="AX853" s="93"/>
      <c r="AY853" s="93"/>
      <c r="AZ853" s="93"/>
      <c r="BA853" s="93"/>
      <c r="BB853" s="93"/>
      <c r="BC853" s="93"/>
      <c r="BD853" s="93"/>
      <c r="BE853" s="93"/>
      <c r="BF853" s="93"/>
      <c r="BG853" s="93"/>
      <c r="BH853" s="93"/>
      <c r="BI853" s="93"/>
      <c r="BJ853" s="93"/>
      <c r="BK853" s="93"/>
      <c r="BL853" s="93"/>
      <c r="BM853" s="93"/>
      <c r="BN853" s="93"/>
      <c r="BO853" s="93"/>
      <c r="BP853" s="93"/>
      <c r="BQ853" s="93"/>
      <c r="BR853" s="93"/>
      <c r="BS853" s="93"/>
      <c r="BT853" s="93"/>
      <c r="BU853" s="93"/>
      <c r="BV853" s="93"/>
      <c r="BW853" s="93"/>
      <c r="BX853" s="93"/>
      <c r="BY853" s="93"/>
      <c r="BZ853" s="93"/>
    </row>
    <row r="854">
      <c r="B854" t="s">
        <v>3347</v>
      </c>
      <c r="C854" s="89" t="s">
        <v>3348</v>
      </c>
      <c r="D854" s="90" t="s">
        <v>3349</v>
      </c>
      <c r="E854" s="91">
        <v>2018.0</v>
      </c>
      <c r="F854" s="104">
        <v>1.0</v>
      </c>
      <c r="G854" s="93"/>
      <c r="H854" s="93"/>
      <c r="I854" s="93"/>
      <c r="J854" s="93"/>
      <c r="K854" s="93"/>
      <c r="L854" s="93"/>
      <c r="M854" s="93"/>
      <c r="N854" s="93"/>
      <c r="O854" s="93"/>
      <c r="P854" s="93"/>
      <c r="Q854" s="93"/>
      <c r="R854" s="93"/>
      <c r="S854" s="93"/>
      <c r="T854" s="93"/>
      <c r="U854" s="93"/>
      <c r="V854" s="93"/>
      <c r="W854" s="93"/>
      <c r="X854" s="93"/>
      <c r="Y854" s="93"/>
      <c r="Z854" s="93"/>
      <c r="AA854" s="93"/>
      <c r="AB854" s="93"/>
      <c r="AC854" s="93"/>
      <c r="AD854" s="93"/>
      <c r="AE854" s="93"/>
      <c r="AF854" s="93"/>
      <c r="AG854" s="93"/>
      <c r="AH854" s="93"/>
      <c r="AI854" s="93"/>
      <c r="AJ854" s="93"/>
      <c r="AK854" s="93"/>
      <c r="AL854" s="93"/>
      <c r="AM854" s="93"/>
      <c r="AN854" s="93"/>
      <c r="AO854" s="93"/>
      <c r="AP854" s="93"/>
      <c r="AQ854" s="93"/>
      <c r="AR854" s="93"/>
      <c r="AS854" s="93"/>
      <c r="AT854" s="93"/>
      <c r="AU854" s="93"/>
      <c r="AV854" s="93"/>
      <c r="AW854" s="93"/>
      <c r="AX854" s="93"/>
      <c r="AY854" s="93"/>
      <c r="AZ854" s="93"/>
      <c r="BA854" s="93"/>
      <c r="BB854" s="93"/>
      <c r="BC854" s="93"/>
      <c r="BD854" s="93"/>
      <c r="BE854" s="93"/>
      <c r="BF854" s="93"/>
      <c r="BG854" s="93"/>
      <c r="BH854" s="93"/>
      <c r="BI854" s="93"/>
      <c r="BJ854" s="93"/>
      <c r="BK854" s="93"/>
      <c r="BL854" s="93"/>
      <c r="BM854" s="93"/>
      <c r="BN854" s="93"/>
      <c r="BO854" s="93"/>
      <c r="BP854" s="93"/>
      <c r="BQ854" s="93"/>
      <c r="BR854" s="93"/>
      <c r="BS854" s="93"/>
      <c r="BT854" s="93"/>
      <c r="BU854" s="93"/>
      <c r="BV854" s="93"/>
      <c r="BW854" s="93"/>
      <c r="BX854" s="93"/>
      <c r="BY854" s="93"/>
      <c r="BZ854" s="93"/>
    </row>
    <row r="855">
      <c r="B855" t="s">
        <v>3350</v>
      </c>
      <c r="C855" s="89" t="s">
        <v>3351</v>
      </c>
      <c r="D855" s="90" t="s">
        <v>3352</v>
      </c>
      <c r="E855" s="91">
        <v>2017.0</v>
      </c>
      <c r="F855" s="104">
        <v>1.0</v>
      </c>
      <c r="G855" s="93"/>
      <c r="H855" s="93"/>
      <c r="I855" s="93"/>
      <c r="J855" s="93"/>
      <c r="K855" s="93"/>
      <c r="L855" s="93"/>
      <c r="M855" s="93"/>
      <c r="N855" s="93"/>
      <c r="O855" s="93"/>
      <c r="P855" s="93"/>
      <c r="Q855" s="93"/>
      <c r="R855" s="93"/>
      <c r="S855" s="93"/>
      <c r="T855" s="93"/>
      <c r="U855" s="93"/>
      <c r="V855" s="93"/>
      <c r="W855" s="93"/>
      <c r="X855" s="93"/>
      <c r="Y855" s="93"/>
      <c r="Z855" s="93"/>
      <c r="AA855" s="93"/>
      <c r="AB855" s="93"/>
      <c r="AC855" s="93"/>
      <c r="AD855" s="93"/>
      <c r="AE855" s="93"/>
      <c r="AF855" s="93"/>
      <c r="AG855" s="93"/>
      <c r="AH855" s="93"/>
      <c r="AI855" s="93"/>
      <c r="AJ855" s="93"/>
      <c r="AK855" s="93"/>
      <c r="AL855" s="93"/>
      <c r="AM855" s="93"/>
      <c r="AN855" s="93"/>
      <c r="AO855" s="93"/>
      <c r="AP855" s="93"/>
      <c r="AQ855" s="93"/>
      <c r="AR855" s="93"/>
      <c r="AS855" s="93"/>
      <c r="AT855" s="93"/>
      <c r="AU855" s="93"/>
      <c r="AV855" s="93"/>
      <c r="AW855" s="93"/>
      <c r="AX855" s="93"/>
      <c r="AY855" s="93"/>
      <c r="AZ855" s="93"/>
      <c r="BA855" s="93"/>
      <c r="BB855" s="93"/>
      <c r="BC855" s="93"/>
      <c r="BD855" s="93"/>
      <c r="BE855" s="93"/>
      <c r="BF855" s="93"/>
      <c r="BG855" s="93"/>
      <c r="BH855" s="93"/>
      <c r="BI855" s="93"/>
      <c r="BJ855" s="93"/>
      <c r="BK855" s="93"/>
      <c r="BL855" s="93"/>
      <c r="BM855" s="93"/>
      <c r="BN855" s="93"/>
      <c r="BO855" s="93"/>
      <c r="BP855" s="93"/>
      <c r="BQ855" s="93"/>
      <c r="BR855" s="93"/>
      <c r="BS855" s="93"/>
      <c r="BT855" s="93"/>
      <c r="BU855" s="93"/>
      <c r="BV855" s="93"/>
      <c r="BW855" s="93"/>
      <c r="BX855" s="93"/>
      <c r="BY855" s="93"/>
      <c r="BZ855" s="93"/>
    </row>
    <row r="856">
      <c r="A856" t="s">
        <v>116</v>
      </c>
      <c r="B856" t="s">
        <v>3353</v>
      </c>
      <c r="C856" s="89" t="s">
        <v>3354</v>
      </c>
      <c r="D856" s="90" t="s">
        <v>3069</v>
      </c>
      <c r="E856" s="91">
        <v>2015.0</v>
      </c>
      <c r="F856" s="104">
        <v>1.0</v>
      </c>
      <c r="G856" s="93"/>
      <c r="H856" s="93"/>
      <c r="I856" s="93"/>
      <c r="J856" s="93"/>
      <c r="K856" s="93"/>
      <c r="L856" s="93"/>
      <c r="M856" s="93"/>
      <c r="N856" s="93"/>
      <c r="O856" s="93"/>
      <c r="P856" s="93"/>
      <c r="Q856" s="93"/>
      <c r="R856" s="93"/>
      <c r="S856" s="93"/>
      <c r="T856" s="93"/>
      <c r="U856" s="93"/>
      <c r="V856" s="93"/>
      <c r="W856" s="93"/>
      <c r="X856" s="93"/>
      <c r="Y856" s="93"/>
      <c r="Z856" s="93"/>
      <c r="AA856" s="93"/>
      <c r="AB856" s="93"/>
      <c r="AC856" s="93"/>
      <c r="AD856" s="93"/>
      <c r="AE856" s="93"/>
      <c r="AF856" s="93"/>
      <c r="AG856" s="93"/>
      <c r="AH856" s="93"/>
      <c r="AI856" s="93"/>
      <c r="AJ856" s="93"/>
      <c r="AK856" s="93"/>
      <c r="AL856" s="93"/>
      <c r="AM856" s="93"/>
      <c r="AN856" s="93"/>
      <c r="AO856" s="93"/>
      <c r="AP856" s="93"/>
      <c r="AQ856" s="93"/>
      <c r="AR856" s="93"/>
      <c r="AS856" s="93"/>
      <c r="AT856" s="93"/>
      <c r="AU856" s="93"/>
      <c r="AV856" s="93"/>
      <c r="AW856" s="93"/>
      <c r="AX856" s="93"/>
      <c r="AY856" s="93"/>
      <c r="AZ856" s="93"/>
      <c r="BA856" s="93"/>
      <c r="BB856" s="93"/>
      <c r="BC856" s="93"/>
      <c r="BD856" s="93"/>
      <c r="BE856" s="93"/>
      <c r="BF856" s="93"/>
      <c r="BG856" s="93"/>
      <c r="BH856" s="93"/>
      <c r="BI856" s="93"/>
      <c r="BJ856" s="93"/>
      <c r="BK856" s="93"/>
      <c r="BL856" s="93"/>
      <c r="BM856" s="93"/>
      <c r="BN856" s="93"/>
      <c r="BO856" s="93"/>
      <c r="BP856" s="93"/>
      <c r="BQ856" s="93"/>
      <c r="BR856" s="93"/>
      <c r="BS856" s="93"/>
      <c r="BT856" s="93"/>
      <c r="BU856" s="93"/>
      <c r="BV856" s="93"/>
      <c r="BW856" s="93"/>
      <c r="BX856" s="93"/>
      <c r="BY856" s="93"/>
      <c r="BZ856" s="93"/>
    </row>
    <row r="857">
      <c r="A857" t="s">
        <v>1331</v>
      </c>
      <c r="B857" t="s">
        <v>3355</v>
      </c>
      <c r="C857" s="89" t="s">
        <v>3356</v>
      </c>
      <c r="D857" s="90" t="s">
        <v>2909</v>
      </c>
      <c r="E857" s="91">
        <v>2016.0</v>
      </c>
      <c r="F857" s="93"/>
      <c r="G857" s="93"/>
      <c r="H857" s="104">
        <v>1.0</v>
      </c>
      <c r="I857" s="93"/>
      <c r="J857" s="104">
        <v>1.0</v>
      </c>
      <c r="K857" s="93"/>
      <c r="L857" s="93"/>
      <c r="M857" s="93"/>
      <c r="N857" s="93"/>
      <c r="O857" s="93"/>
      <c r="P857" s="93"/>
      <c r="Q857" s="93"/>
      <c r="R857" s="93"/>
      <c r="S857" s="93"/>
      <c r="T857" s="93"/>
      <c r="U857" s="93"/>
      <c r="V857" s="93"/>
      <c r="W857" s="93" t="s">
        <v>3357</v>
      </c>
      <c r="X857" s="93"/>
      <c r="Y857" s="93"/>
      <c r="Z857" s="93" t="s">
        <v>1385</v>
      </c>
      <c r="AA857" s="93"/>
      <c r="AB857" s="104">
        <v>1.0</v>
      </c>
      <c r="AC857" s="104">
        <v>1.0</v>
      </c>
      <c r="AD857" s="93"/>
      <c r="AE857" s="93"/>
      <c r="AF857" s="93"/>
      <c r="AG857" s="93"/>
      <c r="AH857" s="90" t="s">
        <v>3358</v>
      </c>
      <c r="AI857" s="104">
        <v>1.0</v>
      </c>
      <c r="AJ857" s="104">
        <v>1.0</v>
      </c>
      <c r="AK857" s="93"/>
      <c r="AL857" s="93"/>
      <c r="AM857" s="93"/>
      <c r="AN857" s="93"/>
      <c r="AO857" s="93"/>
      <c r="AP857" s="93"/>
      <c r="AQ857" s="93"/>
      <c r="AR857" s="104">
        <v>1.0</v>
      </c>
      <c r="AS857" s="93"/>
      <c r="AT857" s="93"/>
      <c r="AU857" s="93"/>
      <c r="AV857" s="93"/>
      <c r="AW857" s="93"/>
      <c r="AX857" s="93"/>
      <c r="AY857" s="93"/>
      <c r="AZ857" s="93"/>
      <c r="BA857" s="93"/>
      <c r="BB857" s="93"/>
      <c r="BC857" s="93"/>
      <c r="BD857" s="93"/>
      <c r="BE857" s="93"/>
      <c r="BF857" s="93"/>
      <c r="BG857" s="93"/>
      <c r="BH857" s="93"/>
      <c r="BI857" s="93"/>
      <c r="BJ857" s="93"/>
      <c r="BK857" s="93"/>
      <c r="BL857" s="93"/>
      <c r="BM857" s="93"/>
      <c r="BN857" s="93"/>
      <c r="BO857" s="93"/>
      <c r="BP857" s="93"/>
      <c r="BQ857" s="93"/>
      <c r="BR857" s="93"/>
      <c r="BS857" s="93"/>
      <c r="BT857" s="93"/>
      <c r="BU857" s="93"/>
      <c r="BV857" s="93"/>
      <c r="BW857" s="93"/>
      <c r="BX857" s="93"/>
      <c r="BY857" s="93"/>
      <c r="BZ857" s="93"/>
    </row>
    <row r="858">
      <c r="B858" t="s">
        <v>3359</v>
      </c>
      <c r="C858" s="89" t="s">
        <v>3360</v>
      </c>
      <c r="D858" s="90" t="s">
        <v>2810</v>
      </c>
      <c r="E858" s="91">
        <v>2018.0</v>
      </c>
      <c r="F858" s="104">
        <v>1.0</v>
      </c>
      <c r="G858" s="93"/>
      <c r="H858" s="93"/>
      <c r="I858" s="93"/>
      <c r="J858" s="93"/>
      <c r="K858" s="93"/>
      <c r="L858" s="93"/>
      <c r="M858" s="93"/>
      <c r="N858" s="93"/>
      <c r="O858" s="93"/>
      <c r="P858" s="93"/>
      <c r="Q858" s="93"/>
      <c r="R858" s="93"/>
      <c r="S858" s="93"/>
      <c r="T858" s="93"/>
      <c r="U858" s="93"/>
      <c r="V858" s="93"/>
      <c r="W858" s="93"/>
      <c r="X858" s="93"/>
      <c r="Y858" s="93"/>
      <c r="Z858" s="93"/>
      <c r="AA858" s="93"/>
      <c r="AB858" s="93"/>
      <c r="AC858" s="93"/>
      <c r="AD858" s="93"/>
      <c r="AE858" s="93"/>
      <c r="AF858" s="93"/>
      <c r="AG858" s="93"/>
      <c r="AH858" s="93"/>
      <c r="AI858" s="93"/>
      <c r="AJ858" s="93"/>
      <c r="AK858" s="93"/>
      <c r="AL858" s="93"/>
      <c r="AM858" s="93"/>
      <c r="AN858" s="93"/>
      <c r="AO858" s="93"/>
      <c r="AP858" s="93"/>
      <c r="AQ858" s="93"/>
      <c r="AR858" s="93"/>
      <c r="AS858" s="93"/>
      <c r="AT858" s="93"/>
      <c r="AU858" s="93"/>
      <c r="AV858" s="93"/>
      <c r="AW858" s="93"/>
      <c r="AX858" s="93"/>
      <c r="AY858" s="93"/>
      <c r="AZ858" s="93"/>
      <c r="BA858" s="93"/>
      <c r="BB858" s="93"/>
      <c r="BC858" s="93"/>
      <c r="BD858" s="93"/>
      <c r="BE858" s="93"/>
      <c r="BF858" s="93"/>
      <c r="BG858" s="93"/>
      <c r="BH858" s="93"/>
      <c r="BI858" s="93"/>
      <c r="BJ858" s="93"/>
      <c r="BK858" s="93"/>
      <c r="BL858" s="93"/>
      <c r="BM858" s="93"/>
      <c r="BN858" s="93"/>
      <c r="BO858" s="93"/>
      <c r="BP858" s="93"/>
      <c r="BQ858" s="93"/>
      <c r="BR858" s="93"/>
      <c r="BS858" s="93"/>
      <c r="BT858" s="93"/>
      <c r="BU858" s="93"/>
      <c r="BV858" s="93"/>
      <c r="BW858" s="93"/>
      <c r="BX858" s="93"/>
      <c r="BY858" s="93"/>
      <c r="BZ858" s="93"/>
    </row>
    <row r="859">
      <c r="B859" t="s">
        <v>3361</v>
      </c>
      <c r="C859" s="89" t="s">
        <v>3362</v>
      </c>
      <c r="D859" s="90" t="s">
        <v>2810</v>
      </c>
      <c r="E859" s="91">
        <v>2018.0</v>
      </c>
      <c r="F859" s="104">
        <v>1.0</v>
      </c>
      <c r="G859" s="93"/>
      <c r="H859" s="93"/>
      <c r="I859" s="93"/>
      <c r="J859" s="93"/>
      <c r="K859" s="93"/>
      <c r="L859" s="93"/>
      <c r="M859" s="93"/>
      <c r="N859" s="93"/>
      <c r="O859" s="93"/>
      <c r="P859" s="93"/>
      <c r="Q859" s="93"/>
      <c r="R859" s="93"/>
      <c r="S859" s="93"/>
      <c r="T859" s="93"/>
      <c r="U859" s="93"/>
      <c r="V859" s="93"/>
      <c r="W859" s="93"/>
      <c r="X859" s="93"/>
      <c r="Y859" s="93"/>
      <c r="Z859" s="93"/>
      <c r="AA859" s="93"/>
      <c r="AB859" s="93"/>
      <c r="AC859" s="93"/>
      <c r="AD859" s="93"/>
      <c r="AE859" s="93"/>
      <c r="AF859" s="93"/>
      <c r="AG859" s="93"/>
      <c r="AH859" s="93"/>
      <c r="AI859" s="93"/>
      <c r="AJ859" s="93"/>
      <c r="AK859" s="93"/>
      <c r="AL859" s="93"/>
      <c r="AM859" s="93"/>
      <c r="AN859" s="93"/>
      <c r="AO859" s="93"/>
      <c r="AP859" s="93"/>
      <c r="AQ859" s="93"/>
      <c r="AR859" s="93"/>
      <c r="AS859" s="93"/>
      <c r="AT859" s="93"/>
      <c r="AU859" s="93"/>
      <c r="AV859" s="93"/>
      <c r="AW859" s="93"/>
      <c r="AX859" s="93"/>
      <c r="AY859" s="93"/>
      <c r="AZ859" s="93"/>
      <c r="BA859" s="93"/>
      <c r="BB859" s="93"/>
      <c r="BC859" s="93"/>
      <c r="BD859" s="93"/>
      <c r="BE859" s="93"/>
      <c r="BF859" s="93"/>
      <c r="BG859" s="93"/>
      <c r="BH859" s="93"/>
      <c r="BI859" s="93"/>
      <c r="BJ859" s="93"/>
      <c r="BK859" s="93"/>
      <c r="BL859" s="93"/>
      <c r="BM859" s="93"/>
      <c r="BN859" s="93"/>
      <c r="BO859" s="93"/>
      <c r="BP859" s="93"/>
      <c r="BQ859" s="93"/>
      <c r="BR859" s="93"/>
      <c r="BS859" s="93"/>
      <c r="BT859" s="93"/>
      <c r="BU859" s="93"/>
      <c r="BV859" s="93"/>
      <c r="BW859" s="93"/>
      <c r="BX859" s="93"/>
      <c r="BY859" s="93"/>
      <c r="BZ859" s="93"/>
    </row>
    <row r="860">
      <c r="B860" t="s">
        <v>3363</v>
      </c>
      <c r="C860" s="89" t="s">
        <v>3364</v>
      </c>
      <c r="D860" s="90" t="s">
        <v>3334</v>
      </c>
      <c r="E860" s="91">
        <v>2019.0</v>
      </c>
      <c r="F860" s="104">
        <v>1.0</v>
      </c>
      <c r="G860" s="93"/>
      <c r="H860" s="93"/>
      <c r="I860" s="93"/>
      <c r="J860" s="93"/>
      <c r="K860" s="93"/>
      <c r="L860" s="93"/>
      <c r="M860" s="93"/>
      <c r="N860" s="93"/>
      <c r="O860" s="93"/>
      <c r="P860" s="93"/>
      <c r="Q860" s="93"/>
      <c r="R860" s="93"/>
      <c r="S860" s="93"/>
      <c r="T860" s="93"/>
      <c r="U860" s="93"/>
      <c r="V860" s="93"/>
      <c r="W860" s="93"/>
      <c r="X860" s="93"/>
      <c r="Y860" s="93"/>
      <c r="Z860" s="93"/>
      <c r="AA860" s="93"/>
      <c r="AB860" s="93"/>
      <c r="AC860" s="93"/>
      <c r="AD860" s="93"/>
      <c r="AE860" s="93"/>
      <c r="AF860" s="93"/>
      <c r="AG860" s="93"/>
      <c r="AH860" s="93"/>
      <c r="AI860" s="93"/>
      <c r="AJ860" s="93"/>
      <c r="AK860" s="93"/>
      <c r="AL860" s="93"/>
      <c r="AM860" s="93"/>
      <c r="AN860" s="93"/>
      <c r="AO860" s="93"/>
      <c r="AP860" s="93"/>
      <c r="AQ860" s="93"/>
      <c r="AR860" s="93"/>
      <c r="AS860" s="93"/>
      <c r="AT860" s="93"/>
      <c r="AU860" s="93"/>
      <c r="AV860" s="93"/>
      <c r="AW860" s="93"/>
      <c r="AX860" s="93"/>
      <c r="AY860" s="93"/>
      <c r="AZ860" s="93"/>
      <c r="BA860" s="93"/>
      <c r="BB860" s="93"/>
      <c r="BC860" s="93"/>
      <c r="BD860" s="93"/>
      <c r="BE860" s="93"/>
      <c r="BF860" s="93"/>
      <c r="BG860" s="93"/>
      <c r="BH860" s="93"/>
      <c r="BI860" s="93"/>
      <c r="BJ860" s="93"/>
      <c r="BK860" s="93"/>
      <c r="BL860" s="93"/>
      <c r="BM860" s="93"/>
      <c r="BN860" s="93"/>
      <c r="BO860" s="93"/>
      <c r="BP860" s="93"/>
      <c r="BQ860" s="93"/>
      <c r="BR860" s="93"/>
      <c r="BS860" s="93"/>
      <c r="BT860" s="93"/>
      <c r="BU860" s="93"/>
      <c r="BV860" s="93"/>
      <c r="BW860" s="93"/>
      <c r="BX860" s="93"/>
      <c r="BY860" s="93"/>
      <c r="BZ860" s="93"/>
    </row>
    <row r="861">
      <c r="B861" t="s">
        <v>3365</v>
      </c>
      <c r="C861" s="89" t="s">
        <v>3366</v>
      </c>
      <c r="D861" s="90" t="s">
        <v>2856</v>
      </c>
      <c r="E861" s="91">
        <v>2018.0</v>
      </c>
      <c r="F861" s="104">
        <v>1.0</v>
      </c>
      <c r="G861" s="93"/>
      <c r="H861" s="93"/>
      <c r="I861" s="93"/>
      <c r="J861" s="93"/>
      <c r="K861" s="93"/>
      <c r="L861" s="93"/>
      <c r="M861" s="93"/>
      <c r="N861" s="93"/>
      <c r="O861" s="93"/>
      <c r="P861" s="93"/>
      <c r="Q861" s="93"/>
      <c r="R861" s="93"/>
      <c r="S861" s="93"/>
      <c r="T861" s="93"/>
      <c r="U861" s="93"/>
      <c r="V861" s="93"/>
      <c r="W861" s="93"/>
      <c r="X861" s="93"/>
      <c r="Y861" s="93"/>
      <c r="Z861" s="93"/>
      <c r="AA861" s="93"/>
      <c r="AB861" s="93"/>
      <c r="AC861" s="93"/>
      <c r="AD861" s="93"/>
      <c r="AE861" s="93"/>
      <c r="AF861" s="93"/>
      <c r="AG861" s="93"/>
      <c r="AH861" s="93"/>
      <c r="AI861" s="93"/>
      <c r="AJ861" s="93"/>
      <c r="AK861" s="93"/>
      <c r="AL861" s="93"/>
      <c r="AM861" s="93"/>
      <c r="AN861" s="93"/>
      <c r="AO861" s="93"/>
      <c r="AP861" s="93"/>
      <c r="AQ861" s="93"/>
      <c r="AR861" s="93"/>
      <c r="AS861" s="93"/>
      <c r="AT861" s="93"/>
      <c r="AU861" s="93"/>
      <c r="AV861" s="93"/>
      <c r="AW861" s="93"/>
      <c r="AX861" s="93"/>
      <c r="AY861" s="93"/>
      <c r="AZ861" s="93"/>
      <c r="BA861" s="93"/>
      <c r="BB861" s="93"/>
      <c r="BC861" s="93"/>
      <c r="BD861" s="93"/>
      <c r="BE861" s="93"/>
      <c r="BF861" s="93"/>
      <c r="BG861" s="93"/>
      <c r="BH861" s="93"/>
      <c r="BI861" s="93"/>
      <c r="BJ861" s="93"/>
      <c r="BK861" s="93"/>
      <c r="BL861" s="93"/>
      <c r="BM861" s="93"/>
      <c r="BN861" s="93"/>
      <c r="BO861" s="93"/>
      <c r="BP861" s="93"/>
      <c r="BQ861" s="93"/>
      <c r="BR861" s="93"/>
      <c r="BS861" s="93"/>
      <c r="BT861" s="93"/>
      <c r="BU861" s="93"/>
      <c r="BV861" s="93"/>
      <c r="BW861" s="93"/>
      <c r="BX861" s="93"/>
      <c r="BY861" s="93"/>
      <c r="BZ861" s="93"/>
    </row>
    <row r="862">
      <c r="B862" t="s">
        <v>3367</v>
      </c>
      <c r="C862" s="89" t="s">
        <v>3368</v>
      </c>
      <c r="D862" s="90" t="s">
        <v>3369</v>
      </c>
      <c r="E862" s="91">
        <v>2019.0</v>
      </c>
      <c r="F862" s="104">
        <v>1.0</v>
      </c>
      <c r="G862" s="93"/>
      <c r="H862" s="93"/>
      <c r="I862" s="93"/>
      <c r="J862" s="93"/>
      <c r="K862" s="93"/>
      <c r="L862" s="93"/>
      <c r="M862" s="93"/>
      <c r="N862" s="93"/>
      <c r="O862" s="93"/>
      <c r="P862" s="93"/>
      <c r="Q862" s="93"/>
      <c r="R862" s="93"/>
      <c r="S862" s="93"/>
      <c r="T862" s="93"/>
      <c r="U862" s="93"/>
      <c r="V862" s="93"/>
      <c r="W862" s="93"/>
      <c r="X862" s="93"/>
      <c r="Y862" s="93"/>
      <c r="Z862" s="93"/>
      <c r="AA862" s="93"/>
      <c r="AB862" s="93"/>
      <c r="AC862" s="93"/>
      <c r="AD862" s="93"/>
      <c r="AE862" s="93"/>
      <c r="AF862" s="93"/>
      <c r="AG862" s="93"/>
      <c r="AH862" s="93"/>
      <c r="AI862" s="93"/>
      <c r="AJ862" s="93"/>
      <c r="AK862" s="93"/>
      <c r="AL862" s="93"/>
      <c r="AM862" s="93"/>
      <c r="AN862" s="93"/>
      <c r="AO862" s="93"/>
      <c r="AP862" s="93"/>
      <c r="AQ862" s="93"/>
      <c r="AR862" s="93"/>
      <c r="AS862" s="93"/>
      <c r="AT862" s="93"/>
      <c r="AU862" s="93"/>
      <c r="AV862" s="93"/>
      <c r="AW862" s="93"/>
      <c r="AX862" s="93"/>
      <c r="AY862" s="93"/>
      <c r="AZ862" s="93"/>
      <c r="BA862" s="93"/>
      <c r="BB862" s="93"/>
      <c r="BC862" s="93"/>
      <c r="BD862" s="93"/>
      <c r="BE862" s="93"/>
      <c r="BF862" s="93"/>
      <c r="BG862" s="93"/>
      <c r="BH862" s="93"/>
      <c r="BI862" s="93"/>
      <c r="BJ862" s="93"/>
      <c r="BK862" s="93"/>
      <c r="BL862" s="93"/>
      <c r="BM862" s="93"/>
      <c r="BN862" s="93"/>
      <c r="BO862" s="93"/>
      <c r="BP862" s="93"/>
      <c r="BQ862" s="93"/>
      <c r="BR862" s="93"/>
      <c r="BS862" s="93"/>
      <c r="BT862" s="93"/>
      <c r="BU862" s="93"/>
      <c r="BV862" s="93"/>
      <c r="BW862" s="93"/>
      <c r="BX862" s="93"/>
      <c r="BY862" s="93"/>
      <c r="BZ862" s="93"/>
    </row>
    <row r="863">
      <c r="B863" t="s">
        <v>3370</v>
      </c>
      <c r="C863" s="89" t="s">
        <v>3371</v>
      </c>
      <c r="D863" s="90" t="s">
        <v>2874</v>
      </c>
      <c r="E863" s="91">
        <v>2017.0</v>
      </c>
      <c r="F863" s="104">
        <v>1.0</v>
      </c>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3"/>
      <c r="AF863" s="93"/>
      <c r="AG863" s="93"/>
      <c r="AH863" s="93"/>
      <c r="AI863" s="93"/>
      <c r="AJ863" s="93"/>
      <c r="AK863" s="93"/>
      <c r="AL863" s="93"/>
      <c r="AM863" s="93"/>
      <c r="AN863" s="93"/>
      <c r="AO863" s="93"/>
      <c r="AP863" s="93"/>
      <c r="AQ863" s="93"/>
      <c r="AR863" s="93"/>
      <c r="AS863" s="93"/>
      <c r="AT863" s="93"/>
      <c r="AU863" s="93"/>
      <c r="AV863" s="93"/>
      <c r="AW863" s="93"/>
      <c r="AX863" s="93"/>
      <c r="AY863" s="93"/>
      <c r="AZ863" s="93"/>
      <c r="BA863" s="93"/>
      <c r="BB863" s="93"/>
      <c r="BC863" s="93"/>
      <c r="BD863" s="93"/>
      <c r="BE863" s="93"/>
      <c r="BF863" s="93"/>
      <c r="BG863" s="93"/>
      <c r="BH863" s="93"/>
      <c r="BI863" s="93"/>
      <c r="BJ863" s="93"/>
      <c r="BK863" s="93"/>
      <c r="BL863" s="93"/>
      <c r="BM863" s="93"/>
      <c r="BN863" s="93"/>
      <c r="BO863" s="93"/>
      <c r="BP863" s="93"/>
      <c r="BQ863" s="93"/>
      <c r="BR863" s="93"/>
      <c r="BS863" s="93"/>
      <c r="BT863" s="93"/>
      <c r="BU863" s="93"/>
      <c r="BV863" s="93"/>
      <c r="BW863" s="93"/>
      <c r="BX863" s="93"/>
      <c r="BY863" s="93"/>
      <c r="BZ863" s="93"/>
    </row>
    <row r="864">
      <c r="B864" t="s">
        <v>3372</v>
      </c>
      <c r="C864" s="89" t="s">
        <v>3373</v>
      </c>
      <c r="D864" s="90" t="s">
        <v>3374</v>
      </c>
      <c r="E864" s="91">
        <v>2019.0</v>
      </c>
      <c r="F864" s="104">
        <v>1.0</v>
      </c>
      <c r="G864" s="93"/>
      <c r="H864" s="93"/>
      <c r="I864" s="93"/>
      <c r="J864" s="93"/>
      <c r="K864" s="93"/>
      <c r="L864" s="93"/>
      <c r="M864" s="93"/>
      <c r="N864" s="93"/>
      <c r="O864" s="93"/>
      <c r="P864" s="93"/>
      <c r="Q864" s="93"/>
      <c r="R864" s="93"/>
      <c r="S864" s="93"/>
      <c r="T864" s="93"/>
      <c r="U864" s="93"/>
      <c r="V864" s="93"/>
      <c r="W864" s="93"/>
      <c r="X864" s="93"/>
      <c r="Y864" s="93"/>
      <c r="Z864" s="93"/>
      <c r="AA864" s="93"/>
      <c r="AB864" s="93"/>
      <c r="AC864" s="93"/>
      <c r="AD864" s="93"/>
      <c r="AE864" s="93"/>
      <c r="AF864" s="93"/>
      <c r="AG864" s="93"/>
      <c r="AH864" s="93"/>
      <c r="AI864" s="93"/>
      <c r="AJ864" s="93"/>
      <c r="AK864" s="93"/>
      <c r="AL864" s="93"/>
      <c r="AM864" s="93"/>
      <c r="AN864" s="93"/>
      <c r="AO864" s="93"/>
      <c r="AP864" s="93"/>
      <c r="AQ864" s="93"/>
      <c r="AR864" s="93"/>
      <c r="AS864" s="93"/>
      <c r="AT864" s="93"/>
      <c r="AU864" s="93"/>
      <c r="AV864" s="93"/>
      <c r="AW864" s="93"/>
      <c r="AX864" s="93"/>
      <c r="AY864" s="93"/>
      <c r="AZ864" s="93"/>
      <c r="BA864" s="93"/>
      <c r="BB864" s="93"/>
      <c r="BC864" s="93"/>
      <c r="BD864" s="93"/>
      <c r="BE864" s="93"/>
      <c r="BF864" s="93"/>
      <c r="BG864" s="93"/>
      <c r="BH864" s="93"/>
      <c r="BI864" s="93"/>
      <c r="BJ864" s="93"/>
      <c r="BK864" s="93"/>
      <c r="BL864" s="93"/>
      <c r="BM864" s="93"/>
      <c r="BN864" s="93"/>
      <c r="BO864" s="93"/>
      <c r="BP864" s="93"/>
      <c r="BQ864" s="93"/>
      <c r="BR864" s="93"/>
      <c r="BS864" s="93"/>
      <c r="BT864" s="93"/>
      <c r="BU864" s="93"/>
      <c r="BV864" s="93"/>
      <c r="BW864" s="93"/>
      <c r="BX864" s="93"/>
      <c r="BY864" s="93"/>
      <c r="BZ864" s="93"/>
    </row>
    <row r="865">
      <c r="A865" t="s">
        <v>1340</v>
      </c>
      <c r="B865" t="s">
        <v>3375</v>
      </c>
      <c r="C865" s="89" t="s">
        <v>3376</v>
      </c>
      <c r="D865" s="90" t="s">
        <v>3331</v>
      </c>
      <c r="E865" s="91">
        <v>2017.0</v>
      </c>
      <c r="F865" s="93"/>
      <c r="G865" s="93"/>
      <c r="H865" s="93"/>
      <c r="I865" s="93"/>
      <c r="J865" s="93"/>
      <c r="K865" s="93"/>
      <c r="L865" s="93"/>
      <c r="M865" s="93"/>
      <c r="N865" s="104">
        <v>1.0</v>
      </c>
      <c r="O865" s="93"/>
      <c r="P865" s="93"/>
      <c r="Q865" s="93"/>
      <c r="R865" s="93"/>
      <c r="S865" s="93"/>
      <c r="T865" s="93"/>
      <c r="U865" s="93"/>
      <c r="V865" s="93"/>
      <c r="W865" s="90" t="s">
        <v>3377</v>
      </c>
      <c r="X865" s="90" t="s">
        <v>3378</v>
      </c>
      <c r="Y865" s="90" t="s">
        <v>3379</v>
      </c>
      <c r="Z865" s="90" t="s">
        <v>3380</v>
      </c>
      <c r="AA865" s="104">
        <v>1.0</v>
      </c>
      <c r="AB865" s="104">
        <v>1.0</v>
      </c>
      <c r="AC865" s="93"/>
      <c r="AD865" s="104">
        <v>1.0</v>
      </c>
      <c r="AE865" s="93"/>
      <c r="AF865" s="93"/>
      <c r="AG865" s="93"/>
      <c r="AH865" s="90" t="s">
        <v>3381</v>
      </c>
      <c r="AI865" s="104">
        <v>1.0</v>
      </c>
      <c r="AJ865" s="93"/>
      <c r="AK865" s="93"/>
      <c r="AL865" s="93"/>
      <c r="AM865" s="93"/>
      <c r="AN865" s="93"/>
      <c r="AO865" s="93"/>
      <c r="AP865" s="93"/>
      <c r="AQ865" s="93"/>
      <c r="AR865" s="93"/>
      <c r="AS865" s="93"/>
      <c r="AT865" s="93"/>
      <c r="AU865" s="93"/>
      <c r="AV865" s="93"/>
      <c r="AW865" s="93"/>
      <c r="AX865" s="93"/>
      <c r="AY865" s="93"/>
      <c r="AZ865" s="93"/>
      <c r="BA865" s="93"/>
      <c r="BB865" s="93"/>
      <c r="BC865" s="93"/>
      <c r="BD865" s="93"/>
      <c r="BE865" s="93"/>
      <c r="BF865" s="93"/>
      <c r="BG865" s="93"/>
      <c r="BH865" s="93"/>
      <c r="BI865" s="104">
        <v>1.0</v>
      </c>
      <c r="BJ865" s="93"/>
      <c r="BK865" s="93"/>
      <c r="BL865" s="93"/>
      <c r="BM865" s="93"/>
      <c r="BN865" s="93"/>
      <c r="BO865" s="93"/>
      <c r="BP865" s="93"/>
      <c r="BQ865" s="93"/>
      <c r="BR865" s="93"/>
      <c r="BS865" s="93"/>
      <c r="BT865" s="93"/>
      <c r="BU865" s="93"/>
      <c r="BV865" s="104">
        <v>1.0</v>
      </c>
      <c r="BW865" s="104">
        <v>1.0</v>
      </c>
      <c r="BX865" s="93"/>
      <c r="BY865" s="93"/>
      <c r="BZ865" s="104">
        <v>1.0</v>
      </c>
    </row>
    <row r="866">
      <c r="A866" t="s">
        <v>1354</v>
      </c>
      <c r="B866" t="s">
        <v>3382</v>
      </c>
      <c r="C866" s="89" t="s">
        <v>3383</v>
      </c>
      <c r="D866" s="90" t="s">
        <v>3384</v>
      </c>
      <c r="E866" s="91">
        <v>2018.0</v>
      </c>
      <c r="F866" s="104">
        <v>1.0</v>
      </c>
      <c r="G866" s="93"/>
      <c r="H866" s="93"/>
      <c r="I866" s="93"/>
      <c r="J866" s="93"/>
      <c r="K866" s="93"/>
      <c r="L866" s="93"/>
      <c r="M866" s="93"/>
      <c r="N866" s="93"/>
      <c r="O866" s="93"/>
      <c r="P866" s="93"/>
      <c r="Q866" s="93"/>
      <c r="R866" s="93"/>
      <c r="S866" s="93"/>
      <c r="T866" s="93"/>
      <c r="U866" s="93"/>
      <c r="V866" s="93"/>
      <c r="W866" s="93"/>
      <c r="X866" s="93"/>
      <c r="Y866" s="93"/>
      <c r="Z866" s="93"/>
      <c r="AA866" s="93"/>
      <c r="AB866" s="93"/>
      <c r="AC866" s="93"/>
      <c r="AD866" s="93"/>
      <c r="AE866" s="93"/>
      <c r="AF866" s="93"/>
      <c r="AG866" s="93"/>
      <c r="AH866" s="93"/>
      <c r="AI866" s="93"/>
      <c r="AJ866" s="93"/>
      <c r="AK866" s="93"/>
      <c r="AL866" s="93"/>
      <c r="AM866" s="93"/>
      <c r="AN866" s="93"/>
      <c r="AO866" s="93"/>
      <c r="AP866" s="93"/>
      <c r="AQ866" s="93"/>
      <c r="AR866" s="93"/>
      <c r="AS866" s="93"/>
      <c r="AT866" s="93"/>
      <c r="AU866" s="93"/>
      <c r="AV866" s="93"/>
      <c r="AW866" s="93"/>
      <c r="AX866" s="93"/>
      <c r="AY866" s="93"/>
      <c r="AZ866" s="93"/>
      <c r="BA866" s="93"/>
      <c r="BB866" s="93"/>
      <c r="BC866" s="93"/>
      <c r="BD866" s="93"/>
      <c r="BE866" s="93"/>
      <c r="BF866" s="93"/>
      <c r="BG866" s="93"/>
      <c r="BH866" s="93"/>
      <c r="BI866" s="93"/>
      <c r="BJ866" s="93"/>
      <c r="BK866" s="93"/>
      <c r="BL866" s="93"/>
      <c r="BM866" s="93"/>
      <c r="BN866" s="93"/>
      <c r="BO866" s="93"/>
      <c r="BP866" s="93"/>
      <c r="BQ866" s="93"/>
      <c r="BR866" s="93"/>
      <c r="BS866" s="93"/>
      <c r="BT866" s="93"/>
      <c r="BU866" s="93"/>
      <c r="BV866" s="93"/>
      <c r="BW866" s="93"/>
      <c r="BX866" s="93"/>
      <c r="BY866" s="93"/>
      <c r="BZ866" s="93"/>
    </row>
    <row r="867">
      <c r="B867" t="s">
        <v>3385</v>
      </c>
      <c r="C867" s="89" t="s">
        <v>3386</v>
      </c>
      <c r="D867" s="90" t="s">
        <v>3229</v>
      </c>
      <c r="E867" s="91">
        <v>2018.0</v>
      </c>
      <c r="F867" s="104">
        <v>1.0</v>
      </c>
      <c r="G867" s="93"/>
      <c r="H867" s="93"/>
      <c r="I867" s="93"/>
      <c r="J867" s="93"/>
      <c r="K867" s="93"/>
      <c r="L867" s="93"/>
      <c r="M867" s="93"/>
      <c r="N867" s="93"/>
      <c r="O867" s="93"/>
      <c r="P867" s="93"/>
      <c r="Q867" s="93"/>
      <c r="R867" s="93"/>
      <c r="S867" s="93"/>
      <c r="T867" s="93"/>
      <c r="U867" s="93"/>
      <c r="V867" s="93"/>
      <c r="W867" s="93"/>
      <c r="X867" s="93"/>
      <c r="Y867" s="93"/>
      <c r="Z867" s="93"/>
      <c r="AA867" s="93"/>
      <c r="AB867" s="93"/>
      <c r="AC867" s="93"/>
      <c r="AD867" s="93"/>
      <c r="AE867" s="93"/>
      <c r="AF867" s="93"/>
      <c r="AG867" s="93"/>
      <c r="AH867" s="93"/>
      <c r="AI867" s="93"/>
      <c r="AJ867" s="93"/>
      <c r="AK867" s="93"/>
      <c r="AL867" s="93"/>
      <c r="AM867" s="93"/>
      <c r="AN867" s="93"/>
      <c r="AO867" s="93"/>
      <c r="AP867" s="93"/>
      <c r="AQ867" s="93"/>
      <c r="AR867" s="93"/>
      <c r="AS867" s="93"/>
      <c r="AT867" s="93"/>
      <c r="AU867" s="93"/>
      <c r="AV867" s="93"/>
      <c r="AW867" s="93"/>
      <c r="AX867" s="93"/>
      <c r="AY867" s="93"/>
      <c r="AZ867" s="93"/>
      <c r="BA867" s="93"/>
      <c r="BB867" s="93"/>
      <c r="BC867" s="93"/>
      <c r="BD867" s="93"/>
      <c r="BE867" s="93"/>
      <c r="BF867" s="93"/>
      <c r="BG867" s="93"/>
      <c r="BH867" s="93"/>
      <c r="BI867" s="93"/>
      <c r="BJ867" s="93"/>
      <c r="BK867" s="93"/>
      <c r="BL867" s="93"/>
      <c r="BM867" s="93"/>
      <c r="BN867" s="93"/>
      <c r="BO867" s="93"/>
      <c r="BP867" s="93"/>
      <c r="BQ867" s="93"/>
      <c r="BR867" s="93"/>
      <c r="BS867" s="93"/>
      <c r="BT867" s="93"/>
      <c r="BU867" s="93"/>
      <c r="BV867" s="93"/>
      <c r="BW867" s="93"/>
      <c r="BX867" s="93"/>
      <c r="BY867" s="93"/>
      <c r="BZ867" s="93"/>
    </row>
    <row r="868">
      <c r="B868" t="s">
        <v>3387</v>
      </c>
      <c r="C868" s="89" t="s">
        <v>3388</v>
      </c>
      <c r="D868" s="90" t="s">
        <v>3163</v>
      </c>
      <c r="E868" s="91">
        <v>2020.0</v>
      </c>
      <c r="F868" s="104">
        <v>1.0</v>
      </c>
      <c r="G868" s="93"/>
      <c r="H868" s="93"/>
      <c r="I868" s="93"/>
      <c r="J868" s="93"/>
      <c r="K868" s="93"/>
      <c r="L868" s="93"/>
      <c r="M868" s="93"/>
      <c r="N868" s="93"/>
      <c r="O868" s="93"/>
      <c r="P868" s="93"/>
      <c r="Q868" s="93"/>
      <c r="R868" s="93"/>
      <c r="S868" s="93"/>
      <c r="T868" s="93"/>
      <c r="U868" s="93"/>
      <c r="V868" s="93"/>
      <c r="W868" s="93"/>
      <c r="X868" s="93"/>
      <c r="Y868" s="93"/>
      <c r="Z868" s="93"/>
      <c r="AA868" s="93"/>
      <c r="AB868" s="93"/>
      <c r="AC868" s="93"/>
      <c r="AD868" s="93"/>
      <c r="AE868" s="93"/>
      <c r="AF868" s="93"/>
      <c r="AG868" s="93"/>
      <c r="AH868" s="93"/>
      <c r="AI868" s="93"/>
      <c r="AJ868" s="93"/>
      <c r="AK868" s="93"/>
      <c r="AL868" s="93"/>
      <c r="AM868" s="93"/>
      <c r="AN868" s="93"/>
      <c r="AO868" s="93"/>
      <c r="AP868" s="93"/>
      <c r="AQ868" s="93"/>
      <c r="AR868" s="93"/>
      <c r="AS868" s="93"/>
      <c r="AT868" s="93"/>
      <c r="AU868" s="93"/>
      <c r="AV868" s="93"/>
      <c r="AW868" s="93"/>
      <c r="AX868" s="93"/>
      <c r="AY868" s="93"/>
      <c r="AZ868" s="93"/>
      <c r="BA868" s="93"/>
      <c r="BB868" s="93"/>
      <c r="BC868" s="93"/>
      <c r="BD868" s="93"/>
      <c r="BE868" s="93"/>
      <c r="BF868" s="93"/>
      <c r="BG868" s="93"/>
      <c r="BH868" s="93"/>
      <c r="BI868" s="93"/>
      <c r="BJ868" s="93"/>
      <c r="BK868" s="93"/>
      <c r="BL868" s="93"/>
      <c r="BM868" s="93"/>
      <c r="BN868" s="93"/>
      <c r="BO868" s="93"/>
      <c r="BP868" s="93"/>
      <c r="BQ868" s="93"/>
      <c r="BR868" s="93"/>
      <c r="BS868" s="93"/>
      <c r="BT868" s="93"/>
      <c r="BU868" s="93"/>
      <c r="BV868" s="93"/>
      <c r="BW868" s="93"/>
      <c r="BX868" s="93"/>
      <c r="BY868" s="93"/>
      <c r="BZ868" s="93"/>
    </row>
    <row r="869">
      <c r="B869" t="s">
        <v>3389</v>
      </c>
      <c r="C869" s="89" t="s">
        <v>3390</v>
      </c>
      <c r="D869" s="90" t="s">
        <v>2856</v>
      </c>
      <c r="E869" s="91">
        <v>2019.0</v>
      </c>
      <c r="F869" s="104">
        <v>1.0</v>
      </c>
      <c r="G869" s="93"/>
      <c r="H869" s="93"/>
      <c r="I869" s="93"/>
      <c r="J869" s="93"/>
      <c r="K869" s="93"/>
      <c r="L869" s="93"/>
      <c r="M869" s="93"/>
      <c r="N869" s="93"/>
      <c r="O869" s="93"/>
      <c r="P869" s="93"/>
      <c r="Q869" s="93"/>
      <c r="R869" s="93"/>
      <c r="S869" s="93"/>
      <c r="T869" s="93"/>
      <c r="U869" s="93"/>
      <c r="V869" s="93"/>
      <c r="W869" s="93"/>
      <c r="X869" s="93"/>
      <c r="Y869" s="93"/>
      <c r="Z869" s="93"/>
      <c r="AA869" s="93"/>
      <c r="AB869" s="93"/>
      <c r="AC869" s="93"/>
      <c r="AD869" s="93"/>
      <c r="AE869" s="93"/>
      <c r="AF869" s="93"/>
      <c r="AG869" s="93"/>
      <c r="AH869" s="93"/>
      <c r="AI869" s="93"/>
      <c r="AJ869" s="93"/>
      <c r="AK869" s="93"/>
      <c r="AL869" s="93"/>
      <c r="AM869" s="93"/>
      <c r="AN869" s="93"/>
      <c r="AO869" s="93"/>
      <c r="AP869" s="93"/>
      <c r="AQ869" s="93"/>
      <c r="AR869" s="93"/>
      <c r="AS869" s="93"/>
      <c r="AT869" s="93"/>
      <c r="AU869" s="93"/>
      <c r="AV869" s="93"/>
      <c r="AW869" s="93"/>
      <c r="AX869" s="93"/>
      <c r="AY869" s="93"/>
      <c r="AZ869" s="93"/>
      <c r="BA869" s="93"/>
      <c r="BB869" s="93"/>
      <c r="BC869" s="93"/>
      <c r="BD869" s="93"/>
      <c r="BE869" s="93"/>
      <c r="BF869" s="93"/>
      <c r="BG869" s="93"/>
      <c r="BH869" s="93"/>
      <c r="BI869" s="93"/>
      <c r="BJ869" s="93"/>
      <c r="BK869" s="93"/>
      <c r="BL869" s="93"/>
      <c r="BM869" s="93"/>
      <c r="BN869" s="93"/>
      <c r="BO869" s="93"/>
      <c r="BP869" s="93"/>
      <c r="BQ869" s="93"/>
      <c r="BR869" s="93"/>
      <c r="BS869" s="93"/>
      <c r="BT869" s="93"/>
      <c r="BU869" s="93"/>
      <c r="BV869" s="93"/>
      <c r="BW869" s="93"/>
      <c r="BX869" s="93"/>
      <c r="BY869" s="93"/>
      <c r="BZ869" s="93"/>
    </row>
    <row r="870">
      <c r="B870" t="s">
        <v>3391</v>
      </c>
      <c r="C870" s="89" t="s">
        <v>3392</v>
      </c>
      <c r="D870" s="90" t="s">
        <v>3393</v>
      </c>
      <c r="E870" s="91">
        <v>2018.0</v>
      </c>
      <c r="F870" s="104">
        <v>1.0</v>
      </c>
      <c r="G870" s="93"/>
      <c r="H870" s="93"/>
      <c r="I870" s="93"/>
      <c r="J870" s="93"/>
      <c r="K870" s="93"/>
      <c r="L870" s="93"/>
      <c r="M870" s="93"/>
      <c r="N870" s="93"/>
      <c r="O870" s="93"/>
      <c r="P870" s="93"/>
      <c r="Q870" s="93"/>
      <c r="R870" s="93"/>
      <c r="S870" s="93"/>
      <c r="T870" s="93"/>
      <c r="U870" s="93"/>
      <c r="V870" s="93"/>
      <c r="W870" s="93"/>
      <c r="X870" s="93"/>
      <c r="Y870" s="93"/>
      <c r="Z870" s="93"/>
      <c r="AA870" s="93"/>
      <c r="AB870" s="93"/>
      <c r="AC870" s="93"/>
      <c r="AD870" s="93"/>
      <c r="AE870" s="93"/>
      <c r="AF870" s="93"/>
      <c r="AG870" s="93"/>
      <c r="AH870" s="93"/>
      <c r="AI870" s="93"/>
      <c r="AJ870" s="93"/>
      <c r="AK870" s="93"/>
      <c r="AL870" s="93"/>
      <c r="AM870" s="93"/>
      <c r="AN870" s="93"/>
      <c r="AO870" s="93"/>
      <c r="AP870" s="93"/>
      <c r="AQ870" s="93"/>
      <c r="AR870" s="93"/>
      <c r="AS870" s="93"/>
      <c r="AT870" s="93"/>
      <c r="AU870" s="93"/>
      <c r="AV870" s="93"/>
      <c r="AW870" s="93"/>
      <c r="AX870" s="93"/>
      <c r="AY870" s="93"/>
      <c r="AZ870" s="93"/>
      <c r="BA870" s="93"/>
      <c r="BB870" s="93"/>
      <c r="BC870" s="93"/>
      <c r="BD870" s="93"/>
      <c r="BE870" s="93"/>
      <c r="BF870" s="93"/>
      <c r="BG870" s="93"/>
      <c r="BH870" s="93"/>
      <c r="BI870" s="93"/>
      <c r="BJ870" s="93"/>
      <c r="BK870" s="93"/>
      <c r="BL870" s="93"/>
      <c r="BM870" s="93"/>
      <c r="BN870" s="93"/>
      <c r="BO870" s="93"/>
      <c r="BP870" s="93"/>
      <c r="BQ870" s="93"/>
      <c r="BR870" s="93"/>
      <c r="BS870" s="93"/>
      <c r="BT870" s="93"/>
      <c r="BU870" s="93"/>
      <c r="BV870" s="93"/>
      <c r="BW870" s="93"/>
      <c r="BX870" s="93"/>
      <c r="BY870" s="93"/>
      <c r="BZ870" s="93"/>
    </row>
    <row r="871">
      <c r="A871" t="s">
        <v>116</v>
      </c>
      <c r="B871" t="s">
        <v>3394</v>
      </c>
      <c r="C871" s="89" t="s">
        <v>3395</v>
      </c>
      <c r="D871" s="90" t="s">
        <v>3396</v>
      </c>
      <c r="E871" s="91">
        <v>2018.0</v>
      </c>
      <c r="F871" s="104">
        <v>1.0</v>
      </c>
      <c r="G871" s="93"/>
      <c r="H871" s="93"/>
      <c r="I871" s="93"/>
      <c r="J871" s="93"/>
      <c r="K871" s="93"/>
      <c r="L871" s="93"/>
      <c r="M871" s="93"/>
      <c r="N871" s="93"/>
      <c r="O871" s="93"/>
      <c r="P871" s="93"/>
      <c r="Q871" s="93"/>
      <c r="R871" s="93"/>
      <c r="S871" s="93"/>
      <c r="T871" s="93"/>
      <c r="U871" s="93"/>
      <c r="V871" s="93"/>
      <c r="W871" s="93"/>
      <c r="X871" s="93"/>
      <c r="Y871" s="93"/>
      <c r="Z871" s="93"/>
      <c r="AA871" s="93"/>
      <c r="AB871" s="93"/>
      <c r="AC871" s="93"/>
      <c r="AD871" s="93"/>
      <c r="AE871" s="93"/>
      <c r="AF871" s="93"/>
      <c r="AG871" s="93"/>
      <c r="AH871" s="93"/>
      <c r="AI871" s="93"/>
      <c r="AJ871" s="93"/>
      <c r="AK871" s="93"/>
      <c r="AL871" s="93"/>
      <c r="AM871" s="93"/>
      <c r="AN871" s="93"/>
      <c r="AO871" s="93"/>
      <c r="AP871" s="93"/>
      <c r="AQ871" s="93"/>
      <c r="AR871" s="93"/>
      <c r="AS871" s="93"/>
      <c r="AT871" s="93"/>
      <c r="AU871" s="93"/>
      <c r="AV871" s="93"/>
      <c r="AW871" s="93"/>
      <c r="AX871" s="93"/>
      <c r="AY871" s="93"/>
      <c r="AZ871" s="93"/>
      <c r="BA871" s="93"/>
      <c r="BB871" s="93"/>
      <c r="BC871" s="93"/>
      <c r="BD871" s="93"/>
      <c r="BE871" s="93"/>
      <c r="BF871" s="93"/>
      <c r="BG871" s="93"/>
      <c r="BH871" s="93"/>
      <c r="BI871" s="93"/>
      <c r="BJ871" s="93"/>
      <c r="BK871" s="93"/>
      <c r="BL871" s="93"/>
      <c r="BM871" s="93"/>
      <c r="BN871" s="93"/>
      <c r="BO871" s="93"/>
      <c r="BP871" s="93"/>
      <c r="BQ871" s="93"/>
      <c r="BR871" s="93"/>
      <c r="BS871" s="93"/>
      <c r="BT871" s="93"/>
      <c r="BU871" s="93"/>
      <c r="BV871" s="93"/>
      <c r="BW871" s="93"/>
      <c r="BX871" s="93"/>
      <c r="BY871" s="93"/>
      <c r="BZ871" s="93"/>
    </row>
    <row r="872">
      <c r="A872" t="s">
        <v>1331</v>
      </c>
      <c r="B872" t="s">
        <v>3397</v>
      </c>
      <c r="C872" s="89" t="s">
        <v>3398</v>
      </c>
      <c r="D872" s="90" t="s">
        <v>3399</v>
      </c>
      <c r="E872" s="91">
        <v>2016.0</v>
      </c>
      <c r="F872" s="104">
        <v>1.0</v>
      </c>
      <c r="G872" s="93"/>
      <c r="H872" s="93"/>
      <c r="I872" s="93"/>
      <c r="J872" s="93"/>
      <c r="K872" s="93"/>
      <c r="L872" s="93"/>
      <c r="M872" s="93"/>
      <c r="N872" s="93"/>
      <c r="O872" s="93"/>
      <c r="P872" s="93"/>
      <c r="Q872" s="93"/>
      <c r="R872" s="93"/>
      <c r="S872" s="93"/>
      <c r="T872" s="93"/>
      <c r="U872" s="93"/>
      <c r="V872" s="93"/>
      <c r="W872" s="93"/>
      <c r="X872" s="93"/>
      <c r="Y872" s="93"/>
      <c r="Z872" s="93"/>
      <c r="AA872" s="93"/>
      <c r="AB872" s="93"/>
      <c r="AC872" s="93"/>
      <c r="AD872" s="93"/>
      <c r="AE872" s="93"/>
      <c r="AF872" s="93"/>
      <c r="AG872" s="93"/>
      <c r="AH872" s="93"/>
      <c r="AI872" s="93"/>
      <c r="AJ872" s="93"/>
      <c r="AK872" s="93"/>
      <c r="AL872" s="93"/>
      <c r="AM872" s="93"/>
      <c r="AN872" s="93"/>
      <c r="AO872" s="93"/>
      <c r="AP872" s="93"/>
      <c r="AQ872" s="93"/>
      <c r="AR872" s="93"/>
      <c r="AS872" s="93"/>
      <c r="AT872" s="93"/>
      <c r="AU872" s="93"/>
      <c r="AV872" s="93"/>
      <c r="AW872" s="93"/>
      <c r="AX872" s="93"/>
      <c r="AY872" s="93"/>
      <c r="AZ872" s="93"/>
      <c r="BA872" s="93"/>
      <c r="BB872" s="93"/>
      <c r="BC872" s="93"/>
      <c r="BD872" s="93"/>
      <c r="BE872" s="93"/>
      <c r="BF872" s="93"/>
      <c r="BG872" s="93"/>
      <c r="BH872" s="93"/>
      <c r="BI872" s="93"/>
      <c r="BJ872" s="93"/>
      <c r="BK872" s="93"/>
      <c r="BL872" s="93"/>
      <c r="BM872" s="93"/>
      <c r="BN872" s="93"/>
      <c r="BO872" s="93"/>
      <c r="BP872" s="93"/>
      <c r="BQ872" s="93"/>
      <c r="BR872" s="93"/>
      <c r="BS872" s="93"/>
      <c r="BT872" s="93"/>
      <c r="BU872" s="93"/>
      <c r="BV872" s="93"/>
      <c r="BW872" s="93"/>
      <c r="BX872" s="93"/>
      <c r="BY872" s="93"/>
      <c r="BZ872" s="93"/>
    </row>
    <row r="873">
      <c r="B873" t="s">
        <v>3400</v>
      </c>
      <c r="C873" s="89" t="s">
        <v>3401</v>
      </c>
      <c r="D873" s="90" t="s">
        <v>3402</v>
      </c>
      <c r="E873" s="91">
        <v>2016.0</v>
      </c>
      <c r="F873" s="104">
        <v>1.0</v>
      </c>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3"/>
      <c r="AF873" s="93"/>
      <c r="AG873" s="93"/>
      <c r="AH873" s="93"/>
      <c r="AI873" s="93"/>
      <c r="AJ873" s="93"/>
      <c r="AK873" s="93"/>
      <c r="AL873" s="93"/>
      <c r="AM873" s="93"/>
      <c r="AN873" s="93"/>
      <c r="AO873" s="93"/>
      <c r="AP873" s="93"/>
      <c r="AQ873" s="93"/>
      <c r="AR873" s="93"/>
      <c r="AS873" s="93"/>
      <c r="AT873" s="93"/>
      <c r="AU873" s="93"/>
      <c r="AV873" s="93"/>
      <c r="AW873" s="93"/>
      <c r="AX873" s="93"/>
      <c r="AY873" s="93"/>
      <c r="AZ873" s="93"/>
      <c r="BA873" s="93"/>
      <c r="BB873" s="93"/>
      <c r="BC873" s="93"/>
      <c r="BD873" s="93"/>
      <c r="BE873" s="93"/>
      <c r="BF873" s="93"/>
      <c r="BG873" s="93"/>
      <c r="BH873" s="93"/>
      <c r="BI873" s="93"/>
      <c r="BJ873" s="93"/>
      <c r="BK873" s="93"/>
      <c r="BL873" s="93"/>
      <c r="BM873" s="93"/>
      <c r="BN873" s="93"/>
      <c r="BO873" s="93"/>
      <c r="BP873" s="93"/>
      <c r="BQ873" s="93"/>
      <c r="BR873" s="93"/>
      <c r="BS873" s="93"/>
      <c r="BT873" s="93"/>
      <c r="BU873" s="93"/>
      <c r="BV873" s="93"/>
      <c r="BW873" s="93"/>
      <c r="BX873" s="93"/>
      <c r="BY873" s="93"/>
      <c r="BZ873" s="93"/>
    </row>
    <row r="874">
      <c r="B874" t="s">
        <v>3403</v>
      </c>
      <c r="C874" s="89" t="s">
        <v>3404</v>
      </c>
      <c r="D874" s="90" t="s">
        <v>3405</v>
      </c>
      <c r="E874" s="91">
        <v>2018.0</v>
      </c>
      <c r="F874" s="104">
        <v>1.0</v>
      </c>
      <c r="G874" s="93"/>
      <c r="H874" s="93"/>
      <c r="I874" s="93"/>
      <c r="J874" s="93"/>
      <c r="K874" s="93"/>
      <c r="L874" s="93"/>
      <c r="M874" s="93"/>
      <c r="N874" s="93"/>
      <c r="O874" s="93"/>
      <c r="P874" s="93"/>
      <c r="Q874" s="93"/>
      <c r="R874" s="93"/>
      <c r="S874" s="93"/>
      <c r="T874" s="93"/>
      <c r="U874" s="93"/>
      <c r="V874" s="93"/>
      <c r="W874" s="93"/>
      <c r="X874" s="93"/>
      <c r="Y874" s="93"/>
      <c r="Z874" s="93"/>
      <c r="AA874" s="93"/>
      <c r="AB874" s="93"/>
      <c r="AC874" s="93"/>
      <c r="AD874" s="93"/>
      <c r="AE874" s="93"/>
      <c r="AF874" s="93"/>
      <c r="AG874" s="93"/>
      <c r="AH874" s="93"/>
      <c r="AI874" s="93"/>
      <c r="AJ874" s="93"/>
      <c r="AK874" s="93"/>
      <c r="AL874" s="93"/>
      <c r="AM874" s="93"/>
      <c r="AN874" s="93"/>
      <c r="AO874" s="93"/>
      <c r="AP874" s="93"/>
      <c r="AQ874" s="93"/>
      <c r="AR874" s="93"/>
      <c r="AS874" s="93"/>
      <c r="AT874" s="93"/>
      <c r="AU874" s="93"/>
      <c r="AV874" s="93"/>
      <c r="AW874" s="93"/>
      <c r="AX874" s="93"/>
      <c r="AY874" s="93"/>
      <c r="AZ874" s="93"/>
      <c r="BA874" s="93"/>
      <c r="BB874" s="93"/>
      <c r="BC874" s="93"/>
      <c r="BD874" s="93"/>
      <c r="BE874" s="93"/>
      <c r="BF874" s="93"/>
      <c r="BG874" s="93"/>
      <c r="BH874" s="93"/>
      <c r="BI874" s="93"/>
      <c r="BJ874" s="93"/>
      <c r="BK874" s="93"/>
      <c r="BL874" s="93"/>
      <c r="BM874" s="93"/>
      <c r="BN874" s="93"/>
      <c r="BO874" s="93"/>
      <c r="BP874" s="93"/>
      <c r="BQ874" s="93"/>
      <c r="BR874" s="93"/>
      <c r="BS874" s="93"/>
      <c r="BT874" s="93"/>
      <c r="BU874" s="93"/>
      <c r="BV874" s="93"/>
      <c r="BW874" s="93"/>
      <c r="BX874" s="93"/>
      <c r="BY874" s="93"/>
      <c r="BZ874" s="93"/>
    </row>
    <row r="875">
      <c r="A875" t="s">
        <v>1340</v>
      </c>
      <c r="B875" t="s">
        <v>3406</v>
      </c>
      <c r="C875" s="89" t="s">
        <v>3407</v>
      </c>
      <c r="D875" s="90" t="s">
        <v>2856</v>
      </c>
      <c r="E875" s="91">
        <v>2017.0</v>
      </c>
      <c r="F875" s="104">
        <v>1.0</v>
      </c>
      <c r="G875" s="93"/>
      <c r="H875" s="93"/>
      <c r="I875" s="93"/>
      <c r="J875" s="93"/>
      <c r="K875" s="93"/>
      <c r="L875" s="93"/>
      <c r="M875" s="93"/>
      <c r="N875" s="93"/>
      <c r="O875" s="93"/>
      <c r="P875" s="93"/>
      <c r="Q875" s="93"/>
      <c r="R875" s="93"/>
      <c r="S875" s="93"/>
      <c r="T875" s="93"/>
      <c r="U875" s="93"/>
      <c r="V875" s="93"/>
      <c r="W875" s="93"/>
      <c r="X875" s="93"/>
      <c r="Y875" s="93"/>
      <c r="Z875" s="93"/>
      <c r="AA875" s="93"/>
      <c r="AB875" s="93"/>
      <c r="AC875" s="93"/>
      <c r="AD875" s="93"/>
      <c r="AE875" s="93"/>
      <c r="AF875" s="93"/>
      <c r="AG875" s="93"/>
      <c r="AH875" s="93"/>
      <c r="AI875" s="93"/>
      <c r="AJ875" s="93"/>
      <c r="AK875" s="93"/>
      <c r="AL875" s="93"/>
      <c r="AM875" s="93"/>
      <c r="AN875" s="93"/>
      <c r="AO875" s="93"/>
      <c r="AP875" s="93"/>
      <c r="AQ875" s="93"/>
      <c r="AR875" s="93"/>
      <c r="AS875" s="93"/>
      <c r="AT875" s="93"/>
      <c r="AU875" s="93"/>
      <c r="AV875" s="93"/>
      <c r="AW875" s="93"/>
      <c r="AX875" s="93"/>
      <c r="AY875" s="93"/>
      <c r="AZ875" s="93"/>
      <c r="BA875" s="93"/>
      <c r="BB875" s="93"/>
      <c r="BC875" s="93"/>
      <c r="BD875" s="93"/>
      <c r="BE875" s="93"/>
      <c r="BF875" s="93"/>
      <c r="BG875" s="93"/>
      <c r="BH875" s="93"/>
      <c r="BI875" s="93"/>
      <c r="BJ875" s="93"/>
      <c r="BK875" s="93"/>
      <c r="BL875" s="93"/>
      <c r="BM875" s="93"/>
      <c r="BN875" s="93"/>
      <c r="BO875" s="93"/>
      <c r="BP875" s="93"/>
      <c r="BQ875" s="93"/>
      <c r="BR875" s="93"/>
      <c r="BS875" s="93"/>
      <c r="BT875" s="93"/>
      <c r="BU875" s="93"/>
      <c r="BV875" s="93"/>
      <c r="BW875" s="93"/>
      <c r="BX875" s="93"/>
      <c r="BY875" s="93"/>
      <c r="BZ875" s="93"/>
    </row>
    <row r="876">
      <c r="B876" t="s">
        <v>3408</v>
      </c>
      <c r="C876" s="89" t="s">
        <v>3409</v>
      </c>
      <c r="D876" s="90" t="s">
        <v>3177</v>
      </c>
      <c r="E876" s="91">
        <v>2017.0</v>
      </c>
      <c r="F876" s="104">
        <v>1.0</v>
      </c>
      <c r="G876" s="93"/>
      <c r="H876" s="93"/>
      <c r="I876" s="93"/>
      <c r="J876" s="93"/>
      <c r="K876" s="93"/>
      <c r="L876" s="93"/>
      <c r="M876" s="93"/>
      <c r="N876" s="93"/>
      <c r="O876" s="93"/>
      <c r="P876" s="93"/>
      <c r="Q876" s="93"/>
      <c r="R876" s="93"/>
      <c r="S876" s="93"/>
      <c r="T876" s="93"/>
      <c r="U876" s="93"/>
      <c r="V876" s="93"/>
      <c r="W876" s="93"/>
      <c r="X876" s="93"/>
      <c r="Y876" s="93"/>
      <c r="Z876" s="93"/>
      <c r="AA876" s="93"/>
      <c r="AB876" s="93"/>
      <c r="AC876" s="93"/>
      <c r="AD876" s="93"/>
      <c r="AE876" s="93"/>
      <c r="AF876" s="93"/>
      <c r="AG876" s="93"/>
      <c r="AH876" s="93"/>
      <c r="AI876" s="93"/>
      <c r="AJ876" s="93"/>
      <c r="AK876" s="93"/>
      <c r="AL876" s="93"/>
      <c r="AM876" s="93"/>
      <c r="AN876" s="93"/>
      <c r="AO876" s="93"/>
      <c r="AP876" s="93"/>
      <c r="AQ876" s="93"/>
      <c r="AR876" s="93"/>
      <c r="AS876" s="93"/>
      <c r="AT876" s="93"/>
      <c r="AU876" s="93"/>
      <c r="AV876" s="93"/>
      <c r="AW876" s="93"/>
      <c r="AX876" s="93"/>
      <c r="AY876" s="93"/>
      <c r="AZ876" s="93"/>
      <c r="BA876" s="93"/>
      <c r="BB876" s="93"/>
      <c r="BC876" s="93"/>
      <c r="BD876" s="93"/>
      <c r="BE876" s="93"/>
      <c r="BF876" s="93"/>
      <c r="BG876" s="93"/>
      <c r="BH876" s="93"/>
      <c r="BI876" s="93"/>
      <c r="BJ876" s="93"/>
      <c r="BK876" s="93"/>
      <c r="BL876" s="93"/>
      <c r="BM876" s="93"/>
      <c r="BN876" s="93"/>
      <c r="BO876" s="93"/>
      <c r="BP876" s="93"/>
      <c r="BQ876" s="93"/>
      <c r="BR876" s="93"/>
      <c r="BS876" s="93"/>
      <c r="BT876" s="93"/>
      <c r="BU876" s="93"/>
      <c r="BV876" s="93"/>
      <c r="BW876" s="93"/>
      <c r="BX876" s="93"/>
      <c r="BY876" s="93"/>
      <c r="BZ876" s="93"/>
    </row>
    <row r="877">
      <c r="B877" t="s">
        <v>3410</v>
      </c>
      <c r="C877" s="89" t="s">
        <v>3411</v>
      </c>
      <c r="D877" s="90" t="s">
        <v>3412</v>
      </c>
      <c r="E877" s="91">
        <v>2018.0</v>
      </c>
      <c r="F877" s="104">
        <v>1.0</v>
      </c>
      <c r="G877" s="93"/>
      <c r="H877" s="93"/>
      <c r="I877" s="93"/>
      <c r="J877" s="93"/>
      <c r="K877" s="93"/>
      <c r="L877" s="93"/>
      <c r="M877" s="93"/>
      <c r="N877" s="93"/>
      <c r="O877" s="93"/>
      <c r="P877" s="93"/>
      <c r="Q877" s="93"/>
      <c r="R877" s="93"/>
      <c r="S877" s="93"/>
      <c r="T877" s="93"/>
      <c r="U877" s="93"/>
      <c r="V877" s="93"/>
      <c r="W877" s="93"/>
      <c r="X877" s="93"/>
      <c r="Y877" s="93"/>
      <c r="Z877" s="93"/>
      <c r="AA877" s="93"/>
      <c r="AB877" s="93"/>
      <c r="AC877" s="93"/>
      <c r="AD877" s="93"/>
      <c r="AE877" s="93"/>
      <c r="AF877" s="93"/>
      <c r="AG877" s="93"/>
      <c r="AH877" s="93"/>
      <c r="AI877" s="93"/>
      <c r="AJ877" s="93"/>
      <c r="AK877" s="93"/>
      <c r="AL877" s="93"/>
      <c r="AM877" s="93"/>
      <c r="AN877" s="93"/>
      <c r="AO877" s="93"/>
      <c r="AP877" s="93"/>
      <c r="AQ877" s="93"/>
      <c r="AR877" s="93"/>
      <c r="AS877" s="93"/>
      <c r="AT877" s="93"/>
      <c r="AU877" s="93"/>
      <c r="AV877" s="93"/>
      <c r="AW877" s="93"/>
      <c r="AX877" s="93"/>
      <c r="AY877" s="93"/>
      <c r="AZ877" s="93"/>
      <c r="BA877" s="93"/>
      <c r="BB877" s="93"/>
      <c r="BC877" s="93"/>
      <c r="BD877" s="93"/>
      <c r="BE877" s="93"/>
      <c r="BF877" s="93"/>
      <c r="BG877" s="93"/>
      <c r="BH877" s="93"/>
      <c r="BI877" s="93"/>
      <c r="BJ877" s="93"/>
      <c r="BK877" s="93"/>
      <c r="BL877" s="93"/>
      <c r="BM877" s="93"/>
      <c r="BN877" s="93"/>
      <c r="BO877" s="93"/>
      <c r="BP877" s="93"/>
      <c r="BQ877" s="93"/>
      <c r="BR877" s="93"/>
      <c r="BS877" s="93"/>
      <c r="BT877" s="93"/>
      <c r="BU877" s="93"/>
      <c r="BV877" s="93"/>
      <c r="BW877" s="93"/>
      <c r="BX877" s="93"/>
      <c r="BY877" s="93"/>
      <c r="BZ877" s="93"/>
    </row>
    <row r="878">
      <c r="B878" t="s">
        <v>3413</v>
      </c>
      <c r="C878" s="89" t="s">
        <v>3414</v>
      </c>
      <c r="D878" s="90" t="s">
        <v>3415</v>
      </c>
      <c r="E878" s="91">
        <v>2020.0</v>
      </c>
      <c r="F878" s="104">
        <v>1.0</v>
      </c>
      <c r="G878" s="93"/>
      <c r="H878" s="93"/>
      <c r="I878" s="93"/>
      <c r="J878" s="93"/>
      <c r="K878" s="93"/>
      <c r="L878" s="93"/>
      <c r="M878" s="93"/>
      <c r="N878" s="93"/>
      <c r="O878" s="93"/>
      <c r="P878" s="93"/>
      <c r="Q878" s="93"/>
      <c r="R878" s="93"/>
      <c r="S878" s="93"/>
      <c r="T878" s="93"/>
      <c r="U878" s="93"/>
      <c r="V878" s="93"/>
      <c r="W878" s="93"/>
      <c r="X878" s="93"/>
      <c r="Y878" s="93"/>
      <c r="Z878" s="93"/>
      <c r="AA878" s="93"/>
      <c r="AB878" s="93"/>
      <c r="AC878" s="93"/>
      <c r="AD878" s="93"/>
      <c r="AE878" s="93"/>
      <c r="AF878" s="93"/>
      <c r="AG878" s="93"/>
      <c r="AH878" s="93"/>
      <c r="AI878" s="93"/>
      <c r="AJ878" s="93"/>
      <c r="AK878" s="93"/>
      <c r="AL878" s="93"/>
      <c r="AM878" s="93"/>
      <c r="AN878" s="93"/>
      <c r="AO878" s="93"/>
      <c r="AP878" s="93"/>
      <c r="AQ878" s="93"/>
      <c r="AR878" s="93"/>
      <c r="AS878" s="93"/>
      <c r="AT878" s="93"/>
      <c r="AU878" s="93"/>
      <c r="AV878" s="93"/>
      <c r="AW878" s="93"/>
      <c r="AX878" s="93"/>
      <c r="AY878" s="93"/>
      <c r="AZ878" s="93"/>
      <c r="BA878" s="93"/>
      <c r="BB878" s="93"/>
      <c r="BC878" s="93"/>
      <c r="BD878" s="93"/>
      <c r="BE878" s="93"/>
      <c r="BF878" s="93"/>
      <c r="BG878" s="93"/>
      <c r="BH878" s="93"/>
      <c r="BI878" s="93"/>
      <c r="BJ878" s="93"/>
      <c r="BK878" s="93"/>
      <c r="BL878" s="93"/>
      <c r="BM878" s="93"/>
      <c r="BN878" s="93"/>
      <c r="BO878" s="93"/>
      <c r="BP878" s="93"/>
      <c r="BQ878" s="93"/>
      <c r="BR878" s="93"/>
      <c r="BS878" s="93"/>
      <c r="BT878" s="93"/>
      <c r="BU878" s="93"/>
      <c r="BV878" s="93"/>
      <c r="BW878" s="93"/>
      <c r="BX878" s="93"/>
      <c r="BY878" s="93"/>
      <c r="BZ878" s="93"/>
    </row>
    <row r="879">
      <c r="B879" t="s">
        <v>3416</v>
      </c>
      <c r="C879" s="89" t="s">
        <v>3417</v>
      </c>
      <c r="D879" s="90" t="s">
        <v>3418</v>
      </c>
      <c r="E879" s="91">
        <v>2018.0</v>
      </c>
      <c r="F879" s="104">
        <v>1.0</v>
      </c>
      <c r="G879" s="93"/>
      <c r="H879" s="93"/>
      <c r="I879" s="93"/>
      <c r="J879" s="93"/>
      <c r="K879" s="93"/>
      <c r="L879" s="93"/>
      <c r="M879" s="93"/>
      <c r="N879" s="93"/>
      <c r="O879" s="93"/>
      <c r="P879" s="93"/>
      <c r="Q879" s="93"/>
      <c r="R879" s="93"/>
      <c r="S879" s="93"/>
      <c r="T879" s="93"/>
      <c r="U879" s="93"/>
      <c r="V879" s="93"/>
      <c r="W879" s="93"/>
      <c r="X879" s="93"/>
      <c r="Y879" s="93"/>
      <c r="Z879" s="93"/>
      <c r="AA879" s="93"/>
      <c r="AB879" s="93"/>
      <c r="AC879" s="93"/>
      <c r="AD879" s="93"/>
      <c r="AE879" s="93"/>
      <c r="AF879" s="93"/>
      <c r="AG879" s="93"/>
      <c r="AH879" s="93"/>
      <c r="AI879" s="93"/>
      <c r="AJ879" s="93"/>
      <c r="AK879" s="93"/>
      <c r="AL879" s="93"/>
      <c r="AM879" s="93"/>
      <c r="AN879" s="93"/>
      <c r="AO879" s="93"/>
      <c r="AP879" s="93"/>
      <c r="AQ879" s="93"/>
      <c r="AR879" s="93"/>
      <c r="AS879" s="93"/>
      <c r="AT879" s="93"/>
      <c r="AU879" s="93"/>
      <c r="AV879" s="93"/>
      <c r="AW879" s="93"/>
      <c r="AX879" s="93"/>
      <c r="AY879" s="93"/>
      <c r="AZ879" s="93"/>
      <c r="BA879" s="93"/>
      <c r="BB879" s="93"/>
      <c r="BC879" s="93"/>
      <c r="BD879" s="93"/>
      <c r="BE879" s="93"/>
      <c r="BF879" s="93"/>
      <c r="BG879" s="93"/>
      <c r="BH879" s="93"/>
      <c r="BI879" s="93"/>
      <c r="BJ879" s="93"/>
      <c r="BK879" s="93"/>
      <c r="BL879" s="93"/>
      <c r="BM879" s="93"/>
      <c r="BN879" s="93"/>
      <c r="BO879" s="93"/>
      <c r="BP879" s="93"/>
      <c r="BQ879" s="93"/>
      <c r="BR879" s="93"/>
      <c r="BS879" s="93"/>
      <c r="BT879" s="93"/>
      <c r="BU879" s="93"/>
      <c r="BV879" s="93"/>
      <c r="BW879" s="93"/>
      <c r="BX879" s="93"/>
      <c r="BY879" s="93"/>
      <c r="BZ879" s="93"/>
    </row>
    <row r="880">
      <c r="A880" t="s">
        <v>1354</v>
      </c>
      <c r="B880" t="s">
        <v>3419</v>
      </c>
      <c r="C880" s="89" t="s">
        <v>3420</v>
      </c>
      <c r="D880" s="90" t="s">
        <v>2882</v>
      </c>
      <c r="E880" s="91">
        <v>2019.0</v>
      </c>
      <c r="F880" s="104">
        <v>1.0</v>
      </c>
      <c r="G880" s="93"/>
      <c r="H880" s="93"/>
      <c r="I880" s="93"/>
      <c r="J880" s="93"/>
      <c r="K880" s="93"/>
      <c r="L880" s="93"/>
      <c r="M880" s="93"/>
      <c r="N880" s="93"/>
      <c r="O880" s="93"/>
      <c r="P880" s="93"/>
      <c r="Q880" s="93"/>
      <c r="R880" s="93"/>
      <c r="S880" s="93"/>
      <c r="T880" s="93"/>
      <c r="U880" s="93"/>
      <c r="V880" s="93"/>
      <c r="W880" s="93"/>
      <c r="X880" s="93"/>
      <c r="Y880" s="93"/>
      <c r="Z880" s="93"/>
      <c r="AA880" s="93"/>
      <c r="AB880" s="93"/>
      <c r="AC880" s="93"/>
      <c r="AD880" s="93"/>
      <c r="AE880" s="93"/>
      <c r="AF880" s="93"/>
      <c r="AG880" s="93"/>
      <c r="AH880" s="93"/>
      <c r="AI880" s="93"/>
      <c r="AJ880" s="93"/>
      <c r="AK880" s="93"/>
      <c r="AL880" s="93"/>
      <c r="AM880" s="93"/>
      <c r="AN880" s="93"/>
      <c r="AO880" s="93"/>
      <c r="AP880" s="93"/>
      <c r="AQ880" s="93"/>
      <c r="AR880" s="93"/>
      <c r="AS880" s="93"/>
      <c r="AT880" s="93"/>
      <c r="AU880" s="93"/>
      <c r="AV880" s="93"/>
      <c r="AW880" s="93"/>
      <c r="AX880" s="93"/>
      <c r="AY880" s="93"/>
      <c r="AZ880" s="93"/>
      <c r="BA880" s="93"/>
      <c r="BB880" s="93"/>
      <c r="BC880" s="93"/>
      <c r="BD880" s="93"/>
      <c r="BE880" s="93"/>
      <c r="BF880" s="93"/>
      <c r="BG880" s="93"/>
      <c r="BH880" s="93"/>
      <c r="BI880" s="93"/>
      <c r="BJ880" s="93"/>
      <c r="BK880" s="93"/>
      <c r="BL880" s="93"/>
      <c r="BM880" s="93"/>
      <c r="BN880" s="93"/>
      <c r="BO880" s="93"/>
      <c r="BP880" s="93"/>
      <c r="BQ880" s="93"/>
      <c r="BR880" s="93"/>
      <c r="BS880" s="93"/>
      <c r="BT880" s="93"/>
      <c r="BU880" s="93"/>
      <c r="BV880" s="93"/>
      <c r="BW880" s="93"/>
      <c r="BX880" s="93"/>
      <c r="BY880" s="93"/>
      <c r="BZ880" s="93"/>
    </row>
    <row r="881">
      <c r="A881" t="s">
        <v>116</v>
      </c>
      <c r="B881" t="s">
        <v>3421</v>
      </c>
      <c r="C881" s="89" t="s">
        <v>3422</v>
      </c>
      <c r="D881" s="90" t="s">
        <v>2909</v>
      </c>
      <c r="E881" s="91">
        <v>2018.0</v>
      </c>
      <c r="F881" s="104">
        <v>1.0</v>
      </c>
      <c r="G881" s="93"/>
      <c r="H881" s="93"/>
      <c r="I881" s="93"/>
      <c r="J881" s="93"/>
      <c r="K881" s="93"/>
      <c r="L881" s="93"/>
      <c r="M881" s="93"/>
      <c r="N881" s="93"/>
      <c r="O881" s="93"/>
      <c r="P881" s="93"/>
      <c r="Q881" s="93"/>
      <c r="R881" s="93"/>
      <c r="S881" s="93"/>
      <c r="T881" s="93"/>
      <c r="U881" s="93"/>
      <c r="V881" s="93"/>
      <c r="W881" s="93"/>
      <c r="X881" s="93"/>
      <c r="Y881" s="93"/>
      <c r="Z881" s="93"/>
      <c r="AA881" s="93"/>
      <c r="AB881" s="93"/>
      <c r="AC881" s="93"/>
      <c r="AD881" s="93"/>
      <c r="AE881" s="93"/>
      <c r="AF881" s="93"/>
      <c r="AG881" s="93"/>
      <c r="AH881" s="93"/>
      <c r="AI881" s="93"/>
      <c r="AJ881" s="93"/>
      <c r="AK881" s="93"/>
      <c r="AL881" s="93"/>
      <c r="AM881" s="93"/>
      <c r="AN881" s="93"/>
      <c r="AO881" s="93"/>
      <c r="AP881" s="93"/>
      <c r="AQ881" s="93"/>
      <c r="AR881" s="93"/>
      <c r="AS881" s="93"/>
      <c r="AT881" s="93"/>
      <c r="AU881" s="93"/>
      <c r="AV881" s="93"/>
      <c r="AW881" s="93"/>
      <c r="AX881" s="93"/>
      <c r="AY881" s="93"/>
      <c r="AZ881" s="93"/>
      <c r="BA881" s="93"/>
      <c r="BB881" s="93"/>
      <c r="BC881" s="93"/>
      <c r="BD881" s="93"/>
      <c r="BE881" s="93"/>
      <c r="BF881" s="93"/>
      <c r="BG881" s="93"/>
      <c r="BH881" s="93"/>
      <c r="BI881" s="93"/>
      <c r="BJ881" s="93"/>
      <c r="BK881" s="93"/>
      <c r="BL881" s="93"/>
      <c r="BM881" s="93"/>
      <c r="BN881" s="93"/>
      <c r="BO881" s="93"/>
      <c r="BP881" s="93"/>
      <c r="BQ881" s="93"/>
      <c r="BR881" s="93"/>
      <c r="BS881" s="93"/>
      <c r="BT881" s="93"/>
      <c r="BU881" s="93"/>
      <c r="BV881" s="93"/>
      <c r="BW881" s="93"/>
      <c r="BX881" s="93"/>
      <c r="BY881" s="93"/>
      <c r="BZ881" s="93"/>
    </row>
    <row r="882">
      <c r="B882" t="s">
        <v>3423</v>
      </c>
      <c r="C882" s="89" t="s">
        <v>3424</v>
      </c>
      <c r="D882" s="90" t="s">
        <v>2856</v>
      </c>
      <c r="E882" s="91">
        <v>2020.0</v>
      </c>
      <c r="F882" s="104">
        <v>1.0</v>
      </c>
      <c r="G882" s="93"/>
      <c r="H882" s="93"/>
      <c r="I882" s="93"/>
      <c r="J882" s="93"/>
      <c r="K882" s="93"/>
      <c r="L882" s="93"/>
      <c r="M882" s="93"/>
      <c r="N882" s="93"/>
      <c r="O882" s="93"/>
      <c r="P882" s="93"/>
      <c r="Q882" s="93"/>
      <c r="R882" s="93"/>
      <c r="S882" s="93"/>
      <c r="T882" s="93"/>
      <c r="U882" s="93"/>
      <c r="V882" s="93"/>
      <c r="W882" s="93"/>
      <c r="X882" s="93"/>
      <c r="Y882" s="93"/>
      <c r="Z882" s="93"/>
      <c r="AA882" s="93"/>
      <c r="AB882" s="93"/>
      <c r="AC882" s="93"/>
      <c r="AD882" s="93"/>
      <c r="AE882" s="93"/>
      <c r="AF882" s="93"/>
      <c r="AG882" s="93"/>
      <c r="AH882" s="93"/>
      <c r="AI882" s="93"/>
      <c r="AJ882" s="93"/>
      <c r="AK882" s="93"/>
      <c r="AL882" s="93"/>
      <c r="AM882" s="93"/>
      <c r="AN882" s="93"/>
      <c r="AO882" s="93"/>
      <c r="AP882" s="93"/>
      <c r="AQ882" s="93"/>
      <c r="AR882" s="93"/>
      <c r="AS882" s="93"/>
      <c r="AT882" s="93"/>
      <c r="AU882" s="93"/>
      <c r="AV882" s="93"/>
      <c r="AW882" s="93"/>
      <c r="AX882" s="93"/>
      <c r="AY882" s="93"/>
      <c r="AZ882" s="93"/>
      <c r="BA882" s="93"/>
      <c r="BB882" s="93"/>
      <c r="BC882" s="93"/>
      <c r="BD882" s="93"/>
      <c r="BE882" s="93"/>
      <c r="BF882" s="93"/>
      <c r="BG882" s="93"/>
      <c r="BH882" s="93"/>
      <c r="BI882" s="93"/>
      <c r="BJ882" s="93"/>
      <c r="BK882" s="93"/>
      <c r="BL882" s="93"/>
      <c r="BM882" s="93"/>
      <c r="BN882" s="93"/>
      <c r="BO882" s="93"/>
      <c r="BP882" s="93"/>
      <c r="BQ882" s="93"/>
      <c r="BR882" s="93"/>
      <c r="BS882" s="93"/>
      <c r="BT882" s="93"/>
      <c r="BU882" s="93"/>
      <c r="BV882" s="93"/>
      <c r="BW882" s="93"/>
      <c r="BX882" s="93"/>
      <c r="BY882" s="93"/>
      <c r="BZ882" s="93"/>
    </row>
    <row r="883">
      <c r="B883" t="s">
        <v>3425</v>
      </c>
      <c r="C883" s="89" t="s">
        <v>3426</v>
      </c>
      <c r="D883" s="90" t="s">
        <v>2817</v>
      </c>
      <c r="E883" s="91">
        <v>2017.0</v>
      </c>
      <c r="F883" s="104">
        <v>1.0</v>
      </c>
      <c r="G883" s="93"/>
      <c r="H883" s="93"/>
      <c r="I883" s="93"/>
      <c r="J883" s="93"/>
      <c r="K883" s="93"/>
      <c r="L883" s="93"/>
      <c r="M883" s="93"/>
      <c r="N883" s="93"/>
      <c r="O883" s="93"/>
      <c r="P883" s="93"/>
      <c r="Q883" s="93"/>
      <c r="R883" s="93"/>
      <c r="S883" s="93"/>
      <c r="T883" s="93"/>
      <c r="U883" s="93"/>
      <c r="V883" s="93"/>
      <c r="W883" s="93"/>
      <c r="X883" s="93"/>
      <c r="Y883" s="93"/>
      <c r="Z883" s="93"/>
      <c r="AA883" s="93"/>
      <c r="AB883" s="93"/>
      <c r="AC883" s="93"/>
      <c r="AD883" s="93"/>
      <c r="AE883" s="93"/>
      <c r="AF883" s="93"/>
      <c r="AG883" s="93"/>
      <c r="AH883" s="93"/>
      <c r="AI883" s="93"/>
      <c r="AJ883" s="93"/>
      <c r="AK883" s="93"/>
      <c r="AL883" s="93"/>
      <c r="AM883" s="93"/>
      <c r="AN883" s="93"/>
      <c r="AO883" s="93"/>
      <c r="AP883" s="93"/>
      <c r="AQ883" s="93"/>
      <c r="AR883" s="93"/>
      <c r="AS883" s="93"/>
      <c r="AT883" s="93"/>
      <c r="AU883" s="93"/>
      <c r="AV883" s="93"/>
      <c r="AW883" s="93"/>
      <c r="AX883" s="93"/>
      <c r="AY883" s="93"/>
      <c r="AZ883" s="93"/>
      <c r="BA883" s="93"/>
      <c r="BB883" s="93"/>
      <c r="BC883" s="93"/>
      <c r="BD883" s="93"/>
      <c r="BE883" s="93"/>
      <c r="BF883" s="93"/>
      <c r="BG883" s="93"/>
      <c r="BH883" s="93"/>
      <c r="BI883" s="93"/>
      <c r="BJ883" s="93"/>
      <c r="BK883" s="93"/>
      <c r="BL883" s="93"/>
      <c r="BM883" s="93"/>
      <c r="BN883" s="93"/>
      <c r="BO883" s="93"/>
      <c r="BP883" s="93"/>
      <c r="BQ883" s="93"/>
      <c r="BR883" s="93"/>
      <c r="BS883" s="93"/>
      <c r="BT883" s="93"/>
      <c r="BU883" s="93"/>
      <c r="BV883" s="93"/>
      <c r="BW883" s="93"/>
      <c r="BX883" s="93"/>
      <c r="BY883" s="93"/>
      <c r="BZ883" s="93"/>
    </row>
    <row r="884">
      <c r="B884" t="s">
        <v>3427</v>
      </c>
      <c r="C884" s="89" t="s">
        <v>3428</v>
      </c>
      <c r="D884" s="90" t="s">
        <v>3429</v>
      </c>
      <c r="E884" s="91">
        <v>2020.0</v>
      </c>
      <c r="F884" s="104">
        <v>1.0</v>
      </c>
      <c r="G884" s="93"/>
      <c r="H884" s="93"/>
      <c r="I884" s="93"/>
      <c r="J884" s="93"/>
      <c r="K884" s="93"/>
      <c r="L884" s="93"/>
      <c r="M884" s="93"/>
      <c r="N884" s="93"/>
      <c r="O884" s="93"/>
      <c r="P884" s="93"/>
      <c r="Q884" s="93"/>
      <c r="R884" s="93"/>
      <c r="S884" s="93"/>
      <c r="T884" s="93"/>
      <c r="U884" s="93"/>
      <c r="V884" s="93"/>
      <c r="W884" s="93"/>
      <c r="X884" s="93"/>
      <c r="Y884" s="93"/>
      <c r="Z884" s="93"/>
      <c r="AA884" s="93"/>
      <c r="AB884" s="93"/>
      <c r="AC884" s="93"/>
      <c r="AD884" s="93"/>
      <c r="AE884" s="93"/>
      <c r="AF884" s="93"/>
      <c r="AG884" s="93"/>
      <c r="AH884" s="93"/>
      <c r="AI884" s="93"/>
      <c r="AJ884" s="93"/>
      <c r="AK884" s="93"/>
      <c r="AL884" s="93"/>
      <c r="AM884" s="93"/>
      <c r="AN884" s="93"/>
      <c r="AO884" s="93"/>
      <c r="AP884" s="93"/>
      <c r="AQ884" s="93"/>
      <c r="AR884" s="93"/>
      <c r="AS884" s="93"/>
      <c r="AT884" s="93"/>
      <c r="AU884" s="93"/>
      <c r="AV884" s="93"/>
      <c r="AW884" s="93"/>
      <c r="AX884" s="93"/>
      <c r="AY884" s="93"/>
      <c r="AZ884" s="93"/>
      <c r="BA884" s="93"/>
      <c r="BB884" s="93"/>
      <c r="BC884" s="93"/>
      <c r="BD884" s="93"/>
      <c r="BE884" s="93"/>
      <c r="BF884" s="93"/>
      <c r="BG884" s="93"/>
      <c r="BH884" s="93"/>
      <c r="BI884" s="93"/>
      <c r="BJ884" s="93"/>
      <c r="BK884" s="93"/>
      <c r="BL884" s="93"/>
      <c r="BM884" s="93"/>
      <c r="BN884" s="93"/>
      <c r="BO884" s="93"/>
      <c r="BP884" s="93"/>
      <c r="BQ884" s="93"/>
      <c r="BR884" s="93"/>
      <c r="BS884" s="93"/>
      <c r="BT884" s="93"/>
      <c r="BU884" s="93"/>
      <c r="BV884" s="93"/>
      <c r="BW884" s="93"/>
      <c r="BX884" s="93"/>
      <c r="BY884" s="93"/>
      <c r="BZ884" s="93"/>
    </row>
    <row r="885">
      <c r="B885" t="s">
        <v>3430</v>
      </c>
      <c r="C885" s="89" t="s">
        <v>3431</v>
      </c>
      <c r="D885" s="90" t="s">
        <v>2941</v>
      </c>
      <c r="E885" s="91">
        <v>2016.0</v>
      </c>
      <c r="F885" s="104">
        <v>1.0</v>
      </c>
      <c r="G885" s="93"/>
      <c r="H885" s="93"/>
      <c r="I885" s="93"/>
      <c r="J885" s="93"/>
      <c r="K885" s="93"/>
      <c r="L885" s="93"/>
      <c r="M885" s="93"/>
      <c r="N885" s="93"/>
      <c r="O885" s="93"/>
      <c r="P885" s="93"/>
      <c r="Q885" s="93"/>
      <c r="R885" s="93"/>
      <c r="S885" s="93"/>
      <c r="T885" s="93"/>
      <c r="U885" s="93"/>
      <c r="V885" s="93"/>
      <c r="W885" s="93"/>
      <c r="X885" s="93"/>
      <c r="Y885" s="93"/>
      <c r="Z885" s="93"/>
      <c r="AA885" s="93"/>
      <c r="AB885" s="93"/>
      <c r="AC885" s="93"/>
      <c r="AD885" s="93"/>
      <c r="AE885" s="93"/>
      <c r="AF885" s="93"/>
      <c r="AG885" s="93"/>
      <c r="AH885" s="93"/>
      <c r="AI885" s="93"/>
      <c r="AJ885" s="93"/>
      <c r="AK885" s="93"/>
      <c r="AL885" s="93"/>
      <c r="AM885" s="93"/>
      <c r="AN885" s="93"/>
      <c r="AO885" s="93"/>
      <c r="AP885" s="93"/>
      <c r="AQ885" s="93"/>
      <c r="AR885" s="93"/>
      <c r="AS885" s="93"/>
      <c r="AT885" s="93"/>
      <c r="AU885" s="93"/>
      <c r="AV885" s="93"/>
      <c r="AW885" s="93"/>
      <c r="AX885" s="93"/>
      <c r="AY885" s="93"/>
      <c r="AZ885" s="93"/>
      <c r="BA885" s="93"/>
      <c r="BB885" s="93"/>
      <c r="BC885" s="93"/>
      <c r="BD885" s="93"/>
      <c r="BE885" s="93"/>
      <c r="BF885" s="93"/>
      <c r="BG885" s="93"/>
      <c r="BH885" s="93"/>
      <c r="BI885" s="93"/>
      <c r="BJ885" s="93"/>
      <c r="BK885" s="93"/>
      <c r="BL885" s="93"/>
      <c r="BM885" s="93"/>
      <c r="BN885" s="93"/>
      <c r="BO885" s="93"/>
      <c r="BP885" s="93"/>
      <c r="BQ885" s="93"/>
      <c r="BR885" s="93"/>
      <c r="BS885" s="93"/>
      <c r="BT885" s="93"/>
      <c r="BU885" s="93"/>
      <c r="BV885" s="93"/>
      <c r="BW885" s="93"/>
      <c r="BX885" s="93"/>
      <c r="BY885" s="93"/>
      <c r="BZ885" s="93"/>
    </row>
    <row r="886">
      <c r="B886" t="s">
        <v>3432</v>
      </c>
      <c r="C886" s="89" t="s">
        <v>3433</v>
      </c>
      <c r="D886" s="90" t="s">
        <v>3434</v>
      </c>
      <c r="E886" s="91">
        <v>2019.0</v>
      </c>
      <c r="F886" s="104">
        <v>1.0</v>
      </c>
      <c r="G886" s="93"/>
      <c r="H886" s="93"/>
      <c r="I886" s="93"/>
      <c r="J886" s="93"/>
      <c r="K886" s="93"/>
      <c r="L886" s="93"/>
      <c r="M886" s="93"/>
      <c r="N886" s="93"/>
      <c r="O886" s="93"/>
      <c r="P886" s="93"/>
      <c r="Q886" s="93"/>
      <c r="R886" s="93"/>
      <c r="S886" s="93"/>
      <c r="T886" s="93"/>
      <c r="U886" s="93"/>
      <c r="V886" s="93"/>
      <c r="W886" s="93"/>
      <c r="X886" s="93"/>
      <c r="Y886" s="93"/>
      <c r="Z886" s="93"/>
      <c r="AA886" s="93"/>
      <c r="AB886" s="93"/>
      <c r="AC886" s="93"/>
      <c r="AD886" s="93"/>
      <c r="AE886" s="93"/>
      <c r="AF886" s="93"/>
      <c r="AG886" s="93"/>
      <c r="AH886" s="93"/>
      <c r="AI886" s="93"/>
      <c r="AJ886" s="93"/>
      <c r="AK886" s="93"/>
      <c r="AL886" s="93"/>
      <c r="AM886" s="93"/>
      <c r="AN886" s="93"/>
      <c r="AO886" s="93"/>
      <c r="AP886" s="93"/>
      <c r="AQ886" s="93"/>
      <c r="AR886" s="93"/>
      <c r="AS886" s="93"/>
      <c r="AT886" s="93"/>
      <c r="AU886" s="93"/>
      <c r="AV886" s="93"/>
      <c r="AW886" s="93"/>
      <c r="AX886" s="93"/>
      <c r="AY886" s="93"/>
      <c r="AZ886" s="93"/>
      <c r="BA886" s="93"/>
      <c r="BB886" s="93"/>
      <c r="BC886" s="93"/>
      <c r="BD886" s="93"/>
      <c r="BE886" s="93"/>
      <c r="BF886" s="93"/>
      <c r="BG886" s="93"/>
      <c r="BH886" s="93"/>
      <c r="BI886" s="93"/>
      <c r="BJ886" s="93"/>
      <c r="BK886" s="93"/>
      <c r="BL886" s="93"/>
      <c r="BM886" s="93"/>
      <c r="BN886" s="93"/>
      <c r="BO886" s="93"/>
      <c r="BP886" s="93"/>
      <c r="BQ886" s="93"/>
      <c r="BR886" s="93"/>
      <c r="BS886" s="93"/>
      <c r="BT886" s="93"/>
      <c r="BU886" s="93"/>
      <c r="BV886" s="93"/>
      <c r="BW886" s="93"/>
      <c r="BX886" s="93"/>
      <c r="BY886" s="93"/>
      <c r="BZ886" s="93"/>
    </row>
    <row r="887">
      <c r="A887" t="s">
        <v>1331</v>
      </c>
      <c r="B887" t="s">
        <v>3435</v>
      </c>
      <c r="C887" s="89" t="s">
        <v>3436</v>
      </c>
      <c r="D887" s="90" t="s">
        <v>2960</v>
      </c>
      <c r="E887" s="91">
        <v>2018.0</v>
      </c>
      <c r="F887" s="104">
        <v>1.0</v>
      </c>
      <c r="G887" s="93"/>
      <c r="H887" s="93"/>
      <c r="I887" s="93"/>
      <c r="J887" s="93"/>
      <c r="K887" s="93"/>
      <c r="L887" s="93"/>
      <c r="M887" s="93"/>
      <c r="N887" s="93"/>
      <c r="O887" s="93"/>
      <c r="P887" s="93"/>
      <c r="Q887" s="93"/>
      <c r="R887" s="93"/>
      <c r="S887" s="93"/>
      <c r="T887" s="93"/>
      <c r="U887" s="93"/>
      <c r="V887" s="93"/>
      <c r="W887" s="93"/>
      <c r="X887" s="93"/>
      <c r="Y887" s="93"/>
      <c r="Z887" s="93"/>
      <c r="AA887" s="93"/>
      <c r="AB887" s="93"/>
      <c r="AC887" s="93"/>
      <c r="AD887" s="93"/>
      <c r="AE887" s="93"/>
      <c r="AF887" s="93"/>
      <c r="AG887" s="93"/>
      <c r="AH887" s="93"/>
      <c r="AI887" s="93"/>
      <c r="AJ887" s="93"/>
      <c r="AK887" s="93"/>
      <c r="AL887" s="93"/>
      <c r="AM887" s="93"/>
      <c r="AN887" s="93"/>
      <c r="AO887" s="93"/>
      <c r="AP887" s="93"/>
      <c r="AQ887" s="93"/>
      <c r="AR887" s="93"/>
      <c r="AS887" s="93"/>
      <c r="AT887" s="93"/>
      <c r="AU887" s="93"/>
      <c r="AV887" s="93"/>
      <c r="AW887" s="93"/>
      <c r="AX887" s="93"/>
      <c r="AY887" s="93"/>
      <c r="AZ887" s="93"/>
      <c r="BA887" s="93"/>
      <c r="BB887" s="93"/>
      <c r="BC887" s="93"/>
      <c r="BD887" s="93"/>
      <c r="BE887" s="93"/>
      <c r="BF887" s="93"/>
      <c r="BG887" s="93"/>
      <c r="BH887" s="93"/>
      <c r="BI887" s="93"/>
      <c r="BJ887" s="93"/>
      <c r="BK887" s="93"/>
      <c r="BL887" s="93"/>
      <c r="BM887" s="93"/>
      <c r="BN887" s="93"/>
      <c r="BO887" s="93"/>
      <c r="BP887" s="93"/>
      <c r="BQ887" s="93"/>
      <c r="BR887" s="93"/>
      <c r="BS887" s="93"/>
      <c r="BT887" s="93"/>
      <c r="BU887" s="93"/>
      <c r="BV887" s="93"/>
      <c r="BW887" s="93"/>
      <c r="BX887" s="93"/>
      <c r="BY887" s="93"/>
      <c r="BZ887" s="93"/>
    </row>
    <row r="888">
      <c r="B888" t="s">
        <v>3437</v>
      </c>
      <c r="C888" s="89" t="s">
        <v>3438</v>
      </c>
      <c r="D888" s="90" t="s">
        <v>3141</v>
      </c>
      <c r="E888" s="91">
        <v>2019.0</v>
      </c>
      <c r="F888" s="104">
        <v>1.0</v>
      </c>
      <c r="G888" s="93"/>
      <c r="H888" s="93"/>
      <c r="I888" s="93"/>
      <c r="J888" s="93"/>
      <c r="K888" s="93"/>
      <c r="L888" s="93"/>
      <c r="M888" s="93"/>
      <c r="N888" s="93"/>
      <c r="O888" s="93"/>
      <c r="P888" s="93"/>
      <c r="Q888" s="93"/>
      <c r="R888" s="93"/>
      <c r="S888" s="93"/>
      <c r="T888" s="93"/>
      <c r="U888" s="93"/>
      <c r="V888" s="93"/>
      <c r="W888" s="93"/>
      <c r="X888" s="93"/>
      <c r="Y888" s="93"/>
      <c r="Z888" s="93"/>
      <c r="AA888" s="93"/>
      <c r="AB888" s="93"/>
      <c r="AC888" s="93"/>
      <c r="AD888" s="93"/>
      <c r="AE888" s="93"/>
      <c r="AF888" s="93"/>
      <c r="AG888" s="93"/>
      <c r="AH888" s="93"/>
      <c r="AI888" s="93"/>
      <c r="AJ888" s="93"/>
      <c r="AK888" s="93"/>
      <c r="AL888" s="93"/>
      <c r="AM888" s="93"/>
      <c r="AN888" s="93"/>
      <c r="AO888" s="93"/>
      <c r="AP888" s="93"/>
      <c r="AQ888" s="93"/>
      <c r="AR888" s="93"/>
      <c r="AS888" s="93"/>
      <c r="AT888" s="93"/>
      <c r="AU888" s="93"/>
      <c r="AV888" s="93"/>
      <c r="AW888" s="93"/>
      <c r="AX888" s="93"/>
      <c r="AY888" s="93"/>
      <c r="AZ888" s="93"/>
      <c r="BA888" s="93"/>
      <c r="BB888" s="93"/>
      <c r="BC888" s="93"/>
      <c r="BD888" s="93"/>
      <c r="BE888" s="93"/>
      <c r="BF888" s="93"/>
      <c r="BG888" s="93"/>
      <c r="BH888" s="93"/>
      <c r="BI888" s="93"/>
      <c r="BJ888" s="93"/>
      <c r="BK888" s="93"/>
      <c r="BL888" s="93"/>
      <c r="BM888" s="93"/>
      <c r="BN888" s="93"/>
      <c r="BO888" s="93"/>
      <c r="BP888" s="93"/>
      <c r="BQ888" s="93"/>
      <c r="BR888" s="93"/>
      <c r="BS888" s="93"/>
      <c r="BT888" s="93"/>
      <c r="BU888" s="93"/>
      <c r="BV888" s="93"/>
      <c r="BW888" s="93"/>
      <c r="BX888" s="93"/>
      <c r="BY888" s="93"/>
      <c r="BZ888" s="93"/>
    </row>
    <row r="889">
      <c r="A889" t="s">
        <v>1340</v>
      </c>
      <c r="B889" t="s">
        <v>3439</v>
      </c>
      <c r="C889" s="89" t="s">
        <v>3440</v>
      </c>
      <c r="D889" s="90" t="s">
        <v>3177</v>
      </c>
      <c r="E889" s="91">
        <v>2019.0</v>
      </c>
      <c r="F889" s="104">
        <v>1.0</v>
      </c>
      <c r="G889" s="93"/>
      <c r="H889" s="93"/>
      <c r="I889" s="93"/>
      <c r="J889" s="93"/>
      <c r="K889" s="93"/>
      <c r="L889" s="93"/>
      <c r="M889" s="93"/>
      <c r="N889" s="93"/>
      <c r="O889" s="93"/>
      <c r="P889" s="93"/>
      <c r="Q889" s="93"/>
      <c r="R889" s="93"/>
      <c r="S889" s="93"/>
      <c r="T889" s="93"/>
      <c r="U889" s="93"/>
      <c r="V889" s="93"/>
      <c r="W889" s="93"/>
      <c r="X889" s="93"/>
      <c r="Y889" s="93"/>
      <c r="Z889" s="93"/>
      <c r="AA889" s="93"/>
      <c r="AB889" s="93"/>
      <c r="AC889" s="93"/>
      <c r="AD889" s="93"/>
      <c r="AE889" s="93"/>
      <c r="AF889" s="93"/>
      <c r="AG889" s="93"/>
      <c r="AH889" s="93"/>
      <c r="AI889" s="93"/>
      <c r="AJ889" s="93"/>
      <c r="AK889" s="93"/>
      <c r="AL889" s="93"/>
      <c r="AM889" s="93"/>
      <c r="AN889" s="93"/>
      <c r="AO889" s="93"/>
      <c r="AP889" s="93"/>
      <c r="AQ889" s="93"/>
      <c r="AR889" s="93"/>
      <c r="AS889" s="93"/>
      <c r="AT889" s="93"/>
      <c r="AU889" s="93"/>
      <c r="AV889" s="93"/>
      <c r="AW889" s="93"/>
      <c r="AX889" s="93"/>
      <c r="AY889" s="93"/>
      <c r="AZ889" s="93"/>
      <c r="BA889" s="93"/>
      <c r="BB889" s="93"/>
      <c r="BC889" s="93"/>
      <c r="BD889" s="93"/>
      <c r="BE889" s="93"/>
      <c r="BF889" s="93"/>
      <c r="BG889" s="93"/>
      <c r="BH889" s="93"/>
      <c r="BI889" s="93"/>
      <c r="BJ889" s="93"/>
      <c r="BK889" s="93"/>
      <c r="BL889" s="93"/>
      <c r="BM889" s="93"/>
      <c r="BN889" s="93"/>
      <c r="BO889" s="93"/>
      <c r="BP889" s="93"/>
      <c r="BQ889" s="93"/>
      <c r="BR889" s="93"/>
      <c r="BS889" s="93"/>
      <c r="BT889" s="93"/>
      <c r="BU889" s="93"/>
      <c r="BV889" s="93"/>
      <c r="BW889" s="93"/>
      <c r="BX889" s="93"/>
      <c r="BY889" s="93"/>
      <c r="BZ889" s="93"/>
    </row>
    <row r="890">
      <c r="B890" t="s">
        <v>3441</v>
      </c>
      <c r="C890" s="89" t="s">
        <v>3442</v>
      </c>
      <c r="D890" s="90" t="s">
        <v>3443</v>
      </c>
      <c r="E890" s="91">
        <v>2018.0</v>
      </c>
      <c r="F890" s="104">
        <v>1.0</v>
      </c>
      <c r="G890" s="93"/>
      <c r="H890" s="93"/>
      <c r="I890" s="93"/>
      <c r="J890" s="93"/>
      <c r="K890" s="93"/>
      <c r="L890" s="93"/>
      <c r="M890" s="93"/>
      <c r="N890" s="93"/>
      <c r="O890" s="93"/>
      <c r="P890" s="93"/>
      <c r="Q890" s="93"/>
      <c r="R890" s="93"/>
      <c r="S890" s="93"/>
      <c r="T890" s="93"/>
      <c r="U890" s="93"/>
      <c r="V890" s="93"/>
      <c r="W890" s="93"/>
      <c r="X890" s="93"/>
      <c r="Y890" s="93"/>
      <c r="Z890" s="93"/>
      <c r="AA890" s="93"/>
      <c r="AB890" s="93"/>
      <c r="AC890" s="93"/>
      <c r="AD890" s="93"/>
      <c r="AE890" s="93"/>
      <c r="AF890" s="93"/>
      <c r="AG890" s="93"/>
      <c r="AH890" s="93"/>
      <c r="AI890" s="93"/>
      <c r="AJ890" s="93"/>
      <c r="AK890" s="93"/>
      <c r="AL890" s="93"/>
      <c r="AM890" s="93"/>
      <c r="AN890" s="93"/>
      <c r="AO890" s="93"/>
      <c r="AP890" s="93"/>
      <c r="AQ890" s="93"/>
      <c r="AR890" s="93"/>
      <c r="AS890" s="93"/>
      <c r="AT890" s="93"/>
      <c r="AU890" s="93"/>
      <c r="AV890" s="93"/>
      <c r="AW890" s="93"/>
      <c r="AX890" s="93"/>
      <c r="AY890" s="93"/>
      <c r="AZ890" s="93"/>
      <c r="BA890" s="93"/>
      <c r="BB890" s="93"/>
      <c r="BC890" s="93"/>
      <c r="BD890" s="93"/>
      <c r="BE890" s="93"/>
      <c r="BF890" s="93"/>
      <c r="BG890" s="93"/>
      <c r="BH890" s="93"/>
      <c r="BI890" s="93"/>
      <c r="BJ890" s="93"/>
      <c r="BK890" s="93"/>
      <c r="BL890" s="93"/>
      <c r="BM890" s="93"/>
      <c r="BN890" s="93"/>
      <c r="BO890" s="93"/>
      <c r="BP890" s="93"/>
      <c r="BQ890" s="93"/>
      <c r="BR890" s="93"/>
      <c r="BS890" s="93"/>
      <c r="BT890" s="93"/>
      <c r="BU890" s="93"/>
      <c r="BV890" s="93"/>
      <c r="BW890" s="93"/>
      <c r="BX890" s="93"/>
      <c r="BY890" s="93"/>
      <c r="BZ890" s="93"/>
    </row>
    <row r="891">
      <c r="A891" t="s">
        <v>1354</v>
      </c>
      <c r="B891" t="s">
        <v>3444</v>
      </c>
      <c r="C891" s="89" t="s">
        <v>3445</v>
      </c>
      <c r="D891" s="90" t="s">
        <v>2885</v>
      </c>
      <c r="E891" s="91">
        <v>2019.0</v>
      </c>
      <c r="F891" s="104">
        <v>1.0</v>
      </c>
      <c r="G891" s="93"/>
      <c r="H891" s="93"/>
      <c r="I891" s="93"/>
      <c r="J891" s="93"/>
      <c r="K891" s="93"/>
      <c r="L891" s="93"/>
      <c r="M891" s="93"/>
      <c r="N891" s="93"/>
      <c r="O891" s="93"/>
      <c r="P891" s="93"/>
      <c r="Q891" s="93"/>
      <c r="R891" s="93"/>
      <c r="S891" s="93"/>
      <c r="T891" s="93"/>
      <c r="U891" s="93"/>
      <c r="V891" s="93"/>
      <c r="W891" s="93"/>
      <c r="X891" s="93"/>
      <c r="Y891" s="93"/>
      <c r="Z891" s="93"/>
      <c r="AA891" s="93"/>
      <c r="AB891" s="93"/>
      <c r="AC891" s="93"/>
      <c r="AD891" s="93"/>
      <c r="AE891" s="93"/>
      <c r="AF891" s="93"/>
      <c r="AG891" s="93"/>
      <c r="AH891" s="93"/>
      <c r="AI891" s="93"/>
      <c r="AJ891" s="93"/>
      <c r="AK891" s="93"/>
      <c r="AL891" s="93"/>
      <c r="AM891" s="93"/>
      <c r="AN891" s="93"/>
      <c r="AO891" s="93"/>
      <c r="AP891" s="93"/>
      <c r="AQ891" s="93"/>
      <c r="AR891" s="93"/>
      <c r="AS891" s="93"/>
      <c r="AT891" s="93"/>
      <c r="AU891" s="93"/>
      <c r="AV891" s="93"/>
      <c r="AW891" s="93"/>
      <c r="AX891" s="93"/>
      <c r="AY891" s="93"/>
      <c r="AZ891" s="93"/>
      <c r="BA891" s="93"/>
      <c r="BB891" s="93"/>
      <c r="BC891" s="93"/>
      <c r="BD891" s="93"/>
      <c r="BE891" s="93"/>
      <c r="BF891" s="93"/>
      <c r="BG891" s="93"/>
      <c r="BH891" s="93"/>
      <c r="BI891" s="93"/>
      <c r="BJ891" s="93"/>
      <c r="BK891" s="93"/>
      <c r="BL891" s="93"/>
      <c r="BM891" s="93"/>
      <c r="BN891" s="93"/>
      <c r="BO891" s="93"/>
      <c r="BP891" s="93"/>
      <c r="BQ891" s="93"/>
      <c r="BR891" s="93"/>
      <c r="BS891" s="93"/>
      <c r="BT891" s="93"/>
      <c r="BU891" s="93"/>
      <c r="BV891" s="93"/>
      <c r="BW891" s="93"/>
      <c r="BX891" s="93"/>
      <c r="BY891" s="93"/>
      <c r="BZ891" s="93"/>
    </row>
    <row r="892">
      <c r="B892" t="s">
        <v>3446</v>
      </c>
      <c r="C892" s="89" t="s">
        <v>3447</v>
      </c>
      <c r="D892" s="90" t="s">
        <v>3415</v>
      </c>
      <c r="E892" s="91">
        <v>2017.0</v>
      </c>
      <c r="F892" s="104">
        <v>1.0</v>
      </c>
      <c r="G892" s="93"/>
      <c r="H892" s="93"/>
      <c r="I892" s="93"/>
      <c r="J892" s="93"/>
      <c r="K892" s="93"/>
      <c r="L892" s="93"/>
      <c r="M892" s="93"/>
      <c r="N892" s="93"/>
      <c r="O892" s="93"/>
      <c r="P892" s="93"/>
      <c r="Q892" s="93"/>
      <c r="R892" s="93"/>
      <c r="S892" s="93"/>
      <c r="T892" s="93"/>
      <c r="U892" s="93"/>
      <c r="V892" s="93"/>
      <c r="W892" s="93"/>
      <c r="X892" s="93"/>
      <c r="Y892" s="93"/>
      <c r="Z892" s="93"/>
      <c r="AA892" s="93"/>
      <c r="AB892" s="93"/>
      <c r="AC892" s="93"/>
      <c r="AD892" s="93"/>
      <c r="AE892" s="93"/>
      <c r="AF892" s="93"/>
      <c r="AG892" s="93"/>
      <c r="AH892" s="93"/>
      <c r="AI892" s="93"/>
      <c r="AJ892" s="93"/>
      <c r="AK892" s="93"/>
      <c r="AL892" s="93"/>
      <c r="AM892" s="93"/>
      <c r="AN892" s="93"/>
      <c r="AO892" s="93"/>
      <c r="AP892" s="93"/>
      <c r="AQ892" s="93"/>
      <c r="AR892" s="93"/>
      <c r="AS892" s="93"/>
      <c r="AT892" s="93"/>
      <c r="AU892" s="93"/>
      <c r="AV892" s="93"/>
      <c r="AW892" s="93"/>
      <c r="AX892" s="93"/>
      <c r="AY892" s="93"/>
      <c r="AZ892" s="93"/>
      <c r="BA892" s="93"/>
      <c r="BB892" s="93"/>
      <c r="BC892" s="93"/>
      <c r="BD892" s="93"/>
      <c r="BE892" s="93"/>
      <c r="BF892" s="93"/>
      <c r="BG892" s="93"/>
      <c r="BH892" s="93"/>
      <c r="BI892" s="93"/>
      <c r="BJ892" s="93"/>
      <c r="BK892" s="93"/>
      <c r="BL892" s="93"/>
      <c r="BM892" s="93"/>
      <c r="BN892" s="93"/>
      <c r="BO892" s="93"/>
      <c r="BP892" s="93"/>
      <c r="BQ892" s="93"/>
      <c r="BR892" s="93"/>
      <c r="BS892" s="93"/>
      <c r="BT892" s="93"/>
      <c r="BU892" s="93"/>
      <c r="BV892" s="93"/>
      <c r="BW892" s="93"/>
      <c r="BX892" s="93"/>
      <c r="BY892" s="93"/>
      <c r="BZ892" s="93"/>
    </row>
    <row r="893">
      <c r="B893" t="s">
        <v>3448</v>
      </c>
      <c r="C893" s="89" t="s">
        <v>3449</v>
      </c>
      <c r="D893" s="90" t="s">
        <v>2874</v>
      </c>
      <c r="E893" s="91">
        <v>2017.0</v>
      </c>
      <c r="F893" s="104">
        <v>1.0</v>
      </c>
      <c r="G893" s="93"/>
      <c r="H893" s="93"/>
      <c r="I893" s="93"/>
      <c r="J893" s="93"/>
      <c r="K893" s="93"/>
      <c r="L893" s="93"/>
      <c r="M893" s="93"/>
      <c r="N893" s="93"/>
      <c r="O893" s="93"/>
      <c r="P893" s="93"/>
      <c r="Q893" s="93"/>
      <c r="R893" s="93"/>
      <c r="S893" s="93"/>
      <c r="T893" s="93"/>
      <c r="U893" s="93"/>
      <c r="V893" s="93"/>
      <c r="W893" s="93"/>
      <c r="X893" s="93"/>
      <c r="Y893" s="93"/>
      <c r="Z893" s="93"/>
      <c r="AA893" s="93"/>
      <c r="AB893" s="93"/>
      <c r="AC893" s="93"/>
      <c r="AD893" s="93"/>
      <c r="AE893" s="93"/>
      <c r="AF893" s="93"/>
      <c r="AG893" s="93"/>
      <c r="AH893" s="93"/>
      <c r="AI893" s="93"/>
      <c r="AJ893" s="93"/>
      <c r="AK893" s="93"/>
      <c r="AL893" s="93"/>
      <c r="AM893" s="93"/>
      <c r="AN893" s="93"/>
      <c r="AO893" s="93"/>
      <c r="AP893" s="93"/>
      <c r="AQ893" s="93"/>
      <c r="AR893" s="93"/>
      <c r="AS893" s="93"/>
      <c r="AT893" s="93"/>
      <c r="AU893" s="93"/>
      <c r="AV893" s="93"/>
      <c r="AW893" s="93"/>
      <c r="AX893" s="93"/>
      <c r="AY893" s="93"/>
      <c r="AZ893" s="93"/>
      <c r="BA893" s="93"/>
      <c r="BB893" s="93"/>
      <c r="BC893" s="93"/>
      <c r="BD893" s="93"/>
      <c r="BE893" s="93"/>
      <c r="BF893" s="93"/>
      <c r="BG893" s="93"/>
      <c r="BH893" s="93"/>
      <c r="BI893" s="93"/>
      <c r="BJ893" s="93"/>
      <c r="BK893" s="93"/>
      <c r="BL893" s="93"/>
      <c r="BM893" s="93"/>
      <c r="BN893" s="93"/>
      <c r="BO893" s="93"/>
      <c r="BP893" s="93"/>
      <c r="BQ893" s="93"/>
      <c r="BR893" s="93"/>
      <c r="BS893" s="93"/>
      <c r="BT893" s="93"/>
      <c r="BU893" s="93"/>
      <c r="BV893" s="93"/>
      <c r="BW893" s="93"/>
      <c r="BX893" s="93"/>
      <c r="BY893" s="93"/>
      <c r="BZ893" s="93"/>
    </row>
    <row r="894">
      <c r="B894" t="s">
        <v>3450</v>
      </c>
      <c r="C894" s="89" t="s">
        <v>3451</v>
      </c>
      <c r="D894" s="90" t="s">
        <v>2837</v>
      </c>
      <c r="E894" s="91">
        <v>2015.0</v>
      </c>
      <c r="F894" s="104">
        <v>1.0</v>
      </c>
      <c r="G894" s="93"/>
      <c r="H894" s="93"/>
      <c r="I894" s="93"/>
      <c r="J894" s="93"/>
      <c r="K894" s="93"/>
      <c r="L894" s="93"/>
      <c r="M894" s="93"/>
      <c r="N894" s="93"/>
      <c r="O894" s="93"/>
      <c r="P894" s="93"/>
      <c r="Q894" s="93"/>
      <c r="R894" s="93"/>
      <c r="S894" s="93"/>
      <c r="T894" s="93"/>
      <c r="U894" s="93"/>
      <c r="V894" s="93"/>
      <c r="W894" s="93"/>
      <c r="X894" s="93"/>
      <c r="Y894" s="93"/>
      <c r="Z894" s="93"/>
      <c r="AA894" s="93"/>
      <c r="AB894" s="93"/>
      <c r="AC894" s="93"/>
      <c r="AD894" s="93"/>
      <c r="AE894" s="93"/>
      <c r="AF894" s="93"/>
      <c r="AG894" s="93"/>
      <c r="AH894" s="93"/>
      <c r="AI894" s="93"/>
      <c r="AJ894" s="93"/>
      <c r="AK894" s="93"/>
      <c r="AL894" s="93"/>
      <c r="AM894" s="93"/>
      <c r="AN894" s="93"/>
      <c r="AO894" s="93"/>
      <c r="AP894" s="93"/>
      <c r="AQ894" s="93"/>
      <c r="AR894" s="93"/>
      <c r="AS894" s="93"/>
      <c r="AT894" s="93"/>
      <c r="AU894" s="93"/>
      <c r="AV894" s="93"/>
      <c r="AW894" s="93"/>
      <c r="AX894" s="93"/>
      <c r="AY894" s="93"/>
      <c r="AZ894" s="93"/>
      <c r="BA894" s="93"/>
      <c r="BB894" s="93"/>
      <c r="BC894" s="93"/>
      <c r="BD894" s="93"/>
      <c r="BE894" s="93"/>
      <c r="BF894" s="93"/>
      <c r="BG894" s="93"/>
      <c r="BH894" s="93"/>
      <c r="BI894" s="93"/>
      <c r="BJ894" s="93"/>
      <c r="BK894" s="93"/>
      <c r="BL894" s="93"/>
      <c r="BM894" s="93"/>
      <c r="BN894" s="93"/>
      <c r="BO894" s="93"/>
      <c r="BP894" s="93"/>
      <c r="BQ894" s="93"/>
      <c r="BR894" s="93"/>
      <c r="BS894" s="93"/>
      <c r="BT894" s="93"/>
      <c r="BU894" s="93"/>
      <c r="BV894" s="93"/>
      <c r="BW894" s="93"/>
      <c r="BX894" s="93"/>
      <c r="BY894" s="93"/>
      <c r="BZ894" s="93"/>
    </row>
    <row r="895">
      <c r="A895" t="s">
        <v>116</v>
      </c>
      <c r="B895" t="s">
        <v>3452</v>
      </c>
      <c r="C895" s="89" t="s">
        <v>3453</v>
      </c>
      <c r="D895" s="90" t="s">
        <v>2874</v>
      </c>
      <c r="E895" s="91">
        <v>2020.0</v>
      </c>
      <c r="F895" s="104">
        <v>1.0</v>
      </c>
      <c r="G895" s="93"/>
      <c r="H895" s="93"/>
      <c r="I895" s="93"/>
      <c r="J895" s="93"/>
      <c r="K895" s="93"/>
      <c r="L895" s="93"/>
      <c r="M895" s="93"/>
      <c r="N895" s="93"/>
      <c r="O895" s="93"/>
      <c r="P895" s="93"/>
      <c r="Q895" s="93"/>
      <c r="R895" s="93"/>
      <c r="S895" s="93"/>
      <c r="T895" s="93"/>
      <c r="U895" s="93"/>
      <c r="V895" s="93"/>
      <c r="W895" s="93"/>
      <c r="X895" s="93"/>
      <c r="Y895" s="93"/>
      <c r="Z895" s="93"/>
      <c r="AA895" s="93"/>
      <c r="AB895" s="93"/>
      <c r="AC895" s="93"/>
      <c r="AD895" s="93"/>
      <c r="AE895" s="93"/>
      <c r="AF895" s="93"/>
      <c r="AG895" s="93"/>
      <c r="AH895" s="93"/>
      <c r="AI895" s="93"/>
      <c r="AJ895" s="93"/>
      <c r="AK895" s="93"/>
      <c r="AL895" s="93"/>
      <c r="AM895" s="93"/>
      <c r="AN895" s="93"/>
      <c r="AO895" s="93"/>
      <c r="AP895" s="93"/>
      <c r="AQ895" s="93"/>
      <c r="AR895" s="93"/>
      <c r="AS895" s="93"/>
      <c r="AT895" s="93"/>
      <c r="AU895" s="93"/>
      <c r="AV895" s="93"/>
      <c r="AW895" s="93"/>
      <c r="AX895" s="93"/>
      <c r="AY895" s="93"/>
      <c r="AZ895" s="93"/>
      <c r="BA895" s="93"/>
      <c r="BB895" s="93"/>
      <c r="BC895" s="93"/>
      <c r="BD895" s="93"/>
      <c r="BE895" s="93"/>
      <c r="BF895" s="93"/>
      <c r="BG895" s="93"/>
      <c r="BH895" s="93"/>
      <c r="BI895" s="93"/>
      <c r="BJ895" s="93"/>
      <c r="BK895" s="93"/>
      <c r="BL895" s="93"/>
      <c r="BM895" s="93"/>
      <c r="BN895" s="93"/>
      <c r="BO895" s="93"/>
      <c r="BP895" s="93"/>
      <c r="BQ895" s="93"/>
      <c r="BR895" s="93"/>
      <c r="BS895" s="93"/>
      <c r="BT895" s="93"/>
      <c r="BU895" s="93"/>
      <c r="BV895" s="93"/>
      <c r="BW895" s="93"/>
      <c r="BX895" s="93"/>
      <c r="BY895" s="93"/>
      <c r="BZ895" s="93"/>
    </row>
    <row r="896">
      <c r="A896" t="s">
        <v>1331</v>
      </c>
      <c r="B896" t="s">
        <v>3454</v>
      </c>
      <c r="C896" s="89" t="s">
        <v>3455</v>
      </c>
      <c r="D896" s="90" t="s">
        <v>2817</v>
      </c>
      <c r="E896" s="91">
        <v>2016.0</v>
      </c>
      <c r="F896" s="104">
        <v>1.0</v>
      </c>
      <c r="G896" s="93"/>
      <c r="H896" s="93"/>
      <c r="I896" s="93"/>
      <c r="J896" s="93"/>
      <c r="K896" s="93"/>
      <c r="L896" s="93"/>
      <c r="M896" s="93"/>
      <c r="N896" s="93"/>
      <c r="O896" s="93"/>
      <c r="P896" s="93"/>
      <c r="Q896" s="93"/>
      <c r="R896" s="93"/>
      <c r="S896" s="93"/>
      <c r="T896" s="93"/>
      <c r="U896" s="93"/>
      <c r="V896" s="93"/>
      <c r="W896" s="93"/>
      <c r="X896" s="93"/>
      <c r="Y896" s="93"/>
      <c r="Z896" s="93"/>
      <c r="AA896" s="93"/>
      <c r="AB896" s="93"/>
      <c r="AC896" s="93"/>
      <c r="AD896" s="93"/>
      <c r="AE896" s="93"/>
      <c r="AF896" s="93"/>
      <c r="AG896" s="93"/>
      <c r="AH896" s="90"/>
      <c r="AI896" s="93"/>
      <c r="AJ896" s="93"/>
      <c r="AK896" s="93"/>
      <c r="AL896" s="93"/>
      <c r="AM896" s="93"/>
      <c r="AN896" s="93"/>
      <c r="AO896" s="93"/>
      <c r="AP896" s="93"/>
      <c r="AQ896" s="93"/>
      <c r="AR896" s="93"/>
      <c r="AS896" s="93"/>
      <c r="AT896" s="93"/>
      <c r="AU896" s="93"/>
      <c r="AV896" s="93"/>
      <c r="AW896" s="93"/>
      <c r="AX896" s="93"/>
      <c r="AY896" s="93"/>
      <c r="AZ896" s="93"/>
      <c r="BA896" s="93"/>
      <c r="BB896" s="93"/>
      <c r="BC896" s="93"/>
      <c r="BD896" s="93"/>
      <c r="BE896" s="93"/>
      <c r="BF896" s="93"/>
      <c r="BG896" s="93"/>
      <c r="BH896" s="93"/>
      <c r="BI896" s="93"/>
      <c r="BJ896" s="93"/>
      <c r="BK896" s="93"/>
      <c r="BL896" s="93"/>
      <c r="BM896" s="93"/>
      <c r="BN896" s="93"/>
      <c r="BO896" s="93"/>
      <c r="BP896" s="93"/>
      <c r="BQ896" s="93"/>
      <c r="BR896" s="93"/>
      <c r="BS896" s="93"/>
      <c r="BT896" s="93"/>
      <c r="BU896" s="93"/>
      <c r="BV896" s="93"/>
      <c r="BW896" s="93"/>
      <c r="BX896" s="93"/>
      <c r="BY896" s="93"/>
      <c r="BZ896" s="93"/>
    </row>
    <row r="897">
      <c r="A897" t="s">
        <v>1340</v>
      </c>
      <c r="B897" t="s">
        <v>3456</v>
      </c>
      <c r="C897" s="89" t="s">
        <v>3457</v>
      </c>
      <c r="D897" s="90" t="s">
        <v>2211</v>
      </c>
      <c r="E897" s="91">
        <v>2017.0</v>
      </c>
      <c r="F897" s="104">
        <v>1.0</v>
      </c>
      <c r="G897" s="93"/>
      <c r="H897" s="93"/>
      <c r="I897" s="93"/>
      <c r="J897" s="93"/>
      <c r="K897" s="93"/>
      <c r="L897" s="93"/>
      <c r="M897" s="93"/>
      <c r="N897" s="93"/>
      <c r="O897" s="93"/>
      <c r="P897" s="93"/>
      <c r="Q897" s="93"/>
      <c r="R897" s="93"/>
      <c r="S897" s="93"/>
      <c r="T897" s="93"/>
      <c r="U897" s="93"/>
      <c r="V897" s="93"/>
      <c r="W897" s="93"/>
      <c r="X897" s="93"/>
      <c r="Y897" s="93"/>
      <c r="Z897" s="93"/>
      <c r="AA897" s="93"/>
      <c r="AB897" s="93"/>
      <c r="AC897" s="93"/>
      <c r="AD897" s="93"/>
      <c r="AE897" s="93"/>
      <c r="AF897" s="93"/>
      <c r="AG897" s="93"/>
      <c r="AH897" s="93"/>
      <c r="AI897" s="93"/>
      <c r="AJ897" s="93"/>
      <c r="AK897" s="93"/>
      <c r="AL897" s="93"/>
      <c r="AM897" s="93"/>
      <c r="AN897" s="93"/>
      <c r="AO897" s="93"/>
      <c r="AP897" s="93"/>
      <c r="AQ897" s="93"/>
      <c r="AR897" s="93"/>
      <c r="AS897" s="93"/>
      <c r="AT897" s="93"/>
      <c r="AU897" s="93"/>
      <c r="AV897" s="93"/>
      <c r="AW897" s="93"/>
      <c r="AX897" s="93"/>
      <c r="AY897" s="93"/>
      <c r="AZ897" s="93"/>
      <c r="BA897" s="93"/>
      <c r="BB897" s="93"/>
      <c r="BC897" s="93"/>
      <c r="BD897" s="93"/>
      <c r="BE897" s="93"/>
      <c r="BF897" s="93"/>
      <c r="BG897" s="93"/>
      <c r="BH897" s="93"/>
      <c r="BI897" s="93"/>
      <c r="BJ897" s="93"/>
      <c r="BK897" s="93"/>
      <c r="BL897" s="93"/>
      <c r="BM897" s="93"/>
      <c r="BN897" s="93"/>
      <c r="BO897" s="93"/>
      <c r="BP897" s="93"/>
      <c r="BQ897" s="93"/>
      <c r="BR897" s="93"/>
      <c r="BS897" s="93"/>
      <c r="BT897" s="93"/>
      <c r="BU897" s="93"/>
      <c r="BV897" s="93"/>
      <c r="BW897" s="93"/>
      <c r="BX897" s="93"/>
      <c r="BY897" s="93"/>
      <c r="BZ897" s="93"/>
    </row>
    <row r="898">
      <c r="B898" t="s">
        <v>3458</v>
      </c>
      <c r="C898" s="89" t="s">
        <v>3459</v>
      </c>
      <c r="D898" s="90" t="s">
        <v>3460</v>
      </c>
      <c r="E898" s="91">
        <v>2018.0</v>
      </c>
      <c r="F898" s="104">
        <v>1.0</v>
      </c>
      <c r="G898" s="93"/>
      <c r="H898" s="93"/>
      <c r="I898" s="93"/>
      <c r="J898" s="93"/>
      <c r="K898" s="93"/>
      <c r="L898" s="93"/>
      <c r="M898" s="93"/>
      <c r="N898" s="93"/>
      <c r="O898" s="93"/>
      <c r="P898" s="93"/>
      <c r="Q898" s="93"/>
      <c r="R898" s="93"/>
      <c r="S898" s="93"/>
      <c r="T898" s="93"/>
      <c r="U898" s="93"/>
      <c r="V898" s="93"/>
      <c r="W898" s="93"/>
      <c r="X898" s="93"/>
      <c r="Y898" s="93"/>
      <c r="Z898" s="93"/>
      <c r="AA898" s="93"/>
      <c r="AB898" s="93"/>
      <c r="AC898" s="93"/>
      <c r="AD898" s="93"/>
      <c r="AE898" s="93"/>
      <c r="AF898" s="93"/>
      <c r="AG898" s="93"/>
      <c r="AH898" s="93"/>
      <c r="AI898" s="93"/>
      <c r="AJ898" s="93"/>
      <c r="AK898" s="93"/>
      <c r="AL898" s="93"/>
      <c r="AM898" s="93"/>
      <c r="AN898" s="93"/>
      <c r="AO898" s="93"/>
      <c r="AP898" s="93"/>
      <c r="AQ898" s="93"/>
      <c r="AR898" s="93"/>
      <c r="AS898" s="93"/>
      <c r="AT898" s="93"/>
      <c r="AU898" s="93"/>
      <c r="AV898" s="93"/>
      <c r="AW898" s="93"/>
      <c r="AX898" s="93"/>
      <c r="AY898" s="93"/>
      <c r="AZ898" s="93"/>
      <c r="BA898" s="93"/>
      <c r="BB898" s="93"/>
      <c r="BC898" s="93"/>
      <c r="BD898" s="93"/>
      <c r="BE898" s="93"/>
      <c r="BF898" s="93"/>
      <c r="BG898" s="93"/>
      <c r="BH898" s="93"/>
      <c r="BI898" s="93"/>
      <c r="BJ898" s="93"/>
      <c r="BK898" s="93"/>
      <c r="BL898" s="93"/>
      <c r="BM898" s="93"/>
      <c r="BN898" s="93"/>
      <c r="BO898" s="93"/>
      <c r="BP898" s="93"/>
      <c r="BQ898" s="93"/>
      <c r="BR898" s="93"/>
      <c r="BS898" s="93"/>
      <c r="BT898" s="93"/>
      <c r="BU898" s="93"/>
      <c r="BV898" s="93"/>
      <c r="BW898" s="93"/>
      <c r="BX898" s="93"/>
      <c r="BY898" s="93"/>
      <c r="BZ898" s="93"/>
    </row>
    <row r="899">
      <c r="B899" t="s">
        <v>3461</v>
      </c>
      <c r="C899" s="89" t="s">
        <v>3462</v>
      </c>
      <c r="D899" s="90" t="s">
        <v>3463</v>
      </c>
      <c r="E899" s="91">
        <v>2017.0</v>
      </c>
      <c r="F899" s="104">
        <v>1.0</v>
      </c>
      <c r="G899" s="93"/>
      <c r="H899" s="93"/>
      <c r="I899" s="93"/>
      <c r="J899" s="93"/>
      <c r="K899" s="93"/>
      <c r="L899" s="93"/>
      <c r="M899" s="93"/>
      <c r="N899" s="93"/>
      <c r="O899" s="93"/>
      <c r="P899" s="93"/>
      <c r="Q899" s="93"/>
      <c r="R899" s="93"/>
      <c r="S899" s="93"/>
      <c r="T899" s="93"/>
      <c r="U899" s="93"/>
      <c r="V899" s="93"/>
      <c r="W899" s="93"/>
      <c r="X899" s="93"/>
      <c r="Y899" s="93"/>
      <c r="Z899" s="93"/>
      <c r="AA899" s="93"/>
      <c r="AB899" s="93"/>
      <c r="AC899" s="93"/>
      <c r="AD899" s="93"/>
      <c r="AE899" s="93"/>
      <c r="AF899" s="93"/>
      <c r="AG899" s="93"/>
      <c r="AH899" s="93"/>
      <c r="AI899" s="93"/>
      <c r="AJ899" s="93"/>
      <c r="AK899" s="93"/>
      <c r="AL899" s="93"/>
      <c r="AM899" s="93"/>
      <c r="AN899" s="93"/>
      <c r="AO899" s="93"/>
      <c r="AP899" s="93"/>
      <c r="AQ899" s="93"/>
      <c r="AR899" s="93"/>
      <c r="AS899" s="93"/>
      <c r="AT899" s="93"/>
      <c r="AU899" s="93"/>
      <c r="AV899" s="93"/>
      <c r="AW899" s="93"/>
      <c r="AX899" s="93"/>
      <c r="AY899" s="93"/>
      <c r="AZ899" s="93"/>
      <c r="BA899" s="93"/>
      <c r="BB899" s="93"/>
      <c r="BC899" s="93"/>
      <c r="BD899" s="93"/>
      <c r="BE899" s="93"/>
      <c r="BF899" s="93"/>
      <c r="BG899" s="93"/>
      <c r="BH899" s="93"/>
      <c r="BI899" s="93"/>
      <c r="BJ899" s="93"/>
      <c r="BK899" s="93"/>
      <c r="BL899" s="93"/>
      <c r="BM899" s="93"/>
      <c r="BN899" s="93"/>
      <c r="BO899" s="93"/>
      <c r="BP899" s="93"/>
      <c r="BQ899" s="93"/>
      <c r="BR899" s="93"/>
      <c r="BS899" s="93"/>
      <c r="BT899" s="93"/>
      <c r="BU899" s="93"/>
      <c r="BV899" s="93"/>
      <c r="BW899" s="93"/>
      <c r="BX899" s="93"/>
      <c r="BY899" s="93"/>
      <c r="BZ899" s="93"/>
    </row>
    <row r="900">
      <c r="B900" t="s">
        <v>3464</v>
      </c>
      <c r="C900" s="89" t="s">
        <v>3465</v>
      </c>
      <c r="D900" s="90" t="s">
        <v>3011</v>
      </c>
      <c r="E900" s="91">
        <v>2015.0</v>
      </c>
      <c r="F900" s="104">
        <v>1.0</v>
      </c>
      <c r="G900" s="93"/>
      <c r="H900" s="93"/>
      <c r="I900" s="93"/>
      <c r="J900" s="93"/>
      <c r="K900" s="93"/>
      <c r="L900" s="93"/>
      <c r="M900" s="93"/>
      <c r="N900" s="93"/>
      <c r="O900" s="93"/>
      <c r="P900" s="93"/>
      <c r="Q900" s="93"/>
      <c r="R900" s="93"/>
      <c r="S900" s="93"/>
      <c r="T900" s="93"/>
      <c r="U900" s="93"/>
      <c r="V900" s="93"/>
      <c r="W900" s="93"/>
      <c r="X900" s="93"/>
      <c r="Y900" s="93"/>
      <c r="Z900" s="93"/>
      <c r="AA900" s="93"/>
      <c r="AB900" s="93"/>
      <c r="AC900" s="93"/>
      <c r="AD900" s="93"/>
      <c r="AE900" s="93"/>
      <c r="AF900" s="93"/>
      <c r="AG900" s="93"/>
      <c r="AH900" s="93"/>
      <c r="AI900" s="93"/>
      <c r="AJ900" s="93"/>
      <c r="AK900" s="93"/>
      <c r="AL900" s="93"/>
      <c r="AM900" s="93"/>
      <c r="AN900" s="93"/>
      <c r="AO900" s="93"/>
      <c r="AP900" s="93"/>
      <c r="AQ900" s="93"/>
      <c r="AR900" s="93"/>
      <c r="AS900" s="93"/>
      <c r="AT900" s="93"/>
      <c r="AU900" s="93"/>
      <c r="AV900" s="93"/>
      <c r="AW900" s="93"/>
      <c r="AX900" s="93"/>
      <c r="AY900" s="93"/>
      <c r="AZ900" s="93"/>
      <c r="BA900" s="93"/>
      <c r="BB900" s="93"/>
      <c r="BC900" s="93"/>
      <c r="BD900" s="93"/>
      <c r="BE900" s="93"/>
      <c r="BF900" s="93"/>
      <c r="BG900" s="93"/>
      <c r="BH900" s="93"/>
      <c r="BI900" s="93"/>
      <c r="BJ900" s="93"/>
      <c r="BK900" s="93"/>
      <c r="BL900" s="93"/>
      <c r="BM900" s="93"/>
      <c r="BN900" s="93"/>
      <c r="BO900" s="93"/>
      <c r="BP900" s="93"/>
      <c r="BQ900" s="93"/>
      <c r="BR900" s="93"/>
      <c r="BS900" s="93"/>
      <c r="BT900" s="93"/>
      <c r="BU900" s="93"/>
      <c r="BV900" s="93"/>
      <c r="BW900" s="93"/>
      <c r="BX900" s="93"/>
      <c r="BY900" s="93"/>
      <c r="BZ900" s="93"/>
    </row>
    <row r="901">
      <c r="B901" t="s">
        <v>3466</v>
      </c>
      <c r="C901" s="89" t="s">
        <v>3467</v>
      </c>
      <c r="D901" s="90" t="s">
        <v>2874</v>
      </c>
      <c r="E901" s="91">
        <v>2016.0</v>
      </c>
      <c r="F901" s="104">
        <v>1.0</v>
      </c>
      <c r="G901" s="93"/>
      <c r="H901" s="93"/>
      <c r="I901" s="93"/>
      <c r="J901" s="93"/>
      <c r="K901" s="93"/>
      <c r="L901" s="93"/>
      <c r="M901" s="93"/>
      <c r="N901" s="93"/>
      <c r="O901" s="93"/>
      <c r="P901" s="93"/>
      <c r="Q901" s="93"/>
      <c r="R901" s="93"/>
      <c r="S901" s="93"/>
      <c r="T901" s="93"/>
      <c r="U901" s="93"/>
      <c r="V901" s="93"/>
      <c r="W901" s="93"/>
      <c r="X901" s="93"/>
      <c r="Y901" s="93"/>
      <c r="Z901" s="93"/>
      <c r="AA901" s="93"/>
      <c r="AB901" s="93"/>
      <c r="AC901" s="93"/>
      <c r="AD901" s="93"/>
      <c r="AE901" s="93"/>
      <c r="AF901" s="93"/>
      <c r="AG901" s="93"/>
      <c r="AH901" s="93"/>
      <c r="AI901" s="93"/>
      <c r="AJ901" s="93"/>
      <c r="AK901" s="93"/>
      <c r="AL901" s="93"/>
      <c r="AM901" s="93"/>
      <c r="AN901" s="93"/>
      <c r="AO901" s="93"/>
      <c r="AP901" s="93"/>
      <c r="AQ901" s="93"/>
      <c r="AR901" s="93"/>
      <c r="AS901" s="93"/>
      <c r="AT901" s="93"/>
      <c r="AU901" s="93"/>
      <c r="AV901" s="93"/>
      <c r="AW901" s="93"/>
      <c r="AX901" s="93"/>
      <c r="AY901" s="93"/>
      <c r="AZ901" s="93"/>
      <c r="BA901" s="93"/>
      <c r="BB901" s="93"/>
      <c r="BC901" s="93"/>
      <c r="BD901" s="93"/>
      <c r="BE901" s="93"/>
      <c r="BF901" s="93"/>
      <c r="BG901" s="93"/>
      <c r="BH901" s="93"/>
      <c r="BI901" s="93"/>
      <c r="BJ901" s="93"/>
      <c r="BK901" s="93"/>
      <c r="BL901" s="93"/>
      <c r="BM901" s="93"/>
      <c r="BN901" s="93"/>
      <c r="BO901" s="93"/>
      <c r="BP901" s="93"/>
      <c r="BQ901" s="93"/>
      <c r="BR901" s="93"/>
      <c r="BS901" s="93"/>
      <c r="BT901" s="93"/>
      <c r="BU901" s="93"/>
      <c r="BV901" s="93"/>
      <c r="BW901" s="93"/>
      <c r="BX901" s="93"/>
      <c r="BY901" s="93"/>
      <c r="BZ901" s="93"/>
    </row>
    <row r="902">
      <c r="B902" t="s">
        <v>3468</v>
      </c>
      <c r="C902" s="89" t="s">
        <v>3469</v>
      </c>
      <c r="D902" s="90" t="s">
        <v>3282</v>
      </c>
      <c r="E902" s="91">
        <v>2017.0</v>
      </c>
      <c r="F902" s="104">
        <v>1.0</v>
      </c>
      <c r="G902" s="93"/>
      <c r="H902" s="93"/>
      <c r="I902" s="93"/>
      <c r="J902" s="93"/>
      <c r="K902" s="93"/>
      <c r="L902" s="93"/>
      <c r="M902" s="93"/>
      <c r="N902" s="93"/>
      <c r="O902" s="93"/>
      <c r="P902" s="93"/>
      <c r="Q902" s="93"/>
      <c r="R902" s="93"/>
      <c r="S902" s="93"/>
      <c r="T902" s="93"/>
      <c r="U902" s="93"/>
      <c r="V902" s="93"/>
      <c r="W902" s="93"/>
      <c r="X902" s="93"/>
      <c r="Y902" s="93"/>
      <c r="Z902" s="93"/>
      <c r="AA902" s="93"/>
      <c r="AB902" s="93"/>
      <c r="AC902" s="93"/>
      <c r="AD902" s="93"/>
      <c r="AE902" s="93"/>
      <c r="AF902" s="93"/>
      <c r="AG902" s="93"/>
      <c r="AH902" s="93"/>
      <c r="AI902" s="93"/>
      <c r="AJ902" s="93"/>
      <c r="AK902" s="93"/>
      <c r="AL902" s="93"/>
      <c r="AM902" s="93"/>
      <c r="AN902" s="93"/>
      <c r="AO902" s="93"/>
      <c r="AP902" s="93"/>
      <c r="AQ902" s="93"/>
      <c r="AR902" s="93"/>
      <c r="AS902" s="93"/>
      <c r="AT902" s="93"/>
      <c r="AU902" s="93"/>
      <c r="AV902" s="93"/>
      <c r="AW902" s="93"/>
      <c r="AX902" s="93"/>
      <c r="AY902" s="93"/>
      <c r="AZ902" s="93"/>
      <c r="BA902" s="93"/>
      <c r="BB902" s="93"/>
      <c r="BC902" s="93"/>
      <c r="BD902" s="93"/>
      <c r="BE902" s="93"/>
      <c r="BF902" s="93"/>
      <c r="BG902" s="93"/>
      <c r="BH902" s="93"/>
      <c r="BI902" s="93"/>
      <c r="BJ902" s="93"/>
      <c r="BK902" s="93"/>
      <c r="BL902" s="93"/>
      <c r="BM902" s="93"/>
      <c r="BN902" s="93"/>
      <c r="BO902" s="93"/>
      <c r="BP902" s="93"/>
      <c r="BQ902" s="93"/>
      <c r="BR902" s="93"/>
      <c r="BS902" s="93"/>
      <c r="BT902" s="93"/>
      <c r="BU902" s="93"/>
      <c r="BV902" s="93"/>
      <c r="BW902" s="93"/>
      <c r="BX902" s="93"/>
      <c r="BY902" s="93"/>
      <c r="BZ902" s="93"/>
    </row>
    <row r="903">
      <c r="B903" t="s">
        <v>3470</v>
      </c>
      <c r="C903" s="89" t="s">
        <v>3471</v>
      </c>
      <c r="D903" s="90" t="s">
        <v>3472</v>
      </c>
      <c r="E903" s="91">
        <v>2020.0</v>
      </c>
      <c r="F903" s="104">
        <v>1.0</v>
      </c>
      <c r="G903" s="93"/>
      <c r="H903" s="93"/>
      <c r="I903" s="93"/>
      <c r="J903" s="93"/>
      <c r="K903" s="93"/>
      <c r="L903" s="93"/>
      <c r="M903" s="93"/>
      <c r="N903" s="93"/>
      <c r="O903" s="93"/>
      <c r="P903" s="93"/>
      <c r="Q903" s="93"/>
      <c r="R903" s="93"/>
      <c r="S903" s="93"/>
      <c r="T903" s="93"/>
      <c r="U903" s="93"/>
      <c r="V903" s="93"/>
      <c r="W903" s="93"/>
      <c r="X903" s="93"/>
      <c r="Y903" s="93"/>
      <c r="Z903" s="93"/>
      <c r="AA903" s="93"/>
      <c r="AB903" s="93"/>
      <c r="AC903" s="93"/>
      <c r="AD903" s="93"/>
      <c r="AE903" s="93"/>
      <c r="AF903" s="93"/>
      <c r="AG903" s="93"/>
      <c r="AH903" s="93"/>
      <c r="AI903" s="93"/>
      <c r="AJ903" s="93"/>
      <c r="AK903" s="93"/>
      <c r="AL903" s="93"/>
      <c r="AM903" s="93"/>
      <c r="AN903" s="93"/>
      <c r="AO903" s="93"/>
      <c r="AP903" s="93"/>
      <c r="AQ903" s="93"/>
      <c r="AR903" s="93"/>
      <c r="AS903" s="93"/>
      <c r="AT903" s="93"/>
      <c r="AU903" s="93"/>
      <c r="AV903" s="93"/>
      <c r="AW903" s="93"/>
      <c r="AX903" s="93"/>
      <c r="AY903" s="93"/>
      <c r="AZ903" s="93"/>
      <c r="BA903" s="93"/>
      <c r="BB903" s="93"/>
      <c r="BC903" s="93"/>
      <c r="BD903" s="93"/>
      <c r="BE903" s="93"/>
      <c r="BF903" s="93"/>
      <c r="BG903" s="93"/>
      <c r="BH903" s="93"/>
      <c r="BI903" s="93"/>
      <c r="BJ903" s="93"/>
      <c r="BK903" s="93"/>
      <c r="BL903" s="93"/>
      <c r="BM903" s="93"/>
      <c r="BN903" s="93"/>
      <c r="BO903" s="93"/>
      <c r="BP903" s="93"/>
      <c r="BQ903" s="93"/>
      <c r="BR903" s="93"/>
      <c r="BS903" s="93"/>
      <c r="BT903" s="93"/>
      <c r="BU903" s="93"/>
      <c r="BV903" s="93"/>
      <c r="BW903" s="93"/>
      <c r="BX903" s="93"/>
      <c r="BY903" s="93"/>
      <c r="BZ903" s="93"/>
    </row>
    <row r="904">
      <c r="B904" t="s">
        <v>3473</v>
      </c>
      <c r="C904" s="89" t="s">
        <v>3474</v>
      </c>
      <c r="D904" s="90" t="s">
        <v>3141</v>
      </c>
      <c r="E904" s="91">
        <v>2015.0</v>
      </c>
      <c r="F904" s="104">
        <v>1.0</v>
      </c>
      <c r="G904" s="93"/>
      <c r="H904" s="93"/>
      <c r="I904" s="93"/>
      <c r="J904" s="93"/>
      <c r="K904" s="93"/>
      <c r="L904" s="93"/>
      <c r="M904" s="93"/>
      <c r="N904" s="93"/>
      <c r="O904" s="93"/>
      <c r="P904" s="93"/>
      <c r="Q904" s="93"/>
      <c r="R904" s="93"/>
      <c r="S904" s="93"/>
      <c r="T904" s="93"/>
      <c r="U904" s="93"/>
      <c r="V904" s="93"/>
      <c r="W904" s="93"/>
      <c r="X904" s="93"/>
      <c r="Y904" s="93"/>
      <c r="Z904" s="93"/>
      <c r="AA904" s="93"/>
      <c r="AB904" s="93"/>
      <c r="AC904" s="93"/>
      <c r="AD904" s="93"/>
      <c r="AE904" s="93"/>
      <c r="AF904" s="93"/>
      <c r="AG904" s="93"/>
      <c r="AH904" s="93"/>
      <c r="AI904" s="93"/>
      <c r="AJ904" s="93"/>
      <c r="AK904" s="93"/>
      <c r="AL904" s="93"/>
      <c r="AM904" s="93"/>
      <c r="AN904" s="93"/>
      <c r="AO904" s="93"/>
      <c r="AP904" s="93"/>
      <c r="AQ904" s="93"/>
      <c r="AR904" s="93"/>
      <c r="AS904" s="93"/>
      <c r="AT904" s="93"/>
      <c r="AU904" s="93"/>
      <c r="AV904" s="93"/>
      <c r="AW904" s="93"/>
      <c r="AX904" s="93"/>
      <c r="AY904" s="93"/>
      <c r="AZ904" s="93"/>
      <c r="BA904" s="93"/>
      <c r="BB904" s="93"/>
      <c r="BC904" s="93"/>
      <c r="BD904" s="93"/>
      <c r="BE904" s="93"/>
      <c r="BF904" s="93"/>
      <c r="BG904" s="93"/>
      <c r="BH904" s="93"/>
      <c r="BI904" s="93"/>
      <c r="BJ904" s="93"/>
      <c r="BK904" s="93"/>
      <c r="BL904" s="93"/>
      <c r="BM904" s="93"/>
      <c r="BN904" s="93"/>
      <c r="BO904" s="93"/>
      <c r="BP904" s="93"/>
      <c r="BQ904" s="93"/>
      <c r="BR904" s="93"/>
      <c r="BS904" s="93"/>
      <c r="BT904" s="93"/>
      <c r="BU904" s="93"/>
      <c r="BV904" s="93"/>
      <c r="BW904" s="93"/>
      <c r="BX904" s="93"/>
      <c r="BY904" s="93"/>
      <c r="BZ904" s="93"/>
    </row>
    <row r="905">
      <c r="B905" t="s">
        <v>3475</v>
      </c>
      <c r="C905" s="89" t="s">
        <v>3476</v>
      </c>
      <c r="D905" s="90" t="s">
        <v>3285</v>
      </c>
      <c r="E905" s="91">
        <v>2018.0</v>
      </c>
      <c r="F905" s="104">
        <v>1.0</v>
      </c>
      <c r="G905" s="93"/>
      <c r="H905" s="93"/>
      <c r="I905" s="93"/>
      <c r="J905" s="93"/>
      <c r="K905" s="93"/>
      <c r="L905" s="93"/>
      <c r="M905" s="93"/>
      <c r="N905" s="93"/>
      <c r="O905" s="93"/>
      <c r="P905" s="93"/>
      <c r="Q905" s="93"/>
      <c r="R905" s="93"/>
      <c r="S905" s="93"/>
      <c r="T905" s="93"/>
      <c r="U905" s="93"/>
      <c r="V905" s="93"/>
      <c r="W905" s="93"/>
      <c r="X905" s="93"/>
      <c r="Y905" s="93"/>
      <c r="Z905" s="93"/>
      <c r="AA905" s="93"/>
      <c r="AB905" s="93"/>
      <c r="AC905" s="93"/>
      <c r="AD905" s="93"/>
      <c r="AE905" s="93"/>
      <c r="AF905" s="93"/>
      <c r="AG905" s="93"/>
      <c r="AH905" s="93"/>
      <c r="AI905" s="93"/>
      <c r="AJ905" s="93"/>
      <c r="AK905" s="93"/>
      <c r="AL905" s="93"/>
      <c r="AM905" s="93"/>
      <c r="AN905" s="93"/>
      <c r="AO905" s="93"/>
      <c r="AP905" s="93"/>
      <c r="AQ905" s="93"/>
      <c r="AR905" s="93"/>
      <c r="AS905" s="93"/>
      <c r="AT905" s="93"/>
      <c r="AU905" s="93"/>
      <c r="AV905" s="93"/>
      <c r="AW905" s="93"/>
      <c r="AX905" s="93"/>
      <c r="AY905" s="93"/>
      <c r="AZ905" s="93"/>
      <c r="BA905" s="93"/>
      <c r="BB905" s="93"/>
      <c r="BC905" s="93"/>
      <c r="BD905" s="93"/>
      <c r="BE905" s="93"/>
      <c r="BF905" s="93"/>
      <c r="BG905" s="93"/>
      <c r="BH905" s="93"/>
      <c r="BI905" s="93"/>
      <c r="BJ905" s="93"/>
      <c r="BK905" s="93"/>
      <c r="BL905" s="93"/>
      <c r="BM905" s="93"/>
      <c r="BN905" s="93"/>
      <c r="BO905" s="93"/>
      <c r="BP905" s="93"/>
      <c r="BQ905" s="93"/>
      <c r="BR905" s="93"/>
      <c r="BS905" s="93"/>
      <c r="BT905" s="93"/>
      <c r="BU905" s="93"/>
      <c r="BV905" s="93"/>
      <c r="BW905" s="93"/>
      <c r="BX905" s="93"/>
      <c r="BY905" s="93"/>
      <c r="BZ905" s="93"/>
    </row>
    <row r="906">
      <c r="B906" t="s">
        <v>3477</v>
      </c>
      <c r="C906" s="89" t="s">
        <v>3157</v>
      </c>
      <c r="D906" s="90" t="s">
        <v>3478</v>
      </c>
      <c r="E906" s="91">
        <v>2016.0</v>
      </c>
      <c r="F906" s="104">
        <v>1.0</v>
      </c>
      <c r="G906" s="93"/>
      <c r="H906" s="93"/>
      <c r="I906" s="93"/>
      <c r="J906" s="93"/>
      <c r="K906" s="93"/>
      <c r="L906" s="93"/>
      <c r="M906" s="93"/>
      <c r="N906" s="93"/>
      <c r="O906" s="93"/>
      <c r="P906" s="93"/>
      <c r="Q906" s="93"/>
      <c r="R906" s="93"/>
      <c r="S906" s="93"/>
      <c r="T906" s="93"/>
      <c r="U906" s="93"/>
      <c r="V906" s="93"/>
      <c r="W906" s="93"/>
      <c r="X906" s="93"/>
      <c r="Y906" s="93"/>
      <c r="Z906" s="93"/>
      <c r="AA906" s="93"/>
      <c r="AB906" s="93"/>
      <c r="AC906" s="93"/>
      <c r="AD906" s="93"/>
      <c r="AE906" s="93"/>
      <c r="AF906" s="93"/>
      <c r="AG906" s="93"/>
      <c r="AH906" s="93"/>
      <c r="AI906" s="93"/>
      <c r="AJ906" s="93"/>
      <c r="AK906" s="93"/>
      <c r="AL906" s="93"/>
      <c r="AM906" s="93"/>
      <c r="AN906" s="93"/>
      <c r="AO906" s="93"/>
      <c r="AP906" s="93"/>
      <c r="AQ906" s="93"/>
      <c r="AR906" s="93"/>
      <c r="AS906" s="93"/>
      <c r="AT906" s="93"/>
      <c r="AU906" s="93"/>
      <c r="AV906" s="93"/>
      <c r="AW906" s="93"/>
      <c r="AX906" s="93"/>
      <c r="AY906" s="93"/>
      <c r="AZ906" s="93"/>
      <c r="BA906" s="93"/>
      <c r="BB906" s="93"/>
      <c r="BC906" s="93"/>
      <c r="BD906" s="93"/>
      <c r="BE906" s="93"/>
      <c r="BF906" s="93"/>
      <c r="BG906" s="93"/>
      <c r="BH906" s="93"/>
      <c r="BI906" s="93"/>
      <c r="BJ906" s="93"/>
      <c r="BK906" s="93"/>
      <c r="BL906" s="93"/>
      <c r="BM906" s="93"/>
      <c r="BN906" s="93"/>
      <c r="BO906" s="93"/>
      <c r="BP906" s="93"/>
      <c r="BQ906" s="93"/>
      <c r="BR906" s="93"/>
      <c r="BS906" s="93"/>
      <c r="BT906" s="93"/>
      <c r="BU906" s="93"/>
      <c r="BV906" s="93"/>
      <c r="BW906" s="93"/>
      <c r="BX906" s="93"/>
      <c r="BY906" s="93"/>
      <c r="BZ906" s="93"/>
    </row>
    <row r="907">
      <c r="B907" t="s">
        <v>3479</v>
      </c>
      <c r="C907" s="89" t="s">
        <v>3480</v>
      </c>
      <c r="D907" s="90" t="s">
        <v>2909</v>
      </c>
      <c r="E907" s="91">
        <v>2016.0</v>
      </c>
      <c r="F907" s="104">
        <v>1.0</v>
      </c>
      <c r="G907" s="93"/>
      <c r="H907" s="93"/>
      <c r="I907" s="93"/>
      <c r="J907" s="93"/>
      <c r="K907" s="93"/>
      <c r="L907" s="93"/>
      <c r="M907" s="93"/>
      <c r="N907" s="93"/>
      <c r="O907" s="93"/>
      <c r="P907" s="93"/>
      <c r="Q907" s="93"/>
      <c r="R907" s="93"/>
      <c r="S907" s="93"/>
      <c r="T907" s="93"/>
      <c r="U907" s="93"/>
      <c r="V907" s="93"/>
      <c r="W907" s="93"/>
      <c r="X907" s="93"/>
      <c r="Y907" s="93"/>
      <c r="Z907" s="93"/>
      <c r="AA907" s="93"/>
      <c r="AB907" s="93"/>
      <c r="AC907" s="93"/>
      <c r="AD907" s="93"/>
      <c r="AE907" s="93"/>
      <c r="AF907" s="93"/>
      <c r="AG907" s="93"/>
      <c r="AH907" s="93"/>
      <c r="AI907" s="93"/>
      <c r="AJ907" s="93"/>
      <c r="AK907" s="93"/>
      <c r="AL907" s="93"/>
      <c r="AM907" s="93"/>
      <c r="AN907" s="93"/>
      <c r="AO907" s="93"/>
      <c r="AP907" s="93"/>
      <c r="AQ907" s="93"/>
      <c r="AR907" s="93"/>
      <c r="AS907" s="93"/>
      <c r="AT907" s="93"/>
      <c r="AU907" s="93"/>
      <c r="AV907" s="93"/>
      <c r="AW907" s="93"/>
      <c r="AX907" s="93"/>
      <c r="AY907" s="93"/>
      <c r="AZ907" s="93"/>
      <c r="BA907" s="93"/>
      <c r="BB907" s="93"/>
      <c r="BC907" s="93"/>
      <c r="BD907" s="93"/>
      <c r="BE907" s="93"/>
      <c r="BF907" s="93"/>
      <c r="BG907" s="93"/>
      <c r="BH907" s="93"/>
      <c r="BI907" s="93"/>
      <c r="BJ907" s="93"/>
      <c r="BK907" s="93"/>
      <c r="BL907" s="93"/>
      <c r="BM907" s="93"/>
      <c r="BN907" s="93"/>
      <c r="BO907" s="93"/>
      <c r="BP907" s="93"/>
      <c r="BQ907" s="93"/>
      <c r="BR907" s="93"/>
      <c r="BS907" s="93"/>
      <c r="BT907" s="93"/>
      <c r="BU907" s="93"/>
      <c r="BV907" s="93"/>
      <c r="BW907" s="93"/>
      <c r="BX907" s="93"/>
      <c r="BY907" s="93"/>
      <c r="BZ907" s="93"/>
    </row>
    <row r="908">
      <c r="B908" t="s">
        <v>3481</v>
      </c>
      <c r="C908" s="89" t="s">
        <v>3482</v>
      </c>
      <c r="D908" s="90" t="s">
        <v>3483</v>
      </c>
      <c r="E908" s="91">
        <v>2019.0</v>
      </c>
      <c r="F908" s="104">
        <v>1.0</v>
      </c>
      <c r="G908" s="93"/>
      <c r="H908" s="93"/>
      <c r="I908" s="93"/>
      <c r="J908" s="93"/>
      <c r="K908" s="93"/>
      <c r="L908" s="93"/>
      <c r="M908" s="93"/>
      <c r="N908" s="93"/>
      <c r="O908" s="93"/>
      <c r="P908" s="93"/>
      <c r="Q908" s="93"/>
      <c r="R908" s="93"/>
      <c r="S908" s="93"/>
      <c r="T908" s="93"/>
      <c r="U908" s="93"/>
      <c r="V908" s="93"/>
      <c r="W908" s="93"/>
      <c r="X908" s="93"/>
      <c r="Y908" s="93"/>
      <c r="Z908" s="93"/>
      <c r="AA908" s="93"/>
      <c r="AB908" s="93"/>
      <c r="AC908" s="93"/>
      <c r="AD908" s="93"/>
      <c r="AE908" s="93"/>
      <c r="AF908" s="93"/>
      <c r="AG908" s="93"/>
      <c r="AH908" s="93"/>
      <c r="AI908" s="93"/>
      <c r="AJ908" s="93"/>
      <c r="AK908" s="93"/>
      <c r="AL908" s="93"/>
      <c r="AM908" s="93"/>
      <c r="AN908" s="93"/>
      <c r="AO908" s="93"/>
      <c r="AP908" s="93"/>
      <c r="AQ908" s="93"/>
      <c r="AR908" s="93"/>
      <c r="AS908" s="93"/>
      <c r="AT908" s="93"/>
      <c r="AU908" s="93"/>
      <c r="AV908" s="93"/>
      <c r="AW908" s="93"/>
      <c r="AX908" s="93"/>
      <c r="AY908" s="93"/>
      <c r="AZ908" s="93"/>
      <c r="BA908" s="93"/>
      <c r="BB908" s="93"/>
      <c r="BC908" s="93"/>
      <c r="BD908" s="93"/>
      <c r="BE908" s="93"/>
      <c r="BF908" s="93"/>
      <c r="BG908" s="93"/>
      <c r="BH908" s="93"/>
      <c r="BI908" s="93"/>
      <c r="BJ908" s="93"/>
      <c r="BK908" s="93"/>
      <c r="BL908" s="93"/>
      <c r="BM908" s="93"/>
      <c r="BN908" s="93"/>
      <c r="BO908" s="93"/>
      <c r="BP908" s="93"/>
      <c r="BQ908" s="93"/>
      <c r="BR908" s="93"/>
      <c r="BS908" s="93"/>
      <c r="BT908" s="93"/>
      <c r="BU908" s="93"/>
      <c r="BV908" s="93"/>
      <c r="BW908" s="93"/>
      <c r="BX908" s="93"/>
      <c r="BY908" s="93"/>
      <c r="BZ908" s="93"/>
    </row>
    <row r="909">
      <c r="B909" t="s">
        <v>3484</v>
      </c>
      <c r="C909" s="89" t="s">
        <v>3485</v>
      </c>
      <c r="D909" s="90" t="s">
        <v>3279</v>
      </c>
      <c r="E909" s="91">
        <v>2016.0</v>
      </c>
      <c r="F909" s="104">
        <v>1.0</v>
      </c>
      <c r="G909" s="93"/>
      <c r="H909" s="93"/>
      <c r="I909" s="93"/>
      <c r="J909" s="93"/>
      <c r="K909" s="93"/>
      <c r="L909" s="93"/>
      <c r="M909" s="93" t="s">
        <v>748</v>
      </c>
      <c r="N909" s="93"/>
      <c r="O909" s="93"/>
      <c r="P909" s="93"/>
      <c r="Q909" s="93"/>
      <c r="R909" s="93"/>
      <c r="S909" s="93"/>
      <c r="T909" s="93"/>
      <c r="U909" s="93"/>
      <c r="V909" s="93"/>
      <c r="W909" s="93"/>
      <c r="X909" s="93"/>
      <c r="Y909" s="93"/>
      <c r="Z909" s="93"/>
      <c r="AA909" s="93"/>
      <c r="AB909" s="93"/>
      <c r="AC909" s="93"/>
      <c r="AD909" s="93"/>
      <c r="AE909" s="93"/>
      <c r="AF909" s="93"/>
      <c r="AG909" s="93"/>
      <c r="AH909" s="93"/>
      <c r="AI909" s="93"/>
      <c r="AJ909" s="93"/>
      <c r="AK909" s="93"/>
      <c r="AL909" s="93"/>
      <c r="AM909" s="93"/>
      <c r="AN909" s="93"/>
      <c r="AO909" s="93"/>
      <c r="AP909" s="93"/>
      <c r="AQ909" s="93"/>
      <c r="AR909" s="93"/>
      <c r="AS909" s="93"/>
      <c r="AT909" s="93"/>
      <c r="AU909" s="93"/>
      <c r="AV909" s="93"/>
      <c r="AW909" s="93"/>
      <c r="AX909" s="93"/>
      <c r="AY909" s="93"/>
      <c r="AZ909" s="93"/>
      <c r="BA909" s="93"/>
      <c r="BB909" s="93"/>
      <c r="BC909" s="93"/>
      <c r="BD909" s="93"/>
      <c r="BE909" s="93"/>
      <c r="BF909" s="93"/>
      <c r="BG909" s="93"/>
      <c r="BH909" s="93"/>
      <c r="BI909" s="93"/>
      <c r="BJ909" s="93"/>
      <c r="BK909" s="93"/>
      <c r="BL909" s="93"/>
      <c r="BM909" s="93"/>
      <c r="BN909" s="93"/>
      <c r="BO909" s="93"/>
      <c r="BP909" s="93"/>
      <c r="BQ909" s="93"/>
      <c r="BR909" s="93"/>
      <c r="BS909" s="93"/>
      <c r="BT909" s="93"/>
      <c r="BU909" s="93"/>
      <c r="BV909" s="93"/>
      <c r="BW909" s="93"/>
      <c r="BX909" s="93"/>
      <c r="BY909" s="93"/>
      <c r="BZ909" s="93"/>
    </row>
    <row r="910">
      <c r="A910" t="s">
        <v>1354</v>
      </c>
      <c r="B910" t="s">
        <v>3486</v>
      </c>
      <c r="C910" s="89" t="s">
        <v>3487</v>
      </c>
      <c r="D910" s="90" t="s">
        <v>2996</v>
      </c>
      <c r="E910" s="91">
        <v>2017.0</v>
      </c>
      <c r="F910" s="104">
        <v>1.0</v>
      </c>
      <c r="G910" s="93"/>
      <c r="H910" s="93"/>
      <c r="I910" s="93"/>
      <c r="J910" s="93"/>
      <c r="K910" s="93"/>
      <c r="L910" s="93"/>
      <c r="M910" s="93" t="s">
        <v>748</v>
      </c>
      <c r="N910" s="93"/>
      <c r="O910" s="93"/>
      <c r="P910" s="93"/>
      <c r="Q910" s="93"/>
      <c r="R910" s="93"/>
      <c r="S910" s="93"/>
      <c r="T910" s="93"/>
      <c r="U910" s="93"/>
      <c r="V910" s="93"/>
      <c r="W910" s="93"/>
      <c r="X910" s="93"/>
      <c r="Y910" s="93"/>
      <c r="Z910" s="93"/>
      <c r="AA910" s="93"/>
      <c r="AB910" s="93"/>
      <c r="AC910" s="93"/>
      <c r="AD910" s="93"/>
      <c r="AE910" s="93"/>
      <c r="AF910" s="93"/>
      <c r="AG910" s="93"/>
      <c r="AH910" s="93"/>
      <c r="AI910" s="93"/>
      <c r="AJ910" s="93"/>
      <c r="AK910" s="93"/>
      <c r="AL910" s="93"/>
      <c r="AM910" s="93"/>
      <c r="AN910" s="93"/>
      <c r="AO910" s="93"/>
      <c r="AP910" s="93"/>
      <c r="AQ910" s="93"/>
      <c r="AR910" s="93"/>
      <c r="AS910" s="93"/>
      <c r="AT910" s="93"/>
      <c r="AU910" s="93"/>
      <c r="AV910" s="93"/>
      <c r="AW910" s="93"/>
      <c r="AX910" s="93"/>
      <c r="AY910" s="93"/>
      <c r="AZ910" s="93"/>
      <c r="BA910" s="93"/>
      <c r="BB910" s="93"/>
      <c r="BC910" s="93"/>
      <c r="BD910" s="93"/>
      <c r="BE910" s="93"/>
      <c r="BF910" s="93"/>
      <c r="BG910" s="93"/>
      <c r="BH910" s="93"/>
      <c r="BI910" s="93"/>
      <c r="BJ910" s="93"/>
      <c r="BK910" s="93"/>
      <c r="BL910" s="93"/>
      <c r="BM910" s="93"/>
      <c r="BN910" s="93"/>
      <c r="BO910" s="93"/>
      <c r="BP910" s="93"/>
      <c r="BQ910" s="93"/>
      <c r="BR910" s="93"/>
      <c r="BS910" s="93"/>
      <c r="BT910" s="93"/>
      <c r="BU910" s="93"/>
      <c r="BV910" s="93"/>
      <c r="BW910" s="93"/>
      <c r="BX910" s="93"/>
      <c r="BY910" s="93"/>
      <c r="BZ910" s="93"/>
    </row>
    <row r="911">
      <c r="B911" t="s">
        <v>3488</v>
      </c>
      <c r="C911" s="89" t="s">
        <v>3489</v>
      </c>
      <c r="D911" s="90" t="s">
        <v>3490</v>
      </c>
      <c r="E911" s="91">
        <v>2016.0</v>
      </c>
      <c r="F911" s="104">
        <v>1.0</v>
      </c>
      <c r="G911" s="93"/>
      <c r="H911" s="93"/>
      <c r="I911" s="93"/>
      <c r="J911" s="93"/>
      <c r="K911" s="93"/>
      <c r="L911" s="93"/>
      <c r="M911" s="93"/>
      <c r="N911" s="93"/>
      <c r="O911" s="93"/>
      <c r="P911" s="93"/>
      <c r="Q911" s="93"/>
      <c r="R911" s="93"/>
      <c r="S911" s="93"/>
      <c r="T911" s="93"/>
      <c r="U911" s="93"/>
      <c r="V911" s="93"/>
      <c r="W911" s="93"/>
      <c r="X911" s="93"/>
      <c r="Y911" s="93"/>
      <c r="Z911" s="93"/>
      <c r="AA911" s="93"/>
      <c r="AB911" s="93"/>
      <c r="AC911" s="93"/>
      <c r="AD911" s="93"/>
      <c r="AE911" s="93"/>
      <c r="AF911" s="93"/>
      <c r="AG911" s="93"/>
      <c r="AH911" s="93"/>
      <c r="AI911" s="93"/>
      <c r="AJ911" s="93"/>
      <c r="AK911" s="93"/>
      <c r="AL911" s="93"/>
      <c r="AM911" s="93"/>
      <c r="AN911" s="93"/>
      <c r="AO911" s="93"/>
      <c r="AP911" s="93"/>
      <c r="AQ911" s="93"/>
      <c r="AR911" s="93"/>
      <c r="AS911" s="93"/>
      <c r="AT911" s="93"/>
      <c r="AU911" s="93"/>
      <c r="AV911" s="93"/>
      <c r="AW911" s="93"/>
      <c r="AX911" s="93"/>
      <c r="AY911" s="93"/>
      <c r="AZ911" s="93"/>
      <c r="BA911" s="93"/>
      <c r="BB911" s="93"/>
      <c r="BC911" s="93"/>
      <c r="BD911" s="93"/>
      <c r="BE911" s="93"/>
      <c r="BF911" s="93"/>
      <c r="BG911" s="93"/>
      <c r="BH911" s="93"/>
      <c r="BI911" s="93"/>
      <c r="BJ911" s="93"/>
      <c r="BK911" s="93"/>
      <c r="BL911" s="93"/>
      <c r="BM911" s="93"/>
      <c r="BN911" s="93"/>
      <c r="BO911" s="93"/>
      <c r="BP911" s="93"/>
      <c r="BQ911" s="93"/>
      <c r="BR911" s="93"/>
      <c r="BS911" s="93"/>
      <c r="BT911" s="93"/>
      <c r="BU911" s="93"/>
      <c r="BV911" s="93"/>
      <c r="BW911" s="93"/>
      <c r="BX911" s="93"/>
      <c r="BY911" s="93"/>
      <c r="BZ911" s="93"/>
    </row>
    <row r="912">
      <c r="A912" t="s">
        <v>116</v>
      </c>
      <c r="B912" t="s">
        <v>3491</v>
      </c>
      <c r="C912" s="89" t="s">
        <v>3492</v>
      </c>
      <c r="D912" s="90" t="s">
        <v>2941</v>
      </c>
      <c r="E912" s="91">
        <v>2018.0</v>
      </c>
      <c r="F912" s="104">
        <v>1.0</v>
      </c>
      <c r="G912" s="93"/>
      <c r="H912" s="93"/>
      <c r="I912" s="93"/>
      <c r="J912" s="93"/>
      <c r="K912" s="93"/>
      <c r="L912" s="93"/>
      <c r="M912" s="93"/>
      <c r="N912" s="93"/>
      <c r="O912" s="93"/>
      <c r="P912" s="93"/>
      <c r="Q912" s="93"/>
      <c r="R912" s="93"/>
      <c r="S912" s="93"/>
      <c r="T912" s="93"/>
      <c r="U912" s="93"/>
      <c r="V912" s="93"/>
      <c r="W912" s="93"/>
      <c r="X912" s="93"/>
      <c r="Y912" s="93"/>
      <c r="Z912" s="93"/>
      <c r="AA912" s="93"/>
      <c r="AB912" s="93"/>
      <c r="AC912" s="93"/>
      <c r="AD912" s="93"/>
      <c r="AE912" s="93"/>
      <c r="AF912" s="93"/>
      <c r="AG912" s="93"/>
      <c r="AH912" s="93"/>
      <c r="AI912" s="93"/>
      <c r="AJ912" s="93"/>
      <c r="AK912" s="93"/>
      <c r="AL912" s="93"/>
      <c r="AM912" s="93"/>
      <c r="AN912" s="93"/>
      <c r="AO912" s="93"/>
      <c r="AP912" s="93"/>
      <c r="AQ912" s="93"/>
      <c r="AR912" s="93"/>
      <c r="AS912" s="93"/>
      <c r="AT912" s="93"/>
      <c r="AU912" s="93"/>
      <c r="AV912" s="93"/>
      <c r="AW912" s="93"/>
      <c r="AX912" s="93"/>
      <c r="AY912" s="93"/>
      <c r="AZ912" s="93"/>
      <c r="BA912" s="93"/>
      <c r="BB912" s="93"/>
      <c r="BC912" s="93"/>
      <c r="BD912" s="93"/>
      <c r="BE912" s="93"/>
      <c r="BF912" s="93"/>
      <c r="BG912" s="93"/>
      <c r="BH912" s="93"/>
      <c r="BI912" s="93"/>
      <c r="BJ912" s="93"/>
      <c r="BK912" s="93"/>
      <c r="BL912" s="93"/>
      <c r="BM912" s="93"/>
      <c r="BN912" s="93"/>
      <c r="BO912" s="93"/>
      <c r="BP912" s="93"/>
      <c r="BQ912" s="93"/>
      <c r="BR912" s="93"/>
      <c r="BS912" s="93"/>
      <c r="BT912" s="93"/>
      <c r="BU912" s="93"/>
      <c r="BV912" s="93"/>
      <c r="BW912" s="93"/>
      <c r="BX912" s="93"/>
      <c r="BY912" s="93"/>
      <c r="BZ912" s="93"/>
    </row>
    <row r="913">
      <c r="B913" t="s">
        <v>3493</v>
      </c>
      <c r="C913" s="89" t="s">
        <v>3494</v>
      </c>
      <c r="D913" s="90" t="s">
        <v>3495</v>
      </c>
      <c r="E913" s="91">
        <v>2019.0</v>
      </c>
      <c r="F913" s="104">
        <v>1.0</v>
      </c>
      <c r="G913" s="93"/>
      <c r="H913" s="93"/>
      <c r="I913" s="93"/>
      <c r="J913" s="93"/>
      <c r="K913" s="93"/>
      <c r="L913" s="93"/>
      <c r="M913" s="93"/>
      <c r="N913" s="93"/>
      <c r="O913" s="93"/>
      <c r="P913" s="93"/>
      <c r="Q913" s="93"/>
      <c r="R913" s="93"/>
      <c r="S913" s="93"/>
      <c r="T913" s="93"/>
      <c r="U913" s="93"/>
      <c r="V913" s="93"/>
      <c r="W913" s="93"/>
      <c r="X913" s="93"/>
      <c r="Y913" s="93"/>
      <c r="Z913" s="93"/>
      <c r="AA913" s="93"/>
      <c r="AB913" s="93"/>
      <c r="AC913" s="93"/>
      <c r="AD913" s="93"/>
      <c r="AE913" s="93"/>
      <c r="AF913" s="93"/>
      <c r="AG913" s="93"/>
      <c r="AH913" s="93"/>
      <c r="AI913" s="93"/>
      <c r="AJ913" s="93"/>
      <c r="AK913" s="93"/>
      <c r="AL913" s="93"/>
      <c r="AM913" s="93"/>
      <c r="AN913" s="93"/>
      <c r="AO913" s="93"/>
      <c r="AP913" s="93"/>
      <c r="AQ913" s="93"/>
      <c r="AR913" s="93"/>
      <c r="AS913" s="93"/>
      <c r="AT913" s="93"/>
      <c r="AU913" s="93"/>
      <c r="AV913" s="93"/>
      <c r="AW913" s="93"/>
      <c r="AX913" s="93"/>
      <c r="AY913" s="93"/>
      <c r="AZ913" s="93"/>
      <c r="BA913" s="93"/>
      <c r="BB913" s="93"/>
      <c r="BC913" s="93"/>
      <c r="BD913" s="93"/>
      <c r="BE913" s="93"/>
      <c r="BF913" s="93"/>
      <c r="BG913" s="93"/>
      <c r="BH913" s="93"/>
      <c r="BI913" s="93"/>
      <c r="BJ913" s="93"/>
      <c r="BK913" s="93"/>
      <c r="BL913" s="93"/>
      <c r="BM913" s="93"/>
      <c r="BN913" s="93"/>
      <c r="BO913" s="93"/>
      <c r="BP913" s="93"/>
      <c r="BQ913" s="93"/>
      <c r="BR913" s="93"/>
      <c r="BS913" s="93"/>
      <c r="BT913" s="93"/>
      <c r="BU913" s="93"/>
      <c r="BV913" s="93"/>
      <c r="BW913" s="93"/>
      <c r="BX913" s="93"/>
      <c r="BY913" s="93"/>
      <c r="BZ913" s="93"/>
    </row>
    <row r="914">
      <c r="B914" t="s">
        <v>3496</v>
      </c>
      <c r="C914" s="89" t="s">
        <v>3497</v>
      </c>
      <c r="D914" s="90" t="s">
        <v>3498</v>
      </c>
      <c r="E914" s="91">
        <v>2017.0</v>
      </c>
      <c r="F914" s="104">
        <v>1.0</v>
      </c>
      <c r="G914" s="93"/>
      <c r="H914" s="93"/>
      <c r="I914" s="93"/>
      <c r="J914" s="93"/>
      <c r="K914" s="93"/>
      <c r="L914" s="93"/>
      <c r="M914" s="93"/>
      <c r="N914" s="93"/>
      <c r="O914" s="93"/>
      <c r="P914" s="93"/>
      <c r="Q914" s="93"/>
      <c r="R914" s="93"/>
      <c r="S914" s="93"/>
      <c r="T914" s="93"/>
      <c r="U914" s="93"/>
      <c r="V914" s="93"/>
      <c r="W914" s="93"/>
      <c r="X914" s="93"/>
      <c r="Y914" s="93"/>
      <c r="Z914" s="93"/>
      <c r="AA914" s="93"/>
      <c r="AB914" s="93"/>
      <c r="AC914" s="93"/>
      <c r="AD914" s="93"/>
      <c r="AE914" s="93"/>
      <c r="AF914" s="93"/>
      <c r="AG914" s="93"/>
      <c r="AH914" s="93"/>
      <c r="AI914" s="93"/>
      <c r="AJ914" s="93"/>
      <c r="AK914" s="93"/>
      <c r="AL914" s="93"/>
      <c r="AM914" s="93"/>
      <c r="AN914" s="93"/>
      <c r="AO914" s="93"/>
      <c r="AP914" s="93"/>
      <c r="AQ914" s="93"/>
      <c r="AR914" s="93"/>
      <c r="AS914" s="93"/>
      <c r="AT914" s="93"/>
      <c r="AU914" s="93"/>
      <c r="AV914" s="93"/>
      <c r="AW914" s="93"/>
      <c r="AX914" s="93"/>
      <c r="AY914" s="93"/>
      <c r="AZ914" s="93"/>
      <c r="BA914" s="93"/>
      <c r="BB914" s="93"/>
      <c r="BC914" s="93"/>
      <c r="BD914" s="93"/>
      <c r="BE914" s="93"/>
      <c r="BF914" s="93"/>
      <c r="BG914" s="93"/>
      <c r="BH914" s="93"/>
      <c r="BI914" s="93"/>
      <c r="BJ914" s="93"/>
      <c r="BK914" s="93"/>
      <c r="BL914" s="93"/>
      <c r="BM914" s="93"/>
      <c r="BN914" s="93"/>
      <c r="BO914" s="93"/>
      <c r="BP914" s="93"/>
      <c r="BQ914" s="93"/>
      <c r="BR914" s="93"/>
      <c r="BS914" s="93"/>
      <c r="BT914" s="93"/>
      <c r="BU914" s="93"/>
      <c r="BV914" s="93"/>
      <c r="BW914" s="93"/>
      <c r="BX914" s="93"/>
      <c r="BY914" s="93"/>
      <c r="BZ914" s="93"/>
    </row>
    <row r="915">
      <c r="B915" t="s">
        <v>3499</v>
      </c>
      <c r="C915" s="89" t="s">
        <v>3500</v>
      </c>
      <c r="D915" s="90" t="s">
        <v>3501</v>
      </c>
      <c r="E915" s="91">
        <v>2016.0</v>
      </c>
      <c r="F915" s="104">
        <v>1.0</v>
      </c>
      <c r="G915" s="93"/>
      <c r="H915" s="93"/>
      <c r="I915" s="93"/>
      <c r="J915" s="93"/>
      <c r="K915" s="93"/>
      <c r="L915" s="93"/>
      <c r="M915" s="93"/>
      <c r="N915" s="93"/>
      <c r="O915" s="93"/>
      <c r="P915" s="93"/>
      <c r="Q915" s="93"/>
      <c r="R915" s="93"/>
      <c r="S915" s="93"/>
      <c r="T915" s="93"/>
      <c r="U915" s="93"/>
      <c r="V915" s="93"/>
      <c r="W915" s="93"/>
      <c r="X915" s="93"/>
      <c r="Y915" s="93"/>
      <c r="Z915" s="93"/>
      <c r="AA915" s="93"/>
      <c r="AB915" s="93"/>
      <c r="AC915" s="93"/>
      <c r="AD915" s="93"/>
      <c r="AE915" s="93"/>
      <c r="AF915" s="93"/>
      <c r="AG915" s="93"/>
      <c r="AH915" s="93"/>
      <c r="AI915" s="93"/>
      <c r="AJ915" s="93"/>
      <c r="AK915" s="93"/>
      <c r="AL915" s="93"/>
      <c r="AM915" s="93"/>
      <c r="AN915" s="93"/>
      <c r="AO915" s="93"/>
      <c r="AP915" s="93"/>
      <c r="AQ915" s="93"/>
      <c r="AR915" s="93"/>
      <c r="AS915" s="93"/>
      <c r="AT915" s="93"/>
      <c r="AU915" s="93"/>
      <c r="AV915" s="93"/>
      <c r="AW915" s="93"/>
      <c r="AX915" s="93"/>
      <c r="AY915" s="93"/>
      <c r="AZ915" s="93"/>
      <c r="BA915" s="93"/>
      <c r="BB915" s="93"/>
      <c r="BC915" s="93"/>
      <c r="BD915" s="93"/>
      <c r="BE915" s="93"/>
      <c r="BF915" s="93"/>
      <c r="BG915" s="93"/>
      <c r="BH915" s="93"/>
      <c r="BI915" s="93"/>
      <c r="BJ915" s="93"/>
      <c r="BK915" s="93"/>
      <c r="BL915" s="93"/>
      <c r="BM915" s="93"/>
      <c r="BN915" s="93"/>
      <c r="BO915" s="93"/>
      <c r="BP915" s="93"/>
      <c r="BQ915" s="93"/>
      <c r="BR915" s="93"/>
      <c r="BS915" s="93"/>
      <c r="BT915" s="93"/>
      <c r="BU915" s="93"/>
      <c r="BV915" s="93"/>
      <c r="BW915" s="93"/>
      <c r="BX915" s="93"/>
      <c r="BY915" s="93"/>
      <c r="BZ915" s="93"/>
    </row>
    <row r="916">
      <c r="B916" t="s">
        <v>3502</v>
      </c>
      <c r="C916" s="89" t="s">
        <v>3503</v>
      </c>
      <c r="D916" s="90" t="s">
        <v>3089</v>
      </c>
      <c r="E916" s="91">
        <v>2018.0</v>
      </c>
      <c r="F916" s="104">
        <v>1.0</v>
      </c>
      <c r="G916" s="93"/>
      <c r="H916" s="93"/>
      <c r="I916" s="93"/>
      <c r="J916" s="93"/>
      <c r="K916" s="93"/>
      <c r="L916" s="93"/>
      <c r="M916" s="93"/>
      <c r="N916" s="93"/>
      <c r="O916" s="93"/>
      <c r="P916" s="93"/>
      <c r="Q916" s="93"/>
      <c r="R916" s="93"/>
      <c r="S916" s="93"/>
      <c r="T916" s="93"/>
      <c r="U916" s="93"/>
      <c r="V916" s="93"/>
      <c r="W916" s="93"/>
      <c r="X916" s="93"/>
      <c r="Y916" s="93"/>
      <c r="Z916" s="93"/>
      <c r="AA916" s="93"/>
      <c r="AB916" s="93"/>
      <c r="AC916" s="93"/>
      <c r="AD916" s="93"/>
      <c r="AE916" s="93"/>
      <c r="AF916" s="93"/>
      <c r="AG916" s="93"/>
      <c r="AH916" s="93"/>
      <c r="AI916" s="93"/>
      <c r="AJ916" s="93"/>
      <c r="AK916" s="93"/>
      <c r="AL916" s="93"/>
      <c r="AM916" s="93"/>
      <c r="AN916" s="93"/>
      <c r="AO916" s="93"/>
      <c r="AP916" s="93"/>
      <c r="AQ916" s="93"/>
      <c r="AR916" s="93"/>
      <c r="AS916" s="93"/>
      <c r="AT916" s="93"/>
      <c r="AU916" s="93"/>
      <c r="AV916" s="93"/>
      <c r="AW916" s="93"/>
      <c r="AX916" s="93"/>
      <c r="AY916" s="93"/>
      <c r="AZ916" s="93"/>
      <c r="BA916" s="93"/>
      <c r="BB916" s="93"/>
      <c r="BC916" s="93"/>
      <c r="BD916" s="93"/>
      <c r="BE916" s="93"/>
      <c r="BF916" s="93"/>
      <c r="BG916" s="93"/>
      <c r="BH916" s="93"/>
      <c r="BI916" s="93"/>
      <c r="BJ916" s="93"/>
      <c r="BK916" s="93"/>
      <c r="BL916" s="93"/>
      <c r="BM916" s="93"/>
      <c r="BN916" s="93"/>
      <c r="BO916" s="93"/>
      <c r="BP916" s="93"/>
      <c r="BQ916" s="93"/>
      <c r="BR916" s="93"/>
      <c r="BS916" s="93"/>
      <c r="BT916" s="93"/>
      <c r="BU916" s="93"/>
      <c r="BV916" s="93"/>
      <c r="BW916" s="93"/>
      <c r="BX916" s="93"/>
      <c r="BY916" s="93"/>
      <c r="BZ916" s="93"/>
    </row>
    <row r="917">
      <c r="B917" t="s">
        <v>3504</v>
      </c>
      <c r="C917" s="89" t="s">
        <v>3505</v>
      </c>
      <c r="D917" s="90" t="s">
        <v>3506</v>
      </c>
      <c r="E917" s="91">
        <v>2015.0</v>
      </c>
      <c r="F917" s="104">
        <v>1.0</v>
      </c>
      <c r="G917" s="93"/>
      <c r="H917" s="93"/>
      <c r="I917" s="93"/>
      <c r="J917" s="93"/>
      <c r="K917" s="93"/>
      <c r="L917" s="93"/>
      <c r="M917" s="93"/>
      <c r="N917" s="93"/>
      <c r="O917" s="93"/>
      <c r="P917" s="93"/>
      <c r="Q917" s="93"/>
      <c r="R917" s="93"/>
      <c r="S917" s="93"/>
      <c r="T917" s="93"/>
      <c r="U917" s="93"/>
      <c r="V917" s="93"/>
      <c r="W917" s="93"/>
      <c r="X917" s="93"/>
      <c r="Y917" s="93"/>
      <c r="Z917" s="93"/>
      <c r="AA917" s="93"/>
      <c r="AB917" s="93"/>
      <c r="AC917" s="93"/>
      <c r="AD917" s="93"/>
      <c r="AE917" s="93"/>
      <c r="AF917" s="93"/>
      <c r="AG917" s="93"/>
      <c r="AH917" s="93"/>
      <c r="AI917" s="93"/>
      <c r="AJ917" s="93"/>
      <c r="AK917" s="93"/>
      <c r="AL917" s="93"/>
      <c r="AM917" s="93"/>
      <c r="AN917" s="93"/>
      <c r="AO917" s="93"/>
      <c r="AP917" s="93"/>
      <c r="AQ917" s="93"/>
      <c r="AR917" s="93"/>
      <c r="AS917" s="93"/>
      <c r="AT917" s="93"/>
      <c r="AU917" s="93"/>
      <c r="AV917" s="93"/>
      <c r="AW917" s="93"/>
      <c r="AX917" s="93"/>
      <c r="AY917" s="93"/>
      <c r="AZ917" s="93"/>
      <c r="BA917" s="93"/>
      <c r="BB917" s="93"/>
      <c r="BC917" s="93"/>
      <c r="BD917" s="93"/>
      <c r="BE917" s="93"/>
      <c r="BF917" s="93"/>
      <c r="BG917" s="93"/>
      <c r="BH917" s="93"/>
      <c r="BI917" s="93"/>
      <c r="BJ917" s="93"/>
      <c r="BK917" s="93"/>
      <c r="BL917" s="93"/>
      <c r="BM917" s="93"/>
      <c r="BN917" s="93"/>
      <c r="BO917" s="93"/>
      <c r="BP917" s="93"/>
      <c r="BQ917" s="93"/>
      <c r="BR917" s="93"/>
      <c r="BS917" s="93"/>
      <c r="BT917" s="93"/>
      <c r="BU917" s="93"/>
      <c r="BV917" s="93"/>
      <c r="BW917" s="93"/>
      <c r="BX917" s="93"/>
      <c r="BY917" s="93"/>
      <c r="BZ917" s="93"/>
    </row>
    <row r="918">
      <c r="B918" t="s">
        <v>3507</v>
      </c>
      <c r="C918" s="89" t="s">
        <v>3508</v>
      </c>
      <c r="D918" s="90" t="s">
        <v>2874</v>
      </c>
      <c r="E918" s="91">
        <v>2019.0</v>
      </c>
      <c r="F918" s="104">
        <v>1.0</v>
      </c>
      <c r="G918" s="93"/>
      <c r="H918" s="93"/>
      <c r="I918" s="93"/>
      <c r="J918" s="93"/>
      <c r="K918" s="93"/>
      <c r="L918" s="93"/>
      <c r="M918" s="93"/>
      <c r="N918" s="93"/>
      <c r="O918" s="93"/>
      <c r="P918" s="93"/>
      <c r="Q918" s="93"/>
      <c r="R918" s="93"/>
      <c r="S918" s="93"/>
      <c r="T918" s="93"/>
      <c r="U918" s="93"/>
      <c r="V918" s="93"/>
      <c r="W918" s="93"/>
      <c r="X918" s="93"/>
      <c r="Y918" s="93"/>
      <c r="Z918" s="93"/>
      <c r="AA918" s="93"/>
      <c r="AB918" s="93"/>
      <c r="AC918" s="93"/>
      <c r="AD918" s="93"/>
      <c r="AE918" s="93"/>
      <c r="AF918" s="93"/>
      <c r="AG918" s="93"/>
      <c r="AH918" s="93"/>
      <c r="AI918" s="93"/>
      <c r="AJ918" s="93"/>
      <c r="AK918" s="93"/>
      <c r="AL918" s="93"/>
      <c r="AM918" s="93"/>
      <c r="AN918" s="93"/>
      <c r="AO918" s="93"/>
      <c r="AP918" s="93"/>
      <c r="AQ918" s="93"/>
      <c r="AR918" s="93"/>
      <c r="AS918" s="93"/>
      <c r="AT918" s="93"/>
      <c r="AU918" s="93"/>
      <c r="AV918" s="93"/>
      <c r="AW918" s="93"/>
      <c r="AX918" s="93"/>
      <c r="AY918" s="93"/>
      <c r="AZ918" s="93"/>
      <c r="BA918" s="93"/>
      <c r="BB918" s="93"/>
      <c r="BC918" s="93"/>
      <c r="BD918" s="93"/>
      <c r="BE918" s="93"/>
      <c r="BF918" s="93"/>
      <c r="BG918" s="93"/>
      <c r="BH918" s="93"/>
      <c r="BI918" s="93"/>
      <c r="BJ918" s="93"/>
      <c r="BK918" s="93"/>
      <c r="BL918" s="93"/>
      <c r="BM918" s="93"/>
      <c r="BN918" s="93"/>
      <c r="BO918" s="93"/>
      <c r="BP918" s="93"/>
      <c r="BQ918" s="93"/>
      <c r="BR918" s="93"/>
      <c r="BS918" s="93"/>
      <c r="BT918" s="93"/>
      <c r="BU918" s="93"/>
      <c r="BV918" s="93"/>
      <c r="BW918" s="93"/>
      <c r="BX918" s="93"/>
      <c r="BY918" s="93"/>
      <c r="BZ918" s="93"/>
    </row>
    <row r="919">
      <c r="B919" t="s">
        <v>3509</v>
      </c>
      <c r="C919" s="89" t="s">
        <v>3510</v>
      </c>
      <c r="D919" s="90" t="s">
        <v>2856</v>
      </c>
      <c r="E919" s="91">
        <v>2018.0</v>
      </c>
      <c r="F919" s="104">
        <v>1.0</v>
      </c>
      <c r="G919" s="93"/>
      <c r="H919" s="93"/>
      <c r="I919" s="93"/>
      <c r="J919" s="93"/>
      <c r="K919" s="93"/>
      <c r="L919" s="93"/>
      <c r="M919" s="93"/>
      <c r="N919" s="93"/>
      <c r="O919" s="93"/>
      <c r="P919" s="93"/>
      <c r="Q919" s="93"/>
      <c r="R919" s="93"/>
      <c r="S919" s="93"/>
      <c r="T919" s="93"/>
      <c r="U919" s="93"/>
      <c r="V919" s="93"/>
      <c r="W919" s="93"/>
      <c r="X919" s="93"/>
      <c r="Y919" s="93"/>
      <c r="Z919" s="93"/>
      <c r="AA919" s="93"/>
      <c r="AB919" s="93"/>
      <c r="AC919" s="93"/>
      <c r="AD919" s="93"/>
      <c r="AE919" s="93"/>
      <c r="AF919" s="93"/>
      <c r="AG919" s="93"/>
      <c r="AH919" s="93"/>
      <c r="AI919" s="93"/>
      <c r="AJ919" s="93"/>
      <c r="AK919" s="93"/>
      <c r="AL919" s="93"/>
      <c r="AM919" s="93"/>
      <c r="AN919" s="93"/>
      <c r="AO919" s="93"/>
      <c r="AP919" s="93"/>
      <c r="AQ919" s="93"/>
      <c r="AR919" s="93"/>
      <c r="AS919" s="93"/>
      <c r="AT919" s="93"/>
      <c r="AU919" s="93"/>
      <c r="AV919" s="93"/>
      <c r="AW919" s="93"/>
      <c r="AX919" s="93"/>
      <c r="AY919" s="93"/>
      <c r="AZ919" s="93"/>
      <c r="BA919" s="93"/>
      <c r="BB919" s="93"/>
      <c r="BC919" s="93"/>
      <c r="BD919" s="93"/>
      <c r="BE919" s="93"/>
      <c r="BF919" s="93"/>
      <c r="BG919" s="93"/>
      <c r="BH919" s="93"/>
      <c r="BI919" s="93"/>
      <c r="BJ919" s="93"/>
      <c r="BK919" s="93"/>
      <c r="BL919" s="93"/>
      <c r="BM919" s="93"/>
      <c r="BN919" s="93"/>
      <c r="BO919" s="93"/>
      <c r="BP919" s="93"/>
      <c r="BQ919" s="93"/>
      <c r="BR919" s="93"/>
      <c r="BS919" s="93"/>
      <c r="BT919" s="93"/>
      <c r="BU919" s="93"/>
      <c r="BV919" s="93"/>
      <c r="BW919" s="93"/>
      <c r="BX919" s="93"/>
      <c r="BY919" s="93"/>
      <c r="BZ919" s="93"/>
    </row>
    <row r="920">
      <c r="B920" t="s">
        <v>3511</v>
      </c>
      <c r="C920" s="89" t="s">
        <v>3512</v>
      </c>
      <c r="D920" s="90" t="s">
        <v>2874</v>
      </c>
      <c r="E920" s="91">
        <v>2019.0</v>
      </c>
      <c r="F920" s="104">
        <v>1.0</v>
      </c>
      <c r="G920" s="93"/>
      <c r="H920" s="93"/>
      <c r="I920" s="93"/>
      <c r="J920" s="93"/>
      <c r="K920" s="93"/>
      <c r="L920" s="93"/>
      <c r="M920" s="93"/>
      <c r="N920" s="93"/>
      <c r="O920" s="93"/>
      <c r="P920" s="93"/>
      <c r="Q920" s="93"/>
      <c r="R920" s="93"/>
      <c r="S920" s="93"/>
      <c r="T920" s="93"/>
      <c r="U920" s="93"/>
      <c r="V920" s="93"/>
      <c r="W920" s="93"/>
      <c r="X920" s="93"/>
      <c r="Y920" s="93"/>
      <c r="Z920" s="93"/>
      <c r="AA920" s="93"/>
      <c r="AB920" s="93"/>
      <c r="AC920" s="93"/>
      <c r="AD920" s="93"/>
      <c r="AE920" s="93"/>
      <c r="AF920" s="93"/>
      <c r="AG920" s="93"/>
      <c r="AH920" s="93"/>
      <c r="AI920" s="93"/>
      <c r="AJ920" s="93"/>
      <c r="AK920" s="93"/>
      <c r="AL920" s="93"/>
      <c r="AM920" s="93"/>
      <c r="AN920" s="93"/>
      <c r="AO920" s="93"/>
      <c r="AP920" s="93"/>
      <c r="AQ920" s="93"/>
      <c r="AR920" s="93"/>
      <c r="AS920" s="93"/>
      <c r="AT920" s="93"/>
      <c r="AU920" s="93"/>
      <c r="AV920" s="93"/>
      <c r="AW920" s="93"/>
      <c r="AX920" s="93"/>
      <c r="AY920" s="93"/>
      <c r="AZ920" s="93"/>
      <c r="BA920" s="93"/>
      <c r="BB920" s="93"/>
      <c r="BC920" s="93"/>
      <c r="BD920" s="93"/>
      <c r="BE920" s="93"/>
      <c r="BF920" s="93"/>
      <c r="BG920" s="93"/>
      <c r="BH920" s="93"/>
      <c r="BI920" s="93"/>
      <c r="BJ920" s="93"/>
      <c r="BK920" s="93"/>
      <c r="BL920" s="93"/>
      <c r="BM920" s="93"/>
      <c r="BN920" s="93"/>
      <c r="BO920" s="93"/>
      <c r="BP920" s="93"/>
      <c r="BQ920" s="93"/>
      <c r="BR920" s="93"/>
      <c r="BS920" s="93"/>
      <c r="BT920" s="93"/>
      <c r="BU920" s="93"/>
      <c r="BV920" s="93"/>
      <c r="BW920" s="93"/>
      <c r="BX920" s="93"/>
      <c r="BY920" s="93"/>
      <c r="BZ920" s="93"/>
    </row>
    <row r="921">
      <c r="B921" t="s">
        <v>3513</v>
      </c>
      <c r="C921" s="89" t="s">
        <v>3514</v>
      </c>
      <c r="D921" s="90" t="s">
        <v>1597</v>
      </c>
      <c r="E921" s="91">
        <v>2016.0</v>
      </c>
      <c r="F921" s="104">
        <v>1.0</v>
      </c>
      <c r="G921" s="93"/>
      <c r="H921" s="93"/>
      <c r="I921" s="93"/>
      <c r="J921" s="93"/>
      <c r="K921" s="93"/>
      <c r="L921" s="93"/>
      <c r="M921" s="93"/>
      <c r="N921" s="93"/>
      <c r="O921" s="93"/>
      <c r="P921" s="93"/>
      <c r="Q921" s="93"/>
      <c r="R921" s="93"/>
      <c r="S921" s="93"/>
      <c r="T921" s="93"/>
      <c r="U921" s="93"/>
      <c r="V921" s="93"/>
      <c r="W921" s="93"/>
      <c r="X921" s="93"/>
      <c r="Y921" s="93"/>
      <c r="Z921" s="93"/>
      <c r="AA921" s="93"/>
      <c r="AB921" s="93"/>
      <c r="AC921" s="93"/>
      <c r="AD921" s="93"/>
      <c r="AE921" s="93"/>
      <c r="AF921" s="93"/>
      <c r="AG921" s="93"/>
      <c r="AH921" s="93"/>
      <c r="AI921" s="93"/>
      <c r="AJ921" s="93"/>
      <c r="AK921" s="93"/>
      <c r="AL921" s="93"/>
      <c r="AM921" s="93"/>
      <c r="AN921" s="93"/>
      <c r="AO921" s="93"/>
      <c r="AP921" s="93"/>
      <c r="AQ921" s="93"/>
      <c r="AR921" s="93"/>
      <c r="AS921" s="93"/>
      <c r="AT921" s="93"/>
      <c r="AU921" s="93"/>
      <c r="AV921" s="93"/>
      <c r="AW921" s="93"/>
      <c r="AX921" s="93"/>
      <c r="AY921" s="93"/>
      <c r="AZ921" s="93"/>
      <c r="BA921" s="93"/>
      <c r="BB921" s="93"/>
      <c r="BC921" s="93"/>
      <c r="BD921" s="93"/>
      <c r="BE921" s="93"/>
      <c r="BF921" s="93"/>
      <c r="BG921" s="93"/>
      <c r="BH921" s="93"/>
      <c r="BI921" s="93"/>
      <c r="BJ921" s="93"/>
      <c r="BK921" s="93"/>
      <c r="BL921" s="93"/>
      <c r="BM921" s="93"/>
      <c r="BN921" s="93"/>
      <c r="BO921" s="93"/>
      <c r="BP921" s="93"/>
      <c r="BQ921" s="93"/>
      <c r="BR921" s="93"/>
      <c r="BS921" s="93"/>
      <c r="BT921" s="93"/>
      <c r="BU921" s="93"/>
      <c r="BV921" s="93"/>
      <c r="BW921" s="93"/>
      <c r="BX921" s="93"/>
      <c r="BY921" s="93"/>
      <c r="BZ921" s="93"/>
    </row>
    <row r="922">
      <c r="B922" t="s">
        <v>3515</v>
      </c>
      <c r="C922" s="89" t="s">
        <v>3516</v>
      </c>
      <c r="D922" s="90" t="s">
        <v>3472</v>
      </c>
      <c r="E922" s="91">
        <v>2018.0</v>
      </c>
      <c r="F922" s="104">
        <v>1.0</v>
      </c>
      <c r="G922" s="93"/>
      <c r="H922" s="93"/>
      <c r="I922" s="93"/>
      <c r="J922" s="93"/>
      <c r="K922" s="93"/>
      <c r="L922" s="93"/>
      <c r="M922" s="93"/>
      <c r="N922" s="93"/>
      <c r="O922" s="93"/>
      <c r="P922" s="93"/>
      <c r="Q922" s="93"/>
      <c r="R922" s="93"/>
      <c r="S922" s="93"/>
      <c r="T922" s="93"/>
      <c r="U922" s="93"/>
      <c r="V922" s="93"/>
      <c r="W922" s="93"/>
      <c r="X922" s="93"/>
      <c r="Y922" s="93"/>
      <c r="Z922" s="93"/>
      <c r="AA922" s="93"/>
      <c r="AB922" s="93"/>
      <c r="AC922" s="93"/>
      <c r="AD922" s="93"/>
      <c r="AE922" s="93"/>
      <c r="AF922" s="93"/>
      <c r="AG922" s="93"/>
      <c r="AH922" s="93"/>
      <c r="AI922" s="93"/>
      <c r="AJ922" s="93"/>
      <c r="AK922" s="93"/>
      <c r="AL922" s="93"/>
      <c r="AM922" s="93"/>
      <c r="AN922" s="93"/>
      <c r="AO922" s="93"/>
      <c r="AP922" s="93"/>
      <c r="AQ922" s="93"/>
      <c r="AR922" s="93"/>
      <c r="AS922" s="93"/>
      <c r="AT922" s="93"/>
      <c r="AU922" s="93"/>
      <c r="AV922" s="93"/>
      <c r="AW922" s="93"/>
      <c r="AX922" s="93"/>
      <c r="AY922" s="93"/>
      <c r="AZ922" s="93"/>
      <c r="BA922" s="93"/>
      <c r="BB922" s="93"/>
      <c r="BC922" s="93"/>
      <c r="BD922" s="93"/>
      <c r="BE922" s="93"/>
      <c r="BF922" s="93"/>
      <c r="BG922" s="93"/>
      <c r="BH922" s="93"/>
      <c r="BI922" s="93"/>
      <c r="BJ922" s="93"/>
      <c r="BK922" s="93"/>
      <c r="BL922" s="93"/>
      <c r="BM922" s="93"/>
      <c r="BN922" s="93"/>
      <c r="BO922" s="93"/>
      <c r="BP922" s="93"/>
      <c r="BQ922" s="93"/>
      <c r="BR922" s="93"/>
      <c r="BS922" s="93"/>
      <c r="BT922" s="93"/>
      <c r="BU922" s="93"/>
      <c r="BV922" s="93"/>
      <c r="BW922" s="93"/>
      <c r="BX922" s="93"/>
      <c r="BY922" s="93"/>
      <c r="BZ922" s="93"/>
    </row>
    <row r="923">
      <c r="B923" t="s">
        <v>3517</v>
      </c>
      <c r="C923" s="89" t="s">
        <v>3518</v>
      </c>
      <c r="D923" s="90" t="s">
        <v>3519</v>
      </c>
      <c r="E923" s="91">
        <v>2017.0</v>
      </c>
      <c r="F923" s="104">
        <v>1.0</v>
      </c>
      <c r="G923" s="93"/>
      <c r="H923" s="93"/>
      <c r="I923" s="93"/>
      <c r="J923" s="93"/>
      <c r="K923" s="93"/>
      <c r="L923" s="93"/>
      <c r="M923" s="93"/>
      <c r="N923" s="93"/>
      <c r="O923" s="93"/>
      <c r="P923" s="93"/>
      <c r="Q923" s="93"/>
      <c r="R923" s="93"/>
      <c r="S923" s="93"/>
      <c r="T923" s="93"/>
      <c r="U923" s="93"/>
      <c r="V923" s="93"/>
      <c r="W923" s="93"/>
      <c r="X923" s="93"/>
      <c r="Y923" s="93"/>
      <c r="Z923" s="93"/>
      <c r="AA923" s="93"/>
      <c r="AB923" s="93"/>
      <c r="AC923" s="93"/>
      <c r="AD923" s="93"/>
      <c r="AE923" s="93"/>
      <c r="AF923" s="93"/>
      <c r="AG923" s="93"/>
      <c r="AH923" s="93"/>
      <c r="AI923" s="93"/>
      <c r="AJ923" s="93"/>
      <c r="AK923" s="93"/>
      <c r="AL923" s="93"/>
      <c r="AM923" s="93"/>
      <c r="AN923" s="93"/>
      <c r="AO923" s="93"/>
      <c r="AP923" s="93"/>
      <c r="AQ923" s="93"/>
      <c r="AR923" s="93"/>
      <c r="AS923" s="93"/>
      <c r="AT923" s="93"/>
      <c r="AU923" s="93"/>
      <c r="AV923" s="93"/>
      <c r="AW923" s="93"/>
      <c r="AX923" s="93"/>
      <c r="AY923" s="93"/>
      <c r="AZ923" s="93"/>
      <c r="BA923" s="93"/>
      <c r="BB923" s="93"/>
      <c r="BC923" s="93"/>
      <c r="BD923" s="93"/>
      <c r="BE923" s="93"/>
      <c r="BF923" s="93"/>
      <c r="BG923" s="93"/>
      <c r="BH923" s="93"/>
      <c r="BI923" s="93"/>
      <c r="BJ923" s="93"/>
      <c r="BK923" s="93"/>
      <c r="BL923" s="93"/>
      <c r="BM923" s="93"/>
      <c r="BN923" s="93"/>
      <c r="BO923" s="93"/>
      <c r="BP923" s="93"/>
      <c r="BQ923" s="93"/>
      <c r="BR923" s="93"/>
      <c r="BS923" s="93"/>
      <c r="BT923" s="93"/>
      <c r="BU923" s="93"/>
      <c r="BV923" s="93"/>
      <c r="BW923" s="93"/>
      <c r="BX923" s="93"/>
      <c r="BY923" s="93"/>
      <c r="BZ923" s="93"/>
    </row>
    <row r="924">
      <c r="B924" t="s">
        <v>3520</v>
      </c>
      <c r="C924" s="89" t="s">
        <v>3521</v>
      </c>
      <c r="D924" s="90" t="s">
        <v>3522</v>
      </c>
      <c r="E924" s="91">
        <v>2016.0</v>
      </c>
      <c r="F924" s="104">
        <v>1.0</v>
      </c>
      <c r="G924" s="93"/>
      <c r="H924" s="93"/>
      <c r="I924" s="93"/>
      <c r="J924" s="93"/>
      <c r="K924" s="93"/>
      <c r="L924" s="93"/>
      <c r="M924" s="93"/>
      <c r="N924" s="93"/>
      <c r="O924" s="93"/>
      <c r="P924" s="93"/>
      <c r="Q924" s="93"/>
      <c r="R924" s="93"/>
      <c r="S924" s="93"/>
      <c r="T924" s="93"/>
      <c r="U924" s="93"/>
      <c r="V924" s="93"/>
      <c r="W924" s="93"/>
      <c r="X924" s="93"/>
      <c r="Y924" s="93"/>
      <c r="Z924" s="93"/>
      <c r="AA924" s="93"/>
      <c r="AB924" s="93"/>
      <c r="AC924" s="93"/>
      <c r="AD924" s="93"/>
      <c r="AE924" s="93"/>
      <c r="AF924" s="93"/>
      <c r="AG924" s="93"/>
      <c r="AH924" s="93"/>
      <c r="AI924" s="93"/>
      <c r="AJ924" s="93"/>
      <c r="AK924" s="93"/>
      <c r="AL924" s="93"/>
      <c r="AM924" s="93"/>
      <c r="AN924" s="93"/>
      <c r="AO924" s="93"/>
      <c r="AP924" s="93"/>
      <c r="AQ924" s="93"/>
      <c r="AR924" s="93"/>
      <c r="AS924" s="93"/>
      <c r="AT924" s="93"/>
      <c r="AU924" s="93"/>
      <c r="AV924" s="93"/>
      <c r="AW924" s="93"/>
      <c r="AX924" s="93"/>
      <c r="AY924" s="93"/>
      <c r="AZ924" s="93"/>
      <c r="BA924" s="93"/>
      <c r="BB924" s="93"/>
      <c r="BC924" s="93"/>
      <c r="BD924" s="93"/>
      <c r="BE924" s="93"/>
      <c r="BF924" s="93"/>
      <c r="BG924" s="93"/>
      <c r="BH924" s="93"/>
      <c r="BI924" s="93"/>
      <c r="BJ924" s="93"/>
      <c r="BK924" s="93"/>
      <c r="BL924" s="93"/>
      <c r="BM924" s="93"/>
      <c r="BN924" s="93"/>
      <c r="BO924" s="93"/>
      <c r="BP924" s="93"/>
      <c r="BQ924" s="93"/>
      <c r="BR924" s="93"/>
      <c r="BS924" s="93"/>
      <c r="BT924" s="93"/>
      <c r="BU924" s="93"/>
      <c r="BV924" s="93"/>
      <c r="BW924" s="93"/>
      <c r="BX924" s="93"/>
      <c r="BY924" s="93"/>
      <c r="BZ924" s="93"/>
    </row>
    <row r="925">
      <c r="B925" t="s">
        <v>3523</v>
      </c>
      <c r="C925" s="89" t="s">
        <v>3524</v>
      </c>
      <c r="D925" s="90" t="s">
        <v>3525</v>
      </c>
      <c r="E925" s="91">
        <v>2018.0</v>
      </c>
      <c r="F925" s="104">
        <v>1.0</v>
      </c>
      <c r="G925" s="93"/>
      <c r="H925" s="93"/>
      <c r="I925" s="93"/>
      <c r="J925" s="93"/>
      <c r="K925" s="93"/>
      <c r="L925" s="93"/>
      <c r="M925" s="93"/>
      <c r="N925" s="93"/>
      <c r="O925" s="93"/>
      <c r="P925" s="93"/>
      <c r="Q925" s="93"/>
      <c r="R925" s="93"/>
      <c r="S925" s="93"/>
      <c r="T925" s="93"/>
      <c r="U925" s="93"/>
      <c r="V925" s="93"/>
      <c r="W925" s="93"/>
      <c r="X925" s="93"/>
      <c r="Y925" s="93"/>
      <c r="Z925" s="93"/>
      <c r="AA925" s="93"/>
      <c r="AB925" s="93"/>
      <c r="AC925" s="93"/>
      <c r="AD925" s="93"/>
      <c r="AE925" s="93"/>
      <c r="AF925" s="93"/>
      <c r="AG925" s="93"/>
      <c r="AH925" s="93"/>
      <c r="AI925" s="93"/>
      <c r="AJ925" s="93"/>
      <c r="AK925" s="93"/>
      <c r="AL925" s="93"/>
      <c r="AM925" s="93"/>
      <c r="AN925" s="93"/>
      <c r="AO925" s="93"/>
      <c r="AP925" s="93"/>
      <c r="AQ925" s="93"/>
      <c r="AR925" s="93"/>
      <c r="AS925" s="93"/>
      <c r="AT925" s="93"/>
      <c r="AU925" s="93"/>
      <c r="AV925" s="93"/>
      <c r="AW925" s="93"/>
      <c r="AX925" s="93"/>
      <c r="AY925" s="93"/>
      <c r="AZ925" s="93"/>
      <c r="BA925" s="93"/>
      <c r="BB925" s="93"/>
      <c r="BC925" s="93"/>
      <c r="BD925" s="93"/>
      <c r="BE925" s="93"/>
      <c r="BF925" s="93"/>
      <c r="BG925" s="93"/>
      <c r="BH925" s="93"/>
      <c r="BI925" s="93"/>
      <c r="BJ925" s="93"/>
      <c r="BK925" s="93"/>
      <c r="BL925" s="93"/>
      <c r="BM925" s="93"/>
      <c r="BN925" s="93"/>
      <c r="BO925" s="93"/>
      <c r="BP925" s="93"/>
      <c r="BQ925" s="93"/>
      <c r="BR925" s="93"/>
      <c r="BS925" s="93"/>
      <c r="BT925" s="93"/>
      <c r="BU925" s="93"/>
      <c r="BV925" s="93"/>
      <c r="BW925" s="93"/>
      <c r="BX925" s="93"/>
      <c r="BY925" s="93"/>
      <c r="BZ925" s="93"/>
    </row>
    <row r="926">
      <c r="B926" t="s">
        <v>3526</v>
      </c>
      <c r="C926" s="89" t="s">
        <v>3527</v>
      </c>
      <c r="D926" s="90" t="s">
        <v>3528</v>
      </c>
      <c r="E926" s="91">
        <v>2015.0</v>
      </c>
      <c r="F926" s="104">
        <v>1.0</v>
      </c>
      <c r="G926" s="93"/>
      <c r="H926" s="93"/>
      <c r="I926" s="93"/>
      <c r="J926" s="93"/>
      <c r="K926" s="93"/>
      <c r="L926" s="93"/>
      <c r="M926" s="93"/>
      <c r="N926" s="93"/>
      <c r="O926" s="93"/>
      <c r="P926" s="93"/>
      <c r="Q926" s="93"/>
      <c r="R926" s="93"/>
      <c r="S926" s="93"/>
      <c r="T926" s="93"/>
      <c r="U926" s="93"/>
      <c r="V926" s="93"/>
      <c r="W926" s="93"/>
      <c r="X926" s="93"/>
      <c r="Y926" s="93"/>
      <c r="Z926" s="93"/>
      <c r="AA926" s="93"/>
      <c r="AB926" s="93"/>
      <c r="AC926" s="93"/>
      <c r="AD926" s="93"/>
      <c r="AE926" s="93"/>
      <c r="AF926" s="93"/>
      <c r="AG926" s="93"/>
      <c r="AH926" s="93"/>
      <c r="AI926" s="93"/>
      <c r="AJ926" s="93"/>
      <c r="AK926" s="93"/>
      <c r="AL926" s="93"/>
      <c r="AM926" s="93"/>
      <c r="AN926" s="93"/>
      <c r="AO926" s="93"/>
      <c r="AP926" s="93"/>
      <c r="AQ926" s="93"/>
      <c r="AR926" s="93"/>
      <c r="AS926" s="93"/>
      <c r="AT926" s="93"/>
      <c r="AU926" s="93"/>
      <c r="AV926" s="93"/>
      <c r="AW926" s="93"/>
      <c r="AX926" s="93"/>
      <c r="AY926" s="93"/>
      <c r="AZ926" s="93"/>
      <c r="BA926" s="93"/>
      <c r="BB926" s="93"/>
      <c r="BC926" s="93"/>
      <c r="BD926" s="93"/>
      <c r="BE926" s="93"/>
      <c r="BF926" s="93"/>
      <c r="BG926" s="93"/>
      <c r="BH926" s="93"/>
      <c r="BI926" s="93"/>
      <c r="BJ926" s="93"/>
      <c r="BK926" s="93"/>
      <c r="BL926" s="93"/>
      <c r="BM926" s="93"/>
      <c r="BN926" s="93"/>
      <c r="BO926" s="93"/>
      <c r="BP926" s="93"/>
      <c r="BQ926" s="93"/>
      <c r="BR926" s="93"/>
      <c r="BS926" s="93"/>
      <c r="BT926" s="93"/>
      <c r="BU926" s="93"/>
      <c r="BV926" s="93"/>
      <c r="BW926" s="93"/>
      <c r="BX926" s="93"/>
      <c r="BY926" s="93"/>
      <c r="BZ926" s="93"/>
    </row>
    <row r="927">
      <c r="B927" t="s">
        <v>3529</v>
      </c>
      <c r="C927" s="89" t="s">
        <v>3530</v>
      </c>
      <c r="D927" s="90" t="s">
        <v>3141</v>
      </c>
      <c r="E927" s="91">
        <v>2017.0</v>
      </c>
      <c r="F927" s="104">
        <v>1.0</v>
      </c>
      <c r="G927" s="93"/>
      <c r="H927" s="93"/>
      <c r="I927" s="93"/>
      <c r="J927" s="93"/>
      <c r="K927" s="93"/>
      <c r="L927" s="93"/>
      <c r="M927" s="93"/>
      <c r="N927" s="93"/>
      <c r="O927" s="93"/>
      <c r="P927" s="93"/>
      <c r="Q927" s="93"/>
      <c r="R927" s="93"/>
      <c r="S927" s="93"/>
      <c r="T927" s="93"/>
      <c r="U927" s="93"/>
      <c r="V927" s="93"/>
      <c r="W927" s="93"/>
      <c r="X927" s="93"/>
      <c r="Y927" s="93"/>
      <c r="Z927" s="93"/>
      <c r="AA927" s="93"/>
      <c r="AB927" s="93"/>
      <c r="AC927" s="93"/>
      <c r="AD927" s="93"/>
      <c r="AE927" s="93"/>
      <c r="AF927" s="93"/>
      <c r="AG927" s="93"/>
      <c r="AH927" s="93"/>
      <c r="AI927" s="93"/>
      <c r="AJ927" s="93"/>
      <c r="AK927" s="93"/>
      <c r="AL927" s="93"/>
      <c r="AM927" s="93"/>
      <c r="AN927" s="93"/>
      <c r="AO927" s="93"/>
      <c r="AP927" s="93"/>
      <c r="AQ927" s="93"/>
      <c r="AR927" s="93"/>
      <c r="AS927" s="93"/>
      <c r="AT927" s="93"/>
      <c r="AU927" s="93"/>
      <c r="AV927" s="93"/>
      <c r="AW927" s="93"/>
      <c r="AX927" s="93"/>
      <c r="AY927" s="93"/>
      <c r="AZ927" s="93"/>
      <c r="BA927" s="93"/>
      <c r="BB927" s="93"/>
      <c r="BC927" s="93"/>
      <c r="BD927" s="93"/>
      <c r="BE927" s="93"/>
      <c r="BF927" s="93"/>
      <c r="BG927" s="93"/>
      <c r="BH927" s="93"/>
      <c r="BI927" s="93"/>
      <c r="BJ927" s="93"/>
      <c r="BK927" s="93"/>
      <c r="BL927" s="93"/>
      <c r="BM927" s="93"/>
      <c r="BN927" s="93"/>
      <c r="BO927" s="93"/>
      <c r="BP927" s="93"/>
      <c r="BQ927" s="93"/>
      <c r="BR927" s="93"/>
      <c r="BS927" s="93"/>
      <c r="BT927" s="93"/>
      <c r="BU927" s="93"/>
      <c r="BV927" s="93"/>
      <c r="BW927" s="93"/>
      <c r="BX927" s="93"/>
      <c r="BY927" s="93"/>
      <c r="BZ927" s="93"/>
    </row>
    <row r="928">
      <c r="B928" t="s">
        <v>3531</v>
      </c>
      <c r="C928" s="89" t="s">
        <v>3532</v>
      </c>
      <c r="D928" s="90" t="s">
        <v>2900</v>
      </c>
      <c r="E928" s="91">
        <v>2018.0</v>
      </c>
      <c r="F928" s="104">
        <v>1.0</v>
      </c>
      <c r="G928" s="93"/>
      <c r="H928" s="93"/>
      <c r="I928" s="93"/>
      <c r="J928" s="93"/>
      <c r="K928" s="93"/>
      <c r="L928" s="93"/>
      <c r="M928" s="93"/>
      <c r="N928" s="93"/>
      <c r="O928" s="93"/>
      <c r="P928" s="93"/>
      <c r="Q928" s="93"/>
      <c r="R928" s="93"/>
      <c r="S928" s="93"/>
      <c r="T928" s="93"/>
      <c r="U928" s="93"/>
      <c r="V928" s="93"/>
      <c r="W928" s="93"/>
      <c r="X928" s="93"/>
      <c r="Y928" s="93"/>
      <c r="Z928" s="93"/>
      <c r="AA928" s="93"/>
      <c r="AB928" s="93"/>
      <c r="AC928" s="93"/>
      <c r="AD928" s="93"/>
      <c r="AE928" s="93"/>
      <c r="AF928" s="93"/>
      <c r="AG928" s="93"/>
      <c r="AH928" s="93"/>
      <c r="AI928" s="93"/>
      <c r="AJ928" s="93"/>
      <c r="AK928" s="93"/>
      <c r="AL928" s="93"/>
      <c r="AM928" s="93"/>
      <c r="AN928" s="93"/>
      <c r="AO928" s="93"/>
      <c r="AP928" s="93"/>
      <c r="AQ928" s="93"/>
      <c r="AR928" s="93"/>
      <c r="AS928" s="93"/>
      <c r="AT928" s="93"/>
      <c r="AU928" s="93"/>
      <c r="AV928" s="93"/>
      <c r="AW928" s="93"/>
      <c r="AX928" s="93"/>
      <c r="AY928" s="93"/>
      <c r="AZ928" s="93"/>
      <c r="BA928" s="93"/>
      <c r="BB928" s="93"/>
      <c r="BC928" s="93"/>
      <c r="BD928" s="93"/>
      <c r="BE928" s="93"/>
      <c r="BF928" s="93"/>
      <c r="BG928" s="93"/>
      <c r="BH928" s="93"/>
      <c r="BI928" s="93"/>
      <c r="BJ928" s="93"/>
      <c r="BK928" s="93"/>
      <c r="BL928" s="93"/>
      <c r="BM928" s="93"/>
      <c r="BN928" s="93"/>
      <c r="BO928" s="93"/>
      <c r="BP928" s="93"/>
      <c r="BQ928" s="93"/>
      <c r="BR928" s="93"/>
      <c r="BS928" s="93"/>
      <c r="BT928" s="93"/>
      <c r="BU928" s="93"/>
      <c r="BV928" s="93"/>
      <c r="BW928" s="93"/>
      <c r="BX928" s="93"/>
      <c r="BY928" s="93"/>
      <c r="BZ928" s="93"/>
    </row>
    <row r="929">
      <c r="B929" t="s">
        <v>3533</v>
      </c>
      <c r="C929" s="89" t="s">
        <v>3534</v>
      </c>
      <c r="D929" s="90" t="s">
        <v>3535</v>
      </c>
      <c r="E929" s="91">
        <v>2018.0</v>
      </c>
      <c r="F929" s="104">
        <v>1.0</v>
      </c>
      <c r="G929" s="93"/>
      <c r="H929" s="93"/>
      <c r="I929" s="93"/>
      <c r="J929" s="93"/>
      <c r="K929" s="93"/>
      <c r="L929" s="93"/>
      <c r="M929" s="93"/>
      <c r="N929" s="93"/>
      <c r="O929" s="93"/>
      <c r="P929" s="93"/>
      <c r="Q929" s="93"/>
      <c r="R929" s="93"/>
      <c r="S929" s="93"/>
      <c r="T929" s="93"/>
      <c r="U929" s="93"/>
      <c r="V929" s="93"/>
      <c r="W929" s="93"/>
      <c r="X929" s="93"/>
      <c r="Y929" s="93"/>
      <c r="Z929" s="93"/>
      <c r="AA929" s="93"/>
      <c r="AB929" s="93"/>
      <c r="AC929" s="93"/>
      <c r="AD929" s="93"/>
      <c r="AE929" s="93"/>
      <c r="AF929" s="93"/>
      <c r="AG929" s="93"/>
      <c r="AH929" s="93"/>
      <c r="AI929" s="93"/>
      <c r="AJ929" s="93"/>
      <c r="AK929" s="93"/>
      <c r="AL929" s="93"/>
      <c r="AM929" s="93"/>
      <c r="AN929" s="93"/>
      <c r="AO929" s="93"/>
      <c r="AP929" s="93"/>
      <c r="AQ929" s="93"/>
      <c r="AR929" s="93"/>
      <c r="AS929" s="93"/>
      <c r="AT929" s="93"/>
      <c r="AU929" s="93"/>
      <c r="AV929" s="93"/>
      <c r="AW929" s="93"/>
      <c r="AX929" s="93"/>
      <c r="AY929" s="93"/>
      <c r="AZ929" s="93"/>
      <c r="BA929" s="93"/>
      <c r="BB929" s="93"/>
      <c r="BC929" s="93"/>
      <c r="BD929" s="93"/>
      <c r="BE929" s="93"/>
      <c r="BF929" s="93"/>
      <c r="BG929" s="93"/>
      <c r="BH929" s="93"/>
      <c r="BI929" s="93"/>
      <c r="BJ929" s="93"/>
      <c r="BK929" s="93"/>
      <c r="BL929" s="93"/>
      <c r="BM929" s="93"/>
      <c r="BN929" s="93"/>
      <c r="BO929" s="93"/>
      <c r="BP929" s="93"/>
      <c r="BQ929" s="93"/>
      <c r="BR929" s="93"/>
      <c r="BS929" s="93"/>
      <c r="BT929" s="93"/>
      <c r="BU929" s="93"/>
      <c r="BV929" s="93"/>
      <c r="BW929" s="93"/>
      <c r="BX929" s="93"/>
      <c r="BY929" s="93"/>
      <c r="BZ929" s="93"/>
    </row>
    <row r="930">
      <c r="A930" t="s">
        <v>1331</v>
      </c>
      <c r="B930" t="s">
        <v>3536</v>
      </c>
      <c r="C930" s="89" t="s">
        <v>3537</v>
      </c>
      <c r="D930" s="90" t="s">
        <v>3538</v>
      </c>
      <c r="E930" s="91">
        <v>2019.0</v>
      </c>
      <c r="F930" s="104">
        <v>1.0</v>
      </c>
      <c r="G930" s="93"/>
      <c r="H930" s="93"/>
      <c r="I930" s="93"/>
      <c r="J930" s="93"/>
      <c r="K930" s="93"/>
      <c r="L930" s="93"/>
      <c r="M930" s="93"/>
      <c r="N930" s="93"/>
      <c r="O930" s="93"/>
      <c r="P930" s="93"/>
      <c r="Q930" s="93"/>
      <c r="R930" s="93"/>
      <c r="S930" s="93"/>
      <c r="T930" s="93"/>
      <c r="U930" s="93"/>
      <c r="V930" s="93"/>
      <c r="W930" s="93"/>
      <c r="X930" s="93"/>
      <c r="Y930" s="93"/>
      <c r="Z930" s="93"/>
      <c r="AA930" s="93"/>
      <c r="AB930" s="93"/>
      <c r="AC930" s="93"/>
      <c r="AD930" s="93"/>
      <c r="AE930" s="93"/>
      <c r="AF930" s="93"/>
      <c r="AG930" s="93"/>
      <c r="AH930" s="93"/>
      <c r="AI930" s="93"/>
      <c r="AJ930" s="93"/>
      <c r="AK930" s="93"/>
      <c r="AL930" s="93"/>
      <c r="AM930" s="93"/>
      <c r="AN930" s="93"/>
      <c r="AO930" s="93"/>
      <c r="AP930" s="93"/>
      <c r="AQ930" s="93"/>
      <c r="AR930" s="93"/>
      <c r="AS930" s="93"/>
      <c r="AT930" s="93"/>
      <c r="AU930" s="93"/>
      <c r="AV930" s="93"/>
      <c r="AW930" s="93"/>
      <c r="AX930" s="93"/>
      <c r="AY930" s="93"/>
      <c r="AZ930" s="93"/>
      <c r="BA930" s="93"/>
      <c r="BB930" s="93"/>
      <c r="BC930" s="93"/>
      <c r="BD930" s="93"/>
      <c r="BE930" s="93"/>
      <c r="BF930" s="93"/>
      <c r="BG930" s="93"/>
      <c r="BH930" s="93"/>
      <c r="BI930" s="93"/>
      <c r="BJ930" s="93"/>
      <c r="BK930" s="93"/>
      <c r="BL930" s="93"/>
      <c r="BM930" s="93"/>
      <c r="BN930" s="93"/>
      <c r="BO930" s="93"/>
      <c r="BP930" s="93"/>
      <c r="BQ930" s="93"/>
      <c r="BR930" s="93"/>
      <c r="BS930" s="93"/>
      <c r="BT930" s="93"/>
      <c r="BU930" s="93"/>
      <c r="BV930" s="93"/>
      <c r="BW930" s="93"/>
      <c r="BX930" s="93"/>
      <c r="BY930" s="93"/>
      <c r="BZ930" s="93"/>
    </row>
    <row r="931">
      <c r="B931" t="s">
        <v>3539</v>
      </c>
      <c r="C931" s="89" t="s">
        <v>3540</v>
      </c>
      <c r="D931" s="90" t="s">
        <v>3352</v>
      </c>
      <c r="E931" s="91">
        <v>2017.0</v>
      </c>
      <c r="F931" s="104">
        <v>1.0</v>
      </c>
      <c r="G931" s="93"/>
      <c r="H931" s="93"/>
      <c r="I931" s="93"/>
      <c r="J931" s="93"/>
      <c r="K931" s="93"/>
      <c r="L931" s="93"/>
      <c r="M931" s="93"/>
      <c r="N931" s="93"/>
      <c r="O931" s="93"/>
      <c r="P931" s="93"/>
      <c r="Q931" s="93"/>
      <c r="R931" s="93"/>
      <c r="S931" s="93"/>
      <c r="T931" s="93"/>
      <c r="U931" s="93"/>
      <c r="V931" s="93"/>
      <c r="W931" s="93"/>
      <c r="X931" s="93"/>
      <c r="Y931" s="93"/>
      <c r="Z931" s="93"/>
      <c r="AA931" s="93"/>
      <c r="AB931" s="93"/>
      <c r="AC931" s="93"/>
      <c r="AD931" s="93"/>
      <c r="AE931" s="93"/>
      <c r="AF931" s="93"/>
      <c r="AG931" s="93"/>
      <c r="AH931" s="93"/>
      <c r="AI931" s="93"/>
      <c r="AJ931" s="93"/>
      <c r="AK931" s="93"/>
      <c r="AL931" s="93"/>
      <c r="AM931" s="93"/>
      <c r="AN931" s="93"/>
      <c r="AO931" s="93"/>
      <c r="AP931" s="93"/>
      <c r="AQ931" s="93"/>
      <c r="AR931" s="93"/>
      <c r="AS931" s="93"/>
      <c r="AT931" s="93"/>
      <c r="AU931" s="93"/>
      <c r="AV931" s="93"/>
      <c r="AW931" s="93"/>
      <c r="AX931" s="93"/>
      <c r="AY931" s="93"/>
      <c r="AZ931" s="93"/>
      <c r="BA931" s="93"/>
      <c r="BB931" s="93"/>
      <c r="BC931" s="93"/>
      <c r="BD931" s="93"/>
      <c r="BE931" s="93"/>
      <c r="BF931" s="93"/>
      <c r="BG931" s="93"/>
      <c r="BH931" s="93"/>
      <c r="BI931" s="93"/>
      <c r="BJ931" s="93"/>
      <c r="BK931" s="93"/>
      <c r="BL931" s="93"/>
      <c r="BM931" s="93"/>
      <c r="BN931" s="93"/>
      <c r="BO931" s="93"/>
      <c r="BP931" s="93"/>
      <c r="BQ931" s="93"/>
      <c r="BR931" s="93"/>
      <c r="BS931" s="93"/>
      <c r="BT931" s="93"/>
      <c r="BU931" s="93"/>
      <c r="BV931" s="93"/>
      <c r="BW931" s="93"/>
      <c r="BX931" s="93"/>
      <c r="BY931" s="93"/>
      <c r="BZ931" s="93"/>
    </row>
    <row r="932">
      <c r="B932" t="s">
        <v>3541</v>
      </c>
      <c r="C932" s="89" t="s">
        <v>3542</v>
      </c>
      <c r="D932" s="90" t="s">
        <v>3543</v>
      </c>
      <c r="E932" s="91">
        <v>2018.0</v>
      </c>
      <c r="F932" s="104">
        <v>1.0</v>
      </c>
      <c r="G932" s="93"/>
      <c r="H932" s="93"/>
      <c r="I932" s="93"/>
      <c r="J932" s="93"/>
      <c r="K932" s="93"/>
      <c r="L932" s="93"/>
      <c r="M932" s="93"/>
      <c r="N932" s="93"/>
      <c r="O932" s="93"/>
      <c r="P932" s="93"/>
      <c r="Q932" s="93"/>
      <c r="R932" s="93"/>
      <c r="S932" s="93"/>
      <c r="T932" s="93"/>
      <c r="U932" s="93"/>
      <c r="V932" s="93"/>
      <c r="W932" s="93"/>
      <c r="X932" s="93"/>
      <c r="Y932" s="93"/>
      <c r="Z932" s="93"/>
      <c r="AA932" s="93"/>
      <c r="AB932" s="93"/>
      <c r="AC932" s="93"/>
      <c r="AD932" s="93"/>
      <c r="AE932" s="93"/>
      <c r="AF932" s="93"/>
      <c r="AG932" s="93"/>
      <c r="AH932" s="93"/>
      <c r="AI932" s="93"/>
      <c r="AJ932" s="93"/>
      <c r="AK932" s="93"/>
      <c r="AL932" s="93"/>
      <c r="AM932" s="93"/>
      <c r="AN932" s="93"/>
      <c r="AO932" s="93"/>
      <c r="AP932" s="93"/>
      <c r="AQ932" s="93"/>
      <c r="AR932" s="93"/>
      <c r="AS932" s="93"/>
      <c r="AT932" s="93"/>
      <c r="AU932" s="93"/>
      <c r="AV932" s="93"/>
      <c r="AW932" s="93"/>
      <c r="AX932" s="93"/>
      <c r="AY932" s="93"/>
      <c r="AZ932" s="93"/>
      <c r="BA932" s="93"/>
      <c r="BB932" s="93"/>
      <c r="BC932" s="93"/>
      <c r="BD932" s="93"/>
      <c r="BE932" s="93"/>
      <c r="BF932" s="93"/>
      <c r="BG932" s="93"/>
      <c r="BH932" s="93"/>
      <c r="BI932" s="93"/>
      <c r="BJ932" s="93"/>
      <c r="BK932" s="93"/>
      <c r="BL932" s="93"/>
      <c r="BM932" s="93"/>
      <c r="BN932" s="93"/>
      <c r="BO932" s="93"/>
      <c r="BP932" s="93"/>
      <c r="BQ932" s="93"/>
      <c r="BR932" s="93"/>
      <c r="BS932" s="93"/>
      <c r="BT932" s="93"/>
      <c r="BU932" s="93"/>
      <c r="BV932" s="93"/>
      <c r="BW932" s="93"/>
      <c r="BX932" s="93"/>
      <c r="BY932" s="93"/>
      <c r="BZ932" s="93"/>
    </row>
    <row r="933">
      <c r="B933" t="s">
        <v>3544</v>
      </c>
      <c r="C933" s="89" t="s">
        <v>3545</v>
      </c>
      <c r="D933" s="90" t="s">
        <v>3337</v>
      </c>
      <c r="E933" s="91">
        <v>2018.0</v>
      </c>
      <c r="F933" s="104">
        <v>1.0</v>
      </c>
      <c r="G933" s="93"/>
      <c r="H933" s="93"/>
      <c r="I933" s="93"/>
      <c r="J933" s="93"/>
      <c r="K933" s="93"/>
      <c r="L933" s="93"/>
      <c r="M933" s="93"/>
      <c r="N933" s="93"/>
      <c r="O933" s="93"/>
      <c r="P933" s="93"/>
      <c r="Q933" s="93"/>
      <c r="R933" s="93"/>
      <c r="S933" s="93"/>
      <c r="T933" s="93"/>
      <c r="U933" s="93"/>
      <c r="V933" s="93"/>
      <c r="W933" s="93"/>
      <c r="X933" s="93"/>
      <c r="Y933" s="93"/>
      <c r="Z933" s="93"/>
      <c r="AA933" s="93"/>
      <c r="AB933" s="93"/>
      <c r="AC933" s="93"/>
      <c r="AD933" s="93"/>
      <c r="AE933" s="93"/>
      <c r="AF933" s="93"/>
      <c r="AG933" s="93"/>
      <c r="AH933" s="93"/>
      <c r="AI933" s="93"/>
      <c r="AJ933" s="93"/>
      <c r="AK933" s="93"/>
      <c r="AL933" s="93"/>
      <c r="AM933" s="93"/>
      <c r="AN933" s="93"/>
      <c r="AO933" s="93"/>
      <c r="AP933" s="93"/>
      <c r="AQ933" s="93"/>
      <c r="AR933" s="93"/>
      <c r="AS933" s="93"/>
      <c r="AT933" s="93"/>
      <c r="AU933" s="93"/>
      <c r="AV933" s="93"/>
      <c r="AW933" s="93"/>
      <c r="AX933" s="93"/>
      <c r="AY933" s="93"/>
      <c r="AZ933" s="93"/>
      <c r="BA933" s="93"/>
      <c r="BB933" s="93"/>
      <c r="BC933" s="93"/>
      <c r="BD933" s="93"/>
      <c r="BE933" s="93"/>
      <c r="BF933" s="93"/>
      <c r="BG933" s="93"/>
      <c r="BH933" s="93"/>
      <c r="BI933" s="93"/>
      <c r="BJ933" s="93"/>
      <c r="BK933" s="93"/>
      <c r="BL933" s="93"/>
      <c r="BM933" s="93"/>
      <c r="BN933" s="93"/>
      <c r="BO933" s="93"/>
      <c r="BP933" s="93"/>
      <c r="BQ933" s="93"/>
      <c r="BR933" s="93"/>
      <c r="BS933" s="93"/>
      <c r="BT933" s="93"/>
      <c r="BU933" s="93"/>
      <c r="BV933" s="93"/>
      <c r="BW933" s="93"/>
      <c r="BX933" s="93"/>
      <c r="BY933" s="93"/>
      <c r="BZ933" s="93"/>
    </row>
    <row r="934">
      <c r="B934" t="s">
        <v>3546</v>
      </c>
      <c r="C934" s="89" t="s">
        <v>3547</v>
      </c>
      <c r="D934" s="90" t="s">
        <v>3548</v>
      </c>
      <c r="E934" s="91">
        <v>2016.0</v>
      </c>
      <c r="F934" s="104">
        <v>1.0</v>
      </c>
      <c r="G934" s="93"/>
      <c r="H934" s="93"/>
      <c r="I934" s="93"/>
      <c r="J934" s="93"/>
      <c r="K934" s="93"/>
      <c r="L934" s="93"/>
      <c r="M934" s="93"/>
      <c r="N934" s="93"/>
      <c r="O934" s="93"/>
      <c r="P934" s="93"/>
      <c r="Q934" s="93"/>
      <c r="R934" s="93"/>
      <c r="S934" s="93"/>
      <c r="T934" s="93"/>
      <c r="U934" s="93"/>
      <c r="V934" s="93"/>
      <c r="W934" s="93"/>
      <c r="X934" s="93"/>
      <c r="Y934" s="93"/>
      <c r="Z934" s="93"/>
      <c r="AA934" s="93"/>
      <c r="AB934" s="93"/>
      <c r="AC934" s="93"/>
      <c r="AD934" s="93"/>
      <c r="AE934" s="93"/>
      <c r="AF934" s="93"/>
      <c r="AG934" s="93"/>
      <c r="AH934" s="93"/>
      <c r="AI934" s="93"/>
      <c r="AJ934" s="93"/>
      <c r="AK934" s="93"/>
      <c r="AL934" s="93"/>
      <c r="AM934" s="93"/>
      <c r="AN934" s="93"/>
      <c r="AO934" s="93"/>
      <c r="AP934" s="93"/>
      <c r="AQ934" s="93"/>
      <c r="AR934" s="93"/>
      <c r="AS934" s="93"/>
      <c r="AT934" s="93"/>
      <c r="AU934" s="93"/>
      <c r="AV934" s="93"/>
      <c r="AW934" s="93"/>
      <c r="AX934" s="93"/>
      <c r="AY934" s="93"/>
      <c r="AZ934" s="93"/>
      <c r="BA934" s="93"/>
      <c r="BB934" s="93"/>
      <c r="BC934" s="93"/>
      <c r="BD934" s="93"/>
      <c r="BE934" s="93"/>
      <c r="BF934" s="93"/>
      <c r="BG934" s="93"/>
      <c r="BH934" s="93"/>
      <c r="BI934" s="93"/>
      <c r="BJ934" s="93"/>
      <c r="BK934" s="93"/>
      <c r="BL934" s="93"/>
      <c r="BM934" s="93"/>
      <c r="BN934" s="93"/>
      <c r="BO934" s="93"/>
      <c r="BP934" s="93"/>
      <c r="BQ934" s="93"/>
      <c r="BR934" s="93"/>
      <c r="BS934" s="93"/>
      <c r="BT934" s="93"/>
      <c r="BU934" s="93"/>
      <c r="BV934" s="93"/>
      <c r="BW934" s="93"/>
      <c r="BX934" s="93"/>
      <c r="BY934" s="93"/>
      <c r="BZ934" s="93"/>
    </row>
    <row r="935">
      <c r="A935" t="s">
        <v>1340</v>
      </c>
      <c r="B935" t="s">
        <v>3549</v>
      </c>
      <c r="C935" s="89" t="s">
        <v>3550</v>
      </c>
      <c r="D935" s="90" t="s">
        <v>2960</v>
      </c>
      <c r="E935" s="91">
        <v>2017.0</v>
      </c>
      <c r="F935" s="104">
        <v>1.0</v>
      </c>
      <c r="G935" s="93"/>
      <c r="H935" s="93"/>
      <c r="I935" s="93"/>
      <c r="J935" s="93"/>
      <c r="K935" s="93"/>
      <c r="L935" s="93"/>
      <c r="M935" s="93"/>
      <c r="N935" s="93"/>
      <c r="O935" s="93"/>
      <c r="P935" s="93"/>
      <c r="Q935" s="93"/>
      <c r="R935" s="93"/>
      <c r="S935" s="93"/>
      <c r="T935" s="93"/>
      <c r="U935" s="93"/>
      <c r="V935" s="93"/>
      <c r="W935" s="93"/>
      <c r="X935" s="93"/>
      <c r="Y935" s="93"/>
      <c r="Z935" s="93"/>
      <c r="AA935" s="93"/>
      <c r="AB935" s="93"/>
      <c r="AC935" s="93"/>
      <c r="AD935" s="93"/>
      <c r="AE935" s="93"/>
      <c r="AF935" s="93"/>
      <c r="AG935" s="93"/>
      <c r="AH935" s="93"/>
      <c r="AI935" s="93"/>
      <c r="AJ935" s="93"/>
      <c r="AK935" s="93"/>
      <c r="AL935" s="93"/>
      <c r="AM935" s="93"/>
      <c r="AN935" s="93"/>
      <c r="AO935" s="93"/>
      <c r="AP935" s="93"/>
      <c r="AQ935" s="93"/>
      <c r="AR935" s="93"/>
      <c r="AS935" s="93"/>
      <c r="AT935" s="93"/>
      <c r="AU935" s="93"/>
      <c r="AV935" s="93"/>
      <c r="AW935" s="93"/>
      <c r="AX935" s="93"/>
      <c r="AY935" s="93"/>
      <c r="AZ935" s="93"/>
      <c r="BA935" s="93"/>
      <c r="BB935" s="93"/>
      <c r="BC935" s="93"/>
      <c r="BD935" s="93"/>
      <c r="BE935" s="93"/>
      <c r="BF935" s="93"/>
      <c r="BG935" s="93"/>
      <c r="BH935" s="93"/>
      <c r="BI935" s="93"/>
      <c r="BJ935" s="93"/>
      <c r="BK935" s="93"/>
      <c r="BL935" s="93"/>
      <c r="BM935" s="93"/>
      <c r="BN935" s="93"/>
      <c r="BO935" s="93"/>
      <c r="BP935" s="93"/>
      <c r="BQ935" s="93"/>
      <c r="BR935" s="93"/>
      <c r="BS935" s="93"/>
      <c r="BT935" s="93"/>
      <c r="BU935" s="93"/>
      <c r="BV935" s="93"/>
      <c r="BW935" s="93"/>
      <c r="BX935" s="93"/>
      <c r="BY935" s="93"/>
      <c r="BZ935" s="93"/>
    </row>
    <row r="936">
      <c r="B936" t="s">
        <v>3551</v>
      </c>
      <c r="C936" s="89" t="s">
        <v>3552</v>
      </c>
      <c r="D936" s="90" t="s">
        <v>2795</v>
      </c>
      <c r="E936" s="91">
        <v>2019.0</v>
      </c>
      <c r="F936" s="104">
        <v>1.0</v>
      </c>
      <c r="G936" s="93"/>
      <c r="H936" s="93"/>
      <c r="I936" s="93"/>
      <c r="J936" s="93"/>
      <c r="K936" s="93"/>
      <c r="L936" s="93"/>
      <c r="M936" s="93"/>
      <c r="N936" s="93"/>
      <c r="O936" s="93"/>
      <c r="P936" s="93"/>
      <c r="Q936" s="93"/>
      <c r="R936" s="93"/>
      <c r="S936" s="93"/>
      <c r="T936" s="93"/>
      <c r="U936" s="93"/>
      <c r="V936" s="93"/>
      <c r="W936" s="93"/>
      <c r="X936" s="93"/>
      <c r="Y936" s="93"/>
      <c r="Z936" s="93"/>
      <c r="AA936" s="93"/>
      <c r="AB936" s="93"/>
      <c r="AC936" s="93"/>
      <c r="AD936" s="93"/>
      <c r="AE936" s="93"/>
      <c r="AF936" s="93"/>
      <c r="AG936" s="93"/>
      <c r="AH936" s="93"/>
      <c r="AI936" s="93"/>
      <c r="AJ936" s="93"/>
      <c r="AK936" s="93"/>
      <c r="AL936" s="93"/>
      <c r="AM936" s="93"/>
      <c r="AN936" s="93"/>
      <c r="AO936" s="93"/>
      <c r="AP936" s="93"/>
      <c r="AQ936" s="93"/>
      <c r="AR936" s="93"/>
      <c r="AS936" s="93"/>
      <c r="AT936" s="93"/>
      <c r="AU936" s="93"/>
      <c r="AV936" s="93"/>
      <c r="AW936" s="93"/>
      <c r="AX936" s="93"/>
      <c r="AY936" s="93"/>
      <c r="AZ936" s="93"/>
      <c r="BA936" s="93"/>
      <c r="BB936" s="93"/>
      <c r="BC936" s="93"/>
      <c r="BD936" s="93"/>
      <c r="BE936" s="93"/>
      <c r="BF936" s="93"/>
      <c r="BG936" s="93"/>
      <c r="BH936" s="93"/>
      <c r="BI936" s="93"/>
      <c r="BJ936" s="93"/>
      <c r="BK936" s="93"/>
      <c r="BL936" s="93"/>
      <c r="BM936" s="93"/>
      <c r="BN936" s="93"/>
      <c r="BO936" s="93"/>
      <c r="BP936" s="93"/>
      <c r="BQ936" s="93"/>
      <c r="BR936" s="93"/>
      <c r="BS936" s="93"/>
      <c r="BT936" s="93"/>
      <c r="BU936" s="93"/>
      <c r="BV936" s="93"/>
      <c r="BW936" s="93"/>
      <c r="BX936" s="93"/>
      <c r="BY936" s="93"/>
      <c r="BZ936" s="93"/>
    </row>
    <row r="937">
      <c r="B937" t="s">
        <v>3553</v>
      </c>
      <c r="C937" s="89" t="s">
        <v>3554</v>
      </c>
      <c r="D937" s="90" t="s">
        <v>3555</v>
      </c>
      <c r="E937" s="91">
        <v>2016.0</v>
      </c>
      <c r="F937" s="104">
        <v>1.0</v>
      </c>
      <c r="G937" s="93"/>
      <c r="H937" s="93"/>
      <c r="I937" s="93"/>
      <c r="J937" s="93"/>
      <c r="K937" s="93"/>
      <c r="L937" s="93"/>
      <c r="M937" s="93"/>
      <c r="N937" s="93"/>
      <c r="O937" s="93"/>
      <c r="P937" s="93"/>
      <c r="Q937" s="93"/>
      <c r="R937" s="93"/>
      <c r="S937" s="93"/>
      <c r="T937" s="93"/>
      <c r="U937" s="93"/>
      <c r="V937" s="93"/>
      <c r="W937" s="93"/>
      <c r="X937" s="93"/>
      <c r="Y937" s="93"/>
      <c r="Z937" s="93"/>
      <c r="AA937" s="93"/>
      <c r="AB937" s="93"/>
      <c r="AC937" s="93"/>
      <c r="AD937" s="93"/>
      <c r="AE937" s="93"/>
      <c r="AF937" s="93"/>
      <c r="AG937" s="93"/>
      <c r="AH937" s="93"/>
      <c r="AI937" s="93"/>
      <c r="AJ937" s="93"/>
      <c r="AK937" s="93"/>
      <c r="AL937" s="93"/>
      <c r="AM937" s="93"/>
      <c r="AN937" s="93"/>
      <c r="AO937" s="93"/>
      <c r="AP937" s="93"/>
      <c r="AQ937" s="93"/>
      <c r="AR937" s="93"/>
      <c r="AS937" s="93"/>
      <c r="AT937" s="93"/>
      <c r="AU937" s="93"/>
      <c r="AV937" s="93"/>
      <c r="AW937" s="93"/>
      <c r="AX937" s="93"/>
      <c r="AY937" s="93"/>
      <c r="AZ937" s="93"/>
      <c r="BA937" s="93"/>
      <c r="BB937" s="93"/>
      <c r="BC937" s="93"/>
      <c r="BD937" s="93"/>
      <c r="BE937" s="93"/>
      <c r="BF937" s="93"/>
      <c r="BG937" s="93"/>
      <c r="BH937" s="93"/>
      <c r="BI937" s="93"/>
      <c r="BJ937" s="93"/>
      <c r="BK937" s="93"/>
      <c r="BL937" s="93"/>
      <c r="BM937" s="93"/>
      <c r="BN937" s="93"/>
      <c r="BO937" s="93"/>
      <c r="BP937" s="93"/>
      <c r="BQ937" s="93"/>
      <c r="BR937" s="93"/>
      <c r="BS937" s="93"/>
      <c r="BT937" s="93"/>
      <c r="BU937" s="93"/>
      <c r="BV937" s="93"/>
      <c r="BW937" s="93"/>
      <c r="BX937" s="93"/>
      <c r="BY937" s="93"/>
      <c r="BZ937" s="93"/>
    </row>
    <row r="938">
      <c r="B938" t="s">
        <v>3556</v>
      </c>
      <c r="C938" s="89" t="s">
        <v>3557</v>
      </c>
      <c r="D938" s="90" t="s">
        <v>3558</v>
      </c>
      <c r="E938" s="91">
        <v>2017.0</v>
      </c>
      <c r="F938" s="104">
        <v>1.0</v>
      </c>
      <c r="G938" s="93"/>
      <c r="H938" s="93"/>
      <c r="I938" s="93"/>
      <c r="J938" s="93"/>
      <c r="K938" s="93"/>
      <c r="L938" s="93"/>
      <c r="M938" s="93"/>
      <c r="N938" s="93"/>
      <c r="O938" s="93"/>
      <c r="P938" s="93"/>
      <c r="Q938" s="93"/>
      <c r="R938" s="93"/>
      <c r="S938" s="93"/>
      <c r="T938" s="93"/>
      <c r="U938" s="93"/>
      <c r="V938" s="93"/>
      <c r="W938" s="93"/>
      <c r="X938" s="93"/>
      <c r="Y938" s="93"/>
      <c r="Z938" s="93"/>
      <c r="AA938" s="93"/>
      <c r="AB938" s="93"/>
      <c r="AC938" s="93"/>
      <c r="AD938" s="93"/>
      <c r="AE938" s="93"/>
      <c r="AF938" s="93"/>
      <c r="AG938" s="93"/>
      <c r="AH938" s="93"/>
      <c r="AI938" s="93"/>
      <c r="AJ938" s="93"/>
      <c r="AK938" s="93"/>
      <c r="AL938" s="93"/>
      <c r="AM938" s="93"/>
      <c r="AN938" s="93"/>
      <c r="AO938" s="93"/>
      <c r="AP938" s="93"/>
      <c r="AQ938" s="93"/>
      <c r="AR938" s="93"/>
      <c r="AS938" s="93"/>
      <c r="AT938" s="93"/>
      <c r="AU938" s="93"/>
      <c r="AV938" s="93"/>
      <c r="AW938" s="93"/>
      <c r="AX938" s="93"/>
      <c r="AY938" s="93"/>
      <c r="AZ938" s="93"/>
      <c r="BA938" s="93"/>
      <c r="BB938" s="93"/>
      <c r="BC938" s="93"/>
      <c r="BD938" s="93"/>
      <c r="BE938" s="93"/>
      <c r="BF938" s="93"/>
      <c r="BG938" s="93"/>
      <c r="BH938" s="93"/>
      <c r="BI938" s="93"/>
      <c r="BJ938" s="93"/>
      <c r="BK938" s="93"/>
      <c r="BL938" s="93"/>
      <c r="BM938" s="93"/>
      <c r="BN938" s="93"/>
      <c r="BO938" s="93"/>
      <c r="BP938" s="93"/>
      <c r="BQ938" s="93"/>
      <c r="BR938" s="93"/>
      <c r="BS938" s="93"/>
      <c r="BT938" s="93"/>
      <c r="BU938" s="93"/>
      <c r="BV938" s="93"/>
      <c r="BW938" s="93"/>
      <c r="BX938" s="93"/>
      <c r="BY938" s="93"/>
      <c r="BZ938" s="93"/>
    </row>
    <row r="939">
      <c r="B939" t="s">
        <v>3559</v>
      </c>
      <c r="C939" s="89" t="s">
        <v>3560</v>
      </c>
      <c r="D939" s="90" t="s">
        <v>3561</v>
      </c>
      <c r="E939" s="91">
        <v>2019.0</v>
      </c>
      <c r="F939" s="104">
        <v>1.0</v>
      </c>
      <c r="G939" s="93"/>
      <c r="H939" s="93"/>
      <c r="I939" s="93"/>
      <c r="J939" s="93"/>
      <c r="K939" s="93"/>
      <c r="L939" s="93"/>
      <c r="M939" s="93"/>
      <c r="N939" s="93"/>
      <c r="O939" s="93"/>
      <c r="P939" s="93"/>
      <c r="Q939" s="93"/>
      <c r="R939" s="93"/>
      <c r="S939" s="93"/>
      <c r="T939" s="93"/>
      <c r="U939" s="93"/>
      <c r="V939" s="93"/>
      <c r="W939" s="93"/>
      <c r="X939" s="93"/>
      <c r="Y939" s="93"/>
      <c r="Z939" s="93"/>
      <c r="AA939" s="93"/>
      <c r="AB939" s="93"/>
      <c r="AC939" s="93"/>
      <c r="AD939" s="93"/>
      <c r="AE939" s="93"/>
      <c r="AF939" s="93"/>
      <c r="AG939" s="93"/>
      <c r="AH939" s="93"/>
      <c r="AI939" s="93"/>
      <c r="AJ939" s="93"/>
      <c r="AK939" s="93"/>
      <c r="AL939" s="93"/>
      <c r="AM939" s="93"/>
      <c r="AN939" s="93"/>
      <c r="AO939" s="93"/>
      <c r="AP939" s="93"/>
      <c r="AQ939" s="93"/>
      <c r="AR939" s="93"/>
      <c r="AS939" s="93"/>
      <c r="AT939" s="93"/>
      <c r="AU939" s="93"/>
      <c r="AV939" s="93"/>
      <c r="AW939" s="93"/>
      <c r="AX939" s="93"/>
      <c r="AY939" s="93"/>
      <c r="AZ939" s="93"/>
      <c r="BA939" s="93"/>
      <c r="BB939" s="93"/>
      <c r="BC939" s="93"/>
      <c r="BD939" s="93"/>
      <c r="BE939" s="93"/>
      <c r="BF939" s="93"/>
      <c r="BG939" s="93"/>
      <c r="BH939" s="93"/>
      <c r="BI939" s="93"/>
      <c r="BJ939" s="93"/>
      <c r="BK939" s="93"/>
      <c r="BL939" s="93"/>
      <c r="BM939" s="93"/>
      <c r="BN939" s="93"/>
      <c r="BO939" s="93"/>
      <c r="BP939" s="93"/>
      <c r="BQ939" s="93"/>
      <c r="BR939" s="93"/>
      <c r="BS939" s="93"/>
      <c r="BT939" s="93"/>
      <c r="BU939" s="93"/>
      <c r="BV939" s="93"/>
      <c r="BW939" s="93"/>
      <c r="BX939" s="93"/>
      <c r="BY939" s="93"/>
      <c r="BZ939" s="93"/>
    </row>
    <row r="940">
      <c r="B940" t="s">
        <v>3562</v>
      </c>
      <c r="C940" s="89" t="s">
        <v>3563</v>
      </c>
      <c r="D940" s="90" t="s">
        <v>3564</v>
      </c>
      <c r="E940" s="91">
        <v>2019.0</v>
      </c>
      <c r="F940" s="104">
        <v>1.0</v>
      </c>
      <c r="G940" s="93"/>
      <c r="H940" s="93"/>
      <c r="I940" s="93"/>
      <c r="J940" s="93"/>
      <c r="K940" s="93"/>
      <c r="L940" s="93"/>
      <c r="M940" s="93"/>
      <c r="N940" s="93"/>
      <c r="O940" s="93"/>
      <c r="P940" s="93"/>
      <c r="Q940" s="93"/>
      <c r="R940" s="93"/>
      <c r="S940" s="93"/>
      <c r="T940" s="93"/>
      <c r="U940" s="93"/>
      <c r="V940" s="93"/>
      <c r="W940" s="93"/>
      <c r="X940" s="93"/>
      <c r="Y940" s="93"/>
      <c r="Z940" s="93"/>
      <c r="AA940" s="93"/>
      <c r="AB940" s="93"/>
      <c r="AC940" s="93"/>
      <c r="AD940" s="93"/>
      <c r="AE940" s="93"/>
      <c r="AF940" s="93"/>
      <c r="AG940" s="93"/>
      <c r="AH940" s="93"/>
      <c r="AI940" s="93"/>
      <c r="AJ940" s="93"/>
      <c r="AK940" s="93"/>
      <c r="AL940" s="93"/>
      <c r="AM940" s="93"/>
      <c r="AN940" s="93"/>
      <c r="AO940" s="93"/>
      <c r="AP940" s="93"/>
      <c r="AQ940" s="93"/>
      <c r="AR940" s="93"/>
      <c r="AS940" s="93"/>
      <c r="AT940" s="93"/>
      <c r="AU940" s="93"/>
      <c r="AV940" s="93"/>
      <c r="AW940" s="93"/>
      <c r="AX940" s="93"/>
      <c r="AY940" s="93"/>
      <c r="AZ940" s="93"/>
      <c r="BA940" s="93"/>
      <c r="BB940" s="93"/>
      <c r="BC940" s="93"/>
      <c r="BD940" s="93"/>
      <c r="BE940" s="93"/>
      <c r="BF940" s="93"/>
      <c r="BG940" s="93"/>
      <c r="BH940" s="93"/>
      <c r="BI940" s="93"/>
      <c r="BJ940" s="93"/>
      <c r="BK940" s="93"/>
      <c r="BL940" s="93"/>
      <c r="BM940" s="93"/>
      <c r="BN940" s="93"/>
      <c r="BO940" s="93"/>
      <c r="BP940" s="93"/>
      <c r="BQ940" s="93"/>
      <c r="BR940" s="93"/>
      <c r="BS940" s="93"/>
      <c r="BT940" s="93"/>
      <c r="BU940" s="93"/>
      <c r="BV940" s="93"/>
      <c r="BW940" s="93"/>
      <c r="BX940" s="93"/>
      <c r="BY940" s="93"/>
      <c r="BZ940" s="93"/>
    </row>
    <row r="941">
      <c r="B941" t="s">
        <v>3565</v>
      </c>
      <c r="C941" s="89" t="s">
        <v>3566</v>
      </c>
      <c r="D941" s="90" t="s">
        <v>3399</v>
      </c>
      <c r="E941" s="91">
        <v>2016.0</v>
      </c>
      <c r="F941" s="104">
        <v>1.0</v>
      </c>
      <c r="G941" s="93"/>
      <c r="H941" s="93"/>
      <c r="I941" s="93"/>
      <c r="J941" s="93"/>
      <c r="K941" s="93"/>
      <c r="L941" s="93"/>
      <c r="M941" s="93"/>
      <c r="N941" s="93"/>
      <c r="O941" s="93"/>
      <c r="P941" s="93"/>
      <c r="Q941" s="93"/>
      <c r="R941" s="93"/>
      <c r="S941" s="93"/>
      <c r="T941" s="93"/>
      <c r="U941" s="93"/>
      <c r="V941" s="93"/>
      <c r="W941" s="93"/>
      <c r="X941" s="93"/>
      <c r="Y941" s="93"/>
      <c r="Z941" s="93"/>
      <c r="AA941" s="93"/>
      <c r="AB941" s="93"/>
      <c r="AC941" s="93"/>
      <c r="AD941" s="93"/>
      <c r="AE941" s="93"/>
      <c r="AF941" s="93"/>
      <c r="AG941" s="93"/>
      <c r="AH941" s="93"/>
      <c r="AI941" s="93"/>
      <c r="AJ941" s="93"/>
      <c r="AK941" s="93"/>
      <c r="AL941" s="93"/>
      <c r="AM941" s="93"/>
      <c r="AN941" s="93"/>
      <c r="AO941" s="93"/>
      <c r="AP941" s="93"/>
      <c r="AQ941" s="93"/>
      <c r="AR941" s="93"/>
      <c r="AS941" s="93"/>
      <c r="AT941" s="93"/>
      <c r="AU941" s="93"/>
      <c r="AV941" s="93"/>
      <c r="AW941" s="93"/>
      <c r="AX941" s="93"/>
      <c r="AY941" s="93"/>
      <c r="AZ941" s="93"/>
      <c r="BA941" s="93"/>
      <c r="BB941" s="93"/>
      <c r="BC941" s="93"/>
      <c r="BD941" s="93"/>
      <c r="BE941" s="93"/>
      <c r="BF941" s="93"/>
      <c r="BG941" s="93"/>
      <c r="BH941" s="93"/>
      <c r="BI941" s="93"/>
      <c r="BJ941" s="93"/>
      <c r="BK941" s="93"/>
      <c r="BL941" s="93"/>
      <c r="BM941" s="93"/>
      <c r="BN941" s="93"/>
      <c r="BO941" s="93"/>
      <c r="BP941" s="93"/>
      <c r="BQ941" s="93"/>
      <c r="BR941" s="93"/>
      <c r="BS941" s="93"/>
      <c r="BT941" s="93"/>
      <c r="BU941" s="93"/>
      <c r="BV941" s="93"/>
      <c r="BW941" s="93"/>
      <c r="BX941" s="93"/>
      <c r="BY941" s="93"/>
      <c r="BZ941" s="93"/>
    </row>
    <row r="942">
      <c r="B942" t="s">
        <v>3567</v>
      </c>
      <c r="C942" s="89" t="s">
        <v>3568</v>
      </c>
      <c r="D942" s="90" t="s">
        <v>2941</v>
      </c>
      <c r="E942" s="91">
        <v>2018.0</v>
      </c>
      <c r="F942" s="104">
        <v>1.0</v>
      </c>
      <c r="G942" s="93"/>
      <c r="H942" s="93"/>
      <c r="I942" s="93"/>
      <c r="J942" s="93"/>
      <c r="K942" s="93"/>
      <c r="L942" s="93"/>
      <c r="M942" s="93"/>
      <c r="N942" s="93"/>
      <c r="O942" s="93"/>
      <c r="P942" s="93"/>
      <c r="Q942" s="93"/>
      <c r="R942" s="93"/>
      <c r="S942" s="93"/>
      <c r="T942" s="93"/>
      <c r="U942" s="93"/>
      <c r="V942" s="93"/>
      <c r="W942" s="93"/>
      <c r="X942" s="93"/>
      <c r="Y942" s="93"/>
      <c r="Z942" s="93"/>
      <c r="AA942" s="93"/>
      <c r="AB942" s="93"/>
      <c r="AC942" s="93"/>
      <c r="AD942" s="93"/>
      <c r="AE942" s="93"/>
      <c r="AF942" s="93"/>
      <c r="AG942" s="93"/>
      <c r="AH942" s="93"/>
      <c r="AI942" s="93"/>
      <c r="AJ942" s="93"/>
      <c r="AK942" s="93"/>
      <c r="AL942" s="93"/>
      <c r="AM942" s="93"/>
      <c r="AN942" s="93"/>
      <c r="AO942" s="93"/>
      <c r="AP942" s="93"/>
      <c r="AQ942" s="93"/>
      <c r="AR942" s="93"/>
      <c r="AS942" s="93"/>
      <c r="AT942" s="93"/>
      <c r="AU942" s="93"/>
      <c r="AV942" s="93"/>
      <c r="AW942" s="93"/>
      <c r="AX942" s="93"/>
      <c r="AY942" s="93"/>
      <c r="AZ942" s="93"/>
      <c r="BA942" s="93"/>
      <c r="BB942" s="93"/>
      <c r="BC942" s="93"/>
      <c r="BD942" s="93"/>
      <c r="BE942" s="93"/>
      <c r="BF942" s="93"/>
      <c r="BG942" s="93"/>
      <c r="BH942" s="93"/>
      <c r="BI942" s="93"/>
      <c r="BJ942" s="93"/>
      <c r="BK942" s="93"/>
      <c r="BL942" s="93"/>
      <c r="BM942" s="93"/>
      <c r="BN942" s="93"/>
      <c r="BO942" s="93"/>
      <c r="BP942" s="93"/>
      <c r="BQ942" s="93"/>
      <c r="BR942" s="93"/>
      <c r="BS942" s="93"/>
      <c r="BT942" s="93"/>
      <c r="BU942" s="93"/>
      <c r="BV942" s="93"/>
      <c r="BW942" s="93"/>
      <c r="BX942" s="93"/>
      <c r="BY942" s="93"/>
      <c r="BZ942" s="93"/>
    </row>
    <row r="943">
      <c r="B943" t="s">
        <v>3569</v>
      </c>
      <c r="C943" s="89" t="s">
        <v>3570</v>
      </c>
      <c r="D943" s="90" t="s">
        <v>2874</v>
      </c>
      <c r="E943" s="91">
        <v>2017.0</v>
      </c>
      <c r="F943" s="104">
        <v>1.0</v>
      </c>
      <c r="G943" s="93"/>
      <c r="H943" s="93"/>
      <c r="I943" s="93"/>
      <c r="J943" s="93"/>
      <c r="K943" s="93"/>
      <c r="L943" s="93"/>
      <c r="M943" s="93"/>
      <c r="N943" s="93"/>
      <c r="O943" s="93"/>
      <c r="P943" s="93"/>
      <c r="Q943" s="93"/>
      <c r="R943" s="93"/>
      <c r="S943" s="93"/>
      <c r="T943" s="93"/>
      <c r="U943" s="93"/>
      <c r="V943" s="93"/>
      <c r="W943" s="93"/>
      <c r="X943" s="93"/>
      <c r="Y943" s="93"/>
      <c r="Z943" s="93"/>
      <c r="AA943" s="93"/>
      <c r="AB943" s="93"/>
      <c r="AC943" s="93"/>
      <c r="AD943" s="93"/>
      <c r="AE943" s="93"/>
      <c r="AF943" s="93"/>
      <c r="AG943" s="93"/>
      <c r="AH943" s="93"/>
      <c r="AI943" s="93"/>
      <c r="AJ943" s="93"/>
      <c r="AK943" s="93"/>
      <c r="AL943" s="93"/>
      <c r="AM943" s="93"/>
      <c r="AN943" s="93"/>
      <c r="AO943" s="93"/>
      <c r="AP943" s="93"/>
      <c r="AQ943" s="93"/>
      <c r="AR943" s="93"/>
      <c r="AS943" s="93"/>
      <c r="AT943" s="93"/>
      <c r="AU943" s="93"/>
      <c r="AV943" s="93"/>
      <c r="AW943" s="93"/>
      <c r="AX943" s="93"/>
      <c r="AY943" s="93"/>
      <c r="AZ943" s="93"/>
      <c r="BA943" s="93"/>
      <c r="BB943" s="93"/>
      <c r="BC943" s="93"/>
      <c r="BD943" s="93"/>
      <c r="BE943" s="93"/>
      <c r="BF943" s="93"/>
      <c r="BG943" s="93"/>
      <c r="BH943" s="93"/>
      <c r="BI943" s="93"/>
      <c r="BJ943" s="93"/>
      <c r="BK943" s="93"/>
      <c r="BL943" s="93"/>
      <c r="BM943" s="93"/>
      <c r="BN943" s="93"/>
      <c r="BO943" s="93"/>
      <c r="BP943" s="93"/>
      <c r="BQ943" s="93"/>
      <c r="BR943" s="93"/>
      <c r="BS943" s="93"/>
      <c r="BT943" s="93"/>
      <c r="BU943" s="93"/>
      <c r="BV943" s="93"/>
      <c r="BW943" s="93"/>
      <c r="BX943" s="93"/>
      <c r="BY943" s="93"/>
      <c r="BZ943" s="93"/>
    </row>
    <row r="944">
      <c r="B944" t="s">
        <v>3571</v>
      </c>
      <c r="C944" s="89" t="s">
        <v>3572</v>
      </c>
      <c r="D944" s="90" t="s">
        <v>2874</v>
      </c>
      <c r="E944" s="91">
        <v>2019.0</v>
      </c>
      <c r="F944" s="104">
        <v>1.0</v>
      </c>
      <c r="G944" s="93"/>
      <c r="H944" s="93"/>
      <c r="I944" s="93"/>
      <c r="J944" s="93"/>
      <c r="K944" s="93"/>
      <c r="L944" s="93"/>
      <c r="M944" s="93"/>
      <c r="N944" s="93"/>
      <c r="O944" s="93"/>
      <c r="P944" s="93"/>
      <c r="Q944" s="93"/>
      <c r="R944" s="93"/>
      <c r="S944" s="93"/>
      <c r="T944" s="93"/>
      <c r="U944" s="93"/>
      <c r="V944" s="93"/>
      <c r="W944" s="93"/>
      <c r="X944" s="93"/>
      <c r="Y944" s="93"/>
      <c r="Z944" s="93"/>
      <c r="AA944" s="93"/>
      <c r="AB944" s="93"/>
      <c r="AC944" s="93"/>
      <c r="AD944" s="93"/>
      <c r="AE944" s="93"/>
      <c r="AF944" s="93"/>
      <c r="AG944" s="93"/>
      <c r="AH944" s="93"/>
      <c r="AI944" s="93"/>
      <c r="AJ944" s="93"/>
      <c r="AK944" s="93"/>
      <c r="AL944" s="93"/>
      <c r="AM944" s="93"/>
      <c r="AN944" s="93"/>
      <c r="AO944" s="93"/>
      <c r="AP944" s="93"/>
      <c r="AQ944" s="93"/>
      <c r="AR944" s="93"/>
      <c r="AS944" s="93"/>
      <c r="AT944" s="93"/>
      <c r="AU944" s="93"/>
      <c r="AV944" s="93"/>
      <c r="AW944" s="93"/>
      <c r="AX944" s="93"/>
      <c r="AY944" s="93"/>
      <c r="AZ944" s="93"/>
      <c r="BA944" s="93"/>
      <c r="BB944" s="93"/>
      <c r="BC944" s="93"/>
      <c r="BD944" s="93"/>
      <c r="BE944" s="93"/>
      <c r="BF944" s="93"/>
      <c r="BG944" s="93"/>
      <c r="BH944" s="93"/>
      <c r="BI944" s="93"/>
      <c r="BJ944" s="93"/>
      <c r="BK944" s="93"/>
      <c r="BL944" s="93"/>
      <c r="BM944" s="93"/>
      <c r="BN944" s="93"/>
      <c r="BO944" s="93"/>
      <c r="BP944" s="93"/>
      <c r="BQ944" s="93"/>
      <c r="BR944" s="93"/>
      <c r="BS944" s="93"/>
      <c r="BT944" s="93"/>
      <c r="BU944" s="93"/>
      <c r="BV944" s="93"/>
      <c r="BW944" s="93"/>
      <c r="BX944" s="93"/>
      <c r="BY944" s="93"/>
      <c r="BZ944" s="93"/>
    </row>
    <row r="945">
      <c r="B945" t="s">
        <v>3573</v>
      </c>
      <c r="C945" s="89" t="s">
        <v>3574</v>
      </c>
      <c r="D945" s="90" t="s">
        <v>3575</v>
      </c>
      <c r="E945" s="91">
        <v>2018.0</v>
      </c>
      <c r="F945" s="104">
        <v>1.0</v>
      </c>
      <c r="G945" s="93"/>
      <c r="H945" s="93"/>
      <c r="I945" s="93"/>
      <c r="J945" s="93"/>
      <c r="K945" s="93"/>
      <c r="L945" s="93"/>
      <c r="M945" s="93"/>
      <c r="N945" s="93"/>
      <c r="O945" s="93"/>
      <c r="P945" s="93"/>
      <c r="Q945" s="93"/>
      <c r="R945" s="93"/>
      <c r="S945" s="93"/>
      <c r="T945" s="93"/>
      <c r="U945" s="93"/>
      <c r="V945" s="93"/>
      <c r="W945" s="93"/>
      <c r="X945" s="93"/>
      <c r="Y945" s="93"/>
      <c r="Z945" s="93"/>
      <c r="AA945" s="93"/>
      <c r="AB945" s="93"/>
      <c r="AC945" s="93"/>
      <c r="AD945" s="93"/>
      <c r="AE945" s="93"/>
      <c r="AF945" s="93"/>
      <c r="AG945" s="93"/>
      <c r="AH945" s="93"/>
      <c r="AI945" s="93"/>
      <c r="AJ945" s="93"/>
      <c r="AK945" s="93"/>
      <c r="AL945" s="93"/>
      <c r="AM945" s="93"/>
      <c r="AN945" s="93"/>
      <c r="AO945" s="93"/>
      <c r="AP945" s="93"/>
      <c r="AQ945" s="93"/>
      <c r="AR945" s="93"/>
      <c r="AS945" s="93"/>
      <c r="AT945" s="93"/>
      <c r="AU945" s="93"/>
      <c r="AV945" s="93"/>
      <c r="AW945" s="93"/>
      <c r="AX945" s="93"/>
      <c r="AY945" s="93"/>
      <c r="AZ945" s="93"/>
      <c r="BA945" s="93"/>
      <c r="BB945" s="93"/>
      <c r="BC945" s="93"/>
      <c r="BD945" s="93"/>
      <c r="BE945" s="93"/>
      <c r="BF945" s="93"/>
      <c r="BG945" s="93"/>
      <c r="BH945" s="93"/>
      <c r="BI945" s="93"/>
      <c r="BJ945" s="93"/>
      <c r="BK945" s="93"/>
      <c r="BL945" s="93"/>
      <c r="BM945" s="93"/>
      <c r="BN945" s="93"/>
      <c r="BO945" s="93"/>
      <c r="BP945" s="93"/>
      <c r="BQ945" s="93"/>
      <c r="BR945" s="93"/>
      <c r="BS945" s="93"/>
      <c r="BT945" s="93"/>
      <c r="BU945" s="93"/>
      <c r="BV945" s="93"/>
      <c r="BW945" s="93"/>
      <c r="BX945" s="93"/>
      <c r="BY945" s="93"/>
      <c r="BZ945" s="93"/>
    </row>
    <row r="946">
      <c r="B946" t="s">
        <v>3576</v>
      </c>
      <c r="C946" s="89" t="s">
        <v>3577</v>
      </c>
      <c r="D946" s="90" t="s">
        <v>3538</v>
      </c>
      <c r="E946" s="91">
        <v>2019.0</v>
      </c>
      <c r="F946" s="104">
        <v>1.0</v>
      </c>
      <c r="G946" s="93"/>
      <c r="H946" s="93"/>
      <c r="I946" s="93"/>
      <c r="J946" s="93"/>
      <c r="K946" s="93"/>
      <c r="L946" s="93"/>
      <c r="M946" s="93"/>
      <c r="N946" s="93"/>
      <c r="O946" s="93"/>
      <c r="P946" s="93"/>
      <c r="Q946" s="93"/>
      <c r="R946" s="93"/>
      <c r="S946" s="93"/>
      <c r="T946" s="93"/>
      <c r="U946" s="93"/>
      <c r="V946" s="93"/>
      <c r="W946" s="93"/>
      <c r="X946" s="93"/>
      <c r="Y946" s="93"/>
      <c r="Z946" s="93"/>
      <c r="AA946" s="93"/>
      <c r="AB946" s="93"/>
      <c r="AC946" s="93"/>
      <c r="AD946" s="93"/>
      <c r="AE946" s="93"/>
      <c r="AF946" s="93"/>
      <c r="AG946" s="93"/>
      <c r="AH946" s="93"/>
      <c r="AI946" s="93"/>
      <c r="AJ946" s="93"/>
      <c r="AK946" s="93"/>
      <c r="AL946" s="93"/>
      <c r="AM946" s="93"/>
      <c r="AN946" s="93"/>
      <c r="AO946" s="93"/>
      <c r="AP946" s="93"/>
      <c r="AQ946" s="93"/>
      <c r="AR946" s="93"/>
      <c r="AS946" s="93"/>
      <c r="AT946" s="93"/>
      <c r="AU946" s="93"/>
      <c r="AV946" s="93"/>
      <c r="AW946" s="93"/>
      <c r="AX946" s="93"/>
      <c r="AY946" s="93"/>
      <c r="AZ946" s="93"/>
      <c r="BA946" s="93"/>
      <c r="BB946" s="93"/>
      <c r="BC946" s="93"/>
      <c r="BD946" s="93"/>
      <c r="BE946" s="93"/>
      <c r="BF946" s="93"/>
      <c r="BG946" s="93"/>
      <c r="BH946" s="93"/>
      <c r="BI946" s="93"/>
      <c r="BJ946" s="93"/>
      <c r="BK946" s="93"/>
      <c r="BL946" s="93"/>
      <c r="BM946" s="93"/>
      <c r="BN946" s="93"/>
      <c r="BO946" s="93"/>
      <c r="BP946" s="93"/>
      <c r="BQ946" s="93"/>
      <c r="BR946" s="93"/>
      <c r="BS946" s="93"/>
      <c r="BT946" s="93"/>
      <c r="BU946" s="93"/>
      <c r="BV946" s="93"/>
      <c r="BW946" s="93"/>
      <c r="BX946" s="93"/>
      <c r="BY946" s="93"/>
      <c r="BZ946" s="93"/>
    </row>
    <row r="947">
      <c r="B947" t="s">
        <v>3578</v>
      </c>
      <c r="C947" s="89" t="s">
        <v>3579</v>
      </c>
      <c r="D947" s="90" t="s">
        <v>2856</v>
      </c>
      <c r="E947" s="91">
        <v>2019.0</v>
      </c>
      <c r="F947" s="104">
        <v>1.0</v>
      </c>
      <c r="G947" s="93"/>
      <c r="H947" s="93"/>
      <c r="I947" s="93"/>
      <c r="J947" s="93"/>
      <c r="K947" s="93"/>
      <c r="L947" s="93"/>
      <c r="M947" s="93"/>
      <c r="N947" s="93"/>
      <c r="O947" s="93"/>
      <c r="P947" s="93"/>
      <c r="Q947" s="93"/>
      <c r="R947" s="93"/>
      <c r="S947" s="93"/>
      <c r="T947" s="93"/>
      <c r="U947" s="93"/>
      <c r="V947" s="93"/>
      <c r="W947" s="93"/>
      <c r="X947" s="93"/>
      <c r="Y947" s="93"/>
      <c r="Z947" s="93"/>
      <c r="AA947" s="93"/>
      <c r="AB947" s="93"/>
      <c r="AC947" s="93"/>
      <c r="AD947" s="93"/>
      <c r="AE947" s="93"/>
      <c r="AF947" s="93"/>
      <c r="AG947" s="93"/>
      <c r="AH947" s="93"/>
      <c r="AI947" s="93"/>
      <c r="AJ947" s="93"/>
      <c r="AK947" s="93"/>
      <c r="AL947" s="93"/>
      <c r="AM947" s="93"/>
      <c r="AN947" s="93"/>
      <c r="AO947" s="93"/>
      <c r="AP947" s="93"/>
      <c r="AQ947" s="93"/>
      <c r="AR947" s="93"/>
      <c r="AS947" s="93"/>
      <c r="AT947" s="93"/>
      <c r="AU947" s="93"/>
      <c r="AV947" s="93"/>
      <c r="AW947" s="93"/>
      <c r="AX947" s="93"/>
      <c r="AY947" s="93"/>
      <c r="AZ947" s="93"/>
      <c r="BA947" s="93"/>
      <c r="BB947" s="93"/>
      <c r="BC947" s="93"/>
      <c r="BD947" s="93"/>
      <c r="BE947" s="93"/>
      <c r="BF947" s="93"/>
      <c r="BG947" s="93"/>
      <c r="BH947" s="93"/>
      <c r="BI947" s="93"/>
      <c r="BJ947" s="93"/>
      <c r="BK947" s="93"/>
      <c r="BL947" s="93"/>
      <c r="BM947" s="93"/>
      <c r="BN947" s="93"/>
      <c r="BO947" s="93"/>
      <c r="BP947" s="93"/>
      <c r="BQ947" s="93"/>
      <c r="BR947" s="93"/>
      <c r="BS947" s="93"/>
      <c r="BT947" s="93"/>
      <c r="BU947" s="93"/>
      <c r="BV947" s="93"/>
      <c r="BW947" s="93"/>
      <c r="BX947" s="93"/>
      <c r="BY947" s="93"/>
      <c r="BZ947" s="93"/>
    </row>
    <row r="948">
      <c r="B948" t="s">
        <v>3580</v>
      </c>
      <c r="C948" s="89" t="s">
        <v>3581</v>
      </c>
      <c r="D948" s="90" t="s">
        <v>3582</v>
      </c>
      <c r="E948" s="91">
        <v>2016.0</v>
      </c>
      <c r="F948" s="104">
        <v>1.0</v>
      </c>
      <c r="G948" s="93"/>
      <c r="H948" s="93"/>
      <c r="I948" s="93"/>
      <c r="J948" s="93"/>
      <c r="K948" s="93"/>
      <c r="L948" s="93"/>
      <c r="M948" s="93"/>
      <c r="N948" s="93"/>
      <c r="O948" s="93"/>
      <c r="P948" s="93"/>
      <c r="Q948" s="93"/>
      <c r="R948" s="93"/>
      <c r="S948" s="93"/>
      <c r="T948" s="93"/>
      <c r="U948" s="93"/>
      <c r="V948" s="93"/>
      <c r="W948" s="93"/>
      <c r="X948" s="93"/>
      <c r="Y948" s="93"/>
      <c r="Z948" s="93"/>
      <c r="AA948" s="93"/>
      <c r="AB948" s="93"/>
      <c r="AC948" s="93"/>
      <c r="AD948" s="93"/>
      <c r="AE948" s="93"/>
      <c r="AF948" s="93"/>
      <c r="AG948" s="93"/>
      <c r="AH948" s="93"/>
      <c r="AI948" s="93"/>
      <c r="AJ948" s="93"/>
      <c r="AK948" s="93"/>
      <c r="AL948" s="93"/>
      <c r="AM948" s="93"/>
      <c r="AN948" s="93"/>
      <c r="AO948" s="93"/>
      <c r="AP948" s="93"/>
      <c r="AQ948" s="93"/>
      <c r="AR948" s="93"/>
      <c r="AS948" s="93"/>
      <c r="AT948" s="93"/>
      <c r="AU948" s="93"/>
      <c r="AV948" s="93"/>
      <c r="AW948" s="93"/>
      <c r="AX948" s="93"/>
      <c r="AY948" s="93"/>
      <c r="AZ948" s="93"/>
      <c r="BA948" s="93"/>
      <c r="BB948" s="93"/>
      <c r="BC948" s="93"/>
      <c r="BD948" s="93"/>
      <c r="BE948" s="93"/>
      <c r="BF948" s="93"/>
      <c r="BG948" s="93"/>
      <c r="BH948" s="93"/>
      <c r="BI948" s="93"/>
      <c r="BJ948" s="93"/>
      <c r="BK948" s="93"/>
      <c r="BL948" s="93"/>
      <c r="BM948" s="93"/>
      <c r="BN948" s="93"/>
      <c r="BO948" s="93"/>
      <c r="BP948" s="93"/>
      <c r="BQ948" s="93"/>
      <c r="BR948" s="93"/>
      <c r="BS948" s="93"/>
      <c r="BT948" s="93"/>
      <c r="BU948" s="93"/>
      <c r="BV948" s="93"/>
      <c r="BW948" s="93"/>
      <c r="BX948" s="93"/>
      <c r="BY948" s="93"/>
      <c r="BZ948" s="93"/>
    </row>
    <row r="949">
      <c r="B949" t="s">
        <v>3583</v>
      </c>
      <c r="C949" s="89" t="s">
        <v>3584</v>
      </c>
      <c r="D949" s="90" t="s">
        <v>2874</v>
      </c>
      <c r="E949" s="91">
        <v>2017.0</v>
      </c>
      <c r="F949" s="104">
        <v>1.0</v>
      </c>
      <c r="G949" s="93"/>
      <c r="H949" s="93"/>
      <c r="I949" s="93"/>
      <c r="J949" s="93"/>
      <c r="K949" s="93"/>
      <c r="L949" s="93"/>
      <c r="M949" s="93"/>
      <c r="N949" s="93"/>
      <c r="O949" s="93"/>
      <c r="P949" s="93"/>
      <c r="Q949" s="93"/>
      <c r="R949" s="93"/>
      <c r="S949" s="93"/>
      <c r="T949" s="93"/>
      <c r="U949" s="93"/>
      <c r="V949" s="93"/>
      <c r="W949" s="93"/>
      <c r="X949" s="93"/>
      <c r="Y949" s="93"/>
      <c r="Z949" s="93"/>
      <c r="AA949" s="93"/>
      <c r="AB949" s="93"/>
      <c r="AC949" s="93"/>
      <c r="AD949" s="93"/>
      <c r="AE949" s="93"/>
      <c r="AF949" s="93"/>
      <c r="AG949" s="93"/>
      <c r="AH949" s="93"/>
      <c r="AI949" s="93"/>
      <c r="AJ949" s="93"/>
      <c r="AK949" s="93"/>
      <c r="AL949" s="93"/>
      <c r="AM949" s="93"/>
      <c r="AN949" s="93"/>
      <c r="AO949" s="93"/>
      <c r="AP949" s="93"/>
      <c r="AQ949" s="93"/>
      <c r="AR949" s="93"/>
      <c r="AS949" s="93"/>
      <c r="AT949" s="93"/>
      <c r="AU949" s="93"/>
      <c r="AV949" s="93"/>
      <c r="AW949" s="93"/>
      <c r="AX949" s="93"/>
      <c r="AY949" s="93"/>
      <c r="AZ949" s="93"/>
      <c r="BA949" s="93"/>
      <c r="BB949" s="93"/>
      <c r="BC949" s="93"/>
      <c r="BD949" s="93"/>
      <c r="BE949" s="93"/>
      <c r="BF949" s="93"/>
      <c r="BG949" s="93"/>
      <c r="BH949" s="93"/>
      <c r="BI949" s="93"/>
      <c r="BJ949" s="93"/>
      <c r="BK949" s="93"/>
      <c r="BL949" s="93"/>
      <c r="BM949" s="93"/>
      <c r="BN949" s="93"/>
      <c r="BO949" s="93"/>
      <c r="BP949" s="93"/>
      <c r="BQ949" s="93"/>
      <c r="BR949" s="93"/>
      <c r="BS949" s="93"/>
      <c r="BT949" s="93"/>
      <c r="BU949" s="93"/>
      <c r="BV949" s="93"/>
      <c r="BW949" s="93"/>
      <c r="BX949" s="93"/>
      <c r="BY949" s="93"/>
      <c r="BZ949" s="93"/>
    </row>
    <row r="950">
      <c r="B950" t="s">
        <v>3585</v>
      </c>
      <c r="C950" s="89" t="s">
        <v>3586</v>
      </c>
      <c r="D950" s="90" t="s">
        <v>3587</v>
      </c>
      <c r="E950" s="91">
        <v>2017.0</v>
      </c>
      <c r="F950" s="104">
        <v>1.0</v>
      </c>
      <c r="G950" s="93"/>
      <c r="H950" s="93"/>
      <c r="I950" s="93"/>
      <c r="J950" s="93"/>
      <c r="K950" s="93"/>
      <c r="L950" s="93"/>
      <c r="M950" s="93"/>
      <c r="N950" s="93"/>
      <c r="O950" s="93"/>
      <c r="P950" s="93"/>
      <c r="Q950" s="93"/>
      <c r="R950" s="93"/>
      <c r="S950" s="93"/>
      <c r="T950" s="93"/>
      <c r="U950" s="93"/>
      <c r="V950" s="93"/>
      <c r="W950" s="93"/>
      <c r="X950" s="93"/>
      <c r="Y950" s="93"/>
      <c r="Z950" s="93"/>
      <c r="AA950" s="93"/>
      <c r="AB950" s="93"/>
      <c r="AC950" s="93"/>
      <c r="AD950" s="93"/>
      <c r="AE950" s="93"/>
      <c r="AF950" s="93"/>
      <c r="AG950" s="93"/>
      <c r="AH950" s="93"/>
      <c r="AI950" s="93"/>
      <c r="AJ950" s="93"/>
      <c r="AK950" s="93"/>
      <c r="AL950" s="93"/>
      <c r="AM950" s="93"/>
      <c r="AN950" s="93"/>
      <c r="AO950" s="93"/>
      <c r="AP950" s="93"/>
      <c r="AQ950" s="93"/>
      <c r="AR950" s="93"/>
      <c r="AS950" s="93"/>
      <c r="AT950" s="93"/>
      <c r="AU950" s="93"/>
      <c r="AV950" s="93"/>
      <c r="AW950" s="93"/>
      <c r="AX950" s="93"/>
      <c r="AY950" s="93"/>
      <c r="AZ950" s="93"/>
      <c r="BA950" s="93"/>
      <c r="BB950" s="93"/>
      <c r="BC950" s="93"/>
      <c r="BD950" s="93"/>
      <c r="BE950" s="93"/>
      <c r="BF950" s="93"/>
      <c r="BG950" s="93"/>
      <c r="BH950" s="93"/>
      <c r="BI950" s="93"/>
      <c r="BJ950" s="93"/>
      <c r="BK950" s="93"/>
      <c r="BL950" s="93"/>
      <c r="BM950" s="93"/>
      <c r="BN950" s="93"/>
      <c r="BO950" s="93"/>
      <c r="BP950" s="93"/>
      <c r="BQ950" s="93"/>
      <c r="BR950" s="93"/>
      <c r="BS950" s="93"/>
      <c r="BT950" s="93"/>
      <c r="BU950" s="93"/>
      <c r="BV950" s="93"/>
      <c r="BW950" s="93"/>
      <c r="BX950" s="93"/>
      <c r="BY950" s="93"/>
      <c r="BZ950" s="93"/>
    </row>
    <row r="951">
      <c r="A951" t="s">
        <v>1354</v>
      </c>
      <c r="B951" t="s">
        <v>3588</v>
      </c>
      <c r="C951" s="89" t="s">
        <v>3589</v>
      </c>
      <c r="D951" s="90" t="s">
        <v>2856</v>
      </c>
      <c r="E951" s="91">
        <v>2018.0</v>
      </c>
      <c r="F951" s="104">
        <v>1.0</v>
      </c>
      <c r="G951" s="93"/>
      <c r="H951" s="93"/>
      <c r="I951" s="93"/>
      <c r="J951" s="93"/>
      <c r="K951" s="93"/>
      <c r="L951" s="93"/>
      <c r="M951" s="93"/>
      <c r="N951" s="93"/>
      <c r="O951" s="93"/>
      <c r="P951" s="93"/>
      <c r="Q951" s="93"/>
      <c r="R951" s="93"/>
      <c r="S951" s="93"/>
      <c r="T951" s="93"/>
      <c r="U951" s="93"/>
      <c r="V951" s="93"/>
      <c r="W951" s="93"/>
      <c r="X951" s="93"/>
      <c r="Y951" s="93"/>
      <c r="Z951" s="93"/>
      <c r="AA951" s="93"/>
      <c r="AB951" s="93"/>
      <c r="AC951" s="93"/>
      <c r="AD951" s="93"/>
      <c r="AE951" s="93"/>
      <c r="AF951" s="93"/>
      <c r="AG951" s="93"/>
      <c r="AH951" s="93"/>
      <c r="AI951" s="93"/>
      <c r="AJ951" s="93"/>
      <c r="AK951" s="93"/>
      <c r="AL951" s="93"/>
      <c r="AM951" s="93"/>
      <c r="AN951" s="93"/>
      <c r="AO951" s="93"/>
      <c r="AP951" s="93"/>
      <c r="AQ951" s="93"/>
      <c r="AR951" s="93"/>
      <c r="AS951" s="93"/>
      <c r="AT951" s="93"/>
      <c r="AU951" s="93"/>
      <c r="AV951" s="93"/>
      <c r="AW951" s="93"/>
      <c r="AX951" s="93"/>
      <c r="AY951" s="93"/>
      <c r="AZ951" s="93"/>
      <c r="BA951" s="93"/>
      <c r="BB951" s="93"/>
      <c r="BC951" s="93"/>
      <c r="BD951" s="93"/>
      <c r="BE951" s="93"/>
      <c r="BF951" s="93"/>
      <c r="BG951" s="93"/>
      <c r="BH951" s="93"/>
      <c r="BI951" s="93"/>
      <c r="BJ951" s="93"/>
      <c r="BK951" s="93"/>
      <c r="BL951" s="93"/>
      <c r="BM951" s="93"/>
      <c r="BN951" s="93"/>
      <c r="BO951" s="93"/>
      <c r="BP951" s="93"/>
      <c r="BQ951" s="93"/>
      <c r="BR951" s="93"/>
      <c r="BS951" s="93"/>
      <c r="BT951" s="93"/>
      <c r="BU951" s="93"/>
      <c r="BV951" s="93"/>
      <c r="BW951" s="93"/>
      <c r="BX951" s="93"/>
      <c r="BY951" s="93"/>
      <c r="BZ951" s="93"/>
    </row>
    <row r="952">
      <c r="B952" t="s">
        <v>3590</v>
      </c>
      <c r="C952" s="89" t="s">
        <v>3591</v>
      </c>
      <c r="D952" s="90" t="s">
        <v>3337</v>
      </c>
      <c r="E952" s="91">
        <v>2018.0</v>
      </c>
      <c r="F952" s="104">
        <v>1.0</v>
      </c>
      <c r="G952" s="93"/>
      <c r="H952" s="93"/>
      <c r="I952" s="93"/>
      <c r="J952" s="93"/>
      <c r="K952" s="93"/>
      <c r="L952" s="93"/>
      <c r="M952" s="93"/>
      <c r="N952" s="93"/>
      <c r="O952" s="93"/>
      <c r="P952" s="93"/>
      <c r="Q952" s="93"/>
      <c r="R952" s="93"/>
      <c r="S952" s="93"/>
      <c r="T952" s="93"/>
      <c r="U952" s="93"/>
      <c r="V952" s="93"/>
      <c r="W952" s="93"/>
      <c r="X952" s="93"/>
      <c r="Y952" s="93"/>
      <c r="Z952" s="93"/>
      <c r="AA952" s="93"/>
      <c r="AB952" s="93"/>
      <c r="AC952" s="93"/>
      <c r="AD952" s="93"/>
      <c r="AE952" s="93"/>
      <c r="AF952" s="93"/>
      <c r="AG952" s="93"/>
      <c r="AH952" s="93"/>
      <c r="AI952" s="93"/>
      <c r="AJ952" s="93"/>
      <c r="AK952" s="93"/>
      <c r="AL952" s="93"/>
      <c r="AM952" s="93"/>
      <c r="AN952" s="93"/>
      <c r="AO952" s="93"/>
      <c r="AP952" s="93"/>
      <c r="AQ952" s="93"/>
      <c r="AR952" s="93"/>
      <c r="AS952" s="93"/>
      <c r="AT952" s="93"/>
      <c r="AU952" s="93"/>
      <c r="AV952" s="93"/>
      <c r="AW952" s="93"/>
      <c r="AX952" s="93"/>
      <c r="AY952" s="93"/>
      <c r="AZ952" s="93"/>
      <c r="BA952" s="93"/>
      <c r="BB952" s="93"/>
      <c r="BC952" s="93"/>
      <c r="BD952" s="93"/>
      <c r="BE952" s="93"/>
      <c r="BF952" s="93"/>
      <c r="BG952" s="93"/>
      <c r="BH952" s="93"/>
      <c r="BI952" s="93"/>
      <c r="BJ952" s="93"/>
      <c r="BK952" s="93"/>
      <c r="BL952" s="93"/>
      <c r="BM952" s="93"/>
      <c r="BN952" s="93"/>
      <c r="BO952" s="93"/>
      <c r="BP952" s="93"/>
      <c r="BQ952" s="93"/>
      <c r="BR952" s="93"/>
      <c r="BS952" s="93"/>
      <c r="BT952" s="93"/>
      <c r="BU952" s="93"/>
      <c r="BV952" s="93"/>
      <c r="BW952" s="93"/>
      <c r="BX952" s="93"/>
      <c r="BY952" s="93"/>
      <c r="BZ952" s="93"/>
    </row>
    <row r="953">
      <c r="B953" t="s">
        <v>3592</v>
      </c>
      <c r="C953" s="89" t="s">
        <v>3593</v>
      </c>
      <c r="D953" s="90" t="s">
        <v>2985</v>
      </c>
      <c r="E953" s="91">
        <v>2017.0</v>
      </c>
      <c r="F953" s="104">
        <v>1.0</v>
      </c>
      <c r="G953" s="93"/>
      <c r="H953" s="93"/>
      <c r="I953" s="93"/>
      <c r="J953" s="93"/>
      <c r="K953" s="93"/>
      <c r="L953" s="93"/>
      <c r="M953" s="93"/>
      <c r="N953" s="93"/>
      <c r="O953" s="93"/>
      <c r="P953" s="93"/>
      <c r="Q953" s="93"/>
      <c r="R953" s="93"/>
      <c r="S953" s="93"/>
      <c r="T953" s="93"/>
      <c r="U953" s="93"/>
      <c r="V953" s="93"/>
      <c r="W953" s="93"/>
      <c r="X953" s="93"/>
      <c r="Y953" s="93"/>
      <c r="Z953" s="93"/>
      <c r="AA953" s="93"/>
      <c r="AB953" s="93"/>
      <c r="AC953" s="93"/>
      <c r="AD953" s="93"/>
      <c r="AE953" s="93"/>
      <c r="AF953" s="93"/>
      <c r="AG953" s="93"/>
      <c r="AH953" s="93"/>
      <c r="AI953" s="93"/>
      <c r="AJ953" s="93"/>
      <c r="AK953" s="93"/>
      <c r="AL953" s="93"/>
      <c r="AM953" s="93"/>
      <c r="AN953" s="93"/>
      <c r="AO953" s="93"/>
      <c r="AP953" s="93"/>
      <c r="AQ953" s="93"/>
      <c r="AR953" s="93"/>
      <c r="AS953" s="93"/>
      <c r="AT953" s="93"/>
      <c r="AU953" s="93"/>
      <c r="AV953" s="93"/>
      <c r="AW953" s="93"/>
      <c r="AX953" s="93"/>
      <c r="AY953" s="93"/>
      <c r="AZ953" s="93"/>
      <c r="BA953" s="93"/>
      <c r="BB953" s="93"/>
      <c r="BC953" s="93"/>
      <c r="BD953" s="93"/>
      <c r="BE953" s="93"/>
      <c r="BF953" s="93"/>
      <c r="BG953" s="93"/>
      <c r="BH953" s="93"/>
      <c r="BI953" s="93"/>
      <c r="BJ953" s="93"/>
      <c r="BK953" s="93"/>
      <c r="BL953" s="93"/>
      <c r="BM953" s="93"/>
      <c r="BN953" s="93"/>
      <c r="BO953" s="93"/>
      <c r="BP953" s="93"/>
      <c r="BQ953" s="93"/>
      <c r="BR953" s="93"/>
      <c r="BS953" s="93"/>
      <c r="BT953" s="93"/>
      <c r="BU953" s="93"/>
      <c r="BV953" s="93"/>
      <c r="BW953" s="93"/>
      <c r="BX953" s="93"/>
      <c r="BY953" s="93"/>
      <c r="BZ953" s="93"/>
    </row>
    <row r="954">
      <c r="B954" t="s">
        <v>3594</v>
      </c>
      <c r="C954" s="89" t="s">
        <v>3595</v>
      </c>
      <c r="D954" s="90" t="s">
        <v>2874</v>
      </c>
      <c r="E954" s="91">
        <v>2016.0</v>
      </c>
      <c r="F954" s="104">
        <v>1.0</v>
      </c>
      <c r="G954" s="93"/>
      <c r="H954" s="93"/>
      <c r="I954" s="93"/>
      <c r="J954" s="93"/>
      <c r="K954" s="93"/>
      <c r="L954" s="93"/>
      <c r="M954" s="93"/>
      <c r="N954" s="93"/>
      <c r="O954" s="93"/>
      <c r="P954" s="93"/>
      <c r="Q954" s="93"/>
      <c r="R954" s="93"/>
      <c r="S954" s="93"/>
      <c r="T954" s="93"/>
      <c r="U954" s="93"/>
      <c r="V954" s="93"/>
      <c r="W954" s="93"/>
      <c r="X954" s="93"/>
      <c r="Y954" s="93"/>
      <c r="Z954" s="93"/>
      <c r="AA954" s="93"/>
      <c r="AB954" s="93"/>
      <c r="AC954" s="93"/>
      <c r="AD954" s="93"/>
      <c r="AE954" s="93"/>
      <c r="AF954" s="93"/>
      <c r="AG954" s="93"/>
      <c r="AH954" s="93"/>
      <c r="AI954" s="93"/>
      <c r="AJ954" s="93"/>
      <c r="AK954" s="93"/>
      <c r="AL954" s="93"/>
      <c r="AM954" s="93"/>
      <c r="AN954" s="93"/>
      <c r="AO954" s="93"/>
      <c r="AP954" s="93"/>
      <c r="AQ954" s="93"/>
      <c r="AR954" s="93"/>
      <c r="AS954" s="93"/>
      <c r="AT954" s="93"/>
      <c r="AU954" s="93"/>
      <c r="AV954" s="93"/>
      <c r="AW954" s="93"/>
      <c r="AX954" s="93"/>
      <c r="AY954" s="93"/>
      <c r="AZ954" s="93"/>
      <c r="BA954" s="93"/>
      <c r="BB954" s="93"/>
      <c r="BC954" s="93"/>
      <c r="BD954" s="93"/>
      <c r="BE954" s="93"/>
      <c r="BF954" s="93"/>
      <c r="BG954" s="93"/>
      <c r="BH954" s="93"/>
      <c r="BI954" s="93"/>
      <c r="BJ954" s="93"/>
      <c r="BK954" s="93"/>
      <c r="BL954" s="93"/>
      <c r="BM954" s="93"/>
      <c r="BN954" s="93"/>
      <c r="BO954" s="93"/>
      <c r="BP954" s="93"/>
      <c r="BQ954" s="93"/>
      <c r="BR954" s="93"/>
      <c r="BS954" s="93"/>
      <c r="BT954" s="93"/>
      <c r="BU954" s="93"/>
      <c r="BV954" s="93"/>
      <c r="BW954" s="93"/>
      <c r="BX954" s="93"/>
      <c r="BY954" s="93"/>
      <c r="BZ954" s="93"/>
    </row>
    <row r="955">
      <c r="B955" t="s">
        <v>3596</v>
      </c>
      <c r="C955" s="89" t="s">
        <v>3597</v>
      </c>
      <c r="D955" s="90" t="s">
        <v>3004</v>
      </c>
      <c r="E955" s="91">
        <v>2016.0</v>
      </c>
      <c r="F955" s="104">
        <v>1.0</v>
      </c>
      <c r="G955" s="93"/>
      <c r="H955" s="93"/>
      <c r="I955" s="93"/>
      <c r="J955" s="93"/>
      <c r="K955" s="93"/>
      <c r="L955" s="93"/>
      <c r="M955" s="93"/>
      <c r="N955" s="93"/>
      <c r="O955" s="93"/>
      <c r="P955" s="93"/>
      <c r="Q955" s="93"/>
      <c r="R955" s="93"/>
      <c r="S955" s="93"/>
      <c r="T955" s="93"/>
      <c r="U955" s="93"/>
      <c r="V955" s="93"/>
      <c r="W955" s="93"/>
      <c r="X955" s="93"/>
      <c r="Y955" s="93"/>
      <c r="Z955" s="93"/>
      <c r="AA955" s="93"/>
      <c r="AB955" s="93"/>
      <c r="AC955" s="93"/>
      <c r="AD955" s="93"/>
      <c r="AE955" s="93"/>
      <c r="AF955" s="93"/>
      <c r="AG955" s="93"/>
      <c r="AH955" s="93"/>
      <c r="AI955" s="93"/>
      <c r="AJ955" s="93"/>
      <c r="AK955" s="93"/>
      <c r="AL955" s="93"/>
      <c r="AM955" s="93"/>
      <c r="AN955" s="93"/>
      <c r="AO955" s="93"/>
      <c r="AP955" s="93"/>
      <c r="AQ955" s="93"/>
      <c r="AR955" s="93"/>
      <c r="AS955" s="93"/>
      <c r="AT955" s="93"/>
      <c r="AU955" s="93"/>
      <c r="AV955" s="93"/>
      <c r="AW955" s="93"/>
      <c r="AX955" s="93"/>
      <c r="AY955" s="93"/>
      <c r="AZ955" s="93"/>
      <c r="BA955" s="93"/>
      <c r="BB955" s="93"/>
      <c r="BC955" s="93"/>
      <c r="BD955" s="93"/>
      <c r="BE955" s="93"/>
      <c r="BF955" s="93"/>
      <c r="BG955" s="93"/>
      <c r="BH955" s="93"/>
      <c r="BI955" s="93"/>
      <c r="BJ955" s="93"/>
      <c r="BK955" s="93"/>
      <c r="BL955" s="93"/>
      <c r="BM955" s="93"/>
      <c r="BN955" s="93"/>
      <c r="BO955" s="93"/>
      <c r="BP955" s="93"/>
      <c r="BQ955" s="93"/>
      <c r="BR955" s="93"/>
      <c r="BS955" s="93"/>
      <c r="BT955" s="93"/>
      <c r="BU955" s="93"/>
      <c r="BV955" s="93"/>
      <c r="BW955" s="93"/>
      <c r="BX955" s="93"/>
      <c r="BY955" s="93"/>
      <c r="BZ955" s="93"/>
    </row>
    <row r="956">
      <c r="B956" t="s">
        <v>3598</v>
      </c>
      <c r="C956" s="89" t="s">
        <v>3599</v>
      </c>
      <c r="D956" s="90" t="s">
        <v>3600</v>
      </c>
      <c r="E956" s="91">
        <v>2019.0</v>
      </c>
      <c r="F956" s="104">
        <v>1.0</v>
      </c>
      <c r="G956" s="93"/>
      <c r="H956" s="93"/>
      <c r="I956" s="93"/>
      <c r="J956" s="93"/>
      <c r="K956" s="93"/>
      <c r="L956" s="93"/>
      <c r="M956" s="93"/>
      <c r="N956" s="93"/>
      <c r="O956" s="93"/>
      <c r="P956" s="93"/>
      <c r="Q956" s="93"/>
      <c r="R956" s="93"/>
      <c r="S956" s="93"/>
      <c r="T956" s="93"/>
      <c r="U956" s="93"/>
      <c r="V956" s="93"/>
      <c r="W956" s="93"/>
      <c r="X956" s="93"/>
      <c r="Y956" s="93"/>
      <c r="Z956" s="93"/>
      <c r="AA956" s="93"/>
      <c r="AB956" s="93"/>
      <c r="AC956" s="93"/>
      <c r="AD956" s="93"/>
      <c r="AE956" s="93"/>
      <c r="AF956" s="93"/>
      <c r="AG956" s="93"/>
      <c r="AH956" s="93"/>
      <c r="AI956" s="93"/>
      <c r="AJ956" s="93"/>
      <c r="AK956" s="93"/>
      <c r="AL956" s="93"/>
      <c r="AM956" s="93"/>
      <c r="AN956" s="93"/>
      <c r="AO956" s="93"/>
      <c r="AP956" s="93"/>
      <c r="AQ956" s="93"/>
      <c r="AR956" s="93"/>
      <c r="AS956" s="93"/>
      <c r="AT956" s="93"/>
      <c r="AU956" s="93"/>
      <c r="AV956" s="93"/>
      <c r="AW956" s="93"/>
      <c r="AX956" s="93"/>
      <c r="AY956" s="93"/>
      <c r="AZ956" s="93"/>
      <c r="BA956" s="93"/>
      <c r="BB956" s="93"/>
      <c r="BC956" s="93"/>
      <c r="BD956" s="93"/>
      <c r="BE956" s="93"/>
      <c r="BF956" s="93"/>
      <c r="BG956" s="93"/>
      <c r="BH956" s="93"/>
      <c r="BI956" s="93"/>
      <c r="BJ956" s="93"/>
      <c r="BK956" s="93"/>
      <c r="BL956" s="93"/>
      <c r="BM956" s="93"/>
      <c r="BN956" s="93"/>
      <c r="BO956" s="93"/>
      <c r="BP956" s="93"/>
      <c r="BQ956" s="93"/>
      <c r="BR956" s="93"/>
      <c r="BS956" s="93"/>
      <c r="BT956" s="93"/>
      <c r="BU956" s="93"/>
      <c r="BV956" s="93"/>
      <c r="BW956" s="93"/>
      <c r="BX956" s="93"/>
      <c r="BY956" s="93"/>
      <c r="BZ956" s="93"/>
    </row>
    <row r="957">
      <c r="B957" t="s">
        <v>3601</v>
      </c>
      <c r="C957" s="89" t="s">
        <v>3602</v>
      </c>
      <c r="D957" s="90" t="s">
        <v>2874</v>
      </c>
      <c r="E957" s="91">
        <v>2017.0</v>
      </c>
      <c r="F957" s="104">
        <v>1.0</v>
      </c>
      <c r="G957" s="93"/>
      <c r="H957" s="93"/>
      <c r="I957" s="93"/>
      <c r="J957" s="93"/>
      <c r="K957" s="93"/>
      <c r="L957" s="93"/>
      <c r="M957" s="93"/>
      <c r="N957" s="93"/>
      <c r="O957" s="93"/>
      <c r="P957" s="93"/>
      <c r="Q957" s="93"/>
      <c r="R957" s="93"/>
      <c r="S957" s="93"/>
      <c r="T957" s="93"/>
      <c r="U957" s="93"/>
      <c r="V957" s="93"/>
      <c r="W957" s="93"/>
      <c r="X957" s="93"/>
      <c r="Y957" s="93"/>
      <c r="Z957" s="93"/>
      <c r="AA957" s="93"/>
      <c r="AB957" s="93"/>
      <c r="AC957" s="93"/>
      <c r="AD957" s="93"/>
      <c r="AE957" s="93"/>
      <c r="AF957" s="93"/>
      <c r="AG957" s="93"/>
      <c r="AH957" s="93"/>
      <c r="AI957" s="93"/>
      <c r="AJ957" s="93"/>
      <c r="AK957" s="93"/>
      <c r="AL957" s="93"/>
      <c r="AM957" s="93"/>
      <c r="AN957" s="93"/>
      <c r="AO957" s="93"/>
      <c r="AP957" s="93"/>
      <c r="AQ957" s="93"/>
      <c r="AR957" s="93"/>
      <c r="AS957" s="93"/>
      <c r="AT957" s="93"/>
      <c r="AU957" s="93"/>
      <c r="AV957" s="93"/>
      <c r="AW957" s="93"/>
      <c r="AX957" s="93"/>
      <c r="AY957" s="93"/>
      <c r="AZ957" s="93"/>
      <c r="BA957" s="93"/>
      <c r="BB957" s="93"/>
      <c r="BC957" s="93"/>
      <c r="BD957" s="93"/>
      <c r="BE957" s="93"/>
      <c r="BF957" s="93"/>
      <c r="BG957" s="93"/>
      <c r="BH957" s="93"/>
      <c r="BI957" s="93"/>
      <c r="BJ957" s="93"/>
      <c r="BK957" s="93"/>
      <c r="BL957" s="93"/>
      <c r="BM957" s="93"/>
      <c r="BN957" s="93"/>
      <c r="BO957" s="93"/>
      <c r="BP957" s="93"/>
      <c r="BQ957" s="93"/>
      <c r="BR957" s="93"/>
      <c r="BS957" s="93"/>
      <c r="BT957" s="93"/>
      <c r="BU957" s="93"/>
      <c r="BV957" s="93"/>
      <c r="BW957" s="93"/>
      <c r="BX957" s="93"/>
      <c r="BY957" s="93"/>
      <c r="BZ957" s="93"/>
    </row>
    <row r="958">
      <c r="B958" t="s">
        <v>3603</v>
      </c>
      <c r="C958" s="89" t="s">
        <v>3604</v>
      </c>
      <c r="D958" s="90" t="s">
        <v>2874</v>
      </c>
      <c r="E958" s="91">
        <v>2017.0</v>
      </c>
      <c r="F958" s="104">
        <v>1.0</v>
      </c>
      <c r="G958" s="93"/>
      <c r="H958" s="93"/>
      <c r="I958" s="93"/>
      <c r="J958" s="93"/>
      <c r="K958" s="93"/>
      <c r="L958" s="93"/>
      <c r="M958" s="93"/>
      <c r="N958" s="93"/>
      <c r="O958" s="93"/>
      <c r="P958" s="93"/>
      <c r="Q958" s="93"/>
      <c r="R958" s="93"/>
      <c r="S958" s="93"/>
      <c r="T958" s="93"/>
      <c r="U958" s="93"/>
      <c r="V958" s="93"/>
      <c r="W958" s="93"/>
      <c r="X958" s="93"/>
      <c r="Y958" s="93"/>
      <c r="Z958" s="93"/>
      <c r="AA958" s="93"/>
      <c r="AB958" s="93"/>
      <c r="AC958" s="93"/>
      <c r="AD958" s="93"/>
      <c r="AE958" s="93"/>
      <c r="AF958" s="93"/>
      <c r="AG958" s="93"/>
      <c r="AH958" s="93"/>
      <c r="AI958" s="93"/>
      <c r="AJ958" s="93"/>
      <c r="AK958" s="93"/>
      <c r="AL958" s="93"/>
      <c r="AM958" s="93"/>
      <c r="AN958" s="93"/>
      <c r="AO958" s="93"/>
      <c r="AP958" s="93"/>
      <c r="AQ958" s="93"/>
      <c r="AR958" s="93"/>
      <c r="AS958" s="93"/>
      <c r="AT958" s="93"/>
      <c r="AU958" s="93"/>
      <c r="AV958" s="93"/>
      <c r="AW958" s="93"/>
      <c r="AX958" s="93"/>
      <c r="AY958" s="93"/>
      <c r="AZ958" s="93"/>
      <c r="BA958" s="93"/>
      <c r="BB958" s="93"/>
      <c r="BC958" s="93"/>
      <c r="BD958" s="93"/>
      <c r="BE958" s="93"/>
      <c r="BF958" s="93"/>
      <c r="BG958" s="93"/>
      <c r="BH958" s="93"/>
      <c r="BI958" s="93"/>
      <c r="BJ958" s="93"/>
      <c r="BK958" s="93"/>
      <c r="BL958" s="93"/>
      <c r="BM958" s="93"/>
      <c r="BN958" s="93"/>
      <c r="BO958" s="93"/>
      <c r="BP958" s="93"/>
      <c r="BQ958" s="93"/>
      <c r="BR958" s="93"/>
      <c r="BS958" s="93"/>
      <c r="BT958" s="93"/>
      <c r="BU958" s="93"/>
      <c r="BV958" s="93"/>
      <c r="BW958" s="93"/>
      <c r="BX958" s="93"/>
      <c r="BY958" s="93"/>
      <c r="BZ958" s="93"/>
    </row>
    <row r="959">
      <c r="B959" t="s">
        <v>3605</v>
      </c>
      <c r="C959" s="89" t="s">
        <v>3606</v>
      </c>
      <c r="D959" s="90" t="s">
        <v>2874</v>
      </c>
      <c r="E959" s="91">
        <v>2018.0</v>
      </c>
      <c r="F959" s="104">
        <v>1.0</v>
      </c>
      <c r="G959" s="93"/>
      <c r="H959" s="93"/>
      <c r="I959" s="93"/>
      <c r="J959" s="93"/>
      <c r="K959" s="93"/>
      <c r="L959" s="93"/>
      <c r="M959" s="93"/>
      <c r="N959" s="93"/>
      <c r="O959" s="93"/>
      <c r="P959" s="93"/>
      <c r="Q959" s="93"/>
      <c r="R959" s="93"/>
      <c r="S959" s="93"/>
      <c r="T959" s="93"/>
      <c r="U959" s="93"/>
      <c r="V959" s="93"/>
      <c r="W959" s="93"/>
      <c r="X959" s="93"/>
      <c r="Y959" s="93"/>
      <c r="Z959" s="93"/>
      <c r="AA959" s="93"/>
      <c r="AB959" s="93"/>
      <c r="AC959" s="93"/>
      <c r="AD959" s="93"/>
      <c r="AE959" s="93"/>
      <c r="AF959" s="93"/>
      <c r="AG959" s="93"/>
      <c r="AH959" s="93"/>
      <c r="AI959" s="93"/>
      <c r="AJ959" s="93"/>
      <c r="AK959" s="93"/>
      <c r="AL959" s="93"/>
      <c r="AM959" s="93"/>
      <c r="AN959" s="93"/>
      <c r="AO959" s="93"/>
      <c r="AP959" s="93"/>
      <c r="AQ959" s="93"/>
      <c r="AR959" s="93"/>
      <c r="AS959" s="93"/>
      <c r="AT959" s="93"/>
      <c r="AU959" s="93"/>
      <c r="AV959" s="93"/>
      <c r="AW959" s="93"/>
      <c r="AX959" s="93"/>
      <c r="AY959" s="93"/>
      <c r="AZ959" s="93"/>
      <c r="BA959" s="93"/>
      <c r="BB959" s="93"/>
      <c r="BC959" s="93"/>
      <c r="BD959" s="93"/>
      <c r="BE959" s="93"/>
      <c r="BF959" s="93"/>
      <c r="BG959" s="93"/>
      <c r="BH959" s="93"/>
      <c r="BI959" s="93"/>
      <c r="BJ959" s="93"/>
      <c r="BK959" s="93"/>
      <c r="BL959" s="93"/>
      <c r="BM959" s="93"/>
      <c r="BN959" s="93"/>
      <c r="BO959" s="93"/>
      <c r="BP959" s="93"/>
      <c r="BQ959" s="93"/>
      <c r="BR959" s="93"/>
      <c r="BS959" s="93"/>
      <c r="BT959" s="93"/>
      <c r="BU959" s="93"/>
      <c r="BV959" s="93"/>
      <c r="BW959" s="93"/>
      <c r="BX959" s="93"/>
      <c r="BY959" s="93"/>
      <c r="BZ959" s="93"/>
    </row>
    <row r="960">
      <c r="B960" t="s">
        <v>3607</v>
      </c>
      <c r="C960" s="89" t="s">
        <v>3608</v>
      </c>
      <c r="D960" s="90" t="s">
        <v>2874</v>
      </c>
      <c r="E960" s="91">
        <v>2017.0</v>
      </c>
      <c r="F960" s="104">
        <v>1.0</v>
      </c>
      <c r="G960" s="93"/>
      <c r="H960" s="93"/>
      <c r="I960" s="93"/>
      <c r="J960" s="93"/>
      <c r="K960" s="93"/>
      <c r="L960" s="93"/>
      <c r="M960" s="93"/>
      <c r="N960" s="93"/>
      <c r="O960" s="93"/>
      <c r="P960" s="93"/>
      <c r="Q960" s="93"/>
      <c r="R960" s="93"/>
      <c r="S960" s="93"/>
      <c r="T960" s="93"/>
      <c r="U960" s="93"/>
      <c r="V960" s="93"/>
      <c r="W960" s="93"/>
      <c r="X960" s="93"/>
      <c r="Y960" s="93"/>
      <c r="Z960" s="93"/>
      <c r="AA960" s="93"/>
      <c r="AB960" s="93"/>
      <c r="AC960" s="93"/>
      <c r="AD960" s="93"/>
      <c r="AE960" s="93"/>
      <c r="AF960" s="93"/>
      <c r="AG960" s="93"/>
      <c r="AH960" s="93"/>
      <c r="AI960" s="93"/>
      <c r="AJ960" s="93"/>
      <c r="AK960" s="93"/>
      <c r="AL960" s="93"/>
      <c r="AM960" s="93"/>
      <c r="AN960" s="93"/>
      <c r="AO960" s="93"/>
      <c r="AP960" s="93"/>
      <c r="AQ960" s="93"/>
      <c r="AR960" s="93"/>
      <c r="AS960" s="93"/>
      <c r="AT960" s="93"/>
      <c r="AU960" s="93"/>
      <c r="AV960" s="93"/>
      <c r="AW960" s="93"/>
      <c r="AX960" s="93"/>
      <c r="AY960" s="93"/>
      <c r="AZ960" s="93"/>
      <c r="BA960" s="93"/>
      <c r="BB960" s="93"/>
      <c r="BC960" s="93"/>
      <c r="BD960" s="93"/>
      <c r="BE960" s="93"/>
      <c r="BF960" s="93"/>
      <c r="BG960" s="93"/>
      <c r="BH960" s="93"/>
      <c r="BI960" s="93"/>
      <c r="BJ960" s="93"/>
      <c r="BK960" s="93"/>
      <c r="BL960" s="93"/>
      <c r="BM960" s="93"/>
      <c r="BN960" s="93"/>
      <c r="BO960" s="93"/>
      <c r="BP960" s="93"/>
      <c r="BQ960" s="93"/>
      <c r="BR960" s="93"/>
      <c r="BS960" s="93"/>
      <c r="BT960" s="93"/>
      <c r="BU960" s="93"/>
      <c r="BV960" s="93"/>
      <c r="BW960" s="93"/>
      <c r="BX960" s="93"/>
      <c r="BY960" s="93"/>
      <c r="BZ960" s="93"/>
    </row>
    <row r="961">
      <c r="B961" t="s">
        <v>3609</v>
      </c>
      <c r="C961" s="89" t="s">
        <v>3610</v>
      </c>
      <c r="D961" s="90" t="s">
        <v>2985</v>
      </c>
      <c r="E961" s="91">
        <v>2017.0</v>
      </c>
      <c r="F961" s="104">
        <v>1.0</v>
      </c>
      <c r="G961" s="93"/>
      <c r="H961" s="93"/>
      <c r="I961" s="93"/>
      <c r="J961" s="93"/>
      <c r="K961" s="93"/>
      <c r="L961" s="93"/>
      <c r="M961" s="93"/>
      <c r="N961" s="93"/>
      <c r="O961" s="93"/>
      <c r="P961" s="93"/>
      <c r="Q961" s="93"/>
      <c r="R961" s="93"/>
      <c r="S961" s="93"/>
      <c r="T961" s="93"/>
      <c r="U961" s="93"/>
      <c r="V961" s="93"/>
      <c r="W961" s="93"/>
      <c r="X961" s="93"/>
      <c r="Y961" s="93"/>
      <c r="Z961" s="93"/>
      <c r="AA961" s="93"/>
      <c r="AB961" s="93"/>
      <c r="AC961" s="93"/>
      <c r="AD961" s="93"/>
      <c r="AE961" s="93"/>
      <c r="AF961" s="93"/>
      <c r="AG961" s="93"/>
      <c r="AH961" s="93"/>
      <c r="AI961" s="93"/>
      <c r="AJ961" s="93"/>
      <c r="AK961" s="93"/>
      <c r="AL961" s="93"/>
      <c r="AM961" s="93"/>
      <c r="AN961" s="93"/>
      <c r="AO961" s="93"/>
      <c r="AP961" s="93"/>
      <c r="AQ961" s="93"/>
      <c r="AR961" s="93"/>
      <c r="AS961" s="93"/>
      <c r="AT961" s="93"/>
      <c r="AU961" s="93"/>
      <c r="AV961" s="93"/>
      <c r="AW961" s="93"/>
      <c r="AX961" s="93"/>
      <c r="AY961" s="93"/>
      <c r="AZ961" s="93"/>
      <c r="BA961" s="93"/>
      <c r="BB961" s="93"/>
      <c r="BC961" s="93"/>
      <c r="BD961" s="93"/>
      <c r="BE961" s="93"/>
      <c r="BF961" s="93"/>
      <c r="BG961" s="93"/>
      <c r="BH961" s="93"/>
      <c r="BI961" s="93"/>
      <c r="BJ961" s="93"/>
      <c r="BK961" s="93"/>
      <c r="BL961" s="93"/>
      <c r="BM961" s="93"/>
      <c r="BN961" s="93"/>
      <c r="BO961" s="93"/>
      <c r="BP961" s="93"/>
      <c r="BQ961" s="93"/>
      <c r="BR961" s="93"/>
      <c r="BS961" s="93"/>
      <c r="BT961" s="93"/>
      <c r="BU961" s="93"/>
      <c r="BV961" s="93"/>
      <c r="BW961" s="93"/>
      <c r="BX961" s="93"/>
      <c r="BY961" s="93"/>
      <c r="BZ961" s="93"/>
    </row>
    <row r="962">
      <c r="B962" t="s">
        <v>3611</v>
      </c>
      <c r="C962" s="89" t="s">
        <v>3612</v>
      </c>
      <c r="D962" s="90" t="s">
        <v>3613</v>
      </c>
      <c r="E962" s="91">
        <v>2020.0</v>
      </c>
      <c r="F962" s="104">
        <v>1.0</v>
      </c>
      <c r="G962" s="93"/>
      <c r="H962" s="93"/>
      <c r="I962" s="93"/>
      <c r="J962" s="93"/>
      <c r="K962" s="93"/>
      <c r="L962" s="93"/>
      <c r="M962" s="93"/>
      <c r="N962" s="93"/>
      <c r="O962" s="93"/>
      <c r="P962" s="93"/>
      <c r="Q962" s="93"/>
      <c r="R962" s="93"/>
      <c r="S962" s="93"/>
      <c r="T962" s="93"/>
      <c r="U962" s="93"/>
      <c r="V962" s="93"/>
      <c r="W962" s="93"/>
      <c r="X962" s="93"/>
      <c r="Y962" s="93"/>
      <c r="Z962" s="93"/>
      <c r="AA962" s="93"/>
      <c r="AB962" s="93"/>
      <c r="AC962" s="93"/>
      <c r="AD962" s="93"/>
      <c r="AE962" s="93"/>
      <c r="AF962" s="93"/>
      <c r="AG962" s="93"/>
      <c r="AH962" s="93"/>
      <c r="AI962" s="93"/>
      <c r="AJ962" s="93"/>
      <c r="AK962" s="93"/>
      <c r="AL962" s="93"/>
      <c r="AM962" s="93"/>
      <c r="AN962" s="93"/>
      <c r="AO962" s="93"/>
      <c r="AP962" s="93"/>
      <c r="AQ962" s="93"/>
      <c r="AR962" s="93"/>
      <c r="AS962" s="93"/>
      <c r="AT962" s="93"/>
      <c r="AU962" s="93"/>
      <c r="AV962" s="93"/>
      <c r="AW962" s="93"/>
      <c r="AX962" s="93"/>
      <c r="AY962" s="93"/>
      <c r="AZ962" s="93"/>
      <c r="BA962" s="93"/>
      <c r="BB962" s="93"/>
      <c r="BC962" s="93"/>
      <c r="BD962" s="93"/>
      <c r="BE962" s="93"/>
      <c r="BF962" s="93"/>
      <c r="BG962" s="93"/>
      <c r="BH962" s="93"/>
      <c r="BI962" s="93"/>
      <c r="BJ962" s="93"/>
      <c r="BK962" s="93"/>
      <c r="BL962" s="93"/>
      <c r="BM962" s="93"/>
      <c r="BN962" s="93"/>
      <c r="BO962" s="93"/>
      <c r="BP962" s="93"/>
      <c r="BQ962" s="93"/>
      <c r="BR962" s="93"/>
      <c r="BS962" s="93"/>
      <c r="BT962" s="93"/>
      <c r="BU962" s="93"/>
      <c r="BV962" s="93"/>
      <c r="BW962" s="93"/>
      <c r="BX962" s="93"/>
      <c r="BY962" s="93"/>
      <c r="BZ962" s="93"/>
    </row>
    <row r="963">
      <c r="B963" t="s">
        <v>3614</v>
      </c>
      <c r="C963" s="89" t="s">
        <v>3615</v>
      </c>
      <c r="D963" s="90" t="s">
        <v>3616</v>
      </c>
      <c r="E963" s="91">
        <v>2016.0</v>
      </c>
      <c r="F963" s="104">
        <v>1.0</v>
      </c>
      <c r="G963" s="93"/>
      <c r="H963" s="93"/>
      <c r="I963" s="93"/>
      <c r="J963" s="93"/>
      <c r="K963" s="93"/>
      <c r="L963" s="93"/>
      <c r="M963" s="93"/>
      <c r="N963" s="93"/>
      <c r="O963" s="93"/>
      <c r="P963" s="93"/>
      <c r="Q963" s="93"/>
      <c r="R963" s="93"/>
      <c r="S963" s="93"/>
      <c r="T963" s="93"/>
      <c r="U963" s="93"/>
      <c r="V963" s="93"/>
      <c r="W963" s="93"/>
      <c r="X963" s="93"/>
      <c r="Y963" s="93"/>
      <c r="Z963" s="93"/>
      <c r="AA963" s="93"/>
      <c r="AB963" s="93"/>
      <c r="AC963" s="93"/>
      <c r="AD963" s="93"/>
      <c r="AE963" s="93"/>
      <c r="AF963" s="93"/>
      <c r="AG963" s="93"/>
      <c r="AH963" s="93"/>
      <c r="AI963" s="93"/>
      <c r="AJ963" s="93"/>
      <c r="AK963" s="93"/>
      <c r="AL963" s="93"/>
      <c r="AM963" s="93"/>
      <c r="AN963" s="93"/>
      <c r="AO963" s="93"/>
      <c r="AP963" s="93"/>
      <c r="AQ963" s="93"/>
      <c r="AR963" s="93"/>
      <c r="AS963" s="93"/>
      <c r="AT963" s="93"/>
      <c r="AU963" s="93"/>
      <c r="AV963" s="93"/>
      <c r="AW963" s="93"/>
      <c r="AX963" s="93"/>
      <c r="AY963" s="93"/>
      <c r="AZ963" s="93"/>
      <c r="BA963" s="93"/>
      <c r="BB963" s="93"/>
      <c r="BC963" s="93"/>
      <c r="BD963" s="93"/>
      <c r="BE963" s="93"/>
      <c r="BF963" s="93"/>
      <c r="BG963" s="93"/>
      <c r="BH963" s="93"/>
      <c r="BI963" s="93"/>
      <c r="BJ963" s="93"/>
      <c r="BK963" s="93"/>
      <c r="BL963" s="93"/>
      <c r="BM963" s="93"/>
      <c r="BN963" s="93"/>
      <c r="BO963" s="93"/>
      <c r="BP963" s="93"/>
      <c r="BQ963" s="93"/>
      <c r="BR963" s="93"/>
      <c r="BS963" s="93"/>
      <c r="BT963" s="93"/>
      <c r="BU963" s="93"/>
      <c r="BV963" s="93"/>
      <c r="BW963" s="93"/>
      <c r="BX963" s="93"/>
      <c r="BY963" s="93"/>
      <c r="BZ963" s="93"/>
    </row>
    <row r="964">
      <c r="B964" t="s">
        <v>3617</v>
      </c>
      <c r="C964" s="89" t="s">
        <v>3618</v>
      </c>
      <c r="D964" s="90" t="s">
        <v>3619</v>
      </c>
      <c r="E964" s="91">
        <v>2019.0</v>
      </c>
      <c r="F964" s="104">
        <v>1.0</v>
      </c>
      <c r="G964" s="93"/>
      <c r="H964" s="93"/>
      <c r="I964" s="93"/>
      <c r="J964" s="93"/>
      <c r="K964" s="93"/>
      <c r="L964" s="93"/>
      <c r="M964" s="93"/>
      <c r="N964" s="93"/>
      <c r="O964" s="93"/>
      <c r="P964" s="93"/>
      <c r="Q964" s="93"/>
      <c r="R964" s="93"/>
      <c r="S964" s="93"/>
      <c r="T964" s="93"/>
      <c r="U964" s="93"/>
      <c r="V964" s="93"/>
      <c r="W964" s="93"/>
      <c r="X964" s="93"/>
      <c r="Y964" s="93"/>
      <c r="Z964" s="93"/>
      <c r="AA964" s="93"/>
      <c r="AB964" s="93"/>
      <c r="AC964" s="93"/>
      <c r="AD964" s="93"/>
      <c r="AE964" s="93"/>
      <c r="AF964" s="93"/>
      <c r="AG964" s="93"/>
      <c r="AH964" s="93"/>
      <c r="AI964" s="93"/>
      <c r="AJ964" s="93"/>
      <c r="AK964" s="93"/>
      <c r="AL964" s="93"/>
      <c r="AM964" s="93"/>
      <c r="AN964" s="93"/>
      <c r="AO964" s="93"/>
      <c r="AP964" s="93"/>
      <c r="AQ964" s="93"/>
      <c r="AR964" s="93"/>
      <c r="AS964" s="93"/>
      <c r="AT964" s="93"/>
      <c r="AU964" s="93"/>
      <c r="AV964" s="93"/>
      <c r="AW964" s="93"/>
      <c r="AX964" s="93"/>
      <c r="AY964" s="93"/>
      <c r="AZ964" s="93"/>
      <c r="BA964" s="93"/>
      <c r="BB964" s="93"/>
      <c r="BC964" s="93"/>
      <c r="BD964" s="93"/>
      <c r="BE964" s="93"/>
      <c r="BF964" s="93"/>
      <c r="BG964" s="93"/>
      <c r="BH964" s="93"/>
      <c r="BI964" s="93"/>
      <c r="BJ964" s="93"/>
      <c r="BK964" s="93"/>
      <c r="BL964" s="93"/>
      <c r="BM964" s="93"/>
      <c r="BN964" s="93"/>
      <c r="BO964" s="93"/>
      <c r="BP964" s="93"/>
      <c r="BQ964" s="93"/>
      <c r="BR964" s="93"/>
      <c r="BS964" s="93"/>
      <c r="BT964" s="93"/>
      <c r="BU964" s="93"/>
      <c r="BV964" s="93"/>
      <c r="BW964" s="93"/>
      <c r="BX964" s="93"/>
      <c r="BY964" s="93"/>
      <c r="BZ964" s="93"/>
    </row>
    <row r="965">
      <c r="A965" t="s">
        <v>116</v>
      </c>
      <c r="B965" t="s">
        <v>3620</v>
      </c>
      <c r="C965" s="89" t="s">
        <v>3621</v>
      </c>
      <c r="D965" s="90" t="s">
        <v>3622</v>
      </c>
      <c r="E965" s="91">
        <v>2017.0</v>
      </c>
      <c r="F965" s="104">
        <v>1.0</v>
      </c>
      <c r="G965" s="93"/>
      <c r="H965" s="93"/>
      <c r="I965" s="93"/>
      <c r="J965" s="93"/>
      <c r="K965" s="93"/>
      <c r="L965" s="93"/>
      <c r="M965" s="93"/>
      <c r="N965" s="93"/>
      <c r="O965" s="93"/>
      <c r="P965" s="93"/>
      <c r="Q965" s="93"/>
      <c r="R965" s="93"/>
      <c r="S965" s="93"/>
      <c r="T965" s="93"/>
      <c r="U965" s="93"/>
      <c r="V965" s="93"/>
      <c r="W965" s="93"/>
      <c r="X965" s="93"/>
      <c r="Y965" s="93"/>
      <c r="Z965" s="93"/>
      <c r="AA965" s="93"/>
      <c r="AB965" s="93"/>
      <c r="AC965" s="93"/>
      <c r="AD965" s="93"/>
      <c r="AE965" s="93"/>
      <c r="AF965" s="93"/>
      <c r="AG965" s="93"/>
      <c r="AH965" s="93"/>
      <c r="AI965" s="93"/>
      <c r="AJ965" s="93"/>
      <c r="AK965" s="93"/>
      <c r="AL965" s="93"/>
      <c r="AM965" s="93"/>
      <c r="AN965" s="93"/>
      <c r="AO965" s="93"/>
      <c r="AP965" s="93"/>
      <c r="AQ965" s="93"/>
      <c r="AR965" s="93"/>
      <c r="AS965" s="93"/>
      <c r="AT965" s="93"/>
      <c r="AU965" s="93"/>
      <c r="AV965" s="93"/>
      <c r="AW965" s="93"/>
      <c r="AX965" s="93"/>
      <c r="AY965" s="93"/>
      <c r="AZ965" s="93"/>
      <c r="BA965" s="93"/>
      <c r="BB965" s="93"/>
      <c r="BC965" s="93"/>
      <c r="BD965" s="93"/>
      <c r="BE965" s="93"/>
      <c r="BF965" s="93"/>
      <c r="BG965" s="93"/>
      <c r="BH965" s="93"/>
      <c r="BI965" s="93"/>
      <c r="BJ965" s="93"/>
      <c r="BK965" s="93"/>
      <c r="BL965" s="93"/>
      <c r="BM965" s="93"/>
      <c r="BN965" s="93"/>
      <c r="BO965" s="93"/>
      <c r="BP965" s="93"/>
      <c r="BQ965" s="93"/>
      <c r="BR965" s="93"/>
      <c r="BS965" s="93"/>
      <c r="BT965" s="93"/>
      <c r="BU965" s="93"/>
      <c r="BV965" s="93"/>
      <c r="BW965" s="93"/>
      <c r="BX965" s="93"/>
      <c r="BY965" s="93"/>
      <c r="BZ965" s="93"/>
    </row>
    <row r="966">
      <c r="B966" t="s">
        <v>3623</v>
      </c>
      <c r="C966" s="89" t="s">
        <v>3624</v>
      </c>
      <c r="D966" s="90" t="s">
        <v>2874</v>
      </c>
      <c r="E966" s="91">
        <v>2019.0</v>
      </c>
      <c r="F966" s="104">
        <v>1.0</v>
      </c>
      <c r="G966" s="93"/>
      <c r="H966" s="93"/>
      <c r="I966" s="93"/>
      <c r="J966" s="93"/>
      <c r="K966" s="93"/>
      <c r="L966" s="93"/>
      <c r="M966" s="93"/>
      <c r="N966" s="93"/>
      <c r="O966" s="93"/>
      <c r="P966" s="93"/>
      <c r="Q966" s="93"/>
      <c r="R966" s="93"/>
      <c r="S966" s="93"/>
      <c r="T966" s="93"/>
      <c r="U966" s="93"/>
      <c r="V966" s="93"/>
      <c r="W966" s="93"/>
      <c r="X966" s="93"/>
      <c r="Y966" s="93"/>
      <c r="Z966" s="93"/>
      <c r="AA966" s="93"/>
      <c r="AB966" s="93"/>
      <c r="AC966" s="93"/>
      <c r="AD966" s="93"/>
      <c r="AE966" s="93"/>
      <c r="AF966" s="93"/>
      <c r="AG966" s="93"/>
      <c r="AH966" s="93"/>
      <c r="AI966" s="93"/>
      <c r="AJ966" s="93"/>
      <c r="AK966" s="93"/>
      <c r="AL966" s="93"/>
      <c r="AM966" s="93"/>
      <c r="AN966" s="93"/>
      <c r="AO966" s="93"/>
      <c r="AP966" s="93"/>
      <c r="AQ966" s="93"/>
      <c r="AR966" s="93"/>
      <c r="AS966" s="93"/>
      <c r="AT966" s="93"/>
      <c r="AU966" s="93"/>
      <c r="AV966" s="93"/>
      <c r="AW966" s="93"/>
      <c r="AX966" s="93"/>
      <c r="AY966" s="93"/>
      <c r="AZ966" s="93"/>
      <c r="BA966" s="93"/>
      <c r="BB966" s="93"/>
      <c r="BC966" s="93"/>
      <c r="BD966" s="93"/>
      <c r="BE966" s="93"/>
      <c r="BF966" s="93"/>
      <c r="BG966" s="93"/>
      <c r="BH966" s="93"/>
      <c r="BI966" s="93"/>
      <c r="BJ966" s="93"/>
      <c r="BK966" s="93"/>
      <c r="BL966" s="93"/>
      <c r="BM966" s="93"/>
      <c r="BN966" s="93"/>
      <c r="BO966" s="93"/>
      <c r="BP966" s="93"/>
      <c r="BQ966" s="93"/>
      <c r="BR966" s="93"/>
      <c r="BS966" s="93"/>
      <c r="BT966" s="93"/>
      <c r="BU966" s="93"/>
      <c r="BV966" s="93"/>
      <c r="BW966" s="93"/>
      <c r="BX966" s="93"/>
      <c r="BY966" s="93"/>
      <c r="BZ966" s="93"/>
    </row>
    <row r="967">
      <c r="B967" t="s">
        <v>3625</v>
      </c>
      <c r="C967" s="89" t="s">
        <v>3626</v>
      </c>
      <c r="D967" s="90" t="s">
        <v>3627</v>
      </c>
      <c r="E967" s="91">
        <v>2019.0</v>
      </c>
      <c r="F967" s="104">
        <v>1.0</v>
      </c>
      <c r="G967" s="93"/>
      <c r="H967" s="93"/>
      <c r="I967" s="93"/>
      <c r="J967" s="93"/>
      <c r="K967" s="93"/>
      <c r="L967" s="93"/>
      <c r="M967" s="93"/>
      <c r="N967" s="93"/>
      <c r="O967" s="93"/>
      <c r="P967" s="93"/>
      <c r="Q967" s="93"/>
      <c r="R967" s="93"/>
      <c r="S967" s="93"/>
      <c r="T967" s="93"/>
      <c r="U967" s="93"/>
      <c r="V967" s="93"/>
      <c r="W967" s="93"/>
      <c r="X967" s="93"/>
      <c r="Y967" s="93"/>
      <c r="Z967" s="93"/>
      <c r="AA967" s="93"/>
      <c r="AB967" s="93"/>
      <c r="AC967" s="93"/>
      <c r="AD967" s="93"/>
      <c r="AE967" s="93"/>
      <c r="AF967" s="93"/>
      <c r="AG967" s="93"/>
      <c r="AH967" s="93"/>
      <c r="AI967" s="93"/>
      <c r="AJ967" s="93"/>
      <c r="AK967" s="93"/>
      <c r="AL967" s="93"/>
      <c r="AM967" s="93"/>
      <c r="AN967" s="93"/>
      <c r="AO967" s="93"/>
      <c r="AP967" s="93"/>
      <c r="AQ967" s="93"/>
      <c r="AR967" s="93"/>
      <c r="AS967" s="93"/>
      <c r="AT967" s="93"/>
      <c r="AU967" s="93"/>
      <c r="AV967" s="93"/>
      <c r="AW967" s="93"/>
      <c r="AX967" s="93"/>
      <c r="AY967" s="93"/>
      <c r="AZ967" s="93"/>
      <c r="BA967" s="93"/>
      <c r="BB967" s="93"/>
      <c r="BC967" s="93"/>
      <c r="BD967" s="93"/>
      <c r="BE967" s="93"/>
      <c r="BF967" s="93"/>
      <c r="BG967" s="93"/>
      <c r="BH967" s="93"/>
      <c r="BI967" s="93"/>
      <c r="BJ967" s="93"/>
      <c r="BK967" s="93"/>
      <c r="BL967" s="93"/>
      <c r="BM967" s="93"/>
      <c r="BN967" s="93"/>
      <c r="BO967" s="93"/>
      <c r="BP967" s="93"/>
      <c r="BQ967" s="93"/>
      <c r="BR967" s="93"/>
      <c r="BS967" s="93"/>
      <c r="BT967" s="93"/>
      <c r="BU967" s="93"/>
      <c r="BV967" s="93"/>
      <c r="BW967" s="93"/>
      <c r="BX967" s="93"/>
      <c r="BY967" s="93"/>
      <c r="BZ967" s="93"/>
    </row>
    <row r="968">
      <c r="B968" t="s">
        <v>3628</v>
      </c>
      <c r="C968" s="89" t="s">
        <v>3629</v>
      </c>
      <c r="D968" s="90" t="s">
        <v>3630</v>
      </c>
      <c r="E968" s="91">
        <v>2019.0</v>
      </c>
      <c r="F968" s="104">
        <v>1.0</v>
      </c>
      <c r="G968" s="93"/>
      <c r="H968" s="93"/>
      <c r="I968" s="93"/>
      <c r="J968" s="93"/>
      <c r="K968" s="93"/>
      <c r="L968" s="93"/>
      <c r="M968" s="93"/>
      <c r="N968" s="93"/>
      <c r="O968" s="93"/>
      <c r="P968" s="93"/>
      <c r="Q968" s="93"/>
      <c r="R968" s="93"/>
      <c r="S968" s="93"/>
      <c r="T968" s="93"/>
      <c r="U968" s="93"/>
      <c r="V968" s="93"/>
      <c r="W968" s="93"/>
      <c r="X968" s="93"/>
      <c r="Y968" s="93"/>
      <c r="Z968" s="93"/>
      <c r="AA968" s="93"/>
      <c r="AB968" s="93"/>
      <c r="AC968" s="93"/>
      <c r="AD968" s="93"/>
      <c r="AE968" s="93"/>
      <c r="AF968" s="93"/>
      <c r="AG968" s="93"/>
      <c r="AH968" s="93"/>
      <c r="AI968" s="93"/>
      <c r="AJ968" s="93"/>
      <c r="AK968" s="93"/>
      <c r="AL968" s="93"/>
      <c r="AM968" s="93"/>
      <c r="AN968" s="93"/>
      <c r="AO968" s="93"/>
      <c r="AP968" s="93"/>
      <c r="AQ968" s="93"/>
      <c r="AR968" s="93"/>
      <c r="AS968" s="93"/>
      <c r="AT968" s="93"/>
      <c r="AU968" s="93"/>
      <c r="AV968" s="93"/>
      <c r="AW968" s="93"/>
      <c r="AX968" s="93"/>
      <c r="AY968" s="93"/>
      <c r="AZ968" s="93"/>
      <c r="BA968" s="93"/>
      <c r="BB968" s="93"/>
      <c r="BC968" s="93"/>
      <c r="BD968" s="93"/>
      <c r="BE968" s="93"/>
      <c r="BF968" s="93"/>
      <c r="BG968" s="93"/>
      <c r="BH968" s="93"/>
      <c r="BI968" s="93"/>
      <c r="BJ968" s="93"/>
      <c r="BK968" s="93"/>
      <c r="BL968" s="93"/>
      <c r="BM968" s="93"/>
      <c r="BN968" s="93"/>
      <c r="BO968" s="93"/>
      <c r="BP968" s="93"/>
      <c r="BQ968" s="93"/>
      <c r="BR968" s="93"/>
      <c r="BS968" s="93"/>
      <c r="BT968" s="93"/>
      <c r="BU968" s="93"/>
      <c r="BV968" s="93"/>
      <c r="BW968" s="93"/>
      <c r="BX968" s="93"/>
      <c r="BY968" s="93"/>
      <c r="BZ968" s="93"/>
    </row>
    <row r="969">
      <c r="A969" t="s">
        <v>1331</v>
      </c>
      <c r="B969" t="s">
        <v>3631</v>
      </c>
      <c r="C969" s="89" t="s">
        <v>3632</v>
      </c>
      <c r="D969" s="90" t="s">
        <v>2874</v>
      </c>
      <c r="E969" s="91">
        <v>2016.0</v>
      </c>
      <c r="F969" s="104">
        <v>1.0</v>
      </c>
      <c r="G969" s="93"/>
      <c r="H969" s="93"/>
      <c r="I969" s="93"/>
      <c r="J969" s="93"/>
      <c r="K969" s="93"/>
      <c r="L969" s="93"/>
      <c r="M969" s="93"/>
      <c r="N969" s="93"/>
      <c r="O969" s="93"/>
      <c r="P969" s="93"/>
      <c r="Q969" s="93"/>
      <c r="R969" s="93"/>
      <c r="S969" s="93"/>
      <c r="T969" s="93"/>
      <c r="U969" s="93"/>
      <c r="V969" s="93"/>
      <c r="W969" s="93"/>
      <c r="X969" s="93"/>
      <c r="Y969" s="93"/>
      <c r="Z969" s="93"/>
      <c r="AA969" s="93"/>
      <c r="AB969" s="93"/>
      <c r="AC969" s="93"/>
      <c r="AD969" s="93"/>
      <c r="AE969" s="93"/>
      <c r="AF969" s="93"/>
      <c r="AG969" s="93"/>
      <c r="AH969" s="93"/>
      <c r="AI969" s="93"/>
      <c r="AJ969" s="93"/>
      <c r="AK969" s="93"/>
      <c r="AL969" s="93"/>
      <c r="AM969" s="93"/>
      <c r="AN969" s="93"/>
      <c r="AO969" s="93"/>
      <c r="AP969" s="93"/>
      <c r="AQ969" s="93"/>
      <c r="AR969" s="93"/>
      <c r="AS969" s="93"/>
      <c r="AT969" s="93"/>
      <c r="AU969" s="93"/>
      <c r="AV969" s="93"/>
      <c r="AW969" s="93"/>
      <c r="AX969" s="93"/>
      <c r="AY969" s="93"/>
      <c r="AZ969" s="93"/>
      <c r="BA969" s="93"/>
      <c r="BB969" s="93"/>
      <c r="BC969" s="93"/>
      <c r="BD969" s="93"/>
      <c r="BE969" s="93"/>
      <c r="BF969" s="93"/>
      <c r="BG969" s="93"/>
      <c r="BH969" s="93"/>
      <c r="BI969" s="93"/>
      <c r="BJ969" s="93"/>
      <c r="BK969" s="93"/>
      <c r="BL969" s="93"/>
      <c r="BM969" s="93"/>
      <c r="BN969" s="93"/>
      <c r="BO969" s="93"/>
      <c r="BP969" s="93"/>
      <c r="BQ969" s="93"/>
      <c r="BR969" s="93"/>
      <c r="BS969" s="93"/>
      <c r="BT969" s="93"/>
      <c r="BU969" s="93"/>
      <c r="BV969" s="93"/>
      <c r="BW969" s="93"/>
      <c r="BX969" s="93"/>
      <c r="BY969" s="93"/>
      <c r="BZ969" s="93"/>
    </row>
    <row r="970">
      <c r="B970" t="s">
        <v>3633</v>
      </c>
      <c r="C970" s="89" t="s">
        <v>3634</v>
      </c>
      <c r="D970" s="90" t="s">
        <v>2874</v>
      </c>
      <c r="E970" s="91">
        <v>2019.0</v>
      </c>
      <c r="F970" s="104">
        <v>1.0</v>
      </c>
      <c r="G970" s="93"/>
      <c r="H970" s="93"/>
      <c r="I970" s="93"/>
      <c r="J970" s="93"/>
      <c r="K970" s="93"/>
      <c r="L970" s="93"/>
      <c r="M970" s="93"/>
      <c r="N970" s="93"/>
      <c r="O970" s="93"/>
      <c r="P970" s="93"/>
      <c r="Q970" s="93"/>
      <c r="R970" s="93"/>
      <c r="S970" s="93"/>
      <c r="T970" s="93"/>
      <c r="U970" s="93"/>
      <c r="V970" s="93"/>
      <c r="W970" s="93"/>
      <c r="X970" s="93"/>
      <c r="Y970" s="93"/>
      <c r="Z970" s="93"/>
      <c r="AA970" s="93"/>
      <c r="AB970" s="93"/>
      <c r="AC970" s="93"/>
      <c r="AD970" s="93"/>
      <c r="AE970" s="93"/>
      <c r="AF970" s="93"/>
      <c r="AG970" s="93"/>
      <c r="AH970" s="93"/>
      <c r="AI970" s="93"/>
      <c r="AJ970" s="93"/>
      <c r="AK970" s="93"/>
      <c r="AL970" s="93"/>
      <c r="AM970" s="93"/>
      <c r="AN970" s="93"/>
      <c r="AO970" s="93"/>
      <c r="AP970" s="93"/>
      <c r="AQ970" s="93"/>
      <c r="AR970" s="93"/>
      <c r="AS970" s="93"/>
      <c r="AT970" s="93"/>
      <c r="AU970" s="93"/>
      <c r="AV970" s="93"/>
      <c r="AW970" s="93"/>
      <c r="AX970" s="93"/>
      <c r="AY970" s="93"/>
      <c r="AZ970" s="93"/>
      <c r="BA970" s="93"/>
      <c r="BB970" s="93"/>
      <c r="BC970" s="93"/>
      <c r="BD970" s="93"/>
      <c r="BE970" s="93"/>
      <c r="BF970" s="93"/>
      <c r="BG970" s="93"/>
      <c r="BH970" s="93"/>
      <c r="BI970" s="93"/>
      <c r="BJ970" s="93"/>
      <c r="BK970" s="93"/>
      <c r="BL970" s="93"/>
      <c r="BM970" s="93"/>
      <c r="BN970" s="93"/>
      <c r="BO970" s="93"/>
      <c r="BP970" s="93"/>
      <c r="BQ970" s="93"/>
      <c r="BR970" s="93"/>
      <c r="BS970" s="93"/>
      <c r="BT970" s="93"/>
      <c r="BU970" s="93"/>
      <c r="BV970" s="93"/>
      <c r="BW970" s="93"/>
      <c r="BX970" s="93"/>
      <c r="BY970" s="93"/>
      <c r="BZ970" s="93"/>
    </row>
    <row r="971">
      <c r="B971" t="s">
        <v>3635</v>
      </c>
      <c r="C971" s="89" t="s">
        <v>3636</v>
      </c>
      <c r="D971" s="90" t="s">
        <v>2874</v>
      </c>
      <c r="E971" s="91">
        <v>2017.0</v>
      </c>
      <c r="F971" s="104">
        <v>1.0</v>
      </c>
      <c r="G971" s="93"/>
      <c r="H971" s="93"/>
      <c r="I971" s="93"/>
      <c r="J971" s="93"/>
      <c r="K971" s="93"/>
      <c r="L971" s="93"/>
      <c r="M971" s="93"/>
      <c r="N971" s="93"/>
      <c r="O971" s="93"/>
      <c r="P971" s="93"/>
      <c r="Q971" s="93"/>
      <c r="R971" s="93"/>
      <c r="S971" s="93"/>
      <c r="T971" s="93"/>
      <c r="U971" s="93"/>
      <c r="V971" s="93"/>
      <c r="W971" s="93"/>
      <c r="X971" s="93"/>
      <c r="Y971" s="93"/>
      <c r="Z971" s="93"/>
      <c r="AA971" s="93"/>
      <c r="AB971" s="93"/>
      <c r="AC971" s="93"/>
      <c r="AD971" s="93"/>
      <c r="AE971" s="93"/>
      <c r="AF971" s="93"/>
      <c r="AG971" s="93"/>
      <c r="AH971" s="93"/>
      <c r="AI971" s="93"/>
      <c r="AJ971" s="93"/>
      <c r="AK971" s="93"/>
      <c r="AL971" s="93"/>
      <c r="AM971" s="93"/>
      <c r="AN971" s="93"/>
      <c r="AO971" s="93"/>
      <c r="AP971" s="93"/>
      <c r="AQ971" s="93"/>
      <c r="AR971" s="93"/>
      <c r="AS971" s="93"/>
      <c r="AT971" s="93"/>
      <c r="AU971" s="93"/>
      <c r="AV971" s="93"/>
      <c r="AW971" s="93"/>
      <c r="AX971" s="93"/>
      <c r="AY971" s="93"/>
      <c r="AZ971" s="93"/>
      <c r="BA971" s="93"/>
      <c r="BB971" s="93"/>
      <c r="BC971" s="93"/>
      <c r="BD971" s="93"/>
      <c r="BE971" s="93"/>
      <c r="BF971" s="93"/>
      <c r="BG971" s="93"/>
      <c r="BH971" s="93"/>
      <c r="BI971" s="93"/>
      <c r="BJ971" s="93"/>
      <c r="BK971" s="93"/>
      <c r="BL971" s="93"/>
      <c r="BM971" s="93"/>
      <c r="BN971" s="93"/>
      <c r="BO971" s="93"/>
      <c r="BP971" s="93"/>
      <c r="BQ971" s="93"/>
      <c r="BR971" s="93"/>
      <c r="BS971" s="93"/>
      <c r="BT971" s="93"/>
      <c r="BU971" s="93"/>
      <c r="BV971" s="93"/>
      <c r="BW971" s="93"/>
      <c r="BX971" s="93"/>
      <c r="BY971" s="93"/>
      <c r="BZ971" s="93"/>
    </row>
    <row r="972">
      <c r="B972" t="s">
        <v>3637</v>
      </c>
      <c r="C972" s="89" t="s">
        <v>3638</v>
      </c>
      <c r="D972" s="90" t="s">
        <v>2874</v>
      </c>
      <c r="E972" s="91">
        <v>2016.0</v>
      </c>
      <c r="F972" s="104">
        <v>1.0</v>
      </c>
      <c r="G972" s="93"/>
      <c r="H972" s="93"/>
      <c r="I972" s="93"/>
      <c r="J972" s="93"/>
      <c r="K972" s="93"/>
      <c r="L972" s="93"/>
      <c r="M972" s="93"/>
      <c r="N972" s="93"/>
      <c r="O972" s="93"/>
      <c r="P972" s="93"/>
      <c r="Q972" s="93"/>
      <c r="R972" s="93"/>
      <c r="S972" s="93"/>
      <c r="T972" s="93"/>
      <c r="U972" s="93"/>
      <c r="V972" s="93"/>
      <c r="W972" s="93"/>
      <c r="X972" s="93"/>
      <c r="Y972" s="93"/>
      <c r="Z972" s="93"/>
      <c r="AA972" s="93"/>
      <c r="AB972" s="93"/>
      <c r="AC972" s="93"/>
      <c r="AD972" s="93"/>
      <c r="AE972" s="93"/>
      <c r="AF972" s="93"/>
      <c r="AG972" s="93"/>
      <c r="AH972" s="93"/>
      <c r="AI972" s="93"/>
      <c r="AJ972" s="93"/>
      <c r="AK972" s="93"/>
      <c r="AL972" s="93"/>
      <c r="AM972" s="93"/>
      <c r="AN972" s="93"/>
      <c r="AO972" s="93"/>
      <c r="AP972" s="93"/>
      <c r="AQ972" s="93"/>
      <c r="AR972" s="93"/>
      <c r="AS972" s="93"/>
      <c r="AT972" s="93"/>
      <c r="AU972" s="93"/>
      <c r="AV972" s="93"/>
      <c r="AW972" s="93"/>
      <c r="AX972" s="93"/>
      <c r="AY972" s="93"/>
      <c r="AZ972" s="93"/>
      <c r="BA972" s="93"/>
      <c r="BB972" s="93"/>
      <c r="BC972" s="93"/>
      <c r="BD972" s="93"/>
      <c r="BE972" s="93"/>
      <c r="BF972" s="93"/>
      <c r="BG972" s="93"/>
      <c r="BH972" s="93"/>
      <c r="BI972" s="93"/>
      <c r="BJ972" s="93"/>
      <c r="BK972" s="93"/>
      <c r="BL972" s="93"/>
      <c r="BM972" s="93"/>
      <c r="BN972" s="93"/>
      <c r="BO972" s="93"/>
      <c r="BP972" s="93"/>
      <c r="BQ972" s="93"/>
      <c r="BR972" s="93"/>
      <c r="BS972" s="93"/>
      <c r="BT972" s="93"/>
      <c r="BU972" s="93"/>
      <c r="BV972" s="93"/>
      <c r="BW972" s="93"/>
      <c r="BX972" s="93"/>
      <c r="BY972" s="93"/>
      <c r="BZ972" s="93"/>
    </row>
    <row r="973">
      <c r="B973" t="s">
        <v>3639</v>
      </c>
      <c r="C973" s="89" t="s">
        <v>3640</v>
      </c>
      <c r="D973" s="90" t="s">
        <v>2874</v>
      </c>
      <c r="E973" s="91">
        <v>2017.0</v>
      </c>
      <c r="F973" s="104">
        <v>1.0</v>
      </c>
      <c r="G973" s="93"/>
      <c r="H973" s="93"/>
      <c r="I973" s="93"/>
      <c r="J973" s="93"/>
      <c r="K973" s="93"/>
      <c r="L973" s="93"/>
      <c r="M973" s="93"/>
      <c r="N973" s="93"/>
      <c r="O973" s="93"/>
      <c r="P973" s="93"/>
      <c r="Q973" s="93"/>
      <c r="R973" s="93"/>
      <c r="S973" s="93"/>
      <c r="T973" s="93"/>
      <c r="U973" s="93"/>
      <c r="V973" s="93"/>
      <c r="W973" s="93"/>
      <c r="X973" s="93"/>
      <c r="Y973" s="93"/>
      <c r="Z973" s="93"/>
      <c r="AA973" s="93"/>
      <c r="AB973" s="93"/>
      <c r="AC973" s="93"/>
      <c r="AD973" s="93"/>
      <c r="AE973" s="93"/>
      <c r="AF973" s="93"/>
      <c r="AG973" s="93"/>
      <c r="AH973" s="93"/>
      <c r="AI973" s="93"/>
      <c r="AJ973" s="93"/>
      <c r="AK973" s="93"/>
      <c r="AL973" s="93"/>
      <c r="AM973" s="93"/>
      <c r="AN973" s="93"/>
      <c r="AO973" s="93"/>
      <c r="AP973" s="93"/>
      <c r="AQ973" s="93"/>
      <c r="AR973" s="93"/>
      <c r="AS973" s="93"/>
      <c r="AT973" s="93"/>
      <c r="AU973" s="93"/>
      <c r="AV973" s="93"/>
      <c r="AW973" s="93"/>
      <c r="AX973" s="93"/>
      <c r="AY973" s="93"/>
      <c r="AZ973" s="93"/>
      <c r="BA973" s="93"/>
      <c r="BB973" s="93"/>
      <c r="BC973" s="93"/>
      <c r="BD973" s="93"/>
      <c r="BE973" s="93"/>
      <c r="BF973" s="93"/>
      <c r="BG973" s="93"/>
      <c r="BH973" s="93"/>
      <c r="BI973" s="93"/>
      <c r="BJ973" s="93"/>
      <c r="BK973" s="93"/>
      <c r="BL973" s="93"/>
      <c r="BM973" s="93"/>
      <c r="BN973" s="93"/>
      <c r="BO973" s="93"/>
      <c r="BP973" s="93"/>
      <c r="BQ973" s="93"/>
      <c r="BR973" s="93"/>
      <c r="BS973" s="93"/>
      <c r="BT973" s="93"/>
      <c r="BU973" s="93"/>
      <c r="BV973" s="93"/>
      <c r="BW973" s="93"/>
      <c r="BX973" s="93"/>
      <c r="BY973" s="93"/>
      <c r="BZ973" s="93"/>
    </row>
    <row r="974">
      <c r="B974" t="s">
        <v>3641</v>
      </c>
      <c r="C974" s="89" t="s">
        <v>3642</v>
      </c>
      <c r="D974" s="90" t="s">
        <v>3643</v>
      </c>
      <c r="E974" s="91">
        <v>2017.0</v>
      </c>
      <c r="F974" s="104">
        <v>1.0</v>
      </c>
      <c r="G974" s="93"/>
      <c r="H974" s="93"/>
      <c r="I974" s="93"/>
      <c r="J974" s="93"/>
      <c r="K974" s="93"/>
      <c r="L974" s="93"/>
      <c r="M974" s="93"/>
      <c r="N974" s="93"/>
      <c r="O974" s="93"/>
      <c r="P974" s="93"/>
      <c r="Q974" s="93"/>
      <c r="R974" s="93"/>
      <c r="S974" s="93"/>
      <c r="T974" s="93"/>
      <c r="U974" s="93"/>
      <c r="V974" s="93"/>
      <c r="W974" s="93"/>
      <c r="X974" s="93"/>
      <c r="Y974" s="93"/>
      <c r="Z974" s="93"/>
      <c r="AA974" s="93"/>
      <c r="AB974" s="93"/>
      <c r="AC974" s="93"/>
      <c r="AD974" s="93"/>
      <c r="AE974" s="93"/>
      <c r="AF974" s="93"/>
      <c r="AG974" s="93"/>
      <c r="AH974" s="93"/>
      <c r="AI974" s="93"/>
      <c r="AJ974" s="93"/>
      <c r="AK974" s="93"/>
      <c r="AL974" s="93"/>
      <c r="AM974" s="93"/>
      <c r="AN974" s="93"/>
      <c r="AO974" s="93"/>
      <c r="AP974" s="93"/>
      <c r="AQ974" s="93"/>
      <c r="AR974" s="93"/>
      <c r="AS974" s="93"/>
      <c r="AT974" s="93"/>
      <c r="AU974" s="93"/>
      <c r="AV974" s="93"/>
      <c r="AW974" s="93"/>
      <c r="AX974" s="93"/>
      <c r="AY974" s="93"/>
      <c r="AZ974" s="93"/>
      <c r="BA974" s="93"/>
      <c r="BB974" s="93"/>
      <c r="BC974" s="93"/>
      <c r="BD974" s="93"/>
      <c r="BE974" s="93"/>
      <c r="BF974" s="93"/>
      <c r="BG974" s="93"/>
      <c r="BH974" s="93"/>
      <c r="BI974" s="93"/>
      <c r="BJ974" s="93"/>
      <c r="BK974" s="93"/>
      <c r="BL974" s="93"/>
      <c r="BM974" s="93"/>
      <c r="BN974" s="93"/>
      <c r="BO974" s="93"/>
      <c r="BP974" s="93"/>
      <c r="BQ974" s="93"/>
      <c r="BR974" s="93"/>
      <c r="BS974" s="93"/>
      <c r="BT974" s="93"/>
      <c r="BU974" s="93"/>
      <c r="BV974" s="93"/>
      <c r="BW974" s="93"/>
      <c r="BX974" s="93"/>
      <c r="BY974" s="93"/>
      <c r="BZ974" s="93"/>
    </row>
    <row r="975">
      <c r="B975" t="s">
        <v>3644</v>
      </c>
      <c r="C975" s="89" t="s">
        <v>3645</v>
      </c>
      <c r="D975" s="90" t="s">
        <v>2090</v>
      </c>
      <c r="E975" s="91">
        <v>2019.0</v>
      </c>
      <c r="F975" s="104">
        <v>1.0</v>
      </c>
      <c r="G975" s="93"/>
      <c r="H975" s="93"/>
      <c r="I975" s="93"/>
      <c r="J975" s="93"/>
      <c r="K975" s="93"/>
      <c r="L975" s="93"/>
      <c r="M975" s="93"/>
      <c r="N975" s="93"/>
      <c r="O975" s="93"/>
      <c r="P975" s="93"/>
      <c r="Q975" s="93"/>
      <c r="R975" s="93"/>
      <c r="S975" s="93"/>
      <c r="T975" s="93"/>
      <c r="U975" s="93"/>
      <c r="V975" s="93"/>
      <c r="W975" s="93"/>
      <c r="X975" s="93"/>
      <c r="Y975" s="93"/>
      <c r="Z975" s="93"/>
      <c r="AA975" s="93"/>
      <c r="AB975" s="93"/>
      <c r="AC975" s="93"/>
      <c r="AD975" s="93"/>
      <c r="AE975" s="93"/>
      <c r="AF975" s="93"/>
      <c r="AG975" s="93"/>
      <c r="AH975" s="93"/>
      <c r="AI975" s="93"/>
      <c r="AJ975" s="93"/>
      <c r="AK975" s="93"/>
      <c r="AL975" s="93"/>
      <c r="AM975" s="93"/>
      <c r="AN975" s="93"/>
      <c r="AO975" s="93"/>
      <c r="AP975" s="93"/>
      <c r="AQ975" s="93"/>
      <c r="AR975" s="93"/>
      <c r="AS975" s="93"/>
      <c r="AT975" s="93"/>
      <c r="AU975" s="93"/>
      <c r="AV975" s="93"/>
      <c r="AW975" s="93"/>
      <c r="AX975" s="93"/>
      <c r="AY975" s="93"/>
      <c r="AZ975" s="93"/>
      <c r="BA975" s="93"/>
      <c r="BB975" s="93"/>
      <c r="BC975" s="93"/>
      <c r="BD975" s="93"/>
      <c r="BE975" s="93"/>
      <c r="BF975" s="93"/>
      <c r="BG975" s="93"/>
      <c r="BH975" s="93"/>
      <c r="BI975" s="93"/>
      <c r="BJ975" s="93"/>
      <c r="BK975" s="93"/>
      <c r="BL975" s="93"/>
      <c r="BM975" s="93"/>
      <c r="BN975" s="93"/>
      <c r="BO975" s="93"/>
      <c r="BP975" s="93"/>
      <c r="BQ975" s="93"/>
      <c r="BR975" s="93"/>
      <c r="BS975" s="93"/>
      <c r="BT975" s="93"/>
      <c r="BU975" s="93"/>
      <c r="BV975" s="93"/>
      <c r="BW975" s="93"/>
      <c r="BX975" s="93"/>
      <c r="BY975" s="93"/>
      <c r="BZ975" s="93"/>
    </row>
    <row r="976">
      <c r="A976" t="s">
        <v>1340</v>
      </c>
      <c r="B976" t="s">
        <v>3646</v>
      </c>
      <c r="C976" s="89" t="s">
        <v>3647</v>
      </c>
      <c r="D976" s="90" t="s">
        <v>3648</v>
      </c>
      <c r="E976" s="91">
        <v>2018.0</v>
      </c>
      <c r="F976" s="104">
        <v>1.0</v>
      </c>
      <c r="G976" s="93"/>
      <c r="H976" s="93"/>
      <c r="I976" s="93"/>
      <c r="J976" s="93"/>
      <c r="K976" s="93"/>
      <c r="L976" s="93"/>
      <c r="M976" s="93"/>
      <c r="N976" s="93"/>
      <c r="O976" s="93"/>
      <c r="P976" s="93"/>
      <c r="Q976" s="93"/>
      <c r="R976" s="93"/>
      <c r="S976" s="93"/>
      <c r="T976" s="93"/>
      <c r="U976" s="93"/>
      <c r="V976" s="93"/>
      <c r="W976" s="93"/>
      <c r="X976" s="93"/>
      <c r="Y976" s="93"/>
      <c r="Z976" s="93"/>
      <c r="AA976" s="93"/>
      <c r="AB976" s="93"/>
      <c r="AC976" s="93"/>
      <c r="AD976" s="93"/>
      <c r="AE976" s="93"/>
      <c r="AF976" s="93"/>
      <c r="AG976" s="93"/>
      <c r="AH976" s="93"/>
      <c r="AI976" s="93"/>
      <c r="AJ976" s="93"/>
      <c r="AK976" s="93"/>
      <c r="AL976" s="93"/>
      <c r="AM976" s="93"/>
      <c r="AN976" s="93"/>
      <c r="AO976" s="93"/>
      <c r="AP976" s="93"/>
      <c r="AQ976" s="93"/>
      <c r="AR976" s="93"/>
      <c r="AS976" s="93"/>
      <c r="AT976" s="93"/>
      <c r="AU976" s="93"/>
      <c r="AV976" s="93"/>
      <c r="AW976" s="93"/>
      <c r="AX976" s="93"/>
      <c r="AY976" s="93"/>
      <c r="AZ976" s="93"/>
      <c r="BA976" s="93"/>
      <c r="BB976" s="93"/>
      <c r="BC976" s="93"/>
      <c r="BD976" s="93"/>
      <c r="BE976" s="93"/>
      <c r="BF976" s="93"/>
      <c r="BG976" s="93"/>
      <c r="BH976" s="93"/>
      <c r="BI976" s="93"/>
      <c r="BJ976" s="93"/>
      <c r="BK976" s="93"/>
      <c r="BL976" s="93"/>
      <c r="BM976" s="93"/>
      <c r="BN976" s="93"/>
      <c r="BO976" s="93"/>
      <c r="BP976" s="93"/>
      <c r="BQ976" s="93"/>
      <c r="BR976" s="93"/>
      <c r="BS976" s="93"/>
      <c r="BT976" s="93"/>
      <c r="BU976" s="93"/>
      <c r="BV976" s="93"/>
      <c r="BW976" s="93"/>
      <c r="BX976" s="93"/>
      <c r="BY976" s="93"/>
      <c r="BZ976" s="93"/>
    </row>
    <row r="977">
      <c r="B977" t="s">
        <v>3649</v>
      </c>
      <c r="C977" s="89" t="s">
        <v>3650</v>
      </c>
      <c r="D977" s="90" t="s">
        <v>3022</v>
      </c>
      <c r="E977" s="91">
        <v>2018.0</v>
      </c>
      <c r="F977" s="104">
        <v>1.0</v>
      </c>
      <c r="G977" s="93"/>
      <c r="H977" s="93"/>
      <c r="I977" s="93"/>
      <c r="J977" s="93"/>
      <c r="K977" s="93"/>
      <c r="L977" s="93"/>
      <c r="M977" s="93"/>
      <c r="N977" s="93"/>
      <c r="O977" s="93"/>
      <c r="P977" s="93"/>
      <c r="Q977" s="93"/>
      <c r="R977" s="93"/>
      <c r="S977" s="93"/>
      <c r="T977" s="93"/>
      <c r="U977" s="93"/>
      <c r="V977" s="93"/>
      <c r="W977" s="93"/>
      <c r="X977" s="93"/>
      <c r="Y977" s="93"/>
      <c r="Z977" s="93"/>
      <c r="AA977" s="93"/>
      <c r="AB977" s="93"/>
      <c r="AC977" s="93"/>
      <c r="AD977" s="93"/>
      <c r="AE977" s="93"/>
      <c r="AF977" s="93"/>
      <c r="AG977" s="93"/>
      <c r="AH977" s="93"/>
      <c r="AI977" s="93"/>
      <c r="AJ977" s="93"/>
      <c r="AK977" s="93"/>
      <c r="AL977" s="93"/>
      <c r="AM977" s="93"/>
      <c r="AN977" s="93"/>
      <c r="AO977" s="93"/>
      <c r="AP977" s="93"/>
      <c r="AQ977" s="93"/>
      <c r="AR977" s="93"/>
      <c r="AS977" s="93"/>
      <c r="AT977" s="93"/>
      <c r="AU977" s="93"/>
      <c r="AV977" s="93"/>
      <c r="AW977" s="93"/>
      <c r="AX977" s="93"/>
      <c r="AY977" s="93"/>
      <c r="AZ977" s="93"/>
      <c r="BA977" s="93"/>
      <c r="BB977" s="93"/>
      <c r="BC977" s="93"/>
      <c r="BD977" s="93"/>
      <c r="BE977" s="93"/>
      <c r="BF977" s="93"/>
      <c r="BG977" s="93"/>
      <c r="BH977" s="93"/>
      <c r="BI977" s="93"/>
      <c r="BJ977" s="93"/>
      <c r="BK977" s="93"/>
      <c r="BL977" s="93"/>
      <c r="BM977" s="93"/>
      <c r="BN977" s="93"/>
      <c r="BO977" s="93"/>
      <c r="BP977" s="93"/>
      <c r="BQ977" s="93"/>
      <c r="BR977" s="93"/>
      <c r="BS977" s="93"/>
      <c r="BT977" s="93"/>
      <c r="BU977" s="93"/>
      <c r="BV977" s="93"/>
      <c r="BW977" s="93"/>
      <c r="BX977" s="93"/>
      <c r="BY977" s="93"/>
      <c r="BZ977" s="93"/>
    </row>
    <row r="978">
      <c r="B978" t="s">
        <v>3651</v>
      </c>
      <c r="C978" s="89" t="s">
        <v>3652</v>
      </c>
      <c r="D978" s="90" t="s">
        <v>3653</v>
      </c>
      <c r="E978" s="91">
        <v>2016.0</v>
      </c>
      <c r="F978" s="104">
        <v>1.0</v>
      </c>
      <c r="G978" s="93"/>
      <c r="H978" s="93"/>
      <c r="I978" s="93"/>
      <c r="J978" s="93"/>
      <c r="K978" s="93"/>
      <c r="L978" s="93"/>
      <c r="M978" s="93"/>
      <c r="N978" s="93"/>
      <c r="O978" s="93"/>
      <c r="P978" s="93"/>
      <c r="Q978" s="93"/>
      <c r="R978" s="93"/>
      <c r="S978" s="93"/>
      <c r="T978" s="93"/>
      <c r="U978" s="93"/>
      <c r="V978" s="93"/>
      <c r="W978" s="93"/>
      <c r="X978" s="93"/>
      <c r="Y978" s="93"/>
      <c r="Z978" s="93"/>
      <c r="AA978" s="93"/>
      <c r="AB978" s="93"/>
      <c r="AC978" s="93"/>
      <c r="AD978" s="93"/>
      <c r="AE978" s="93"/>
      <c r="AF978" s="93"/>
      <c r="AG978" s="93"/>
      <c r="AH978" s="93"/>
      <c r="AI978" s="93"/>
      <c r="AJ978" s="93"/>
      <c r="AK978" s="93"/>
      <c r="AL978" s="93"/>
      <c r="AM978" s="93"/>
      <c r="AN978" s="93"/>
      <c r="AO978" s="93"/>
      <c r="AP978" s="93"/>
      <c r="AQ978" s="93"/>
      <c r="AR978" s="93"/>
      <c r="AS978" s="93"/>
      <c r="AT978" s="93"/>
      <c r="AU978" s="93"/>
      <c r="AV978" s="93"/>
      <c r="AW978" s="93"/>
      <c r="AX978" s="93"/>
      <c r="AY978" s="93"/>
      <c r="AZ978" s="93"/>
      <c r="BA978" s="93"/>
      <c r="BB978" s="93"/>
      <c r="BC978" s="93"/>
      <c r="BD978" s="93"/>
      <c r="BE978" s="93"/>
      <c r="BF978" s="93"/>
      <c r="BG978" s="93"/>
      <c r="BH978" s="93"/>
      <c r="BI978" s="93"/>
      <c r="BJ978" s="93"/>
      <c r="BK978" s="93"/>
      <c r="BL978" s="93"/>
      <c r="BM978" s="93"/>
      <c r="BN978" s="93"/>
      <c r="BO978" s="93"/>
      <c r="BP978" s="93"/>
      <c r="BQ978" s="93"/>
      <c r="BR978" s="93"/>
      <c r="BS978" s="93"/>
      <c r="BT978" s="93"/>
      <c r="BU978" s="93"/>
      <c r="BV978" s="93"/>
      <c r="BW978" s="93"/>
      <c r="BX978" s="93"/>
      <c r="BY978" s="93"/>
      <c r="BZ978" s="93"/>
    </row>
    <row r="979">
      <c r="B979" t="s">
        <v>3654</v>
      </c>
      <c r="C979" s="89" t="s">
        <v>3655</v>
      </c>
      <c r="D979" s="90" t="s">
        <v>3656</v>
      </c>
      <c r="E979" s="91">
        <v>2016.0</v>
      </c>
      <c r="F979" s="104">
        <v>1.0</v>
      </c>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3"/>
      <c r="AF979" s="93"/>
      <c r="AG979" s="93"/>
      <c r="AH979" s="93"/>
      <c r="AI979" s="93"/>
      <c r="AJ979" s="93"/>
      <c r="AK979" s="93"/>
      <c r="AL979" s="93"/>
      <c r="AM979" s="93"/>
      <c r="AN979" s="93"/>
      <c r="AO979" s="93"/>
      <c r="AP979" s="93"/>
      <c r="AQ979" s="93"/>
      <c r="AR979" s="93"/>
      <c r="AS979" s="93"/>
      <c r="AT979" s="93"/>
      <c r="AU979" s="93"/>
      <c r="AV979" s="93"/>
      <c r="AW979" s="93"/>
      <c r="AX979" s="93"/>
      <c r="AY979" s="93"/>
      <c r="AZ979" s="93"/>
      <c r="BA979" s="93"/>
      <c r="BB979" s="93"/>
      <c r="BC979" s="93"/>
      <c r="BD979" s="93"/>
      <c r="BE979" s="93"/>
      <c r="BF979" s="93"/>
      <c r="BG979" s="93"/>
      <c r="BH979" s="93"/>
      <c r="BI979" s="93"/>
      <c r="BJ979" s="93"/>
      <c r="BK979" s="93"/>
      <c r="BL979" s="93"/>
      <c r="BM979" s="93"/>
      <c r="BN979" s="93"/>
      <c r="BO979" s="93"/>
      <c r="BP979" s="93"/>
      <c r="BQ979" s="93"/>
      <c r="BR979" s="93"/>
      <c r="BS979" s="93"/>
      <c r="BT979" s="93"/>
      <c r="BU979" s="93"/>
      <c r="BV979" s="93"/>
      <c r="BW979" s="93"/>
      <c r="BX979" s="93"/>
      <c r="BY979" s="93"/>
      <c r="BZ979" s="93"/>
    </row>
    <row r="980">
      <c r="B980" t="s">
        <v>3657</v>
      </c>
      <c r="C980" s="89"/>
      <c r="D980" s="90" t="s">
        <v>3197</v>
      </c>
      <c r="E980" s="91">
        <v>2017.0</v>
      </c>
      <c r="F980" s="104">
        <v>1.0</v>
      </c>
      <c r="G980" s="93"/>
      <c r="H980" s="93"/>
      <c r="I980" s="93"/>
      <c r="J980" s="93"/>
      <c r="K980" s="93"/>
      <c r="L980" s="93"/>
      <c r="M980" s="93"/>
      <c r="N980" s="93"/>
      <c r="O980" s="93"/>
      <c r="P980" s="93"/>
      <c r="Q980" s="93"/>
      <c r="R980" s="93"/>
      <c r="S980" s="93"/>
      <c r="T980" s="93"/>
      <c r="U980" s="93"/>
      <c r="V980" s="93"/>
      <c r="W980" s="93"/>
      <c r="X980" s="93"/>
      <c r="Y980" s="93"/>
      <c r="Z980" s="93"/>
      <c r="AA980" s="93"/>
      <c r="AB980" s="93"/>
      <c r="AC980" s="93"/>
      <c r="AD980" s="93"/>
      <c r="AE980" s="93"/>
      <c r="AF980" s="93"/>
      <c r="AG980" s="93"/>
      <c r="AH980" s="93"/>
      <c r="AI980" s="93"/>
      <c r="AJ980" s="93"/>
      <c r="AK980" s="93"/>
      <c r="AL980" s="93"/>
      <c r="AM980" s="93"/>
      <c r="AN980" s="93"/>
      <c r="AO980" s="93"/>
      <c r="AP980" s="93"/>
      <c r="AQ980" s="93"/>
      <c r="AR980" s="93"/>
      <c r="AS980" s="93"/>
      <c r="AT980" s="93"/>
      <c r="AU980" s="93"/>
      <c r="AV980" s="93"/>
      <c r="AW980" s="93"/>
      <c r="AX980" s="93"/>
      <c r="AY980" s="93"/>
      <c r="AZ980" s="93"/>
      <c r="BA980" s="93"/>
      <c r="BB980" s="93"/>
      <c r="BC980" s="93"/>
      <c r="BD980" s="93"/>
      <c r="BE980" s="93"/>
      <c r="BF980" s="93"/>
      <c r="BG980" s="93"/>
      <c r="BH980" s="93"/>
      <c r="BI980" s="93"/>
      <c r="BJ980" s="93"/>
      <c r="BK980" s="93"/>
      <c r="BL980" s="93"/>
      <c r="BM980" s="93"/>
      <c r="BN980" s="93"/>
      <c r="BO980" s="93"/>
      <c r="BP980" s="93"/>
      <c r="BQ980" s="93"/>
      <c r="BR980" s="93"/>
      <c r="BS980" s="93"/>
      <c r="BT980" s="93"/>
      <c r="BU980" s="93"/>
      <c r="BV980" s="93"/>
      <c r="BW980" s="93"/>
      <c r="BX980" s="93"/>
      <c r="BY980" s="93"/>
      <c r="BZ980" s="93"/>
    </row>
    <row r="981">
      <c r="B981" t="s">
        <v>3658</v>
      </c>
      <c r="C981" s="89" t="s">
        <v>3659</v>
      </c>
      <c r="D981" s="90" t="s">
        <v>3582</v>
      </c>
      <c r="E981" s="91">
        <v>2016.0</v>
      </c>
      <c r="F981" s="104">
        <v>1.0</v>
      </c>
      <c r="G981" s="93"/>
      <c r="H981" s="93"/>
      <c r="I981" s="93"/>
      <c r="J981" s="93"/>
      <c r="K981" s="93"/>
      <c r="L981" s="93"/>
      <c r="M981" s="93"/>
      <c r="N981" s="93"/>
      <c r="O981" s="93"/>
      <c r="P981" s="93"/>
      <c r="Q981" s="93"/>
      <c r="R981" s="93"/>
      <c r="S981" s="93"/>
      <c r="T981" s="93"/>
      <c r="U981" s="93"/>
      <c r="V981" s="93"/>
      <c r="W981" s="93"/>
      <c r="X981" s="93"/>
      <c r="Y981" s="93"/>
      <c r="Z981" s="93"/>
      <c r="AA981" s="93"/>
      <c r="AB981" s="93"/>
      <c r="AC981" s="93"/>
      <c r="AD981" s="93"/>
      <c r="AE981" s="93"/>
      <c r="AF981" s="93"/>
      <c r="AG981" s="93"/>
      <c r="AH981" s="93"/>
      <c r="AI981" s="93"/>
      <c r="AJ981" s="93"/>
      <c r="AK981" s="93"/>
      <c r="AL981" s="93"/>
      <c r="AM981" s="93"/>
      <c r="AN981" s="93"/>
      <c r="AO981" s="93"/>
      <c r="AP981" s="93"/>
      <c r="AQ981" s="93"/>
      <c r="AR981" s="93"/>
      <c r="AS981" s="93"/>
      <c r="AT981" s="93"/>
      <c r="AU981" s="93"/>
      <c r="AV981" s="93"/>
      <c r="AW981" s="93"/>
      <c r="AX981" s="93"/>
      <c r="AY981" s="93"/>
      <c r="AZ981" s="93"/>
      <c r="BA981" s="93"/>
      <c r="BB981" s="93"/>
      <c r="BC981" s="93"/>
      <c r="BD981" s="93"/>
      <c r="BE981" s="93"/>
      <c r="BF981" s="93"/>
      <c r="BG981" s="93"/>
      <c r="BH981" s="93"/>
      <c r="BI981" s="93"/>
      <c r="BJ981" s="93"/>
      <c r="BK981" s="93"/>
      <c r="BL981" s="93"/>
      <c r="BM981" s="93"/>
      <c r="BN981" s="93"/>
      <c r="BO981" s="93"/>
      <c r="BP981" s="93"/>
      <c r="BQ981" s="93"/>
      <c r="BR981" s="93"/>
      <c r="BS981" s="93"/>
      <c r="BT981" s="93"/>
      <c r="BU981" s="93"/>
      <c r="BV981" s="93"/>
      <c r="BW981" s="93"/>
      <c r="BX981" s="93"/>
      <c r="BY981" s="93"/>
      <c r="BZ981" s="93"/>
    </row>
    <row r="982">
      <c r="B982" t="s">
        <v>3660</v>
      </c>
      <c r="C982" s="89" t="s">
        <v>3661</v>
      </c>
      <c r="D982" s="90" t="s">
        <v>1522</v>
      </c>
      <c r="E982" s="91">
        <v>2017.0</v>
      </c>
      <c r="F982" s="104">
        <v>1.0</v>
      </c>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3"/>
      <c r="AF982" s="93"/>
      <c r="AG982" s="93"/>
      <c r="AH982" s="93"/>
      <c r="AI982" s="93"/>
      <c r="AJ982" s="93"/>
      <c r="AK982" s="93"/>
      <c r="AL982" s="93"/>
      <c r="AM982" s="93"/>
      <c r="AN982" s="93"/>
      <c r="AO982" s="93"/>
      <c r="AP982" s="93"/>
      <c r="AQ982" s="93"/>
      <c r="AR982" s="93"/>
      <c r="AS982" s="93"/>
      <c r="AT982" s="93"/>
      <c r="AU982" s="93"/>
      <c r="AV982" s="93"/>
      <c r="AW982" s="93"/>
      <c r="AX982" s="93"/>
      <c r="AY982" s="93"/>
      <c r="AZ982" s="93"/>
      <c r="BA982" s="93"/>
      <c r="BB982" s="93"/>
      <c r="BC982" s="93"/>
      <c r="BD982" s="93"/>
      <c r="BE982" s="93"/>
      <c r="BF982" s="93"/>
      <c r="BG982" s="93"/>
      <c r="BH982" s="93"/>
      <c r="BI982" s="93"/>
      <c r="BJ982" s="93"/>
      <c r="BK982" s="93"/>
      <c r="BL982" s="93"/>
      <c r="BM982" s="93"/>
      <c r="BN982" s="93"/>
      <c r="BO982" s="93"/>
      <c r="BP982" s="93"/>
      <c r="BQ982" s="93"/>
      <c r="BR982" s="93"/>
      <c r="BS982" s="93"/>
      <c r="BT982" s="93"/>
      <c r="BU982" s="93"/>
      <c r="BV982" s="93"/>
      <c r="BW982" s="93"/>
      <c r="BX982" s="93"/>
      <c r="BY982" s="93"/>
      <c r="BZ982" s="93"/>
    </row>
    <row r="983">
      <c r="B983" t="s">
        <v>3662</v>
      </c>
      <c r="C983" s="89" t="s">
        <v>3663</v>
      </c>
      <c r="D983" s="90" t="s">
        <v>3664</v>
      </c>
      <c r="E983" s="91">
        <v>2019.0</v>
      </c>
      <c r="F983" s="104">
        <v>1.0</v>
      </c>
      <c r="G983" s="93"/>
      <c r="H983" s="93"/>
      <c r="I983" s="93"/>
      <c r="J983" s="93"/>
      <c r="K983" s="93"/>
      <c r="L983" s="93"/>
      <c r="M983" s="93"/>
      <c r="N983" s="93"/>
      <c r="O983" s="93"/>
      <c r="P983" s="93"/>
      <c r="Q983" s="93"/>
      <c r="R983" s="93"/>
      <c r="S983" s="93"/>
      <c r="T983" s="93"/>
      <c r="U983" s="93"/>
      <c r="V983" s="93"/>
      <c r="W983" s="93"/>
      <c r="X983" s="93"/>
      <c r="Y983" s="93"/>
      <c r="Z983" s="93"/>
      <c r="AA983" s="93"/>
      <c r="AB983" s="93"/>
      <c r="AC983" s="93"/>
      <c r="AD983" s="93"/>
      <c r="AE983" s="93"/>
      <c r="AF983" s="93"/>
      <c r="AG983" s="93"/>
      <c r="AH983" s="93"/>
      <c r="AI983" s="93"/>
      <c r="AJ983" s="93"/>
      <c r="AK983" s="93"/>
      <c r="AL983" s="93"/>
      <c r="AM983" s="93"/>
      <c r="AN983" s="93"/>
      <c r="AO983" s="93"/>
      <c r="AP983" s="93"/>
      <c r="AQ983" s="93"/>
      <c r="AR983" s="93"/>
      <c r="AS983" s="93"/>
      <c r="AT983" s="93"/>
      <c r="AU983" s="93"/>
      <c r="AV983" s="93"/>
      <c r="AW983" s="93"/>
      <c r="AX983" s="93"/>
      <c r="AY983" s="93"/>
      <c r="AZ983" s="93"/>
      <c r="BA983" s="93"/>
      <c r="BB983" s="93"/>
      <c r="BC983" s="93"/>
      <c r="BD983" s="93"/>
      <c r="BE983" s="93"/>
      <c r="BF983" s="93"/>
      <c r="BG983" s="93"/>
      <c r="BH983" s="93"/>
      <c r="BI983" s="93"/>
      <c r="BJ983" s="93"/>
      <c r="BK983" s="93"/>
      <c r="BL983" s="93"/>
      <c r="BM983" s="93"/>
      <c r="BN983" s="93"/>
      <c r="BO983" s="93"/>
      <c r="BP983" s="93"/>
      <c r="BQ983" s="93"/>
      <c r="BR983" s="93"/>
      <c r="BS983" s="93"/>
      <c r="BT983" s="93"/>
      <c r="BU983" s="93"/>
      <c r="BV983" s="93"/>
      <c r="BW983" s="93"/>
      <c r="BX983" s="93"/>
      <c r="BY983" s="93"/>
      <c r="BZ983" s="93"/>
    </row>
    <row r="984">
      <c r="B984" t="s">
        <v>3665</v>
      </c>
      <c r="C984" s="89" t="s">
        <v>3666</v>
      </c>
      <c r="D984" s="90" t="s">
        <v>3412</v>
      </c>
      <c r="E984" s="91">
        <v>2015.0</v>
      </c>
      <c r="F984" s="104">
        <v>1.0</v>
      </c>
      <c r="G984" s="93"/>
      <c r="H984" s="93"/>
      <c r="I984" s="93"/>
      <c r="J984" s="93"/>
      <c r="K984" s="93"/>
      <c r="L984" s="93"/>
      <c r="M984" s="93"/>
      <c r="N984" s="93"/>
      <c r="O984" s="93"/>
      <c r="P984" s="93"/>
      <c r="Q984" s="93"/>
      <c r="R984" s="93"/>
      <c r="S984" s="93"/>
      <c r="T984" s="93"/>
      <c r="U984" s="93"/>
      <c r="V984" s="93"/>
      <c r="W984" s="93"/>
      <c r="X984" s="93"/>
      <c r="Y984" s="93"/>
      <c r="Z984" s="93"/>
      <c r="AA984" s="93"/>
      <c r="AB984" s="93"/>
      <c r="AC984" s="93"/>
      <c r="AD984" s="93"/>
      <c r="AE984" s="93"/>
      <c r="AF984" s="93"/>
      <c r="AG984" s="93"/>
      <c r="AH984" s="93"/>
      <c r="AI984" s="93"/>
      <c r="AJ984" s="93"/>
      <c r="AK984" s="93"/>
      <c r="AL984" s="93"/>
      <c r="AM984" s="93"/>
      <c r="AN984" s="93"/>
      <c r="AO984" s="93"/>
      <c r="AP984" s="93"/>
      <c r="AQ984" s="93"/>
      <c r="AR984" s="93"/>
      <c r="AS984" s="93"/>
      <c r="AT984" s="93"/>
      <c r="AU984" s="93"/>
      <c r="AV984" s="93"/>
      <c r="AW984" s="93"/>
      <c r="AX984" s="93"/>
      <c r="AY984" s="93"/>
      <c r="AZ984" s="93"/>
      <c r="BA984" s="93"/>
      <c r="BB984" s="93"/>
      <c r="BC984" s="93"/>
      <c r="BD984" s="93"/>
      <c r="BE984" s="93"/>
      <c r="BF984" s="93"/>
      <c r="BG984" s="93"/>
      <c r="BH984" s="93"/>
      <c r="BI984" s="93"/>
      <c r="BJ984" s="93"/>
      <c r="BK984" s="93"/>
      <c r="BL984" s="93"/>
      <c r="BM984" s="93"/>
      <c r="BN984" s="93"/>
      <c r="BO984" s="93"/>
      <c r="BP984" s="93"/>
      <c r="BQ984" s="93"/>
      <c r="BR984" s="93"/>
      <c r="BS984" s="93"/>
      <c r="BT984" s="93"/>
      <c r="BU984" s="93"/>
      <c r="BV984" s="93"/>
      <c r="BW984" s="93"/>
      <c r="BX984" s="93"/>
      <c r="BY984" s="93"/>
      <c r="BZ984" s="93"/>
    </row>
    <row r="985">
      <c r="B985" t="s">
        <v>3667</v>
      </c>
      <c r="C985" s="89" t="s">
        <v>3668</v>
      </c>
      <c r="D985" s="90" t="s">
        <v>2090</v>
      </c>
      <c r="E985" s="91">
        <v>2017.0</v>
      </c>
      <c r="F985" s="104">
        <v>1.0</v>
      </c>
      <c r="G985" s="93"/>
      <c r="H985" s="93"/>
      <c r="I985" s="93"/>
      <c r="J985" s="93"/>
      <c r="K985" s="93"/>
      <c r="L985" s="93"/>
      <c r="M985" s="93"/>
      <c r="N985" s="93"/>
      <c r="O985" s="93"/>
      <c r="P985" s="93"/>
      <c r="Q985" s="93"/>
      <c r="R985" s="93"/>
      <c r="S985" s="93"/>
      <c r="T985" s="93"/>
      <c r="U985" s="93"/>
      <c r="V985" s="93"/>
      <c r="W985" s="93"/>
      <c r="X985" s="93"/>
      <c r="Y985" s="93"/>
      <c r="Z985" s="93"/>
      <c r="AA985" s="93"/>
      <c r="AB985" s="93"/>
      <c r="AC985" s="93"/>
      <c r="AD985" s="93"/>
      <c r="AE985" s="93"/>
      <c r="AF985" s="93"/>
      <c r="AG985" s="93"/>
      <c r="AH985" s="93"/>
      <c r="AI985" s="93"/>
      <c r="AJ985" s="93"/>
      <c r="AK985" s="93"/>
      <c r="AL985" s="93"/>
      <c r="AM985" s="93"/>
      <c r="AN985" s="93"/>
      <c r="AO985" s="93"/>
      <c r="AP985" s="93"/>
      <c r="AQ985" s="93"/>
      <c r="AR985" s="93"/>
      <c r="AS985" s="93"/>
      <c r="AT985" s="93"/>
      <c r="AU985" s="93"/>
      <c r="AV985" s="93"/>
      <c r="AW985" s="93"/>
      <c r="AX985" s="93"/>
      <c r="AY985" s="93"/>
      <c r="AZ985" s="93"/>
      <c r="BA985" s="93"/>
      <c r="BB985" s="93"/>
      <c r="BC985" s="93"/>
      <c r="BD985" s="93"/>
      <c r="BE985" s="93"/>
      <c r="BF985" s="93"/>
      <c r="BG985" s="93"/>
      <c r="BH985" s="93"/>
      <c r="BI985" s="93"/>
      <c r="BJ985" s="93"/>
      <c r="BK985" s="93"/>
      <c r="BL985" s="93"/>
      <c r="BM985" s="93"/>
      <c r="BN985" s="93"/>
      <c r="BO985" s="93"/>
      <c r="BP985" s="93"/>
      <c r="BQ985" s="93"/>
      <c r="BR985" s="93"/>
      <c r="BS985" s="93"/>
      <c r="BT985" s="93"/>
      <c r="BU985" s="93"/>
      <c r="BV985" s="93"/>
      <c r="BW985" s="93"/>
      <c r="BX985" s="93"/>
      <c r="BY985" s="93"/>
      <c r="BZ985" s="93"/>
    </row>
    <row r="986">
      <c r="B986" t="s">
        <v>3669</v>
      </c>
      <c r="C986" s="89" t="s">
        <v>3670</v>
      </c>
      <c r="D986" s="90" t="s">
        <v>2874</v>
      </c>
      <c r="E986" s="91">
        <v>2018.0</v>
      </c>
      <c r="F986" s="104">
        <v>1.0</v>
      </c>
      <c r="G986" s="93"/>
      <c r="H986" s="93"/>
      <c r="I986" s="93"/>
      <c r="J986" s="93"/>
      <c r="K986" s="93"/>
      <c r="L986" s="93"/>
      <c r="M986" s="93"/>
      <c r="N986" s="93"/>
      <c r="O986" s="93"/>
      <c r="P986" s="93"/>
      <c r="Q986" s="93"/>
      <c r="R986" s="93"/>
      <c r="S986" s="93"/>
      <c r="T986" s="93"/>
      <c r="U986" s="93"/>
      <c r="V986" s="93"/>
      <c r="W986" s="93"/>
      <c r="X986" s="93"/>
      <c r="Y986" s="93"/>
      <c r="Z986" s="93"/>
      <c r="AA986" s="93"/>
      <c r="AB986" s="93"/>
      <c r="AC986" s="93"/>
      <c r="AD986" s="93"/>
      <c r="AE986" s="93"/>
      <c r="AF986" s="93"/>
      <c r="AG986" s="93"/>
      <c r="AH986" s="93"/>
      <c r="AI986" s="93"/>
      <c r="AJ986" s="93"/>
      <c r="AK986" s="93"/>
      <c r="AL986" s="93"/>
      <c r="AM986" s="93"/>
      <c r="AN986" s="93"/>
      <c r="AO986" s="93"/>
      <c r="AP986" s="93"/>
      <c r="AQ986" s="93"/>
      <c r="AR986" s="93"/>
      <c r="AS986" s="93"/>
      <c r="AT986" s="93"/>
      <c r="AU986" s="93"/>
      <c r="AV986" s="93"/>
      <c r="AW986" s="93"/>
      <c r="AX986" s="93"/>
      <c r="AY986" s="93"/>
      <c r="AZ986" s="93"/>
      <c r="BA986" s="93"/>
      <c r="BB986" s="93"/>
      <c r="BC986" s="93"/>
      <c r="BD986" s="93"/>
      <c r="BE986" s="93"/>
      <c r="BF986" s="93"/>
      <c r="BG986" s="93"/>
      <c r="BH986" s="93"/>
      <c r="BI986" s="93"/>
      <c r="BJ986" s="93"/>
      <c r="BK986" s="93"/>
      <c r="BL986" s="93"/>
      <c r="BM986" s="93"/>
      <c r="BN986" s="93"/>
      <c r="BO986" s="93"/>
      <c r="BP986" s="93"/>
      <c r="BQ986" s="93"/>
      <c r="BR986" s="93"/>
      <c r="BS986" s="93"/>
      <c r="BT986" s="93"/>
      <c r="BU986" s="93"/>
      <c r="BV986" s="93"/>
      <c r="BW986" s="93"/>
      <c r="BX986" s="93"/>
      <c r="BY986" s="93"/>
      <c r="BZ986" s="93"/>
    </row>
    <row r="987">
      <c r="B987" t="s">
        <v>3671</v>
      </c>
      <c r="C987" s="89" t="s">
        <v>3672</v>
      </c>
      <c r="D987" s="90" t="s">
        <v>2900</v>
      </c>
      <c r="E987" s="91">
        <v>2018.0</v>
      </c>
      <c r="F987" s="104">
        <v>1.0</v>
      </c>
      <c r="G987" s="93"/>
      <c r="H987" s="93"/>
      <c r="I987" s="93"/>
      <c r="J987" s="93"/>
      <c r="K987" s="93"/>
      <c r="L987" s="93"/>
      <c r="M987" s="93"/>
      <c r="N987" s="93"/>
      <c r="O987" s="93"/>
      <c r="P987" s="93"/>
      <c r="Q987" s="93"/>
      <c r="R987" s="93"/>
      <c r="S987" s="93"/>
      <c r="T987" s="93"/>
      <c r="U987" s="93"/>
      <c r="V987" s="93"/>
      <c r="W987" s="93"/>
      <c r="X987" s="93"/>
      <c r="Y987" s="93"/>
      <c r="Z987" s="93"/>
      <c r="AA987" s="93"/>
      <c r="AB987" s="93"/>
      <c r="AC987" s="93"/>
      <c r="AD987" s="93"/>
      <c r="AE987" s="93"/>
      <c r="AF987" s="93"/>
      <c r="AG987" s="93"/>
      <c r="AH987" s="93"/>
      <c r="AI987" s="93"/>
      <c r="AJ987" s="93"/>
      <c r="AK987" s="93"/>
      <c r="AL987" s="93"/>
      <c r="AM987" s="93"/>
      <c r="AN987" s="93"/>
      <c r="AO987" s="93"/>
      <c r="AP987" s="93"/>
      <c r="AQ987" s="93"/>
      <c r="AR987" s="93"/>
      <c r="AS987" s="93"/>
      <c r="AT987" s="93"/>
      <c r="AU987" s="93"/>
      <c r="AV987" s="93"/>
      <c r="AW987" s="93"/>
      <c r="AX987" s="93"/>
      <c r="AY987" s="93"/>
      <c r="AZ987" s="93"/>
      <c r="BA987" s="93"/>
      <c r="BB987" s="93"/>
      <c r="BC987" s="93"/>
      <c r="BD987" s="93"/>
      <c r="BE987" s="93"/>
      <c r="BF987" s="93"/>
      <c r="BG987" s="93"/>
      <c r="BH987" s="93"/>
      <c r="BI987" s="93"/>
      <c r="BJ987" s="93"/>
      <c r="BK987" s="93"/>
      <c r="BL987" s="93"/>
      <c r="BM987" s="93"/>
      <c r="BN987" s="93"/>
      <c r="BO987" s="93"/>
      <c r="BP987" s="93"/>
      <c r="BQ987" s="93"/>
      <c r="BR987" s="93"/>
      <c r="BS987" s="93"/>
      <c r="BT987" s="93"/>
      <c r="BU987" s="93"/>
      <c r="BV987" s="93"/>
      <c r="BW987" s="93"/>
      <c r="BX987" s="93"/>
      <c r="BY987" s="93"/>
      <c r="BZ987" s="93"/>
    </row>
    <row r="988">
      <c r="A988" t="s">
        <v>1354</v>
      </c>
      <c r="B988" t="s">
        <v>3673</v>
      </c>
      <c r="C988" s="89" t="s">
        <v>3674</v>
      </c>
      <c r="D988" s="90" t="s">
        <v>2874</v>
      </c>
      <c r="E988" s="91">
        <v>2016.0</v>
      </c>
      <c r="F988" s="104">
        <v>1.0</v>
      </c>
      <c r="G988" s="93"/>
      <c r="H988" s="93"/>
      <c r="I988" s="93"/>
      <c r="J988" s="93"/>
      <c r="K988" s="93"/>
      <c r="L988" s="93"/>
      <c r="M988" s="93"/>
      <c r="N988" s="93"/>
      <c r="O988" s="93"/>
      <c r="P988" s="93"/>
      <c r="Q988" s="93"/>
      <c r="R988" s="93"/>
      <c r="S988" s="93"/>
      <c r="T988" s="93"/>
      <c r="U988" s="93"/>
      <c r="V988" s="93"/>
      <c r="W988" s="93"/>
      <c r="X988" s="93"/>
      <c r="Y988" s="93"/>
      <c r="Z988" s="93"/>
      <c r="AA988" s="93"/>
      <c r="AB988" s="93"/>
      <c r="AC988" s="93"/>
      <c r="AD988" s="93"/>
      <c r="AE988" s="93"/>
      <c r="AF988" s="93"/>
      <c r="AG988" s="93"/>
      <c r="AH988" s="93"/>
      <c r="AI988" s="93"/>
      <c r="AJ988" s="93"/>
      <c r="AK988" s="93"/>
      <c r="AL988" s="93"/>
      <c r="AM988" s="93"/>
      <c r="AN988" s="93"/>
      <c r="AO988" s="93"/>
      <c r="AP988" s="93"/>
      <c r="AQ988" s="93"/>
      <c r="AR988" s="93"/>
      <c r="AS988" s="93"/>
      <c r="AT988" s="93"/>
      <c r="AU988" s="93"/>
      <c r="AV988" s="93"/>
      <c r="AW988" s="93"/>
      <c r="AX988" s="93"/>
      <c r="AY988" s="93"/>
      <c r="AZ988" s="93"/>
      <c r="BA988" s="93"/>
      <c r="BB988" s="93"/>
      <c r="BC988" s="93"/>
      <c r="BD988" s="93"/>
      <c r="BE988" s="93"/>
      <c r="BF988" s="93"/>
      <c r="BG988" s="93"/>
      <c r="BH988" s="93"/>
      <c r="BI988" s="93"/>
      <c r="BJ988" s="93"/>
      <c r="BK988" s="93"/>
      <c r="BL988" s="93"/>
      <c r="BM988" s="93"/>
      <c r="BN988" s="93"/>
      <c r="BO988" s="93"/>
      <c r="BP988" s="93"/>
      <c r="BQ988" s="93"/>
      <c r="BR988" s="93"/>
      <c r="BS988" s="93"/>
      <c r="BT988" s="93"/>
      <c r="BU988" s="93"/>
      <c r="BV988" s="93"/>
      <c r="BW988" s="93"/>
      <c r="BX988" s="93"/>
      <c r="BY988" s="93"/>
      <c r="BZ988" s="93"/>
    </row>
    <row r="989">
      <c r="B989" t="s">
        <v>3675</v>
      </c>
      <c r="C989" s="89" t="s">
        <v>3676</v>
      </c>
      <c r="D989" s="90" t="s">
        <v>3677</v>
      </c>
      <c r="E989" s="91">
        <v>2018.0</v>
      </c>
      <c r="F989" s="104">
        <v>1.0</v>
      </c>
      <c r="G989" s="93"/>
      <c r="H989" s="93"/>
      <c r="I989" s="93"/>
      <c r="J989" s="93"/>
      <c r="K989" s="93"/>
      <c r="L989" s="93"/>
      <c r="M989" s="93"/>
      <c r="N989" s="93"/>
      <c r="O989" s="93"/>
      <c r="P989" s="93"/>
      <c r="Q989" s="93"/>
      <c r="R989" s="93"/>
      <c r="S989" s="93"/>
      <c r="T989" s="93"/>
      <c r="U989" s="93"/>
      <c r="V989" s="93"/>
      <c r="W989" s="93"/>
      <c r="X989" s="93"/>
      <c r="Y989" s="93"/>
      <c r="Z989" s="93"/>
      <c r="AA989" s="93"/>
      <c r="AB989" s="93"/>
      <c r="AC989" s="93"/>
      <c r="AD989" s="93"/>
      <c r="AE989" s="93"/>
      <c r="AF989" s="93"/>
      <c r="AG989" s="93"/>
      <c r="AH989" s="93"/>
      <c r="AI989" s="93"/>
      <c r="AJ989" s="93"/>
      <c r="AK989" s="93"/>
      <c r="AL989" s="93"/>
      <c r="AM989" s="93"/>
      <c r="AN989" s="93"/>
      <c r="AO989" s="93"/>
      <c r="AP989" s="93"/>
      <c r="AQ989" s="93"/>
      <c r="AR989" s="93"/>
      <c r="AS989" s="93"/>
      <c r="AT989" s="93"/>
      <c r="AU989" s="93"/>
      <c r="AV989" s="93"/>
      <c r="AW989" s="93"/>
      <c r="AX989" s="93"/>
      <c r="AY989" s="93"/>
      <c r="AZ989" s="93"/>
      <c r="BA989" s="93"/>
      <c r="BB989" s="93"/>
      <c r="BC989" s="93"/>
      <c r="BD989" s="93"/>
      <c r="BE989" s="93"/>
      <c r="BF989" s="93"/>
      <c r="BG989" s="93"/>
      <c r="BH989" s="93"/>
      <c r="BI989" s="93"/>
      <c r="BJ989" s="93"/>
      <c r="BK989" s="93"/>
      <c r="BL989" s="93"/>
      <c r="BM989" s="93"/>
      <c r="BN989" s="93"/>
      <c r="BO989" s="93"/>
      <c r="BP989" s="93"/>
      <c r="BQ989" s="93"/>
      <c r="BR989" s="93"/>
      <c r="BS989" s="93"/>
      <c r="BT989" s="93"/>
      <c r="BU989" s="93"/>
      <c r="BV989" s="93"/>
      <c r="BW989" s="93"/>
      <c r="BX989" s="93"/>
      <c r="BY989" s="93"/>
      <c r="BZ989" s="93"/>
    </row>
    <row r="990">
      <c r="B990" t="s">
        <v>3678</v>
      </c>
      <c r="C990" s="89" t="s">
        <v>3679</v>
      </c>
      <c r="D990" s="90" t="s">
        <v>3680</v>
      </c>
      <c r="E990" s="91">
        <v>2017.0</v>
      </c>
      <c r="F990" s="104">
        <v>1.0</v>
      </c>
      <c r="G990" s="93"/>
      <c r="H990" s="93"/>
      <c r="I990" s="93"/>
      <c r="J990" s="93"/>
      <c r="K990" s="93"/>
      <c r="L990" s="93"/>
      <c r="M990" s="93"/>
      <c r="N990" s="93"/>
      <c r="O990" s="93"/>
      <c r="P990" s="93"/>
      <c r="Q990" s="93"/>
      <c r="R990" s="93"/>
      <c r="S990" s="93"/>
      <c r="T990" s="93"/>
      <c r="U990" s="93"/>
      <c r="V990" s="93"/>
      <c r="W990" s="93"/>
      <c r="X990" s="93"/>
      <c r="Y990" s="93"/>
      <c r="Z990" s="93"/>
      <c r="AA990" s="93"/>
      <c r="AB990" s="93"/>
      <c r="AC990" s="93"/>
      <c r="AD990" s="93"/>
      <c r="AE990" s="93"/>
      <c r="AF990" s="93"/>
      <c r="AG990" s="93"/>
      <c r="AH990" s="93"/>
      <c r="AI990" s="93"/>
      <c r="AJ990" s="93"/>
      <c r="AK990" s="93"/>
      <c r="AL990" s="93"/>
      <c r="AM990" s="93"/>
      <c r="AN990" s="93"/>
      <c r="AO990" s="93"/>
      <c r="AP990" s="93"/>
      <c r="AQ990" s="93"/>
      <c r="AR990" s="93"/>
      <c r="AS990" s="93"/>
      <c r="AT990" s="93"/>
      <c r="AU990" s="93"/>
      <c r="AV990" s="93"/>
      <c r="AW990" s="93"/>
      <c r="AX990" s="93"/>
      <c r="AY990" s="93"/>
      <c r="AZ990" s="93"/>
      <c r="BA990" s="93"/>
      <c r="BB990" s="93"/>
      <c r="BC990" s="93"/>
      <c r="BD990" s="93"/>
      <c r="BE990" s="93"/>
      <c r="BF990" s="93"/>
      <c r="BG990" s="93"/>
      <c r="BH990" s="93"/>
      <c r="BI990" s="93"/>
      <c r="BJ990" s="93"/>
      <c r="BK990" s="93"/>
      <c r="BL990" s="93"/>
      <c r="BM990" s="93"/>
      <c r="BN990" s="93"/>
      <c r="BO990" s="93"/>
      <c r="BP990" s="93"/>
      <c r="BQ990" s="93"/>
      <c r="BR990" s="93"/>
      <c r="BS990" s="93"/>
      <c r="BT990" s="93"/>
      <c r="BU990" s="93"/>
      <c r="BV990" s="93"/>
      <c r="BW990" s="93"/>
      <c r="BX990" s="93"/>
      <c r="BY990" s="93"/>
      <c r="BZ990" s="93"/>
    </row>
    <row r="991">
      <c r="B991" t="s">
        <v>3681</v>
      </c>
      <c r="C991" s="89" t="s">
        <v>3682</v>
      </c>
      <c r="D991" s="90" t="s">
        <v>3683</v>
      </c>
      <c r="E991" s="91">
        <v>2017.0</v>
      </c>
      <c r="F991" s="104">
        <v>1.0</v>
      </c>
      <c r="G991" s="93"/>
      <c r="H991" s="93"/>
      <c r="I991" s="93"/>
      <c r="J991" s="93"/>
      <c r="K991" s="93"/>
      <c r="L991" s="93"/>
      <c r="M991" s="93"/>
      <c r="N991" s="93"/>
      <c r="O991" s="93"/>
      <c r="P991" s="93"/>
      <c r="Q991" s="93"/>
      <c r="R991" s="93"/>
      <c r="S991" s="93"/>
      <c r="T991" s="93"/>
      <c r="U991" s="93"/>
      <c r="V991" s="93"/>
      <c r="W991" s="93"/>
      <c r="X991" s="93"/>
      <c r="Y991" s="93"/>
      <c r="Z991" s="93"/>
      <c r="AA991" s="93"/>
      <c r="AB991" s="93"/>
      <c r="AC991" s="93"/>
      <c r="AD991" s="93"/>
      <c r="AE991" s="93"/>
      <c r="AF991" s="93"/>
      <c r="AG991" s="93"/>
      <c r="AH991" s="93"/>
      <c r="AI991" s="93"/>
      <c r="AJ991" s="93"/>
      <c r="AK991" s="93"/>
      <c r="AL991" s="93"/>
      <c r="AM991" s="93"/>
      <c r="AN991" s="93"/>
      <c r="AO991" s="93"/>
      <c r="AP991" s="93"/>
      <c r="AQ991" s="93"/>
      <c r="AR991" s="93"/>
      <c r="AS991" s="93"/>
      <c r="AT991" s="93"/>
      <c r="AU991" s="93"/>
      <c r="AV991" s="93"/>
      <c r="AW991" s="93"/>
      <c r="AX991" s="93"/>
      <c r="AY991" s="93"/>
      <c r="AZ991" s="93"/>
      <c r="BA991" s="93"/>
      <c r="BB991" s="93"/>
      <c r="BC991" s="93"/>
      <c r="BD991" s="93"/>
      <c r="BE991" s="93"/>
      <c r="BF991" s="93"/>
      <c r="BG991" s="93"/>
      <c r="BH991" s="93"/>
      <c r="BI991" s="93"/>
      <c r="BJ991" s="93"/>
      <c r="BK991" s="93"/>
      <c r="BL991" s="93"/>
      <c r="BM991" s="93"/>
      <c r="BN991" s="93"/>
      <c r="BO991" s="93"/>
      <c r="BP991" s="93"/>
      <c r="BQ991" s="93"/>
      <c r="BR991" s="93"/>
      <c r="BS991" s="93"/>
      <c r="BT991" s="93"/>
      <c r="BU991" s="93"/>
      <c r="BV991" s="93"/>
      <c r="BW991" s="93"/>
      <c r="BX991" s="93"/>
      <c r="BY991" s="93"/>
      <c r="BZ991" s="93"/>
    </row>
    <row r="992">
      <c r="B992" t="s">
        <v>3684</v>
      </c>
      <c r="C992" s="89" t="s">
        <v>3685</v>
      </c>
      <c r="D992" s="90" t="s">
        <v>2957</v>
      </c>
      <c r="E992" s="91">
        <v>2016.0</v>
      </c>
      <c r="F992" s="104">
        <v>1.0</v>
      </c>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3"/>
      <c r="AF992" s="93"/>
      <c r="AG992" s="93"/>
      <c r="AH992" s="93"/>
      <c r="AI992" s="93"/>
      <c r="AJ992" s="93"/>
      <c r="AK992" s="93"/>
      <c r="AL992" s="93"/>
      <c r="AM992" s="93"/>
      <c r="AN992" s="93"/>
      <c r="AO992" s="93"/>
      <c r="AP992" s="93"/>
      <c r="AQ992" s="93"/>
      <c r="AR992" s="93"/>
      <c r="AS992" s="93"/>
      <c r="AT992" s="93"/>
      <c r="AU992" s="93"/>
      <c r="AV992" s="93"/>
      <c r="AW992" s="93"/>
      <c r="AX992" s="93"/>
      <c r="AY992" s="93"/>
      <c r="AZ992" s="93"/>
      <c r="BA992" s="93"/>
      <c r="BB992" s="93"/>
      <c r="BC992" s="93"/>
      <c r="BD992" s="93"/>
      <c r="BE992" s="93"/>
      <c r="BF992" s="93"/>
      <c r="BG992" s="93"/>
      <c r="BH992" s="93"/>
      <c r="BI992" s="93"/>
      <c r="BJ992" s="93"/>
      <c r="BK992" s="93"/>
      <c r="BL992" s="93"/>
      <c r="BM992" s="93"/>
      <c r="BN992" s="93"/>
      <c r="BO992" s="93"/>
      <c r="BP992" s="93"/>
      <c r="BQ992" s="93"/>
      <c r="BR992" s="93"/>
      <c r="BS992" s="93"/>
      <c r="BT992" s="93"/>
      <c r="BU992" s="93"/>
      <c r="BV992" s="93"/>
      <c r="BW992" s="93"/>
      <c r="BX992" s="93"/>
      <c r="BY992" s="93"/>
      <c r="BZ992" s="93"/>
    </row>
    <row r="993">
      <c r="B993" t="s">
        <v>3686</v>
      </c>
      <c r="C993" s="89" t="s">
        <v>3687</v>
      </c>
      <c r="D993" s="90" t="s">
        <v>3688</v>
      </c>
      <c r="E993" s="91">
        <v>2015.0</v>
      </c>
      <c r="F993" s="104">
        <v>1.0</v>
      </c>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3"/>
      <c r="AF993" s="93"/>
      <c r="AG993" s="93"/>
      <c r="AH993" s="93"/>
      <c r="AI993" s="93"/>
      <c r="AJ993" s="93"/>
      <c r="AK993" s="93"/>
      <c r="AL993" s="93"/>
      <c r="AM993" s="93"/>
      <c r="AN993" s="93"/>
      <c r="AO993" s="93"/>
      <c r="AP993" s="93"/>
      <c r="AQ993" s="93"/>
      <c r="AR993" s="93"/>
      <c r="AS993" s="93"/>
      <c r="AT993" s="93"/>
      <c r="AU993" s="93"/>
      <c r="AV993" s="93"/>
      <c r="AW993" s="93"/>
      <c r="AX993" s="93"/>
      <c r="AY993" s="93"/>
      <c r="AZ993" s="93"/>
      <c r="BA993" s="93"/>
      <c r="BB993" s="93"/>
      <c r="BC993" s="93"/>
      <c r="BD993" s="93"/>
      <c r="BE993" s="93"/>
      <c r="BF993" s="93"/>
      <c r="BG993" s="93"/>
      <c r="BH993" s="93"/>
      <c r="BI993" s="93"/>
      <c r="BJ993" s="93"/>
      <c r="BK993" s="93"/>
      <c r="BL993" s="93"/>
      <c r="BM993" s="93"/>
      <c r="BN993" s="93"/>
      <c r="BO993" s="93"/>
      <c r="BP993" s="93"/>
      <c r="BQ993" s="93"/>
      <c r="BR993" s="93"/>
      <c r="BS993" s="93"/>
      <c r="BT993" s="93"/>
      <c r="BU993" s="93"/>
      <c r="BV993" s="93"/>
      <c r="BW993" s="93"/>
      <c r="BX993" s="93"/>
      <c r="BY993" s="93"/>
      <c r="BZ993" s="93"/>
    </row>
    <row r="994">
      <c r="B994" t="s">
        <v>3689</v>
      </c>
      <c r="C994" s="89" t="s">
        <v>3690</v>
      </c>
      <c r="D994" s="90" t="s">
        <v>3691</v>
      </c>
      <c r="E994" s="91">
        <v>2018.0</v>
      </c>
      <c r="F994" s="104">
        <v>1.0</v>
      </c>
      <c r="G994" s="93"/>
      <c r="H994" s="93"/>
      <c r="I994" s="93"/>
      <c r="J994" s="93"/>
      <c r="K994" s="93"/>
      <c r="L994" s="93"/>
      <c r="M994" s="93"/>
      <c r="N994" s="93"/>
      <c r="O994" s="93"/>
      <c r="P994" s="93"/>
      <c r="Q994" s="93"/>
      <c r="R994" s="93"/>
      <c r="S994" s="93"/>
      <c r="T994" s="93"/>
      <c r="U994" s="93"/>
      <c r="V994" s="93"/>
      <c r="W994" s="93"/>
      <c r="X994" s="93"/>
      <c r="Y994" s="93"/>
      <c r="Z994" s="93"/>
      <c r="AA994" s="93"/>
      <c r="AB994" s="93"/>
      <c r="AC994" s="93"/>
      <c r="AD994" s="93"/>
      <c r="AE994" s="93"/>
      <c r="AF994" s="93"/>
      <c r="AG994" s="93"/>
      <c r="AH994" s="93"/>
      <c r="AI994" s="93"/>
      <c r="AJ994" s="93"/>
      <c r="AK994" s="93"/>
      <c r="AL994" s="93"/>
      <c r="AM994" s="93"/>
      <c r="AN994" s="93"/>
      <c r="AO994" s="93"/>
      <c r="AP994" s="93"/>
      <c r="AQ994" s="93"/>
      <c r="AR994" s="93"/>
      <c r="AS994" s="93"/>
      <c r="AT994" s="93"/>
      <c r="AU994" s="93"/>
      <c r="AV994" s="93"/>
      <c r="AW994" s="93"/>
      <c r="AX994" s="93"/>
      <c r="AY994" s="93"/>
      <c r="AZ994" s="93"/>
      <c r="BA994" s="93"/>
      <c r="BB994" s="93"/>
      <c r="BC994" s="93"/>
      <c r="BD994" s="93"/>
      <c r="BE994" s="93"/>
      <c r="BF994" s="93"/>
      <c r="BG994" s="93"/>
      <c r="BH994" s="93"/>
      <c r="BI994" s="93"/>
      <c r="BJ994" s="93"/>
      <c r="BK994" s="93"/>
      <c r="BL994" s="93"/>
      <c r="BM994" s="93"/>
      <c r="BN994" s="93"/>
      <c r="BO994" s="93"/>
      <c r="BP994" s="93"/>
      <c r="BQ994" s="93"/>
      <c r="BR994" s="93"/>
      <c r="BS994" s="93"/>
      <c r="BT994" s="93"/>
      <c r="BU994" s="93"/>
      <c r="BV994" s="93"/>
      <c r="BW994" s="93"/>
      <c r="BX994" s="93"/>
      <c r="BY994" s="93"/>
      <c r="BZ994" s="93"/>
    </row>
    <row r="995">
      <c r="A995" t="s">
        <v>116</v>
      </c>
      <c r="B995" t="s">
        <v>3692</v>
      </c>
      <c r="C995" s="89" t="s">
        <v>3693</v>
      </c>
      <c r="D995" s="90" t="s">
        <v>3694</v>
      </c>
      <c r="E995" s="91">
        <v>2016.0</v>
      </c>
      <c r="F995" s="104">
        <v>1.0</v>
      </c>
      <c r="G995" s="93"/>
      <c r="H995" s="93"/>
      <c r="I995" s="93"/>
      <c r="J995" s="93"/>
      <c r="K995" s="93"/>
      <c r="L995" s="93"/>
      <c r="M995" s="93"/>
      <c r="N995" s="93"/>
      <c r="O995" s="93"/>
      <c r="P995" s="93"/>
      <c r="Q995" s="93"/>
      <c r="R995" s="93"/>
      <c r="S995" s="93"/>
      <c r="T995" s="93"/>
      <c r="U995" s="93"/>
      <c r="V995" s="93"/>
      <c r="W995" s="93"/>
      <c r="X995" s="93"/>
      <c r="Y995" s="93"/>
      <c r="Z995" s="93"/>
      <c r="AA995" s="93"/>
      <c r="AB995" s="93"/>
      <c r="AC995" s="93"/>
      <c r="AD995" s="93"/>
      <c r="AE995" s="93"/>
      <c r="AF995" s="93"/>
      <c r="AG995" s="93"/>
      <c r="AH995" s="93"/>
      <c r="AI995" s="93"/>
      <c r="AJ995" s="93"/>
      <c r="AK995" s="93"/>
      <c r="AL995" s="93"/>
      <c r="AM995" s="93"/>
      <c r="AN995" s="93"/>
      <c r="AO995" s="93"/>
      <c r="AP995" s="93"/>
      <c r="AQ995" s="93"/>
      <c r="AR995" s="93"/>
      <c r="AS995" s="93"/>
      <c r="AT995" s="93"/>
      <c r="AU995" s="93"/>
      <c r="AV995" s="93"/>
      <c r="AW995" s="93"/>
      <c r="AX995" s="93"/>
      <c r="AY995" s="93"/>
      <c r="AZ995" s="93"/>
      <c r="BA995" s="93"/>
      <c r="BB995" s="93"/>
      <c r="BC995" s="93"/>
      <c r="BD995" s="93"/>
      <c r="BE995" s="93"/>
      <c r="BF995" s="93"/>
      <c r="BG995" s="93"/>
      <c r="BH995" s="93"/>
      <c r="BI995" s="93"/>
      <c r="BJ995" s="93"/>
      <c r="BK995" s="93"/>
      <c r="BL995" s="93"/>
      <c r="BM995" s="93"/>
      <c r="BN995" s="93"/>
      <c r="BO995" s="93"/>
      <c r="BP995" s="93"/>
      <c r="BQ995" s="93"/>
      <c r="BR995" s="93"/>
      <c r="BS995" s="93"/>
      <c r="BT995" s="93"/>
      <c r="BU995" s="93"/>
      <c r="BV995" s="93"/>
      <c r="BW995" s="93"/>
      <c r="BX995" s="93"/>
      <c r="BY995" s="93"/>
      <c r="BZ995" s="93"/>
    </row>
    <row r="996">
      <c r="B996" t="s">
        <v>3695</v>
      </c>
      <c r="C996" s="89" t="s">
        <v>3696</v>
      </c>
      <c r="D996" s="90" t="s">
        <v>2874</v>
      </c>
      <c r="E996" s="91">
        <v>2017.0</v>
      </c>
      <c r="F996" s="104">
        <v>1.0</v>
      </c>
      <c r="G996" s="93"/>
      <c r="H996" s="93"/>
      <c r="I996" s="93"/>
      <c r="J996" s="93"/>
      <c r="K996" s="93"/>
      <c r="L996" s="93"/>
      <c r="M996" s="93"/>
      <c r="N996" s="93"/>
      <c r="O996" s="93"/>
      <c r="P996" s="93"/>
      <c r="Q996" s="93"/>
      <c r="R996" s="93"/>
      <c r="S996" s="93"/>
      <c r="T996" s="93"/>
      <c r="U996" s="93"/>
      <c r="V996" s="93"/>
      <c r="W996" s="93"/>
      <c r="X996" s="93"/>
      <c r="Y996" s="93"/>
      <c r="Z996" s="93"/>
      <c r="AA996" s="93"/>
      <c r="AB996" s="93"/>
      <c r="AC996" s="93"/>
      <c r="AD996" s="93"/>
      <c r="AE996" s="93"/>
      <c r="AF996" s="93"/>
      <c r="AG996" s="93"/>
      <c r="AH996" s="93"/>
      <c r="AI996" s="93"/>
      <c r="AJ996" s="93"/>
      <c r="AK996" s="93"/>
      <c r="AL996" s="93"/>
      <c r="AM996" s="93"/>
      <c r="AN996" s="93"/>
      <c r="AO996" s="93"/>
      <c r="AP996" s="93"/>
      <c r="AQ996" s="93"/>
      <c r="AR996" s="93"/>
      <c r="AS996" s="93"/>
      <c r="AT996" s="93"/>
      <c r="AU996" s="93"/>
      <c r="AV996" s="93"/>
      <c r="AW996" s="93"/>
      <c r="AX996" s="93"/>
      <c r="AY996" s="93"/>
      <c r="AZ996" s="93"/>
      <c r="BA996" s="93"/>
      <c r="BB996" s="93"/>
      <c r="BC996" s="93"/>
      <c r="BD996" s="93"/>
      <c r="BE996" s="93"/>
      <c r="BF996" s="93"/>
      <c r="BG996" s="93"/>
      <c r="BH996" s="93"/>
      <c r="BI996" s="93"/>
      <c r="BJ996" s="93"/>
      <c r="BK996" s="93"/>
      <c r="BL996" s="93"/>
      <c r="BM996" s="93"/>
      <c r="BN996" s="93"/>
      <c r="BO996" s="93"/>
      <c r="BP996" s="93"/>
      <c r="BQ996" s="93"/>
      <c r="BR996" s="93"/>
      <c r="BS996" s="93"/>
      <c r="BT996" s="93"/>
      <c r="BU996" s="93"/>
      <c r="BV996" s="93"/>
      <c r="BW996" s="93"/>
      <c r="BX996" s="93"/>
      <c r="BY996" s="93"/>
      <c r="BZ996" s="93"/>
    </row>
    <row r="997">
      <c r="B997" t="s">
        <v>3697</v>
      </c>
      <c r="C997" s="89" t="s">
        <v>3698</v>
      </c>
      <c r="D997" s="90" t="s">
        <v>3699</v>
      </c>
      <c r="E997" s="91">
        <v>2020.0</v>
      </c>
      <c r="F997" s="104">
        <v>1.0</v>
      </c>
      <c r="G997" s="93"/>
      <c r="H997" s="93"/>
      <c r="I997" s="93"/>
      <c r="J997" s="93"/>
      <c r="K997" s="93"/>
      <c r="L997" s="93"/>
      <c r="M997" s="93"/>
      <c r="N997" s="93"/>
      <c r="O997" s="93"/>
      <c r="P997" s="93"/>
      <c r="Q997" s="93"/>
      <c r="R997" s="93"/>
      <c r="S997" s="93"/>
      <c r="T997" s="93"/>
      <c r="U997" s="93"/>
      <c r="V997" s="93"/>
      <c r="W997" s="93"/>
      <c r="X997" s="93"/>
      <c r="Y997" s="93"/>
      <c r="Z997" s="93"/>
      <c r="AA997" s="93"/>
      <c r="AB997" s="93"/>
      <c r="AC997" s="93"/>
      <c r="AD997" s="93"/>
      <c r="AE997" s="93"/>
      <c r="AF997" s="93"/>
      <c r="AG997" s="93"/>
      <c r="AH997" s="93"/>
      <c r="AI997" s="93"/>
      <c r="AJ997" s="93"/>
      <c r="AK997" s="93"/>
      <c r="AL997" s="93"/>
      <c r="AM997" s="93"/>
      <c r="AN997" s="93"/>
      <c r="AO997" s="93"/>
      <c r="AP997" s="93"/>
      <c r="AQ997" s="93"/>
      <c r="AR997" s="93"/>
      <c r="AS997" s="93"/>
      <c r="AT997" s="93"/>
      <c r="AU997" s="93"/>
      <c r="AV997" s="93"/>
      <c r="AW997" s="93"/>
      <c r="AX997" s="93"/>
      <c r="AY997" s="93"/>
      <c r="AZ997" s="93"/>
      <c r="BA997" s="93"/>
      <c r="BB997" s="93"/>
      <c r="BC997" s="93"/>
      <c r="BD997" s="93"/>
      <c r="BE997" s="93"/>
      <c r="BF997" s="93"/>
      <c r="BG997" s="93"/>
      <c r="BH997" s="93"/>
      <c r="BI997" s="93"/>
      <c r="BJ997" s="93"/>
      <c r="BK997" s="93"/>
      <c r="BL997" s="93"/>
      <c r="BM997" s="93"/>
      <c r="BN997" s="93"/>
      <c r="BO997" s="93"/>
      <c r="BP997" s="93"/>
      <c r="BQ997" s="93"/>
      <c r="BR997" s="93"/>
      <c r="BS997" s="93"/>
      <c r="BT997" s="93"/>
      <c r="BU997" s="93"/>
      <c r="BV997" s="93"/>
      <c r="BW997" s="93"/>
      <c r="BX997" s="93"/>
      <c r="BY997" s="93"/>
      <c r="BZ997" s="93"/>
    </row>
    <row r="998">
      <c r="B998" t="s">
        <v>3700</v>
      </c>
      <c r="C998" s="89" t="s">
        <v>3701</v>
      </c>
      <c r="D998" s="90" t="s">
        <v>3702</v>
      </c>
      <c r="E998" s="91">
        <v>2016.0</v>
      </c>
      <c r="F998" s="104">
        <v>1.0</v>
      </c>
      <c r="G998" s="93"/>
      <c r="H998" s="93"/>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93"/>
      <c r="AG998" s="93"/>
      <c r="AH998" s="93"/>
      <c r="AI998" s="93"/>
      <c r="AJ998" s="93"/>
      <c r="AK998" s="93"/>
      <c r="AL998" s="93"/>
      <c r="AM998" s="93"/>
      <c r="AN998" s="93"/>
      <c r="AO998" s="93"/>
      <c r="AP998" s="93"/>
      <c r="AQ998" s="93"/>
      <c r="AR998" s="93"/>
      <c r="AS998" s="93"/>
      <c r="AT998" s="93"/>
      <c r="AU998" s="93"/>
      <c r="AV998" s="93"/>
      <c r="AW998" s="93"/>
      <c r="AX998" s="93"/>
      <c r="AY998" s="93"/>
      <c r="AZ998" s="93"/>
      <c r="BA998" s="93"/>
      <c r="BB998" s="93"/>
      <c r="BC998" s="93"/>
      <c r="BD998" s="93"/>
      <c r="BE998" s="93"/>
      <c r="BF998" s="93"/>
      <c r="BG998" s="93"/>
      <c r="BH998" s="93"/>
      <c r="BI998" s="93"/>
      <c r="BJ998" s="93"/>
      <c r="BK998" s="93"/>
      <c r="BL998" s="93"/>
      <c r="BM998" s="93"/>
      <c r="BN998" s="93"/>
      <c r="BO998" s="93"/>
      <c r="BP998" s="93"/>
      <c r="BQ998" s="93"/>
      <c r="BR998" s="93"/>
      <c r="BS998" s="93"/>
      <c r="BT998" s="93"/>
      <c r="BU998" s="93"/>
      <c r="BV998" s="93"/>
      <c r="BW998" s="93"/>
      <c r="BX998" s="93"/>
      <c r="BY998" s="93"/>
      <c r="BZ998" s="93"/>
    </row>
    <row r="999">
      <c r="B999" t="s">
        <v>3703</v>
      </c>
      <c r="C999" s="89" t="s">
        <v>3704</v>
      </c>
      <c r="D999" s="90" t="s">
        <v>3705</v>
      </c>
      <c r="E999" s="91">
        <v>2017.0</v>
      </c>
      <c r="F999" s="104">
        <v>1.0</v>
      </c>
      <c r="G999" s="93"/>
      <c r="H999" s="93"/>
      <c r="I999" s="93"/>
      <c r="J999" s="93"/>
      <c r="K999" s="93"/>
      <c r="L999" s="93"/>
      <c r="M999" s="93"/>
      <c r="N999" s="93"/>
      <c r="O999" s="93"/>
      <c r="P999" s="93"/>
      <c r="Q999" s="93"/>
      <c r="R999" s="93"/>
      <c r="S999" s="93"/>
      <c r="T999" s="93"/>
      <c r="U999" s="93"/>
      <c r="V999" s="93"/>
      <c r="W999" s="93"/>
      <c r="X999" s="93"/>
      <c r="Y999" s="93"/>
      <c r="Z999" s="93"/>
      <c r="AA999" s="93"/>
      <c r="AB999" s="93"/>
      <c r="AC999" s="93"/>
      <c r="AD999" s="93"/>
      <c r="AE999" s="93"/>
      <c r="AF999" s="93"/>
      <c r="AG999" s="93"/>
      <c r="AH999" s="93"/>
      <c r="AI999" s="93"/>
      <c r="AJ999" s="93"/>
      <c r="AK999" s="93"/>
      <c r="AL999" s="93"/>
      <c r="AM999" s="93"/>
      <c r="AN999" s="93"/>
      <c r="AO999" s="93"/>
      <c r="AP999" s="93"/>
      <c r="AQ999" s="93"/>
      <c r="AR999" s="93"/>
      <c r="AS999" s="93"/>
      <c r="AT999" s="93"/>
      <c r="AU999" s="93"/>
      <c r="AV999" s="93"/>
      <c r="AW999" s="93"/>
      <c r="AX999" s="93"/>
      <c r="AY999" s="93"/>
      <c r="AZ999" s="93"/>
      <c r="BA999" s="93"/>
      <c r="BB999" s="93"/>
      <c r="BC999" s="93"/>
      <c r="BD999" s="93"/>
      <c r="BE999" s="93"/>
      <c r="BF999" s="93"/>
      <c r="BG999" s="93"/>
      <c r="BH999" s="93"/>
      <c r="BI999" s="93"/>
      <c r="BJ999" s="93"/>
      <c r="BK999" s="93"/>
      <c r="BL999" s="93"/>
      <c r="BM999" s="93"/>
      <c r="BN999" s="93"/>
      <c r="BO999" s="93"/>
      <c r="BP999" s="93"/>
      <c r="BQ999" s="93"/>
      <c r="BR999" s="93"/>
      <c r="BS999" s="93"/>
      <c r="BT999" s="93"/>
      <c r="BU999" s="93"/>
      <c r="BV999" s="93"/>
      <c r="BW999" s="93"/>
      <c r="BX999" s="93"/>
      <c r="BY999" s="93"/>
      <c r="BZ999" s="93"/>
    </row>
    <row r="1000">
      <c r="A1000" t="s">
        <v>1331</v>
      </c>
      <c r="B1000" t="s">
        <v>3706</v>
      </c>
      <c r="C1000" s="89" t="s">
        <v>3707</v>
      </c>
      <c r="D1000" s="90" t="s">
        <v>3069</v>
      </c>
      <c r="E1000" s="91">
        <v>2020.0</v>
      </c>
      <c r="F1000" s="93"/>
      <c r="G1000" s="93"/>
      <c r="H1000" s="93"/>
      <c r="I1000" s="93"/>
      <c r="J1000" s="93"/>
      <c r="K1000" s="104">
        <v>1.0</v>
      </c>
      <c r="L1000" s="93"/>
      <c r="M1000" s="93"/>
      <c r="N1000" s="93"/>
      <c r="O1000" s="93"/>
      <c r="P1000" s="93"/>
      <c r="Q1000" s="93"/>
      <c r="R1000" s="93"/>
      <c r="S1000" s="93"/>
      <c r="T1000" s="93"/>
      <c r="U1000" s="93"/>
      <c r="V1000" s="93"/>
      <c r="W1000" s="90" t="s">
        <v>3708</v>
      </c>
      <c r="X1000" s="90" t="s">
        <v>3709</v>
      </c>
      <c r="Y1000" s="90" t="s">
        <v>3710</v>
      </c>
      <c r="Z1000" s="90" t="s">
        <v>1385</v>
      </c>
      <c r="AA1000" s="93"/>
      <c r="AB1000" s="104">
        <v>1.0</v>
      </c>
      <c r="AC1000" s="93"/>
      <c r="AD1000" s="104">
        <v>1.0</v>
      </c>
      <c r="AE1000" s="93"/>
      <c r="AF1000" s="93"/>
      <c r="AG1000" s="93"/>
      <c r="AH1000" s="90" t="s">
        <v>3711</v>
      </c>
      <c r="AI1000" s="104">
        <v>1.0</v>
      </c>
      <c r="AJ1000" s="93"/>
      <c r="AK1000" s="93"/>
      <c r="AL1000" s="93"/>
      <c r="AM1000" s="93"/>
      <c r="AN1000" s="93"/>
      <c r="AO1000" s="93"/>
      <c r="AP1000" s="93"/>
      <c r="AQ1000" s="93"/>
      <c r="AR1000" s="104">
        <v>1.0</v>
      </c>
      <c r="AS1000" s="93"/>
      <c r="AT1000" s="93"/>
      <c r="AU1000" s="93"/>
      <c r="AV1000" s="93"/>
      <c r="AW1000" s="93"/>
      <c r="AX1000" s="93"/>
      <c r="AY1000" s="93"/>
      <c r="AZ1000" s="93"/>
      <c r="BA1000" s="93"/>
      <c r="BB1000" s="93"/>
      <c r="BC1000" s="93"/>
      <c r="BD1000" s="93"/>
      <c r="BE1000" s="93"/>
      <c r="BF1000" s="93"/>
      <c r="BG1000" s="93"/>
      <c r="BH1000" s="93"/>
      <c r="BI1000" s="104">
        <v>1.0</v>
      </c>
      <c r="BJ1000" s="93"/>
      <c r="BK1000" s="93"/>
      <c r="BL1000" s="93"/>
      <c r="BM1000" s="93"/>
      <c r="BN1000" s="93"/>
      <c r="BO1000" s="93"/>
      <c r="BP1000" s="93"/>
      <c r="BQ1000" s="104">
        <v>1.0</v>
      </c>
      <c r="BR1000" s="104">
        <v>1.0</v>
      </c>
      <c r="BS1000" s="104">
        <v>1.0</v>
      </c>
      <c r="BT1000" s="93"/>
      <c r="BU1000" s="93"/>
      <c r="BV1000" s="104">
        <v>1.0</v>
      </c>
      <c r="BW1000" s="104">
        <v>1.0</v>
      </c>
      <c r="BX1000" s="93"/>
      <c r="BY1000" s="93"/>
      <c r="BZ1000" s="93"/>
    </row>
    <row r="1001">
      <c r="B1001" t="s">
        <v>3712</v>
      </c>
      <c r="C1001" s="89" t="s">
        <v>3713</v>
      </c>
      <c r="D1001" s="90" t="s">
        <v>3714</v>
      </c>
      <c r="E1001" s="91">
        <v>2020.0</v>
      </c>
      <c r="F1001" s="104">
        <v>1.0</v>
      </c>
      <c r="G1001" s="93"/>
      <c r="H1001" s="93"/>
      <c r="I1001" s="93"/>
      <c r="J1001" s="93"/>
      <c r="K1001" s="93"/>
      <c r="L1001" s="93"/>
      <c r="M1001" s="93"/>
      <c r="N1001" s="93"/>
      <c r="O1001" s="93"/>
      <c r="P1001" s="93"/>
      <c r="Q1001" s="93"/>
      <c r="R1001" s="93"/>
      <c r="S1001" s="93"/>
      <c r="T1001" s="93"/>
      <c r="U1001" s="93"/>
      <c r="V1001" s="93"/>
      <c r="W1001" s="93"/>
      <c r="X1001" s="93"/>
      <c r="Y1001" s="93"/>
      <c r="Z1001" s="93"/>
      <c r="AA1001" s="93"/>
      <c r="AB1001" s="93"/>
      <c r="AC1001" s="93"/>
      <c r="AD1001" s="93"/>
      <c r="AE1001" s="93"/>
      <c r="AF1001" s="93"/>
      <c r="AG1001" s="93"/>
      <c r="AH1001" s="93"/>
      <c r="AI1001" s="93"/>
      <c r="AJ1001" s="93"/>
      <c r="AK1001" s="93"/>
      <c r="AL1001" s="93"/>
      <c r="AM1001" s="93"/>
      <c r="AN1001" s="93"/>
      <c r="AO1001" s="93"/>
      <c r="AP1001" s="93"/>
      <c r="AQ1001" s="93"/>
      <c r="AR1001" s="93"/>
      <c r="AS1001" s="93"/>
      <c r="AT1001" s="93"/>
      <c r="AU1001" s="93"/>
      <c r="AV1001" s="93"/>
      <c r="AW1001" s="93"/>
      <c r="AX1001" s="93"/>
      <c r="AY1001" s="93"/>
      <c r="AZ1001" s="93"/>
      <c r="BA1001" s="93"/>
      <c r="BB1001" s="93"/>
      <c r="BC1001" s="93"/>
      <c r="BD1001" s="93"/>
      <c r="BE1001" s="93"/>
      <c r="BF1001" s="93"/>
      <c r="BG1001" s="93"/>
      <c r="BH1001" s="93"/>
      <c r="BI1001" s="93"/>
      <c r="BJ1001" s="93"/>
      <c r="BK1001" s="93"/>
      <c r="BL1001" s="93"/>
      <c r="BM1001" s="93"/>
      <c r="BN1001" s="93"/>
      <c r="BO1001" s="93"/>
      <c r="BP1001" s="93"/>
      <c r="BQ1001" s="93"/>
      <c r="BR1001" s="93"/>
      <c r="BS1001" s="93"/>
      <c r="BT1001" s="93"/>
      <c r="BU1001" s="93"/>
      <c r="BV1001" s="93"/>
      <c r="BW1001" s="93"/>
      <c r="BX1001" s="93"/>
      <c r="BY1001" s="93"/>
      <c r="BZ1001" s="93"/>
    </row>
    <row r="1002">
      <c r="B1002" t="s">
        <v>3715</v>
      </c>
      <c r="C1002" s="89" t="s">
        <v>3716</v>
      </c>
      <c r="D1002" s="90" t="s">
        <v>3717</v>
      </c>
      <c r="E1002" s="91">
        <v>2015.0</v>
      </c>
      <c r="F1002" s="104">
        <v>1.0</v>
      </c>
      <c r="G1002" s="93"/>
      <c r="H1002" s="93"/>
      <c r="I1002" s="93"/>
      <c r="J1002" s="93"/>
      <c r="K1002" s="93"/>
      <c r="L1002" s="93"/>
      <c r="M1002" s="93"/>
      <c r="N1002" s="93"/>
      <c r="O1002" s="93"/>
      <c r="P1002" s="93"/>
      <c r="Q1002" s="93"/>
      <c r="R1002" s="93"/>
      <c r="S1002" s="93"/>
      <c r="T1002" s="93"/>
      <c r="U1002" s="93"/>
      <c r="V1002" s="93"/>
      <c r="W1002" s="93"/>
      <c r="X1002" s="93"/>
      <c r="Y1002" s="93"/>
      <c r="Z1002" s="93"/>
      <c r="AA1002" s="93"/>
      <c r="AB1002" s="93"/>
      <c r="AC1002" s="93"/>
      <c r="AD1002" s="93"/>
      <c r="AE1002" s="93"/>
      <c r="AF1002" s="93"/>
      <c r="AG1002" s="93"/>
      <c r="AH1002" s="93"/>
      <c r="AI1002" s="93"/>
      <c r="AJ1002" s="93"/>
      <c r="AK1002" s="93"/>
      <c r="AL1002" s="93"/>
      <c r="AM1002" s="93"/>
      <c r="AN1002" s="93"/>
      <c r="AO1002" s="93"/>
      <c r="AP1002" s="93"/>
      <c r="AQ1002" s="93"/>
      <c r="AR1002" s="93"/>
      <c r="AS1002" s="93"/>
      <c r="AT1002" s="93"/>
      <c r="AU1002" s="93"/>
      <c r="AV1002" s="93"/>
      <c r="AW1002" s="93"/>
      <c r="AX1002" s="93"/>
      <c r="AY1002" s="93"/>
      <c r="AZ1002" s="93"/>
      <c r="BA1002" s="93"/>
      <c r="BB1002" s="93"/>
      <c r="BC1002" s="93"/>
      <c r="BD1002" s="93"/>
      <c r="BE1002" s="93"/>
      <c r="BF1002" s="93"/>
      <c r="BG1002" s="93"/>
      <c r="BH1002" s="93"/>
      <c r="BI1002" s="93"/>
      <c r="BJ1002" s="93"/>
      <c r="BK1002" s="93"/>
      <c r="BL1002" s="93"/>
      <c r="BM1002" s="93"/>
      <c r="BN1002" s="93"/>
      <c r="BO1002" s="93"/>
      <c r="BP1002" s="93"/>
      <c r="BQ1002" s="93"/>
      <c r="BR1002" s="93"/>
      <c r="BS1002" s="93"/>
      <c r="BT1002" s="93"/>
      <c r="BU1002" s="93"/>
      <c r="BV1002" s="93"/>
      <c r="BW1002" s="93"/>
      <c r="BX1002" s="93"/>
      <c r="BY1002" s="93"/>
      <c r="BZ1002" s="93"/>
    </row>
    <row r="1003">
      <c r="B1003" t="s">
        <v>3718</v>
      </c>
      <c r="C1003" s="89" t="s">
        <v>3719</v>
      </c>
      <c r="D1003" s="90" t="s">
        <v>2874</v>
      </c>
      <c r="E1003" s="91">
        <v>2018.0</v>
      </c>
      <c r="F1003" s="104">
        <v>1.0</v>
      </c>
      <c r="G1003" s="93"/>
      <c r="H1003" s="93"/>
      <c r="I1003" s="93"/>
      <c r="J1003" s="93"/>
      <c r="K1003" s="93"/>
      <c r="L1003" s="93"/>
      <c r="M1003" s="93"/>
      <c r="N1003" s="93"/>
      <c r="O1003" s="93"/>
      <c r="P1003" s="93"/>
      <c r="Q1003" s="93"/>
      <c r="R1003" s="93"/>
      <c r="S1003" s="93"/>
      <c r="T1003" s="93"/>
      <c r="U1003" s="93"/>
      <c r="V1003" s="93"/>
      <c r="W1003" s="93"/>
      <c r="X1003" s="93"/>
      <c r="Y1003" s="93"/>
      <c r="Z1003" s="93"/>
      <c r="AA1003" s="93"/>
      <c r="AB1003" s="93"/>
      <c r="AC1003" s="93"/>
      <c r="AD1003" s="93"/>
      <c r="AE1003" s="93"/>
      <c r="AF1003" s="93"/>
      <c r="AG1003" s="93"/>
      <c r="AH1003" s="93"/>
      <c r="AI1003" s="93"/>
      <c r="AJ1003" s="93"/>
      <c r="AK1003" s="93"/>
      <c r="AL1003" s="93"/>
      <c r="AM1003" s="93"/>
      <c r="AN1003" s="93"/>
      <c r="AO1003" s="93"/>
      <c r="AP1003" s="93"/>
      <c r="AQ1003" s="93"/>
      <c r="AR1003" s="93"/>
      <c r="AS1003" s="93"/>
      <c r="AT1003" s="93"/>
      <c r="AU1003" s="93"/>
      <c r="AV1003" s="93"/>
      <c r="AW1003" s="93"/>
      <c r="AX1003" s="93"/>
      <c r="AY1003" s="93"/>
      <c r="AZ1003" s="93"/>
      <c r="BA1003" s="93"/>
      <c r="BB1003" s="93"/>
      <c r="BC1003" s="93"/>
      <c r="BD1003" s="93"/>
      <c r="BE1003" s="93"/>
      <c r="BF1003" s="93"/>
      <c r="BG1003" s="93"/>
      <c r="BH1003" s="93"/>
      <c r="BI1003" s="93"/>
      <c r="BJ1003" s="93"/>
      <c r="BK1003" s="93"/>
      <c r="BL1003" s="93"/>
      <c r="BM1003" s="93"/>
      <c r="BN1003" s="93"/>
      <c r="BO1003" s="93"/>
      <c r="BP1003" s="93"/>
      <c r="BQ1003" s="93"/>
      <c r="BR1003" s="93"/>
      <c r="BS1003" s="93"/>
      <c r="BT1003" s="93"/>
      <c r="BU1003" s="93"/>
      <c r="BV1003" s="93"/>
      <c r="BW1003" s="93"/>
      <c r="BX1003" s="93"/>
      <c r="BY1003" s="93"/>
      <c r="BZ1003" s="93"/>
    </row>
    <row r="1004">
      <c r="B1004" t="s">
        <v>3720</v>
      </c>
      <c r="C1004" s="89" t="s">
        <v>3721</v>
      </c>
      <c r="D1004" s="90" t="s">
        <v>3722</v>
      </c>
      <c r="E1004" s="91">
        <v>2019.0</v>
      </c>
      <c r="F1004" s="104">
        <v>1.0</v>
      </c>
      <c r="G1004" s="93"/>
      <c r="H1004" s="93"/>
      <c r="I1004" s="93"/>
      <c r="J1004" s="93"/>
      <c r="K1004" s="93"/>
      <c r="L1004" s="93"/>
      <c r="M1004" s="93"/>
      <c r="N1004" s="93"/>
      <c r="O1004" s="93"/>
      <c r="P1004" s="93"/>
      <c r="Q1004" s="93"/>
      <c r="R1004" s="93"/>
      <c r="S1004" s="93"/>
      <c r="T1004" s="93"/>
      <c r="U1004" s="93"/>
      <c r="V1004" s="93"/>
      <c r="W1004" s="93"/>
      <c r="X1004" s="93"/>
      <c r="Y1004" s="93"/>
      <c r="Z1004" s="93"/>
      <c r="AA1004" s="93"/>
      <c r="AB1004" s="93"/>
      <c r="AC1004" s="93"/>
      <c r="AD1004" s="93"/>
      <c r="AE1004" s="93"/>
      <c r="AF1004" s="93"/>
      <c r="AG1004" s="93"/>
      <c r="AH1004" s="93"/>
      <c r="AI1004" s="93"/>
      <c r="AJ1004" s="93"/>
      <c r="AK1004" s="93"/>
      <c r="AL1004" s="93"/>
      <c r="AM1004" s="93"/>
      <c r="AN1004" s="93"/>
      <c r="AO1004" s="93"/>
      <c r="AP1004" s="93"/>
      <c r="AQ1004" s="93"/>
      <c r="AR1004" s="93"/>
      <c r="AS1004" s="93"/>
      <c r="AT1004" s="93"/>
      <c r="AU1004" s="93"/>
      <c r="AV1004" s="93"/>
      <c r="AW1004" s="93"/>
      <c r="AX1004" s="93"/>
      <c r="AY1004" s="93"/>
      <c r="AZ1004" s="93"/>
      <c r="BA1004" s="93"/>
      <c r="BB1004" s="93"/>
      <c r="BC1004" s="93"/>
      <c r="BD1004" s="93"/>
      <c r="BE1004" s="93"/>
      <c r="BF1004" s="93"/>
      <c r="BG1004" s="93"/>
      <c r="BH1004" s="93"/>
      <c r="BI1004" s="93"/>
      <c r="BJ1004" s="93"/>
      <c r="BK1004" s="93"/>
      <c r="BL1004" s="93"/>
      <c r="BM1004" s="93"/>
      <c r="BN1004" s="93"/>
      <c r="BO1004" s="93"/>
      <c r="BP1004" s="93"/>
      <c r="BQ1004" s="93"/>
      <c r="BR1004" s="93"/>
      <c r="BS1004" s="93"/>
      <c r="BT1004" s="93"/>
      <c r="BU1004" s="93"/>
      <c r="BV1004" s="93"/>
      <c r="BW1004" s="93"/>
      <c r="BX1004" s="93"/>
      <c r="BY1004" s="93"/>
      <c r="BZ1004" s="93"/>
    </row>
    <row r="1005">
      <c r="B1005" t="s">
        <v>3723</v>
      </c>
      <c r="C1005" s="89" t="s">
        <v>3724</v>
      </c>
      <c r="D1005" s="90" t="s">
        <v>3555</v>
      </c>
      <c r="E1005" s="91">
        <v>2019.0</v>
      </c>
      <c r="F1005" s="104">
        <v>1.0</v>
      </c>
      <c r="G1005" s="93"/>
      <c r="H1005" s="93"/>
      <c r="I1005" s="93"/>
      <c r="J1005" s="93"/>
      <c r="K1005" s="93"/>
      <c r="L1005" s="93"/>
      <c r="M1005" s="93"/>
      <c r="N1005" s="93"/>
      <c r="O1005" s="93"/>
      <c r="P1005" s="93"/>
      <c r="Q1005" s="93"/>
      <c r="R1005" s="93"/>
      <c r="S1005" s="93"/>
      <c r="T1005" s="93"/>
      <c r="U1005" s="93"/>
      <c r="V1005" s="93"/>
      <c r="W1005" s="93"/>
      <c r="X1005" s="93"/>
      <c r="Y1005" s="93"/>
      <c r="Z1005" s="93"/>
      <c r="AA1005" s="93"/>
      <c r="AB1005" s="93"/>
      <c r="AC1005" s="93"/>
      <c r="AD1005" s="93"/>
      <c r="AE1005" s="93"/>
      <c r="AF1005" s="93"/>
      <c r="AG1005" s="93"/>
      <c r="AH1005" s="93"/>
      <c r="AI1005" s="93"/>
      <c r="AJ1005" s="93"/>
      <c r="AK1005" s="93"/>
      <c r="AL1005" s="93"/>
      <c r="AM1005" s="93"/>
      <c r="AN1005" s="93"/>
      <c r="AO1005" s="93"/>
      <c r="AP1005" s="93"/>
      <c r="AQ1005" s="93"/>
      <c r="AR1005" s="93"/>
      <c r="AS1005" s="93"/>
      <c r="AT1005" s="93"/>
      <c r="AU1005" s="93"/>
      <c r="AV1005" s="93"/>
      <c r="AW1005" s="93"/>
      <c r="AX1005" s="93"/>
      <c r="AY1005" s="93"/>
      <c r="AZ1005" s="93"/>
      <c r="BA1005" s="93"/>
      <c r="BB1005" s="93"/>
      <c r="BC1005" s="93"/>
      <c r="BD1005" s="93"/>
      <c r="BE1005" s="93"/>
      <c r="BF1005" s="93"/>
      <c r="BG1005" s="93"/>
      <c r="BH1005" s="93"/>
      <c r="BI1005" s="93"/>
      <c r="BJ1005" s="93"/>
      <c r="BK1005" s="93"/>
      <c r="BL1005" s="93"/>
      <c r="BM1005" s="93"/>
      <c r="BN1005" s="93"/>
      <c r="BO1005" s="93"/>
      <c r="BP1005" s="93"/>
      <c r="BQ1005" s="93"/>
      <c r="BR1005" s="93"/>
      <c r="BS1005" s="93"/>
      <c r="BT1005" s="93"/>
      <c r="BU1005" s="93"/>
      <c r="BV1005" s="93"/>
      <c r="BW1005" s="93"/>
      <c r="BX1005" s="93"/>
      <c r="BY1005" s="93"/>
      <c r="BZ1005" s="93"/>
    </row>
    <row r="1006">
      <c r="B1006" t="s">
        <v>3725</v>
      </c>
      <c r="C1006" s="89" t="s">
        <v>3726</v>
      </c>
      <c r="D1006" s="90" t="s">
        <v>2795</v>
      </c>
      <c r="E1006" s="91">
        <v>2020.0</v>
      </c>
      <c r="F1006" s="104">
        <v>1.0</v>
      </c>
      <c r="G1006" s="93"/>
      <c r="H1006" s="93"/>
      <c r="I1006" s="93"/>
      <c r="J1006" s="93"/>
      <c r="K1006" s="93"/>
      <c r="L1006" s="93"/>
      <c r="M1006" s="93"/>
      <c r="N1006" s="93"/>
      <c r="O1006" s="93"/>
      <c r="P1006" s="93"/>
      <c r="Q1006" s="93"/>
      <c r="R1006" s="93"/>
      <c r="S1006" s="93"/>
      <c r="T1006" s="93"/>
      <c r="U1006" s="93"/>
      <c r="V1006" s="93"/>
      <c r="W1006" s="93"/>
      <c r="X1006" s="93"/>
      <c r="Y1006" s="93"/>
      <c r="Z1006" s="93"/>
      <c r="AA1006" s="93"/>
      <c r="AB1006" s="93"/>
      <c r="AC1006" s="93"/>
      <c r="AD1006" s="93"/>
      <c r="AE1006" s="93"/>
      <c r="AF1006" s="93"/>
      <c r="AG1006" s="93"/>
      <c r="AH1006" s="93"/>
      <c r="AI1006" s="93"/>
      <c r="AJ1006" s="93"/>
      <c r="AK1006" s="93"/>
      <c r="AL1006" s="93"/>
      <c r="AM1006" s="93"/>
      <c r="AN1006" s="93"/>
      <c r="AO1006" s="93"/>
      <c r="AP1006" s="93"/>
      <c r="AQ1006" s="93"/>
      <c r="AR1006" s="93"/>
      <c r="AS1006" s="93"/>
      <c r="AT1006" s="93"/>
      <c r="AU1006" s="93"/>
      <c r="AV1006" s="93"/>
      <c r="AW1006" s="93"/>
      <c r="AX1006" s="93"/>
      <c r="AY1006" s="93"/>
      <c r="AZ1006" s="93"/>
      <c r="BA1006" s="93"/>
      <c r="BB1006" s="93"/>
      <c r="BC1006" s="93"/>
      <c r="BD1006" s="93"/>
      <c r="BE1006" s="93"/>
      <c r="BF1006" s="93"/>
      <c r="BG1006" s="93"/>
      <c r="BH1006" s="93"/>
      <c r="BI1006" s="93"/>
      <c r="BJ1006" s="93"/>
      <c r="BK1006" s="93"/>
      <c r="BL1006" s="93"/>
      <c r="BM1006" s="93"/>
      <c r="BN1006" s="93"/>
      <c r="BO1006" s="93"/>
      <c r="BP1006" s="93"/>
      <c r="BQ1006" s="93"/>
      <c r="BR1006" s="93"/>
      <c r="BS1006" s="93"/>
      <c r="BT1006" s="93"/>
      <c r="BU1006" s="93"/>
      <c r="BV1006" s="93"/>
      <c r="BW1006" s="93"/>
      <c r="BX1006" s="93"/>
      <c r="BY1006" s="93"/>
      <c r="BZ1006" s="93"/>
    </row>
    <row r="1007">
      <c r="A1007" t="s">
        <v>1340</v>
      </c>
      <c r="B1007" t="s">
        <v>3727</v>
      </c>
      <c r="C1007" s="89" t="s">
        <v>3728</v>
      </c>
      <c r="D1007" s="90" t="s">
        <v>3538</v>
      </c>
      <c r="E1007" s="91">
        <v>2019.0</v>
      </c>
      <c r="F1007" s="104">
        <v>1.0</v>
      </c>
      <c r="G1007" s="93"/>
      <c r="H1007" s="93"/>
      <c r="I1007" s="93"/>
      <c r="J1007" s="93"/>
      <c r="K1007" s="93"/>
      <c r="L1007" s="93"/>
      <c r="M1007" s="93"/>
      <c r="N1007" s="93"/>
      <c r="O1007" s="93"/>
      <c r="P1007" s="93"/>
      <c r="Q1007" s="93"/>
      <c r="R1007" s="93"/>
      <c r="S1007" s="93"/>
      <c r="T1007" s="93"/>
      <c r="U1007" s="93"/>
      <c r="V1007" s="93"/>
      <c r="W1007" s="93"/>
      <c r="X1007" s="93"/>
      <c r="Y1007" s="93"/>
      <c r="Z1007" s="93"/>
      <c r="AA1007" s="93"/>
      <c r="AB1007" s="93"/>
      <c r="AC1007" s="93"/>
      <c r="AD1007" s="93"/>
      <c r="AE1007" s="93"/>
      <c r="AF1007" s="93"/>
      <c r="AG1007" s="93"/>
      <c r="AH1007" s="93"/>
      <c r="AI1007" s="93"/>
      <c r="AJ1007" s="93"/>
      <c r="AK1007" s="93"/>
      <c r="AL1007" s="93"/>
      <c r="AM1007" s="93"/>
      <c r="AN1007" s="93"/>
      <c r="AO1007" s="93"/>
      <c r="AP1007" s="93"/>
      <c r="AQ1007" s="93"/>
      <c r="AR1007" s="93"/>
      <c r="AS1007" s="93"/>
      <c r="AT1007" s="93"/>
      <c r="AU1007" s="93"/>
      <c r="AV1007" s="93"/>
      <c r="AW1007" s="93"/>
      <c r="AX1007" s="93"/>
      <c r="AY1007" s="93"/>
      <c r="AZ1007" s="93"/>
      <c r="BA1007" s="93"/>
      <c r="BB1007" s="93"/>
      <c r="BC1007" s="93"/>
      <c r="BD1007" s="93"/>
      <c r="BE1007" s="93"/>
      <c r="BF1007" s="93"/>
      <c r="BG1007" s="93"/>
      <c r="BH1007" s="93"/>
      <c r="BI1007" s="93"/>
      <c r="BJ1007" s="93"/>
      <c r="BK1007" s="93"/>
      <c r="BL1007" s="93"/>
      <c r="BM1007" s="93"/>
      <c r="BN1007" s="93"/>
      <c r="BO1007" s="93"/>
      <c r="BP1007" s="93"/>
      <c r="BQ1007" s="93"/>
      <c r="BR1007" s="93"/>
      <c r="BS1007" s="93"/>
      <c r="BT1007" s="93"/>
      <c r="BU1007" s="93"/>
      <c r="BV1007" s="93"/>
      <c r="BW1007" s="93"/>
      <c r="BX1007" s="93"/>
      <c r="BY1007" s="93"/>
      <c r="BZ1007" s="93"/>
    </row>
    <row r="1008">
      <c r="B1008" t="s">
        <v>3729</v>
      </c>
      <c r="C1008" s="89" t="s">
        <v>3730</v>
      </c>
      <c r="D1008" s="90" t="s">
        <v>3731</v>
      </c>
      <c r="E1008" s="91">
        <v>2018.0</v>
      </c>
      <c r="F1008" s="104">
        <v>1.0</v>
      </c>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3"/>
      <c r="AF1008" s="93"/>
      <c r="AG1008" s="93"/>
      <c r="AH1008" s="93"/>
      <c r="AI1008" s="93"/>
      <c r="AJ1008" s="93"/>
      <c r="AK1008" s="93"/>
      <c r="AL1008" s="93"/>
      <c r="AM1008" s="93"/>
      <c r="AN1008" s="93"/>
      <c r="AO1008" s="93"/>
      <c r="AP1008" s="93"/>
      <c r="AQ1008" s="93"/>
      <c r="AR1008" s="93"/>
      <c r="AS1008" s="93"/>
      <c r="AT1008" s="93"/>
      <c r="AU1008" s="93"/>
      <c r="AV1008" s="93"/>
      <c r="AW1008" s="93"/>
      <c r="AX1008" s="93"/>
      <c r="AY1008" s="93"/>
      <c r="AZ1008" s="93"/>
      <c r="BA1008" s="93"/>
      <c r="BB1008" s="93"/>
      <c r="BC1008" s="93"/>
      <c r="BD1008" s="93"/>
      <c r="BE1008" s="93"/>
      <c r="BF1008" s="93"/>
      <c r="BG1008" s="93"/>
      <c r="BH1008" s="93"/>
      <c r="BI1008" s="93"/>
      <c r="BJ1008" s="93"/>
      <c r="BK1008" s="93"/>
      <c r="BL1008" s="93"/>
      <c r="BM1008" s="93"/>
      <c r="BN1008" s="93"/>
      <c r="BO1008" s="93"/>
      <c r="BP1008" s="93"/>
      <c r="BQ1008" s="93"/>
      <c r="BR1008" s="93"/>
      <c r="BS1008" s="93"/>
      <c r="BT1008" s="93"/>
      <c r="BU1008" s="93"/>
      <c r="BV1008" s="93"/>
      <c r="BW1008" s="93"/>
      <c r="BX1008" s="93"/>
      <c r="BY1008" s="93"/>
      <c r="BZ1008" s="93"/>
    </row>
    <row r="1009">
      <c r="B1009" t="s">
        <v>3732</v>
      </c>
      <c r="C1009" s="89" t="s">
        <v>3733</v>
      </c>
      <c r="D1009" s="90" t="s">
        <v>3734</v>
      </c>
      <c r="E1009" s="91">
        <v>2019.0</v>
      </c>
      <c r="F1009" s="104">
        <v>1.0</v>
      </c>
      <c r="G1009" s="93"/>
      <c r="H1009" s="93"/>
      <c r="I1009" s="93"/>
      <c r="J1009" s="93"/>
      <c r="K1009" s="93"/>
      <c r="L1009" s="93"/>
      <c r="M1009" s="93"/>
      <c r="N1009" s="93"/>
      <c r="O1009" s="93"/>
      <c r="P1009" s="93"/>
      <c r="Q1009" s="93"/>
      <c r="R1009" s="93"/>
      <c r="S1009" s="93"/>
      <c r="T1009" s="93"/>
      <c r="U1009" s="93"/>
      <c r="V1009" s="93"/>
      <c r="W1009" s="93"/>
      <c r="X1009" s="93"/>
      <c r="Y1009" s="93"/>
      <c r="Z1009" s="93"/>
      <c r="AA1009" s="93"/>
      <c r="AB1009" s="93"/>
      <c r="AC1009" s="93"/>
      <c r="AD1009" s="93"/>
      <c r="AE1009" s="93"/>
      <c r="AF1009" s="93"/>
      <c r="AG1009" s="93"/>
      <c r="AH1009" s="93"/>
      <c r="AI1009" s="93"/>
      <c r="AJ1009" s="93"/>
      <c r="AK1009" s="93"/>
      <c r="AL1009" s="93"/>
      <c r="AM1009" s="93"/>
      <c r="AN1009" s="93"/>
      <c r="AO1009" s="93"/>
      <c r="AP1009" s="93"/>
      <c r="AQ1009" s="93"/>
      <c r="AR1009" s="93"/>
      <c r="AS1009" s="93"/>
      <c r="AT1009" s="93"/>
      <c r="AU1009" s="93"/>
      <c r="AV1009" s="93"/>
      <c r="AW1009" s="93"/>
      <c r="AX1009" s="93"/>
      <c r="AY1009" s="93"/>
      <c r="AZ1009" s="93"/>
      <c r="BA1009" s="93"/>
      <c r="BB1009" s="93"/>
      <c r="BC1009" s="93"/>
      <c r="BD1009" s="93"/>
      <c r="BE1009" s="93"/>
      <c r="BF1009" s="93"/>
      <c r="BG1009" s="93"/>
      <c r="BH1009" s="93"/>
      <c r="BI1009" s="93"/>
      <c r="BJ1009" s="93"/>
      <c r="BK1009" s="93"/>
      <c r="BL1009" s="93"/>
      <c r="BM1009" s="93"/>
      <c r="BN1009" s="93"/>
      <c r="BO1009" s="93"/>
      <c r="BP1009" s="93"/>
      <c r="BQ1009" s="93"/>
      <c r="BR1009" s="93"/>
      <c r="BS1009" s="93"/>
      <c r="BT1009" s="93"/>
      <c r="BU1009" s="93"/>
      <c r="BV1009" s="93"/>
      <c r="BW1009" s="93"/>
      <c r="BX1009" s="93"/>
      <c r="BY1009" s="93"/>
      <c r="BZ1009" s="93"/>
    </row>
    <row r="1010">
      <c r="B1010" t="s">
        <v>3735</v>
      </c>
      <c r="C1010" s="89" t="s">
        <v>3736</v>
      </c>
      <c r="D1010" s="90" t="s">
        <v>3331</v>
      </c>
      <c r="E1010" s="91">
        <v>2020.0</v>
      </c>
      <c r="F1010" s="104">
        <v>1.0</v>
      </c>
      <c r="G1010" s="93"/>
      <c r="H1010" s="93"/>
      <c r="I1010" s="93"/>
      <c r="J1010" s="93"/>
      <c r="K1010" s="93"/>
      <c r="L1010" s="93"/>
      <c r="M1010" s="93"/>
      <c r="N1010" s="93"/>
      <c r="O1010" s="93"/>
      <c r="P1010" s="93"/>
      <c r="Q1010" s="93"/>
      <c r="R1010" s="93"/>
      <c r="S1010" s="93"/>
      <c r="T1010" s="93"/>
      <c r="U1010" s="93"/>
      <c r="V1010" s="93"/>
      <c r="W1010" s="93"/>
      <c r="X1010" s="93"/>
      <c r="Y1010" s="93"/>
      <c r="Z1010" s="93"/>
      <c r="AA1010" s="93"/>
      <c r="AB1010" s="93"/>
      <c r="AC1010" s="93"/>
      <c r="AD1010" s="93"/>
      <c r="AE1010" s="93"/>
      <c r="AF1010" s="93"/>
      <c r="AG1010" s="93"/>
      <c r="AH1010" s="93"/>
      <c r="AI1010" s="93"/>
      <c r="AJ1010" s="93"/>
      <c r="AK1010" s="93"/>
      <c r="AL1010" s="93"/>
      <c r="AM1010" s="93"/>
      <c r="AN1010" s="93"/>
      <c r="AO1010" s="93"/>
      <c r="AP1010" s="93"/>
      <c r="AQ1010" s="93"/>
      <c r="AR1010" s="93"/>
      <c r="AS1010" s="93"/>
      <c r="AT1010" s="93"/>
      <c r="AU1010" s="93"/>
      <c r="AV1010" s="93"/>
      <c r="AW1010" s="93"/>
      <c r="AX1010" s="93"/>
      <c r="AY1010" s="93"/>
      <c r="AZ1010" s="93"/>
      <c r="BA1010" s="93"/>
      <c r="BB1010" s="93"/>
      <c r="BC1010" s="93"/>
      <c r="BD1010" s="93"/>
      <c r="BE1010" s="93"/>
      <c r="BF1010" s="93"/>
      <c r="BG1010" s="93"/>
      <c r="BH1010" s="93"/>
      <c r="BI1010" s="93"/>
      <c r="BJ1010" s="93"/>
      <c r="BK1010" s="93"/>
      <c r="BL1010" s="93"/>
      <c r="BM1010" s="93"/>
      <c r="BN1010" s="93"/>
      <c r="BO1010" s="93"/>
      <c r="BP1010" s="93"/>
      <c r="BQ1010" s="93"/>
      <c r="BR1010" s="93"/>
      <c r="BS1010" s="93"/>
      <c r="BT1010" s="93"/>
      <c r="BU1010" s="93"/>
      <c r="BV1010" s="93"/>
      <c r="BW1010" s="93"/>
      <c r="BX1010" s="93"/>
      <c r="BY1010" s="93"/>
      <c r="BZ1010" s="93"/>
    </row>
    <row r="1011">
      <c r="B1011" t="s">
        <v>3737</v>
      </c>
      <c r="C1011" s="89" t="s">
        <v>3738</v>
      </c>
      <c r="D1011" s="90" t="s">
        <v>2795</v>
      </c>
      <c r="E1011" s="91">
        <v>2016.0</v>
      </c>
      <c r="F1011" s="104">
        <v>1.0</v>
      </c>
      <c r="G1011" s="93"/>
      <c r="H1011" s="93"/>
      <c r="I1011" s="93"/>
      <c r="J1011" s="93"/>
      <c r="K1011" s="93"/>
      <c r="L1011" s="93"/>
      <c r="M1011" s="93"/>
      <c r="N1011" s="93"/>
      <c r="O1011" s="93"/>
      <c r="P1011" s="93"/>
      <c r="Q1011" s="93"/>
      <c r="R1011" s="93"/>
      <c r="S1011" s="93"/>
      <c r="T1011" s="93"/>
      <c r="U1011" s="93"/>
      <c r="V1011" s="93"/>
      <c r="W1011" s="93"/>
      <c r="X1011" s="93"/>
      <c r="Y1011" s="93"/>
      <c r="Z1011" s="93"/>
      <c r="AA1011" s="93"/>
      <c r="AB1011" s="93"/>
      <c r="AC1011" s="93"/>
      <c r="AD1011" s="93"/>
      <c r="AE1011" s="93"/>
      <c r="AF1011" s="93"/>
      <c r="AG1011" s="93"/>
      <c r="AH1011" s="93"/>
      <c r="AI1011" s="93"/>
      <c r="AJ1011" s="93"/>
      <c r="AK1011" s="93"/>
      <c r="AL1011" s="93"/>
      <c r="AM1011" s="93"/>
      <c r="AN1011" s="93"/>
      <c r="AO1011" s="93"/>
      <c r="AP1011" s="93"/>
      <c r="AQ1011" s="93"/>
      <c r="AR1011" s="93"/>
      <c r="AS1011" s="93"/>
      <c r="AT1011" s="93"/>
      <c r="AU1011" s="93"/>
      <c r="AV1011" s="93"/>
      <c r="AW1011" s="93"/>
      <c r="AX1011" s="93"/>
      <c r="AY1011" s="93"/>
      <c r="AZ1011" s="93"/>
      <c r="BA1011" s="93"/>
      <c r="BB1011" s="93"/>
      <c r="BC1011" s="93"/>
      <c r="BD1011" s="93"/>
      <c r="BE1011" s="93"/>
      <c r="BF1011" s="93"/>
      <c r="BG1011" s="93"/>
      <c r="BH1011" s="93"/>
      <c r="BI1011" s="93"/>
      <c r="BJ1011" s="93"/>
      <c r="BK1011" s="93"/>
      <c r="BL1011" s="93"/>
      <c r="BM1011" s="93"/>
      <c r="BN1011" s="93"/>
      <c r="BO1011" s="93"/>
      <c r="BP1011" s="93"/>
      <c r="BQ1011" s="93"/>
      <c r="BR1011" s="93"/>
      <c r="BS1011" s="93"/>
      <c r="BT1011" s="93"/>
      <c r="BU1011" s="93"/>
      <c r="BV1011" s="93"/>
      <c r="BW1011" s="93"/>
      <c r="BX1011" s="93"/>
      <c r="BY1011" s="93"/>
      <c r="BZ1011" s="93"/>
    </row>
    <row r="1012">
      <c r="B1012" t="s">
        <v>3739</v>
      </c>
      <c r="C1012" s="89" t="s">
        <v>3740</v>
      </c>
      <c r="D1012" s="90" t="s">
        <v>2874</v>
      </c>
      <c r="E1012" s="91">
        <v>2017.0</v>
      </c>
      <c r="F1012" s="104">
        <v>1.0</v>
      </c>
      <c r="G1012" s="93"/>
      <c r="H1012" s="93"/>
      <c r="I1012" s="93"/>
      <c r="J1012" s="93"/>
      <c r="K1012" s="93"/>
      <c r="L1012" s="93"/>
      <c r="M1012" s="93"/>
      <c r="N1012" s="93"/>
      <c r="O1012" s="93"/>
      <c r="P1012" s="93"/>
      <c r="Q1012" s="93"/>
      <c r="R1012" s="93"/>
      <c r="S1012" s="93"/>
      <c r="T1012" s="93"/>
      <c r="U1012" s="93"/>
      <c r="V1012" s="93"/>
      <c r="W1012" s="93"/>
      <c r="X1012" s="93"/>
      <c r="Y1012" s="93"/>
      <c r="Z1012" s="93"/>
      <c r="AA1012" s="93"/>
      <c r="AB1012" s="93"/>
      <c r="AC1012" s="93"/>
      <c r="AD1012" s="93"/>
      <c r="AE1012" s="93"/>
      <c r="AF1012" s="93"/>
      <c r="AG1012" s="93"/>
      <c r="AH1012" s="93"/>
      <c r="AI1012" s="93"/>
      <c r="AJ1012" s="93"/>
      <c r="AK1012" s="93"/>
      <c r="AL1012" s="93"/>
      <c r="AM1012" s="93"/>
      <c r="AN1012" s="93"/>
      <c r="AO1012" s="93"/>
      <c r="AP1012" s="93"/>
      <c r="AQ1012" s="93"/>
      <c r="AR1012" s="93"/>
      <c r="AS1012" s="93"/>
      <c r="AT1012" s="93"/>
      <c r="AU1012" s="93"/>
      <c r="AV1012" s="93"/>
      <c r="AW1012" s="93"/>
      <c r="AX1012" s="93"/>
      <c r="AY1012" s="93"/>
      <c r="AZ1012" s="93"/>
      <c r="BA1012" s="93"/>
      <c r="BB1012" s="93"/>
      <c r="BC1012" s="93"/>
      <c r="BD1012" s="93"/>
      <c r="BE1012" s="93"/>
      <c r="BF1012" s="93"/>
      <c r="BG1012" s="93"/>
      <c r="BH1012" s="93"/>
      <c r="BI1012" s="93"/>
      <c r="BJ1012" s="93"/>
      <c r="BK1012" s="93"/>
      <c r="BL1012" s="93"/>
      <c r="BM1012" s="93"/>
      <c r="BN1012" s="93"/>
      <c r="BO1012" s="93"/>
      <c r="BP1012" s="93"/>
      <c r="BQ1012" s="93"/>
      <c r="BR1012" s="93"/>
      <c r="BS1012" s="93"/>
      <c r="BT1012" s="93"/>
      <c r="BU1012" s="93"/>
      <c r="BV1012" s="93"/>
      <c r="BW1012" s="93"/>
      <c r="BX1012" s="93"/>
      <c r="BY1012" s="93"/>
      <c r="BZ1012" s="93"/>
    </row>
    <row r="1013">
      <c r="B1013" t="s">
        <v>3741</v>
      </c>
      <c r="C1013" s="89" t="s">
        <v>3742</v>
      </c>
      <c r="D1013" s="90" t="s">
        <v>2856</v>
      </c>
      <c r="E1013" s="91">
        <v>2017.0</v>
      </c>
      <c r="F1013" s="104">
        <v>1.0</v>
      </c>
      <c r="G1013" s="93"/>
      <c r="H1013" s="93"/>
      <c r="I1013" s="93"/>
      <c r="J1013" s="93"/>
      <c r="K1013" s="93"/>
      <c r="L1013" s="93"/>
      <c r="M1013" s="93"/>
      <c r="N1013" s="93"/>
      <c r="O1013" s="93"/>
      <c r="P1013" s="93"/>
      <c r="Q1013" s="93"/>
      <c r="R1013" s="93"/>
      <c r="S1013" s="93"/>
      <c r="T1013" s="93"/>
      <c r="U1013" s="93"/>
      <c r="V1013" s="93"/>
      <c r="W1013" s="93"/>
      <c r="X1013" s="93"/>
      <c r="Y1013" s="93"/>
      <c r="Z1013" s="93"/>
      <c r="AA1013" s="93"/>
      <c r="AB1013" s="93"/>
      <c r="AC1013" s="93"/>
      <c r="AD1013" s="93"/>
      <c r="AE1013" s="93"/>
      <c r="AF1013" s="93"/>
      <c r="AG1013" s="93"/>
      <c r="AH1013" s="93"/>
      <c r="AI1013" s="93"/>
      <c r="AJ1013" s="93"/>
      <c r="AK1013" s="93"/>
      <c r="AL1013" s="93"/>
      <c r="AM1013" s="93"/>
      <c r="AN1013" s="93"/>
      <c r="AO1013" s="93"/>
      <c r="AP1013" s="93"/>
      <c r="AQ1013" s="93"/>
      <c r="AR1013" s="93"/>
      <c r="AS1013" s="93"/>
      <c r="AT1013" s="93"/>
      <c r="AU1013" s="93"/>
      <c r="AV1013" s="93"/>
      <c r="AW1013" s="93"/>
      <c r="AX1013" s="93"/>
      <c r="AY1013" s="93"/>
      <c r="AZ1013" s="93"/>
      <c r="BA1013" s="93"/>
      <c r="BB1013" s="93"/>
      <c r="BC1013" s="93"/>
      <c r="BD1013" s="93"/>
      <c r="BE1013" s="93"/>
      <c r="BF1013" s="93"/>
      <c r="BG1013" s="93"/>
      <c r="BH1013" s="93"/>
      <c r="BI1013" s="93"/>
      <c r="BJ1013" s="93"/>
      <c r="BK1013" s="93"/>
      <c r="BL1013" s="93"/>
      <c r="BM1013" s="93"/>
      <c r="BN1013" s="93"/>
      <c r="BO1013" s="93"/>
      <c r="BP1013" s="93"/>
      <c r="BQ1013" s="93"/>
      <c r="BR1013" s="93"/>
      <c r="BS1013" s="93"/>
      <c r="BT1013" s="93"/>
      <c r="BU1013" s="93"/>
      <c r="BV1013" s="93"/>
      <c r="BW1013" s="93"/>
      <c r="BX1013" s="93"/>
      <c r="BY1013" s="93"/>
      <c r="BZ1013" s="93"/>
    </row>
    <row r="1014">
      <c r="B1014" t="s">
        <v>3743</v>
      </c>
      <c r="C1014" s="89" t="s">
        <v>3744</v>
      </c>
      <c r="D1014" s="90" t="s">
        <v>2792</v>
      </c>
      <c r="E1014" s="91">
        <v>2018.0</v>
      </c>
      <c r="F1014" s="104">
        <v>1.0</v>
      </c>
      <c r="G1014" s="93"/>
      <c r="H1014" s="93"/>
      <c r="I1014" s="93"/>
      <c r="J1014" s="93"/>
      <c r="K1014" s="93"/>
      <c r="L1014" s="93"/>
      <c r="M1014" s="93"/>
      <c r="N1014" s="93"/>
      <c r="O1014" s="93"/>
      <c r="P1014" s="93"/>
      <c r="Q1014" s="93"/>
      <c r="R1014" s="93"/>
      <c r="S1014" s="93"/>
      <c r="T1014" s="93"/>
      <c r="U1014" s="93"/>
      <c r="V1014" s="93"/>
      <c r="W1014" s="93"/>
      <c r="X1014" s="93"/>
      <c r="Y1014" s="93"/>
      <c r="Z1014" s="93"/>
      <c r="AA1014" s="93"/>
      <c r="AB1014" s="93"/>
      <c r="AC1014" s="93"/>
      <c r="AD1014" s="93"/>
      <c r="AE1014" s="93"/>
      <c r="AF1014" s="93"/>
      <c r="AG1014" s="93"/>
      <c r="AH1014" s="93"/>
      <c r="AI1014" s="93"/>
      <c r="AJ1014" s="93"/>
      <c r="AK1014" s="93"/>
      <c r="AL1014" s="93"/>
      <c r="AM1014" s="93"/>
      <c r="AN1014" s="93"/>
      <c r="AO1014" s="93"/>
      <c r="AP1014" s="93"/>
      <c r="AQ1014" s="93"/>
      <c r="AR1014" s="93"/>
      <c r="AS1014" s="93"/>
      <c r="AT1014" s="93"/>
      <c r="AU1014" s="93"/>
      <c r="AV1014" s="93"/>
      <c r="AW1014" s="93"/>
      <c r="AX1014" s="93"/>
      <c r="AY1014" s="93"/>
      <c r="AZ1014" s="93"/>
      <c r="BA1014" s="93"/>
      <c r="BB1014" s="93"/>
      <c r="BC1014" s="93"/>
      <c r="BD1014" s="93"/>
      <c r="BE1014" s="93"/>
      <c r="BF1014" s="93"/>
      <c r="BG1014" s="93"/>
      <c r="BH1014" s="93"/>
      <c r="BI1014" s="93"/>
      <c r="BJ1014" s="93"/>
      <c r="BK1014" s="93"/>
      <c r="BL1014" s="93"/>
      <c r="BM1014" s="93"/>
      <c r="BN1014" s="93"/>
      <c r="BO1014" s="93"/>
      <c r="BP1014" s="93"/>
      <c r="BQ1014" s="93"/>
      <c r="BR1014" s="93"/>
      <c r="BS1014" s="93"/>
      <c r="BT1014" s="93"/>
      <c r="BU1014" s="93"/>
      <c r="BV1014" s="93"/>
      <c r="BW1014" s="93"/>
      <c r="BX1014" s="93"/>
      <c r="BY1014" s="93"/>
      <c r="BZ1014" s="93"/>
    </row>
    <row r="1015">
      <c r="B1015" t="s">
        <v>3745</v>
      </c>
      <c r="C1015" s="89" t="s">
        <v>3746</v>
      </c>
      <c r="D1015" s="90" t="s">
        <v>3555</v>
      </c>
      <c r="E1015" s="91">
        <v>2020.0</v>
      </c>
      <c r="F1015" s="104">
        <v>1.0</v>
      </c>
      <c r="G1015" s="93"/>
      <c r="H1015" s="93"/>
      <c r="I1015" s="93"/>
      <c r="J1015" s="93"/>
      <c r="K1015" s="93"/>
      <c r="L1015" s="93"/>
      <c r="M1015" s="93"/>
      <c r="N1015" s="93"/>
      <c r="O1015" s="93"/>
      <c r="P1015" s="93"/>
      <c r="Q1015" s="93"/>
      <c r="R1015" s="93"/>
      <c r="S1015" s="93"/>
      <c r="T1015" s="93"/>
      <c r="U1015" s="93"/>
      <c r="V1015" s="93"/>
      <c r="W1015" s="93"/>
      <c r="X1015" s="93"/>
      <c r="Y1015" s="93"/>
      <c r="Z1015" s="93"/>
      <c r="AA1015" s="93"/>
      <c r="AB1015" s="93"/>
      <c r="AC1015" s="93"/>
      <c r="AD1015" s="93"/>
      <c r="AE1015" s="93"/>
      <c r="AF1015" s="93"/>
      <c r="AG1015" s="93"/>
      <c r="AH1015" s="93"/>
      <c r="AI1015" s="93"/>
      <c r="AJ1015" s="93"/>
      <c r="AK1015" s="93"/>
      <c r="AL1015" s="93"/>
      <c r="AM1015" s="93"/>
      <c r="AN1015" s="93"/>
      <c r="AO1015" s="93"/>
      <c r="AP1015" s="93"/>
      <c r="AQ1015" s="93"/>
      <c r="AR1015" s="93"/>
      <c r="AS1015" s="93"/>
      <c r="AT1015" s="93"/>
      <c r="AU1015" s="93"/>
      <c r="AV1015" s="93"/>
      <c r="AW1015" s="93"/>
      <c r="AX1015" s="93"/>
      <c r="AY1015" s="93"/>
      <c r="AZ1015" s="93"/>
      <c r="BA1015" s="93"/>
      <c r="BB1015" s="93"/>
      <c r="BC1015" s="93"/>
      <c r="BD1015" s="93"/>
      <c r="BE1015" s="93"/>
      <c r="BF1015" s="93"/>
      <c r="BG1015" s="93"/>
      <c r="BH1015" s="93"/>
      <c r="BI1015" s="93"/>
      <c r="BJ1015" s="93"/>
      <c r="BK1015" s="93"/>
      <c r="BL1015" s="93"/>
      <c r="BM1015" s="93"/>
      <c r="BN1015" s="93"/>
      <c r="BO1015" s="93"/>
      <c r="BP1015" s="93"/>
      <c r="BQ1015" s="93"/>
      <c r="BR1015" s="93"/>
      <c r="BS1015" s="93"/>
      <c r="BT1015" s="93"/>
      <c r="BU1015" s="93"/>
      <c r="BV1015" s="93"/>
      <c r="BW1015" s="93"/>
      <c r="BX1015" s="93"/>
      <c r="BY1015" s="93"/>
      <c r="BZ1015" s="93"/>
    </row>
    <row r="1016">
      <c r="B1016" t="s">
        <v>3747</v>
      </c>
      <c r="C1016" s="89" t="s">
        <v>3748</v>
      </c>
      <c r="D1016" s="90" t="s">
        <v>2795</v>
      </c>
      <c r="E1016" s="91">
        <v>2016.0</v>
      </c>
      <c r="F1016" s="104">
        <v>1.0</v>
      </c>
      <c r="G1016" s="93"/>
      <c r="H1016" s="93"/>
      <c r="I1016" s="93"/>
      <c r="J1016" s="93"/>
      <c r="K1016" s="93"/>
      <c r="L1016" s="93"/>
      <c r="M1016" s="93"/>
      <c r="N1016" s="93"/>
      <c r="O1016" s="93"/>
      <c r="P1016" s="93"/>
      <c r="Q1016" s="93"/>
      <c r="R1016" s="93"/>
      <c r="S1016" s="93"/>
      <c r="T1016" s="93"/>
      <c r="U1016" s="93"/>
      <c r="V1016" s="93"/>
      <c r="W1016" s="93"/>
      <c r="X1016" s="93"/>
      <c r="Y1016" s="93"/>
      <c r="Z1016" s="93"/>
      <c r="AA1016" s="93"/>
      <c r="AB1016" s="93"/>
      <c r="AC1016" s="93"/>
      <c r="AD1016" s="93"/>
      <c r="AE1016" s="93"/>
      <c r="AF1016" s="93"/>
      <c r="AG1016" s="93"/>
      <c r="AH1016" s="93"/>
      <c r="AI1016" s="93"/>
      <c r="AJ1016" s="93"/>
      <c r="AK1016" s="93"/>
      <c r="AL1016" s="93"/>
      <c r="AM1016" s="93"/>
      <c r="AN1016" s="93"/>
      <c r="AO1016" s="93"/>
      <c r="AP1016" s="93"/>
      <c r="AQ1016" s="93"/>
      <c r="AR1016" s="93"/>
      <c r="AS1016" s="93"/>
      <c r="AT1016" s="93"/>
      <c r="AU1016" s="93"/>
      <c r="AV1016" s="93"/>
      <c r="AW1016" s="93"/>
      <c r="AX1016" s="93"/>
      <c r="AY1016" s="93"/>
      <c r="AZ1016" s="93"/>
      <c r="BA1016" s="93"/>
      <c r="BB1016" s="93"/>
      <c r="BC1016" s="93"/>
      <c r="BD1016" s="93"/>
      <c r="BE1016" s="93"/>
      <c r="BF1016" s="93"/>
      <c r="BG1016" s="93"/>
      <c r="BH1016" s="93"/>
      <c r="BI1016" s="93"/>
      <c r="BJ1016" s="93"/>
      <c r="BK1016" s="93"/>
      <c r="BL1016" s="93"/>
      <c r="BM1016" s="93"/>
      <c r="BN1016" s="93"/>
      <c r="BO1016" s="93"/>
      <c r="BP1016" s="93"/>
      <c r="BQ1016" s="93"/>
      <c r="BR1016" s="93"/>
      <c r="BS1016" s="93"/>
      <c r="BT1016" s="93"/>
      <c r="BU1016" s="93"/>
      <c r="BV1016" s="93"/>
      <c r="BW1016" s="93"/>
      <c r="BX1016" s="93"/>
      <c r="BY1016" s="93"/>
      <c r="BZ1016" s="93"/>
    </row>
    <row r="1017">
      <c r="B1017" t="s">
        <v>3749</v>
      </c>
      <c r="C1017" s="89" t="s">
        <v>3750</v>
      </c>
      <c r="D1017" s="90" t="s">
        <v>3751</v>
      </c>
      <c r="E1017" s="91">
        <v>2019.0</v>
      </c>
      <c r="F1017" s="104">
        <v>1.0</v>
      </c>
      <c r="G1017" s="93"/>
      <c r="H1017" s="93"/>
      <c r="I1017" s="93"/>
      <c r="J1017" s="93"/>
      <c r="K1017" s="93"/>
      <c r="L1017" s="93"/>
      <c r="M1017" s="93"/>
      <c r="N1017" s="93"/>
      <c r="O1017" s="93"/>
      <c r="P1017" s="93"/>
      <c r="Q1017" s="93"/>
      <c r="R1017" s="93"/>
      <c r="S1017" s="93"/>
      <c r="T1017" s="93"/>
      <c r="U1017" s="93"/>
      <c r="V1017" s="93"/>
      <c r="W1017" s="93"/>
      <c r="X1017" s="93"/>
      <c r="Y1017" s="93"/>
      <c r="Z1017" s="93"/>
      <c r="AA1017" s="93"/>
      <c r="AB1017" s="93"/>
      <c r="AC1017" s="93"/>
      <c r="AD1017" s="93"/>
      <c r="AE1017" s="93"/>
      <c r="AF1017" s="93"/>
      <c r="AG1017" s="93"/>
      <c r="AH1017" s="93"/>
      <c r="AI1017" s="93"/>
      <c r="AJ1017" s="93"/>
      <c r="AK1017" s="93"/>
      <c r="AL1017" s="93"/>
      <c r="AM1017" s="93"/>
      <c r="AN1017" s="93"/>
      <c r="AO1017" s="93"/>
      <c r="AP1017" s="93"/>
      <c r="AQ1017" s="93"/>
      <c r="AR1017" s="93"/>
      <c r="AS1017" s="93"/>
      <c r="AT1017" s="93"/>
      <c r="AU1017" s="93"/>
      <c r="AV1017" s="93"/>
      <c r="AW1017" s="93"/>
      <c r="AX1017" s="93"/>
      <c r="AY1017" s="93"/>
      <c r="AZ1017" s="93"/>
      <c r="BA1017" s="93"/>
      <c r="BB1017" s="93"/>
      <c r="BC1017" s="93"/>
      <c r="BD1017" s="93"/>
      <c r="BE1017" s="93"/>
      <c r="BF1017" s="93"/>
      <c r="BG1017" s="93"/>
      <c r="BH1017" s="93"/>
      <c r="BI1017" s="93"/>
      <c r="BJ1017" s="93"/>
      <c r="BK1017" s="93"/>
      <c r="BL1017" s="93"/>
      <c r="BM1017" s="93"/>
      <c r="BN1017" s="93"/>
      <c r="BO1017" s="93"/>
      <c r="BP1017" s="93"/>
      <c r="BQ1017" s="93"/>
      <c r="BR1017" s="93"/>
      <c r="BS1017" s="93"/>
      <c r="BT1017" s="93"/>
      <c r="BU1017" s="93"/>
      <c r="BV1017" s="93"/>
      <c r="BW1017" s="93"/>
      <c r="BX1017" s="93"/>
      <c r="BY1017" s="93"/>
      <c r="BZ1017" s="93"/>
    </row>
    <row r="1018">
      <c r="B1018" t="s">
        <v>3752</v>
      </c>
      <c r="C1018" s="89" t="s">
        <v>3753</v>
      </c>
      <c r="D1018" s="90" t="s">
        <v>3001</v>
      </c>
      <c r="E1018" s="91">
        <v>2018.0</v>
      </c>
      <c r="F1018" s="104">
        <v>1.0</v>
      </c>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3"/>
      <c r="AF1018" s="93"/>
      <c r="AG1018" s="93"/>
      <c r="AH1018" s="93"/>
      <c r="AI1018" s="93"/>
      <c r="AJ1018" s="93"/>
      <c r="AK1018" s="93"/>
      <c r="AL1018" s="93"/>
      <c r="AM1018" s="93"/>
      <c r="AN1018" s="93"/>
      <c r="AO1018" s="93"/>
      <c r="AP1018" s="93"/>
      <c r="AQ1018" s="93"/>
      <c r="AR1018" s="93"/>
      <c r="AS1018" s="93"/>
      <c r="AT1018" s="93"/>
      <c r="AU1018" s="93"/>
      <c r="AV1018" s="93"/>
      <c r="AW1018" s="93"/>
      <c r="AX1018" s="93"/>
      <c r="AY1018" s="93"/>
      <c r="AZ1018" s="93"/>
      <c r="BA1018" s="93"/>
      <c r="BB1018" s="93"/>
      <c r="BC1018" s="93"/>
      <c r="BD1018" s="93"/>
      <c r="BE1018" s="93"/>
      <c r="BF1018" s="93"/>
      <c r="BG1018" s="93"/>
      <c r="BH1018" s="93"/>
      <c r="BI1018" s="93"/>
      <c r="BJ1018" s="93"/>
      <c r="BK1018" s="93"/>
      <c r="BL1018" s="93"/>
      <c r="BM1018" s="93"/>
      <c r="BN1018" s="93"/>
      <c r="BO1018" s="93"/>
      <c r="BP1018" s="93"/>
      <c r="BQ1018" s="93"/>
      <c r="BR1018" s="93"/>
      <c r="BS1018" s="93"/>
      <c r="BT1018" s="93"/>
      <c r="BU1018" s="93"/>
      <c r="BV1018" s="93"/>
      <c r="BW1018" s="93"/>
      <c r="BX1018" s="93"/>
      <c r="BY1018" s="93"/>
      <c r="BZ1018" s="93"/>
    </row>
    <row r="1019">
      <c r="A1019" t="s">
        <v>1354</v>
      </c>
      <c r="B1019" t="s">
        <v>3754</v>
      </c>
      <c r="C1019" s="89" t="s">
        <v>3755</v>
      </c>
      <c r="D1019" s="90" t="s">
        <v>3756</v>
      </c>
      <c r="E1019" s="91">
        <v>2016.0</v>
      </c>
      <c r="F1019" s="104">
        <v>1.0</v>
      </c>
      <c r="G1019" s="93"/>
      <c r="H1019" s="93"/>
      <c r="I1019" s="93"/>
      <c r="J1019" s="93"/>
      <c r="K1019" s="93"/>
      <c r="L1019" s="93"/>
      <c r="M1019" s="93"/>
      <c r="N1019" s="93"/>
      <c r="O1019" s="93"/>
      <c r="P1019" s="93"/>
      <c r="Q1019" s="93"/>
      <c r="R1019" s="93"/>
      <c r="S1019" s="93"/>
      <c r="T1019" s="93"/>
      <c r="U1019" s="93"/>
      <c r="V1019" s="93"/>
      <c r="W1019" s="93"/>
      <c r="X1019" s="93"/>
      <c r="Y1019" s="93"/>
      <c r="Z1019" s="93"/>
      <c r="AA1019" s="93"/>
      <c r="AB1019" s="93"/>
      <c r="AC1019" s="93"/>
      <c r="AD1019" s="93"/>
      <c r="AE1019" s="93"/>
      <c r="AF1019" s="93"/>
      <c r="AG1019" s="93"/>
      <c r="AH1019" s="93"/>
      <c r="AI1019" s="93"/>
      <c r="AJ1019" s="93"/>
      <c r="AK1019" s="93"/>
      <c r="AL1019" s="93"/>
      <c r="AM1019" s="93"/>
      <c r="AN1019" s="93"/>
      <c r="AO1019" s="93"/>
      <c r="AP1019" s="93"/>
      <c r="AQ1019" s="93"/>
      <c r="AR1019" s="93"/>
      <c r="AS1019" s="93"/>
      <c r="AT1019" s="93"/>
      <c r="AU1019" s="93"/>
      <c r="AV1019" s="93"/>
      <c r="AW1019" s="93"/>
      <c r="AX1019" s="93"/>
      <c r="AY1019" s="93"/>
      <c r="AZ1019" s="93"/>
      <c r="BA1019" s="93"/>
      <c r="BB1019" s="93"/>
      <c r="BC1019" s="93"/>
      <c r="BD1019" s="93"/>
      <c r="BE1019" s="93"/>
      <c r="BF1019" s="93"/>
      <c r="BG1019" s="93"/>
      <c r="BH1019" s="93"/>
      <c r="BI1019" s="93"/>
      <c r="BJ1019" s="93"/>
      <c r="BK1019" s="93"/>
      <c r="BL1019" s="93"/>
      <c r="BM1019" s="93"/>
      <c r="BN1019" s="93"/>
      <c r="BO1019" s="93"/>
      <c r="BP1019" s="93"/>
      <c r="BQ1019" s="93"/>
      <c r="BR1019" s="93"/>
      <c r="BS1019" s="93"/>
      <c r="BT1019" s="93"/>
      <c r="BU1019" s="93"/>
      <c r="BV1019" s="93"/>
      <c r="BW1019" s="93"/>
      <c r="BX1019" s="93"/>
      <c r="BY1019" s="93"/>
      <c r="BZ1019" s="93"/>
    </row>
    <row r="1020">
      <c r="B1020" t="s">
        <v>3757</v>
      </c>
      <c r="C1020" s="89" t="s">
        <v>3758</v>
      </c>
      <c r="D1020" s="90" t="s">
        <v>2874</v>
      </c>
      <c r="E1020" s="91">
        <v>2019.0</v>
      </c>
      <c r="F1020" s="104">
        <v>1.0</v>
      </c>
      <c r="G1020" s="93"/>
      <c r="H1020" s="93"/>
      <c r="I1020" s="93"/>
      <c r="J1020" s="93"/>
      <c r="K1020" s="93"/>
      <c r="L1020" s="93"/>
      <c r="M1020" s="93"/>
      <c r="N1020" s="93"/>
      <c r="O1020" s="93"/>
      <c r="P1020" s="93"/>
      <c r="Q1020" s="93"/>
      <c r="R1020" s="93"/>
      <c r="S1020" s="93"/>
      <c r="T1020" s="93"/>
      <c r="U1020" s="93"/>
      <c r="V1020" s="93"/>
      <c r="W1020" s="93"/>
      <c r="X1020" s="93"/>
      <c r="Y1020" s="93"/>
      <c r="Z1020" s="93"/>
      <c r="AA1020" s="93"/>
      <c r="AB1020" s="93"/>
      <c r="AC1020" s="93"/>
      <c r="AD1020" s="93"/>
      <c r="AE1020" s="93"/>
      <c r="AF1020" s="93"/>
      <c r="AG1020" s="93"/>
      <c r="AH1020" s="93"/>
      <c r="AI1020" s="93"/>
      <c r="AJ1020" s="93"/>
      <c r="AK1020" s="93"/>
      <c r="AL1020" s="93"/>
      <c r="AM1020" s="93"/>
      <c r="AN1020" s="93"/>
      <c r="AO1020" s="93"/>
      <c r="AP1020" s="93"/>
      <c r="AQ1020" s="93"/>
      <c r="AR1020" s="93"/>
      <c r="AS1020" s="93"/>
      <c r="AT1020" s="93"/>
      <c r="AU1020" s="93"/>
      <c r="AV1020" s="93"/>
      <c r="AW1020" s="93"/>
      <c r="AX1020" s="93"/>
      <c r="AY1020" s="93"/>
      <c r="AZ1020" s="93"/>
      <c r="BA1020" s="93"/>
      <c r="BB1020" s="93"/>
      <c r="BC1020" s="93"/>
      <c r="BD1020" s="93"/>
      <c r="BE1020" s="93"/>
      <c r="BF1020" s="93"/>
      <c r="BG1020" s="93"/>
      <c r="BH1020" s="93"/>
      <c r="BI1020" s="93"/>
      <c r="BJ1020" s="93"/>
      <c r="BK1020" s="93"/>
      <c r="BL1020" s="93"/>
      <c r="BM1020" s="93"/>
      <c r="BN1020" s="93"/>
      <c r="BO1020" s="93"/>
      <c r="BP1020" s="93"/>
      <c r="BQ1020" s="93"/>
      <c r="BR1020" s="93"/>
      <c r="BS1020" s="93"/>
      <c r="BT1020" s="93"/>
      <c r="BU1020" s="93"/>
      <c r="BV1020" s="93"/>
      <c r="BW1020" s="93"/>
      <c r="BX1020" s="93"/>
      <c r="BY1020" s="93"/>
      <c r="BZ1020" s="93"/>
    </row>
    <row r="1021">
      <c r="B1021" t="s">
        <v>3759</v>
      </c>
      <c r="C1021" s="89" t="s">
        <v>3760</v>
      </c>
      <c r="D1021" s="90" t="s">
        <v>3761</v>
      </c>
      <c r="E1021" s="91">
        <v>2017.0</v>
      </c>
      <c r="F1021" s="104">
        <v>1.0</v>
      </c>
      <c r="G1021" s="93"/>
      <c r="H1021" s="93"/>
      <c r="I1021" s="93"/>
      <c r="J1021" s="93"/>
      <c r="K1021" s="93"/>
      <c r="L1021" s="93"/>
      <c r="M1021" s="93"/>
      <c r="N1021" s="93"/>
      <c r="O1021" s="93"/>
      <c r="P1021" s="93"/>
      <c r="Q1021" s="93"/>
      <c r="R1021" s="93"/>
      <c r="S1021" s="93"/>
      <c r="T1021" s="93"/>
      <c r="U1021" s="93"/>
      <c r="V1021" s="93"/>
      <c r="W1021" s="93"/>
      <c r="X1021" s="93"/>
      <c r="Y1021" s="93"/>
      <c r="Z1021" s="93"/>
      <c r="AA1021" s="93"/>
      <c r="AB1021" s="93"/>
      <c r="AC1021" s="93"/>
      <c r="AD1021" s="93"/>
      <c r="AE1021" s="93"/>
      <c r="AF1021" s="93"/>
      <c r="AG1021" s="93"/>
      <c r="AH1021" s="93"/>
      <c r="AI1021" s="93"/>
      <c r="AJ1021" s="93"/>
      <c r="AK1021" s="93"/>
      <c r="AL1021" s="93"/>
      <c r="AM1021" s="93"/>
      <c r="AN1021" s="93"/>
      <c r="AO1021" s="93"/>
      <c r="AP1021" s="93"/>
      <c r="AQ1021" s="93"/>
      <c r="AR1021" s="93"/>
      <c r="AS1021" s="93"/>
      <c r="AT1021" s="93"/>
      <c r="AU1021" s="93"/>
      <c r="AV1021" s="93"/>
      <c r="AW1021" s="93"/>
      <c r="AX1021" s="93"/>
      <c r="AY1021" s="93"/>
      <c r="AZ1021" s="93"/>
      <c r="BA1021" s="93"/>
      <c r="BB1021" s="93"/>
      <c r="BC1021" s="93"/>
      <c r="BD1021" s="93"/>
      <c r="BE1021" s="93"/>
      <c r="BF1021" s="93"/>
      <c r="BG1021" s="93"/>
      <c r="BH1021" s="93"/>
      <c r="BI1021" s="93"/>
      <c r="BJ1021" s="93"/>
      <c r="BK1021" s="93"/>
      <c r="BL1021" s="93"/>
      <c r="BM1021" s="93"/>
      <c r="BN1021" s="93"/>
      <c r="BO1021" s="93"/>
      <c r="BP1021" s="93"/>
      <c r="BQ1021" s="93"/>
      <c r="BR1021" s="93"/>
      <c r="BS1021" s="93"/>
      <c r="BT1021" s="93"/>
      <c r="BU1021" s="93"/>
      <c r="BV1021" s="93"/>
      <c r="BW1021" s="93"/>
      <c r="BX1021" s="93"/>
      <c r="BY1021" s="93"/>
      <c r="BZ1021" s="93"/>
    </row>
    <row r="1022">
      <c r="B1022" t="s">
        <v>3762</v>
      </c>
      <c r="C1022" s="89" t="s">
        <v>3763</v>
      </c>
      <c r="D1022" s="90" t="s">
        <v>3619</v>
      </c>
      <c r="E1022" s="91">
        <v>2017.0</v>
      </c>
      <c r="F1022" s="104">
        <v>1.0</v>
      </c>
      <c r="G1022" s="93"/>
      <c r="H1022" s="93"/>
      <c r="I1022" s="93"/>
      <c r="J1022" s="93"/>
      <c r="K1022" s="93"/>
      <c r="L1022" s="93"/>
      <c r="M1022" s="93"/>
      <c r="N1022" s="93"/>
      <c r="O1022" s="93"/>
      <c r="P1022" s="93"/>
      <c r="Q1022" s="93"/>
      <c r="R1022" s="93"/>
      <c r="S1022" s="93"/>
      <c r="T1022" s="93"/>
      <c r="U1022" s="93"/>
      <c r="V1022" s="93"/>
      <c r="W1022" s="93"/>
      <c r="X1022" s="93"/>
      <c r="Y1022" s="93"/>
      <c r="Z1022" s="93"/>
      <c r="AA1022" s="93"/>
      <c r="AB1022" s="93"/>
      <c r="AC1022" s="93"/>
      <c r="AD1022" s="93"/>
      <c r="AE1022" s="93"/>
      <c r="AF1022" s="93"/>
      <c r="AG1022" s="93"/>
      <c r="AH1022" s="93"/>
      <c r="AI1022" s="93"/>
      <c r="AJ1022" s="93"/>
      <c r="AK1022" s="93"/>
      <c r="AL1022" s="93"/>
      <c r="AM1022" s="93"/>
      <c r="AN1022" s="93"/>
      <c r="AO1022" s="93"/>
      <c r="AP1022" s="93"/>
      <c r="AQ1022" s="93"/>
      <c r="AR1022" s="93"/>
      <c r="AS1022" s="93"/>
      <c r="AT1022" s="93"/>
      <c r="AU1022" s="93"/>
      <c r="AV1022" s="93"/>
      <c r="AW1022" s="93"/>
      <c r="AX1022" s="93"/>
      <c r="AY1022" s="93"/>
      <c r="AZ1022" s="93"/>
      <c r="BA1022" s="93"/>
      <c r="BB1022" s="93"/>
      <c r="BC1022" s="93"/>
      <c r="BD1022" s="93"/>
      <c r="BE1022" s="93"/>
      <c r="BF1022" s="93"/>
      <c r="BG1022" s="93"/>
      <c r="BH1022" s="93"/>
      <c r="BI1022" s="93"/>
      <c r="BJ1022" s="93"/>
      <c r="BK1022" s="93"/>
      <c r="BL1022" s="93"/>
      <c r="BM1022" s="93"/>
      <c r="BN1022" s="93"/>
      <c r="BO1022" s="93"/>
      <c r="BP1022" s="93"/>
      <c r="BQ1022" s="93"/>
      <c r="BR1022" s="93"/>
      <c r="BS1022" s="93"/>
      <c r="BT1022" s="93"/>
      <c r="BU1022" s="93"/>
      <c r="BV1022" s="93"/>
      <c r="BW1022" s="93"/>
      <c r="BX1022" s="93"/>
      <c r="BY1022" s="93"/>
      <c r="BZ1022" s="93"/>
    </row>
    <row r="1023">
      <c r="B1023" t="s">
        <v>3764</v>
      </c>
      <c r="C1023" s="89" t="s">
        <v>3765</v>
      </c>
      <c r="D1023" s="90" t="s">
        <v>2792</v>
      </c>
      <c r="E1023" s="91">
        <v>2018.0</v>
      </c>
      <c r="F1023" s="104">
        <v>1.0</v>
      </c>
      <c r="G1023" s="93"/>
      <c r="H1023" s="93"/>
      <c r="I1023" s="93"/>
      <c r="J1023" s="93"/>
      <c r="K1023" s="93"/>
      <c r="L1023" s="93"/>
      <c r="M1023" s="93"/>
      <c r="N1023" s="93"/>
      <c r="O1023" s="93"/>
      <c r="P1023" s="93"/>
      <c r="Q1023" s="93"/>
      <c r="R1023" s="93"/>
      <c r="S1023" s="93"/>
      <c r="T1023" s="93"/>
      <c r="U1023" s="93"/>
      <c r="V1023" s="93"/>
      <c r="W1023" s="93"/>
      <c r="X1023" s="93"/>
      <c r="Y1023" s="93"/>
      <c r="Z1023" s="93"/>
      <c r="AA1023" s="93"/>
      <c r="AB1023" s="93"/>
      <c r="AC1023" s="93"/>
      <c r="AD1023" s="93"/>
      <c r="AE1023" s="93"/>
      <c r="AF1023" s="93"/>
      <c r="AG1023" s="93"/>
      <c r="AH1023" s="93"/>
      <c r="AI1023" s="93"/>
      <c r="AJ1023" s="93"/>
      <c r="AK1023" s="93"/>
      <c r="AL1023" s="93"/>
      <c r="AM1023" s="93"/>
      <c r="AN1023" s="93"/>
      <c r="AO1023" s="93"/>
      <c r="AP1023" s="93"/>
      <c r="AQ1023" s="93"/>
      <c r="AR1023" s="93"/>
      <c r="AS1023" s="93"/>
      <c r="AT1023" s="93"/>
      <c r="AU1023" s="93"/>
      <c r="AV1023" s="93"/>
      <c r="AW1023" s="93"/>
      <c r="AX1023" s="93"/>
      <c r="AY1023" s="93"/>
      <c r="AZ1023" s="93"/>
      <c r="BA1023" s="93"/>
      <c r="BB1023" s="93"/>
      <c r="BC1023" s="93"/>
      <c r="BD1023" s="93"/>
      <c r="BE1023" s="93"/>
      <c r="BF1023" s="93"/>
      <c r="BG1023" s="93"/>
      <c r="BH1023" s="93"/>
      <c r="BI1023" s="93"/>
      <c r="BJ1023" s="93"/>
      <c r="BK1023" s="93"/>
      <c r="BL1023" s="93"/>
      <c r="BM1023" s="93"/>
      <c r="BN1023" s="93"/>
      <c r="BO1023" s="93"/>
      <c r="BP1023" s="93"/>
      <c r="BQ1023" s="93"/>
      <c r="BR1023" s="93"/>
      <c r="BS1023" s="93"/>
      <c r="BT1023" s="93"/>
      <c r="BU1023" s="93"/>
      <c r="BV1023" s="93"/>
      <c r="BW1023" s="93"/>
      <c r="BX1023" s="93"/>
      <c r="BY1023" s="93"/>
      <c r="BZ1023" s="93"/>
    </row>
    <row r="1024">
      <c r="B1024" t="s">
        <v>3766</v>
      </c>
      <c r="C1024" s="89" t="s">
        <v>3767</v>
      </c>
      <c r="D1024" s="90" t="s">
        <v>3555</v>
      </c>
      <c r="E1024" s="91">
        <v>2018.0</v>
      </c>
      <c r="F1024" s="104">
        <v>1.0</v>
      </c>
      <c r="G1024" s="93"/>
      <c r="H1024" s="93"/>
      <c r="I1024" s="93"/>
      <c r="J1024" s="93"/>
      <c r="K1024" s="93"/>
      <c r="L1024" s="93"/>
      <c r="M1024" s="93"/>
      <c r="N1024" s="93"/>
      <c r="O1024" s="93"/>
      <c r="P1024" s="93"/>
      <c r="Q1024" s="93"/>
      <c r="R1024" s="93"/>
      <c r="S1024" s="93"/>
      <c r="T1024" s="93"/>
      <c r="U1024" s="93"/>
      <c r="V1024" s="93"/>
      <c r="W1024" s="93"/>
      <c r="X1024" s="93"/>
      <c r="Y1024" s="93"/>
      <c r="Z1024" s="93"/>
      <c r="AA1024" s="93"/>
      <c r="AB1024" s="93"/>
      <c r="AC1024" s="93"/>
      <c r="AD1024" s="93"/>
      <c r="AE1024" s="93"/>
      <c r="AF1024" s="93"/>
      <c r="AG1024" s="93"/>
      <c r="AH1024" s="93"/>
      <c r="AI1024" s="93"/>
      <c r="AJ1024" s="93"/>
      <c r="AK1024" s="93"/>
      <c r="AL1024" s="93"/>
      <c r="AM1024" s="93"/>
      <c r="AN1024" s="93"/>
      <c r="AO1024" s="93"/>
      <c r="AP1024" s="93"/>
      <c r="AQ1024" s="93"/>
      <c r="AR1024" s="93"/>
      <c r="AS1024" s="93"/>
      <c r="AT1024" s="93"/>
      <c r="AU1024" s="93"/>
      <c r="AV1024" s="93"/>
      <c r="AW1024" s="93"/>
      <c r="AX1024" s="93"/>
      <c r="AY1024" s="93"/>
      <c r="AZ1024" s="93"/>
      <c r="BA1024" s="93"/>
      <c r="BB1024" s="93"/>
      <c r="BC1024" s="93"/>
      <c r="BD1024" s="93"/>
      <c r="BE1024" s="93"/>
      <c r="BF1024" s="93"/>
      <c r="BG1024" s="93"/>
      <c r="BH1024" s="93"/>
      <c r="BI1024" s="93"/>
      <c r="BJ1024" s="93"/>
      <c r="BK1024" s="93"/>
      <c r="BL1024" s="93"/>
      <c r="BM1024" s="93"/>
      <c r="BN1024" s="93"/>
      <c r="BO1024" s="93"/>
      <c r="BP1024" s="93"/>
      <c r="BQ1024" s="93"/>
      <c r="BR1024" s="93"/>
      <c r="BS1024" s="93"/>
      <c r="BT1024" s="93"/>
      <c r="BU1024" s="93"/>
      <c r="BV1024" s="93"/>
      <c r="BW1024" s="93"/>
      <c r="BX1024" s="93"/>
      <c r="BY1024" s="93"/>
      <c r="BZ1024" s="93"/>
    </row>
    <row r="1025">
      <c r="B1025" t="s">
        <v>3768</v>
      </c>
      <c r="C1025" s="89" t="s">
        <v>3769</v>
      </c>
      <c r="D1025" s="90" t="s">
        <v>2792</v>
      </c>
      <c r="E1025" s="91">
        <v>2018.0</v>
      </c>
      <c r="F1025" s="104">
        <v>1.0</v>
      </c>
      <c r="G1025" s="93"/>
      <c r="H1025" s="93"/>
      <c r="I1025" s="93"/>
      <c r="J1025" s="93"/>
      <c r="K1025" s="93"/>
      <c r="L1025" s="93"/>
      <c r="M1025" s="93"/>
      <c r="N1025" s="93"/>
      <c r="O1025" s="93"/>
      <c r="P1025" s="93"/>
      <c r="Q1025" s="93"/>
      <c r="R1025" s="93"/>
      <c r="S1025" s="93"/>
      <c r="T1025" s="93"/>
      <c r="U1025" s="93"/>
      <c r="V1025" s="93"/>
      <c r="W1025" s="93"/>
      <c r="X1025" s="93"/>
      <c r="Y1025" s="93"/>
      <c r="Z1025" s="93"/>
      <c r="AA1025" s="93"/>
      <c r="AB1025" s="93"/>
      <c r="AC1025" s="93"/>
      <c r="AD1025" s="93"/>
      <c r="AE1025" s="93"/>
      <c r="AF1025" s="93"/>
      <c r="AG1025" s="93"/>
      <c r="AH1025" s="93"/>
      <c r="AI1025" s="93"/>
      <c r="AJ1025" s="93"/>
      <c r="AK1025" s="93"/>
      <c r="AL1025" s="93"/>
      <c r="AM1025" s="93"/>
      <c r="AN1025" s="93"/>
      <c r="AO1025" s="93"/>
      <c r="AP1025" s="93"/>
      <c r="AQ1025" s="93"/>
      <c r="AR1025" s="93"/>
      <c r="AS1025" s="93"/>
      <c r="AT1025" s="93"/>
      <c r="AU1025" s="93"/>
      <c r="AV1025" s="93"/>
      <c r="AW1025" s="93"/>
      <c r="AX1025" s="93"/>
      <c r="AY1025" s="93"/>
      <c r="AZ1025" s="93"/>
      <c r="BA1025" s="93"/>
      <c r="BB1025" s="93"/>
      <c r="BC1025" s="93"/>
      <c r="BD1025" s="93"/>
      <c r="BE1025" s="93"/>
      <c r="BF1025" s="93"/>
      <c r="BG1025" s="93"/>
      <c r="BH1025" s="93"/>
      <c r="BI1025" s="93"/>
      <c r="BJ1025" s="93"/>
      <c r="BK1025" s="93"/>
      <c r="BL1025" s="93"/>
      <c r="BM1025" s="93"/>
      <c r="BN1025" s="93"/>
      <c r="BO1025" s="93"/>
      <c r="BP1025" s="93"/>
      <c r="BQ1025" s="93"/>
      <c r="BR1025" s="93"/>
      <c r="BS1025" s="93"/>
      <c r="BT1025" s="93"/>
      <c r="BU1025" s="93"/>
      <c r="BV1025" s="93"/>
      <c r="BW1025" s="93"/>
      <c r="BX1025" s="93"/>
      <c r="BY1025" s="93"/>
      <c r="BZ1025" s="93"/>
    </row>
    <row r="1026">
      <c r="B1026" t="s">
        <v>3770</v>
      </c>
      <c r="C1026" s="89" t="s">
        <v>3771</v>
      </c>
      <c r="D1026" s="90" t="s">
        <v>2795</v>
      </c>
      <c r="E1026" s="91">
        <v>2016.0</v>
      </c>
      <c r="F1026" s="104">
        <v>1.0</v>
      </c>
      <c r="G1026" s="93"/>
      <c r="H1026" s="93"/>
      <c r="I1026" s="93"/>
      <c r="J1026" s="93"/>
      <c r="K1026" s="93"/>
      <c r="L1026" s="93"/>
      <c r="M1026" s="93"/>
      <c r="N1026" s="93"/>
      <c r="O1026" s="93"/>
      <c r="P1026" s="93"/>
      <c r="Q1026" s="93"/>
      <c r="R1026" s="93"/>
      <c r="S1026" s="93"/>
      <c r="T1026" s="93"/>
      <c r="U1026" s="93"/>
      <c r="V1026" s="93"/>
      <c r="W1026" s="93"/>
      <c r="X1026" s="93"/>
      <c r="Y1026" s="93"/>
      <c r="Z1026" s="93"/>
      <c r="AA1026" s="93"/>
      <c r="AB1026" s="93"/>
      <c r="AC1026" s="93"/>
      <c r="AD1026" s="93"/>
      <c r="AE1026" s="93"/>
      <c r="AF1026" s="93"/>
      <c r="AG1026" s="93"/>
      <c r="AH1026" s="93"/>
      <c r="AI1026" s="93"/>
      <c r="AJ1026" s="93"/>
      <c r="AK1026" s="93"/>
      <c r="AL1026" s="93"/>
      <c r="AM1026" s="93"/>
      <c r="AN1026" s="93"/>
      <c r="AO1026" s="93"/>
      <c r="AP1026" s="93"/>
      <c r="AQ1026" s="93"/>
      <c r="AR1026" s="93"/>
      <c r="AS1026" s="93"/>
      <c r="AT1026" s="93"/>
      <c r="AU1026" s="93"/>
      <c r="AV1026" s="93"/>
      <c r="AW1026" s="93"/>
      <c r="AX1026" s="93"/>
      <c r="AY1026" s="93"/>
      <c r="AZ1026" s="93"/>
      <c r="BA1026" s="93"/>
      <c r="BB1026" s="93"/>
      <c r="BC1026" s="93"/>
      <c r="BD1026" s="93"/>
      <c r="BE1026" s="93"/>
      <c r="BF1026" s="93"/>
      <c r="BG1026" s="93"/>
      <c r="BH1026" s="93"/>
      <c r="BI1026" s="93"/>
      <c r="BJ1026" s="93"/>
      <c r="BK1026" s="93"/>
      <c r="BL1026" s="93"/>
      <c r="BM1026" s="93"/>
      <c r="BN1026" s="93"/>
      <c r="BO1026" s="93"/>
      <c r="BP1026" s="93"/>
      <c r="BQ1026" s="93"/>
      <c r="BR1026" s="93"/>
      <c r="BS1026" s="93"/>
      <c r="BT1026" s="93"/>
      <c r="BU1026" s="93"/>
      <c r="BV1026" s="93"/>
      <c r="BW1026" s="93"/>
      <c r="BX1026" s="93"/>
      <c r="BY1026" s="93"/>
      <c r="BZ1026" s="93"/>
    </row>
    <row r="1027">
      <c r="A1027" t="s">
        <v>116</v>
      </c>
      <c r="B1027" t="s">
        <v>3772</v>
      </c>
      <c r="C1027" s="89" t="s">
        <v>3773</v>
      </c>
      <c r="D1027" s="90" t="s">
        <v>2874</v>
      </c>
      <c r="E1027" s="91">
        <v>2018.0</v>
      </c>
      <c r="F1027" s="104">
        <v>1.0</v>
      </c>
      <c r="G1027" s="93"/>
      <c r="H1027" s="93"/>
      <c r="I1027" s="93"/>
      <c r="J1027" s="93"/>
      <c r="K1027" s="93"/>
      <c r="L1027" s="93"/>
      <c r="M1027" s="93"/>
      <c r="N1027" s="93"/>
      <c r="O1027" s="93"/>
      <c r="P1027" s="93"/>
      <c r="Q1027" s="93"/>
      <c r="R1027" s="93"/>
      <c r="S1027" s="93"/>
      <c r="T1027" s="93"/>
      <c r="U1027" s="93"/>
      <c r="V1027" s="93"/>
      <c r="W1027" s="93"/>
      <c r="X1027" s="93"/>
      <c r="Y1027" s="93"/>
      <c r="Z1027" s="93"/>
      <c r="AA1027" s="93"/>
      <c r="AB1027" s="93"/>
      <c r="AC1027" s="93"/>
      <c r="AD1027" s="93"/>
      <c r="AE1027" s="93"/>
      <c r="AF1027" s="93"/>
      <c r="AG1027" s="93"/>
      <c r="AH1027" s="93"/>
      <c r="AI1027" s="93"/>
      <c r="AJ1027" s="93"/>
      <c r="AK1027" s="93"/>
      <c r="AL1027" s="93"/>
      <c r="AM1027" s="93"/>
      <c r="AN1027" s="93"/>
      <c r="AO1027" s="93"/>
      <c r="AP1027" s="93"/>
      <c r="AQ1027" s="93"/>
      <c r="AR1027" s="93"/>
      <c r="AS1027" s="93"/>
      <c r="AT1027" s="93"/>
      <c r="AU1027" s="93"/>
      <c r="AV1027" s="93"/>
      <c r="AW1027" s="93"/>
      <c r="AX1027" s="93"/>
      <c r="AY1027" s="93"/>
      <c r="AZ1027" s="93"/>
      <c r="BA1027" s="93"/>
      <c r="BB1027" s="93"/>
      <c r="BC1027" s="93"/>
      <c r="BD1027" s="93"/>
      <c r="BE1027" s="93"/>
      <c r="BF1027" s="93"/>
      <c r="BG1027" s="93"/>
      <c r="BH1027" s="93"/>
      <c r="BI1027" s="93"/>
      <c r="BJ1027" s="93"/>
      <c r="BK1027" s="93"/>
      <c r="BL1027" s="93"/>
      <c r="BM1027" s="93"/>
      <c r="BN1027" s="93"/>
      <c r="BO1027" s="93"/>
      <c r="BP1027" s="93"/>
      <c r="BQ1027" s="93"/>
      <c r="BR1027" s="93"/>
      <c r="BS1027" s="93"/>
      <c r="BT1027" s="93"/>
      <c r="BU1027" s="93"/>
      <c r="BV1027" s="93"/>
      <c r="BW1027" s="93"/>
      <c r="BX1027" s="93"/>
      <c r="BY1027" s="93"/>
      <c r="BZ1027" s="93"/>
    </row>
    <row r="1028">
      <c r="B1028" t="s">
        <v>3774</v>
      </c>
      <c r="C1028" s="89" t="s">
        <v>3775</v>
      </c>
      <c r="D1028" s="90" t="s">
        <v>2874</v>
      </c>
      <c r="E1028" s="91">
        <v>2016.0</v>
      </c>
      <c r="F1028" s="104">
        <v>1.0</v>
      </c>
      <c r="G1028" s="93"/>
      <c r="H1028" s="93"/>
      <c r="I1028" s="93"/>
      <c r="J1028" s="93"/>
      <c r="K1028" s="93"/>
      <c r="L1028" s="93"/>
      <c r="M1028" s="93"/>
      <c r="N1028" s="93"/>
      <c r="O1028" s="93"/>
      <c r="P1028" s="93"/>
      <c r="Q1028" s="93"/>
      <c r="R1028" s="93"/>
      <c r="S1028" s="93"/>
      <c r="T1028" s="93"/>
      <c r="U1028" s="93"/>
      <c r="V1028" s="93"/>
      <c r="W1028" s="93"/>
      <c r="X1028" s="93"/>
      <c r="Y1028" s="93"/>
      <c r="Z1028" s="93"/>
      <c r="AA1028" s="93"/>
      <c r="AB1028" s="93"/>
      <c r="AC1028" s="93"/>
      <c r="AD1028" s="93"/>
      <c r="AE1028" s="93"/>
      <c r="AF1028" s="93"/>
      <c r="AG1028" s="93"/>
      <c r="AH1028" s="93"/>
      <c r="AI1028" s="93"/>
      <c r="AJ1028" s="93"/>
      <c r="AK1028" s="93"/>
      <c r="AL1028" s="93"/>
      <c r="AM1028" s="93"/>
      <c r="AN1028" s="93"/>
      <c r="AO1028" s="93"/>
      <c r="AP1028" s="93"/>
      <c r="AQ1028" s="93"/>
      <c r="AR1028" s="93"/>
      <c r="AS1028" s="93"/>
      <c r="AT1028" s="93"/>
      <c r="AU1028" s="93"/>
      <c r="AV1028" s="93"/>
      <c r="AW1028" s="93"/>
      <c r="AX1028" s="93"/>
      <c r="AY1028" s="93"/>
      <c r="AZ1028" s="93"/>
      <c r="BA1028" s="93"/>
      <c r="BB1028" s="93"/>
      <c r="BC1028" s="93"/>
      <c r="BD1028" s="93"/>
      <c r="BE1028" s="93"/>
      <c r="BF1028" s="93"/>
      <c r="BG1028" s="93"/>
      <c r="BH1028" s="93"/>
      <c r="BI1028" s="93"/>
      <c r="BJ1028" s="93"/>
      <c r="BK1028" s="93"/>
      <c r="BL1028" s="93"/>
      <c r="BM1028" s="93"/>
      <c r="BN1028" s="93"/>
      <c r="BO1028" s="93"/>
      <c r="BP1028" s="93"/>
      <c r="BQ1028" s="93"/>
      <c r="BR1028" s="93"/>
      <c r="BS1028" s="93"/>
      <c r="BT1028" s="93"/>
      <c r="BU1028" s="93"/>
      <c r="BV1028" s="93"/>
      <c r="BW1028" s="93"/>
      <c r="BX1028" s="93"/>
      <c r="BY1028" s="93"/>
      <c r="BZ1028" s="93"/>
    </row>
    <row r="1029">
      <c r="B1029" t="s">
        <v>3776</v>
      </c>
      <c r="C1029" s="89" t="s">
        <v>3777</v>
      </c>
      <c r="D1029" s="90" t="s">
        <v>3147</v>
      </c>
      <c r="E1029" s="91">
        <v>2019.0</v>
      </c>
      <c r="F1029" s="104">
        <v>1.0</v>
      </c>
      <c r="G1029" s="93"/>
      <c r="H1029" s="93"/>
      <c r="I1029" s="93"/>
      <c r="J1029" s="93"/>
      <c r="K1029" s="93"/>
      <c r="L1029" s="93"/>
      <c r="M1029" s="93"/>
      <c r="N1029" s="93"/>
      <c r="O1029" s="93"/>
      <c r="P1029" s="93"/>
      <c r="Q1029" s="93"/>
      <c r="R1029" s="93"/>
      <c r="S1029" s="93"/>
      <c r="T1029" s="93"/>
      <c r="U1029" s="93"/>
      <c r="V1029" s="93"/>
      <c r="W1029" s="93"/>
      <c r="X1029" s="93"/>
      <c r="Y1029" s="93"/>
      <c r="Z1029" s="93"/>
      <c r="AA1029" s="93"/>
      <c r="AB1029" s="93"/>
      <c r="AC1029" s="93"/>
      <c r="AD1029" s="93"/>
      <c r="AE1029" s="93"/>
      <c r="AF1029" s="93"/>
      <c r="AG1029" s="93"/>
      <c r="AH1029" s="93"/>
      <c r="AI1029" s="93"/>
      <c r="AJ1029" s="93"/>
      <c r="AK1029" s="93"/>
      <c r="AL1029" s="93"/>
      <c r="AM1029" s="93"/>
      <c r="AN1029" s="93"/>
      <c r="AO1029" s="93"/>
      <c r="AP1029" s="93"/>
      <c r="AQ1029" s="93"/>
      <c r="AR1029" s="93"/>
      <c r="AS1029" s="93"/>
      <c r="AT1029" s="93"/>
      <c r="AU1029" s="93"/>
      <c r="AV1029" s="93"/>
      <c r="AW1029" s="93"/>
      <c r="AX1029" s="93"/>
      <c r="AY1029" s="93"/>
      <c r="AZ1029" s="93"/>
      <c r="BA1029" s="93"/>
      <c r="BB1029" s="93"/>
      <c r="BC1029" s="93"/>
      <c r="BD1029" s="93"/>
      <c r="BE1029" s="93"/>
      <c r="BF1029" s="93"/>
      <c r="BG1029" s="93"/>
      <c r="BH1029" s="93"/>
      <c r="BI1029" s="93"/>
      <c r="BJ1029" s="93"/>
      <c r="BK1029" s="93"/>
      <c r="BL1029" s="93"/>
      <c r="BM1029" s="93"/>
      <c r="BN1029" s="93"/>
      <c r="BO1029" s="93"/>
      <c r="BP1029" s="93"/>
      <c r="BQ1029" s="93"/>
      <c r="BR1029" s="93"/>
      <c r="BS1029" s="93"/>
      <c r="BT1029" s="93"/>
      <c r="BU1029" s="93"/>
      <c r="BV1029" s="93"/>
      <c r="BW1029" s="93"/>
      <c r="BX1029" s="93"/>
      <c r="BY1029" s="93"/>
      <c r="BZ1029" s="93"/>
    </row>
    <row r="1030">
      <c r="B1030" t="s">
        <v>3778</v>
      </c>
      <c r="C1030" s="89" t="s">
        <v>3779</v>
      </c>
      <c r="D1030" s="90" t="s">
        <v>2874</v>
      </c>
      <c r="E1030" s="91">
        <v>2017.0</v>
      </c>
      <c r="F1030" s="104">
        <v>1.0</v>
      </c>
      <c r="G1030" s="93"/>
      <c r="H1030" s="93"/>
      <c r="I1030" s="93"/>
      <c r="J1030" s="93"/>
      <c r="K1030" s="93"/>
      <c r="L1030" s="93"/>
      <c r="M1030" s="93"/>
      <c r="N1030" s="93"/>
      <c r="O1030" s="93"/>
      <c r="P1030" s="93"/>
      <c r="Q1030" s="93"/>
      <c r="R1030" s="93"/>
      <c r="S1030" s="93"/>
      <c r="T1030" s="93"/>
      <c r="U1030" s="93"/>
      <c r="V1030" s="93"/>
      <c r="W1030" s="93"/>
      <c r="X1030" s="93"/>
      <c r="Y1030" s="93"/>
      <c r="Z1030" s="93"/>
      <c r="AA1030" s="93"/>
      <c r="AB1030" s="93"/>
      <c r="AC1030" s="93"/>
      <c r="AD1030" s="93"/>
      <c r="AE1030" s="93"/>
      <c r="AF1030" s="93"/>
      <c r="AG1030" s="93"/>
      <c r="AH1030" s="93"/>
      <c r="AI1030" s="93"/>
      <c r="AJ1030" s="93"/>
      <c r="AK1030" s="93"/>
      <c r="AL1030" s="93"/>
      <c r="AM1030" s="93"/>
      <c r="AN1030" s="93"/>
      <c r="AO1030" s="93"/>
      <c r="AP1030" s="93"/>
      <c r="AQ1030" s="93"/>
      <c r="AR1030" s="93"/>
      <c r="AS1030" s="93"/>
      <c r="AT1030" s="93"/>
      <c r="AU1030" s="93"/>
      <c r="AV1030" s="93"/>
      <c r="AW1030" s="93"/>
      <c r="AX1030" s="93"/>
      <c r="AY1030" s="93"/>
      <c r="AZ1030" s="93"/>
      <c r="BA1030" s="93"/>
      <c r="BB1030" s="93"/>
      <c r="BC1030" s="93"/>
      <c r="BD1030" s="93"/>
      <c r="BE1030" s="93"/>
      <c r="BF1030" s="93"/>
      <c r="BG1030" s="93"/>
      <c r="BH1030" s="93"/>
      <c r="BI1030" s="93"/>
      <c r="BJ1030" s="93"/>
      <c r="BK1030" s="93"/>
      <c r="BL1030" s="93"/>
      <c r="BM1030" s="93"/>
      <c r="BN1030" s="93"/>
      <c r="BO1030" s="93"/>
      <c r="BP1030" s="93"/>
      <c r="BQ1030" s="93"/>
      <c r="BR1030" s="93"/>
      <c r="BS1030" s="93"/>
      <c r="BT1030" s="93"/>
      <c r="BU1030" s="93"/>
      <c r="BV1030" s="93"/>
      <c r="BW1030" s="93"/>
      <c r="BX1030" s="93"/>
      <c r="BY1030" s="93"/>
      <c r="BZ1030" s="93"/>
    </row>
    <row r="1031">
      <c r="B1031" t="s">
        <v>3780</v>
      </c>
      <c r="C1031" s="89" t="s">
        <v>3781</v>
      </c>
      <c r="D1031" s="90" t="s">
        <v>3229</v>
      </c>
      <c r="E1031" s="91">
        <v>2018.0</v>
      </c>
      <c r="F1031" s="104">
        <v>1.0</v>
      </c>
      <c r="G1031" s="93"/>
      <c r="H1031" s="93"/>
      <c r="I1031" s="93"/>
      <c r="J1031" s="93"/>
      <c r="K1031" s="93"/>
      <c r="L1031" s="93"/>
      <c r="M1031" s="93"/>
      <c r="N1031" s="93"/>
      <c r="O1031" s="93"/>
      <c r="P1031" s="93"/>
      <c r="Q1031" s="93"/>
      <c r="R1031" s="93"/>
      <c r="S1031" s="93"/>
      <c r="T1031" s="93"/>
      <c r="U1031" s="93"/>
      <c r="V1031" s="93"/>
      <c r="W1031" s="93"/>
      <c r="X1031" s="93"/>
      <c r="Y1031" s="93"/>
      <c r="Z1031" s="93"/>
      <c r="AA1031" s="93"/>
      <c r="AB1031" s="93"/>
      <c r="AC1031" s="93"/>
      <c r="AD1031" s="93"/>
      <c r="AE1031" s="93"/>
      <c r="AF1031" s="93"/>
      <c r="AG1031" s="93"/>
      <c r="AH1031" s="93"/>
      <c r="AI1031" s="93"/>
      <c r="AJ1031" s="93"/>
      <c r="AK1031" s="93"/>
      <c r="AL1031" s="93"/>
      <c r="AM1031" s="93"/>
      <c r="AN1031" s="93"/>
      <c r="AO1031" s="93"/>
      <c r="AP1031" s="93"/>
      <c r="AQ1031" s="93"/>
      <c r="AR1031" s="93"/>
      <c r="AS1031" s="93"/>
      <c r="AT1031" s="93"/>
      <c r="AU1031" s="93"/>
      <c r="AV1031" s="93"/>
      <c r="AW1031" s="93"/>
      <c r="AX1031" s="93"/>
      <c r="AY1031" s="93"/>
      <c r="AZ1031" s="93"/>
      <c r="BA1031" s="93"/>
      <c r="BB1031" s="93"/>
      <c r="BC1031" s="93"/>
      <c r="BD1031" s="93"/>
      <c r="BE1031" s="93"/>
      <c r="BF1031" s="93"/>
      <c r="BG1031" s="93"/>
      <c r="BH1031" s="93"/>
      <c r="BI1031" s="93"/>
      <c r="BJ1031" s="93"/>
      <c r="BK1031" s="93"/>
      <c r="BL1031" s="93"/>
      <c r="BM1031" s="93"/>
      <c r="BN1031" s="93"/>
      <c r="BO1031" s="93"/>
      <c r="BP1031" s="93"/>
      <c r="BQ1031" s="93"/>
      <c r="BR1031" s="93"/>
      <c r="BS1031" s="93"/>
      <c r="BT1031" s="93"/>
      <c r="BU1031" s="93"/>
      <c r="BV1031" s="93"/>
      <c r="BW1031" s="93"/>
      <c r="BX1031" s="93"/>
      <c r="BY1031" s="93"/>
      <c r="BZ1031" s="93"/>
    </row>
    <row r="1032">
      <c r="B1032" t="s">
        <v>3782</v>
      </c>
      <c r="C1032" s="89" t="s">
        <v>3783</v>
      </c>
      <c r="D1032" s="90" t="s">
        <v>2874</v>
      </c>
      <c r="E1032" s="91">
        <v>2017.0</v>
      </c>
      <c r="F1032" s="104">
        <v>1.0</v>
      </c>
      <c r="G1032" s="93"/>
      <c r="H1032" s="93"/>
      <c r="I1032" s="93"/>
      <c r="J1032" s="93"/>
      <c r="K1032" s="93"/>
      <c r="L1032" s="93"/>
      <c r="M1032" s="93"/>
      <c r="N1032" s="93"/>
      <c r="O1032" s="93"/>
      <c r="P1032" s="93"/>
      <c r="Q1032" s="93"/>
      <c r="R1032" s="93"/>
      <c r="S1032" s="93"/>
      <c r="T1032" s="93"/>
      <c r="U1032" s="93"/>
      <c r="V1032" s="93"/>
      <c r="W1032" s="93"/>
      <c r="X1032" s="93"/>
      <c r="Y1032" s="93"/>
      <c r="Z1032" s="93"/>
      <c r="AA1032" s="93"/>
      <c r="AB1032" s="93"/>
      <c r="AC1032" s="93"/>
      <c r="AD1032" s="93"/>
      <c r="AE1032" s="93"/>
      <c r="AF1032" s="93"/>
      <c r="AG1032" s="93"/>
      <c r="AH1032" s="93"/>
      <c r="AI1032" s="93"/>
      <c r="AJ1032" s="93"/>
      <c r="AK1032" s="93"/>
      <c r="AL1032" s="93"/>
      <c r="AM1032" s="93"/>
      <c r="AN1032" s="93"/>
      <c r="AO1032" s="93"/>
      <c r="AP1032" s="93"/>
      <c r="AQ1032" s="93"/>
      <c r="AR1032" s="93"/>
      <c r="AS1032" s="93"/>
      <c r="AT1032" s="93"/>
      <c r="AU1032" s="93"/>
      <c r="AV1032" s="93"/>
      <c r="AW1032" s="93"/>
      <c r="AX1032" s="93"/>
      <c r="AY1032" s="93"/>
      <c r="AZ1032" s="93"/>
      <c r="BA1032" s="93"/>
      <c r="BB1032" s="93"/>
      <c r="BC1032" s="93"/>
      <c r="BD1032" s="93"/>
      <c r="BE1032" s="93"/>
      <c r="BF1032" s="93"/>
      <c r="BG1032" s="93"/>
      <c r="BH1032" s="93"/>
      <c r="BI1032" s="93"/>
      <c r="BJ1032" s="93"/>
      <c r="BK1032" s="93"/>
      <c r="BL1032" s="93"/>
      <c r="BM1032" s="93"/>
      <c r="BN1032" s="93"/>
      <c r="BO1032" s="93"/>
      <c r="BP1032" s="93"/>
      <c r="BQ1032" s="93"/>
      <c r="BR1032" s="93"/>
      <c r="BS1032" s="93"/>
      <c r="BT1032" s="93"/>
      <c r="BU1032" s="93"/>
      <c r="BV1032" s="93"/>
      <c r="BW1032" s="93"/>
      <c r="BX1032" s="93"/>
      <c r="BY1032" s="93"/>
      <c r="BZ1032" s="93"/>
    </row>
    <row r="1033">
      <c r="B1033" t="s">
        <v>3784</v>
      </c>
      <c r="C1033" s="89" t="s">
        <v>3785</v>
      </c>
      <c r="D1033" s="90" t="s">
        <v>3786</v>
      </c>
      <c r="E1033" s="91">
        <v>2020.0</v>
      </c>
      <c r="F1033" s="104">
        <v>1.0</v>
      </c>
      <c r="G1033" s="93"/>
      <c r="H1033" s="93"/>
      <c r="I1033" s="93"/>
      <c r="J1033" s="93"/>
      <c r="K1033" s="93"/>
      <c r="L1033" s="93"/>
      <c r="M1033" s="93"/>
      <c r="N1033" s="93"/>
      <c r="O1033" s="93"/>
      <c r="P1033" s="93"/>
      <c r="Q1033" s="93"/>
      <c r="R1033" s="93"/>
      <c r="S1033" s="93"/>
      <c r="T1033" s="93"/>
      <c r="U1033" s="93"/>
      <c r="V1033" s="93"/>
      <c r="W1033" s="93"/>
      <c r="X1033" s="93"/>
      <c r="Y1033" s="93"/>
      <c r="Z1033" s="93"/>
      <c r="AA1033" s="93"/>
      <c r="AB1033" s="93"/>
      <c r="AC1033" s="93"/>
      <c r="AD1033" s="93"/>
      <c r="AE1033" s="93"/>
      <c r="AF1033" s="93"/>
      <c r="AG1033" s="93"/>
      <c r="AH1033" s="93"/>
      <c r="AI1033" s="93"/>
      <c r="AJ1033" s="93"/>
      <c r="AK1033" s="93"/>
      <c r="AL1033" s="93"/>
      <c r="AM1033" s="93"/>
      <c r="AN1033" s="93"/>
      <c r="AO1033" s="93"/>
      <c r="AP1033" s="93"/>
      <c r="AQ1033" s="93"/>
      <c r="AR1033" s="93"/>
      <c r="AS1033" s="93"/>
      <c r="AT1033" s="93"/>
      <c r="AU1033" s="93"/>
      <c r="AV1033" s="93"/>
      <c r="AW1033" s="93"/>
      <c r="AX1033" s="93"/>
      <c r="AY1033" s="93"/>
      <c r="AZ1033" s="93"/>
      <c r="BA1033" s="93"/>
      <c r="BB1033" s="93"/>
      <c r="BC1033" s="93"/>
      <c r="BD1033" s="93"/>
      <c r="BE1033" s="93"/>
      <c r="BF1033" s="93"/>
      <c r="BG1033" s="93"/>
      <c r="BH1033" s="93"/>
      <c r="BI1033" s="93"/>
      <c r="BJ1033" s="93"/>
      <c r="BK1033" s="93"/>
      <c r="BL1033" s="93"/>
      <c r="BM1033" s="93"/>
      <c r="BN1033" s="93"/>
      <c r="BO1033" s="93"/>
      <c r="BP1033" s="93"/>
      <c r="BQ1033" s="93"/>
      <c r="BR1033" s="93"/>
      <c r="BS1033" s="93"/>
      <c r="BT1033" s="93"/>
      <c r="BU1033" s="93"/>
      <c r="BV1033" s="93"/>
      <c r="BW1033" s="93"/>
      <c r="BX1033" s="93"/>
      <c r="BY1033" s="93"/>
      <c r="BZ1033" s="93"/>
    </row>
    <row r="1034">
      <c r="B1034" t="s">
        <v>3787</v>
      </c>
      <c r="C1034" s="89" t="s">
        <v>3788</v>
      </c>
      <c r="D1034" s="90" t="s">
        <v>2792</v>
      </c>
      <c r="E1034" s="91">
        <v>2018.0</v>
      </c>
      <c r="F1034" s="104">
        <v>1.0</v>
      </c>
      <c r="G1034" s="93"/>
      <c r="H1034" s="93"/>
      <c r="I1034" s="93"/>
      <c r="J1034" s="93"/>
      <c r="K1034" s="93"/>
      <c r="L1034" s="93"/>
      <c r="M1034" s="93"/>
      <c r="N1034" s="93"/>
      <c r="O1034" s="93"/>
      <c r="P1034" s="93"/>
      <c r="Q1034" s="93"/>
      <c r="R1034" s="93"/>
      <c r="S1034" s="93"/>
      <c r="T1034" s="93"/>
      <c r="U1034" s="93"/>
      <c r="V1034" s="93"/>
      <c r="W1034" s="93"/>
      <c r="X1034" s="93"/>
      <c r="Y1034" s="93"/>
      <c r="Z1034" s="93"/>
      <c r="AA1034" s="93"/>
      <c r="AB1034" s="93"/>
      <c r="AC1034" s="93"/>
      <c r="AD1034" s="93"/>
      <c r="AE1034" s="93"/>
      <c r="AF1034" s="93"/>
      <c r="AG1034" s="93"/>
      <c r="AH1034" s="93"/>
      <c r="AI1034" s="93"/>
      <c r="AJ1034" s="93"/>
      <c r="AK1034" s="93"/>
      <c r="AL1034" s="93"/>
      <c r="AM1034" s="93"/>
      <c r="AN1034" s="93"/>
      <c r="AO1034" s="93"/>
      <c r="AP1034" s="93"/>
      <c r="AQ1034" s="93"/>
      <c r="AR1034" s="93"/>
      <c r="AS1034" s="93"/>
      <c r="AT1034" s="93"/>
      <c r="AU1034" s="93"/>
      <c r="AV1034" s="93"/>
      <c r="AW1034" s="93"/>
      <c r="AX1034" s="93"/>
      <c r="AY1034" s="93"/>
      <c r="AZ1034" s="93"/>
      <c r="BA1034" s="93"/>
      <c r="BB1034" s="93"/>
      <c r="BC1034" s="93"/>
      <c r="BD1034" s="93"/>
      <c r="BE1034" s="93"/>
      <c r="BF1034" s="93"/>
      <c r="BG1034" s="93"/>
      <c r="BH1034" s="93"/>
      <c r="BI1034" s="93"/>
      <c r="BJ1034" s="93"/>
      <c r="BK1034" s="93"/>
      <c r="BL1034" s="93"/>
      <c r="BM1034" s="93"/>
      <c r="BN1034" s="93"/>
      <c r="BO1034" s="93"/>
      <c r="BP1034" s="93"/>
      <c r="BQ1034" s="93"/>
      <c r="BR1034" s="93"/>
      <c r="BS1034" s="93"/>
      <c r="BT1034" s="93"/>
      <c r="BU1034" s="93"/>
      <c r="BV1034" s="93"/>
      <c r="BW1034" s="93"/>
      <c r="BX1034" s="93"/>
      <c r="BY1034" s="93"/>
      <c r="BZ1034" s="93"/>
    </row>
    <row r="1035">
      <c r="B1035" t="s">
        <v>3789</v>
      </c>
      <c r="C1035" s="89" t="s">
        <v>3790</v>
      </c>
      <c r="D1035" s="90" t="s">
        <v>3791</v>
      </c>
      <c r="E1035" s="91">
        <v>2019.0</v>
      </c>
      <c r="F1035" s="104">
        <v>1.0</v>
      </c>
      <c r="G1035" s="93"/>
      <c r="H1035" s="93"/>
      <c r="I1035" s="93"/>
      <c r="J1035" s="93"/>
      <c r="K1035" s="93"/>
      <c r="L1035" s="93"/>
      <c r="M1035" s="93"/>
      <c r="N1035" s="93"/>
      <c r="O1035" s="93"/>
      <c r="P1035" s="93"/>
      <c r="Q1035" s="93"/>
      <c r="R1035" s="93"/>
      <c r="S1035" s="93"/>
      <c r="T1035" s="93"/>
      <c r="U1035" s="93"/>
      <c r="V1035" s="93"/>
      <c r="W1035" s="93"/>
      <c r="X1035" s="93"/>
      <c r="Y1035" s="93"/>
      <c r="Z1035" s="93"/>
      <c r="AA1035" s="93"/>
      <c r="AB1035" s="93"/>
      <c r="AC1035" s="93"/>
      <c r="AD1035" s="93"/>
      <c r="AE1035" s="93"/>
      <c r="AF1035" s="93"/>
      <c r="AG1035" s="93"/>
      <c r="AH1035" s="93"/>
      <c r="AI1035" s="93"/>
      <c r="AJ1035" s="93"/>
      <c r="AK1035" s="93"/>
      <c r="AL1035" s="93"/>
      <c r="AM1035" s="93"/>
      <c r="AN1035" s="93"/>
      <c r="AO1035" s="93"/>
      <c r="AP1035" s="93"/>
      <c r="AQ1035" s="93"/>
      <c r="AR1035" s="93"/>
      <c r="AS1035" s="93"/>
      <c r="AT1035" s="93"/>
      <c r="AU1035" s="93"/>
      <c r="AV1035" s="93"/>
      <c r="AW1035" s="93"/>
      <c r="AX1035" s="93"/>
      <c r="AY1035" s="93"/>
      <c r="AZ1035" s="93"/>
      <c r="BA1035" s="93"/>
      <c r="BB1035" s="93"/>
      <c r="BC1035" s="93"/>
      <c r="BD1035" s="93"/>
      <c r="BE1035" s="93"/>
      <c r="BF1035" s="93"/>
      <c r="BG1035" s="93"/>
      <c r="BH1035" s="93"/>
      <c r="BI1035" s="93"/>
      <c r="BJ1035" s="93"/>
      <c r="BK1035" s="93"/>
      <c r="BL1035" s="93"/>
      <c r="BM1035" s="93"/>
      <c r="BN1035" s="93"/>
      <c r="BO1035" s="93"/>
      <c r="BP1035" s="93"/>
      <c r="BQ1035" s="93"/>
      <c r="BR1035" s="93"/>
      <c r="BS1035" s="93"/>
      <c r="BT1035" s="93"/>
      <c r="BU1035" s="93"/>
      <c r="BV1035" s="93"/>
      <c r="BW1035" s="93"/>
      <c r="BX1035" s="93"/>
      <c r="BY1035" s="93"/>
      <c r="BZ1035" s="93"/>
    </row>
    <row r="1036">
      <c r="B1036" t="s">
        <v>3792</v>
      </c>
      <c r="C1036" s="89" t="s">
        <v>3793</v>
      </c>
      <c r="D1036" s="90" t="s">
        <v>3794</v>
      </c>
      <c r="E1036" s="91">
        <v>2019.0</v>
      </c>
      <c r="F1036" s="104">
        <v>1.0</v>
      </c>
      <c r="G1036" s="93"/>
      <c r="H1036" s="93"/>
      <c r="I1036" s="93"/>
      <c r="J1036" s="93"/>
      <c r="K1036" s="93"/>
      <c r="L1036" s="93"/>
      <c r="M1036" s="93"/>
      <c r="N1036" s="93"/>
      <c r="O1036" s="93"/>
      <c r="P1036" s="93"/>
      <c r="Q1036" s="93"/>
      <c r="R1036" s="93"/>
      <c r="S1036" s="93"/>
      <c r="T1036" s="93"/>
      <c r="U1036" s="93"/>
      <c r="V1036" s="93"/>
      <c r="W1036" s="93"/>
      <c r="X1036" s="93"/>
      <c r="Y1036" s="93"/>
      <c r="Z1036" s="93"/>
      <c r="AA1036" s="93"/>
      <c r="AB1036" s="93"/>
      <c r="AC1036" s="93"/>
      <c r="AD1036" s="93"/>
      <c r="AE1036" s="93"/>
      <c r="AF1036" s="93"/>
      <c r="AG1036" s="93"/>
      <c r="AH1036" s="93"/>
      <c r="AI1036" s="93"/>
      <c r="AJ1036" s="93"/>
      <c r="AK1036" s="93"/>
      <c r="AL1036" s="93"/>
      <c r="AM1036" s="93"/>
      <c r="AN1036" s="93"/>
      <c r="AO1036" s="93"/>
      <c r="AP1036" s="93"/>
      <c r="AQ1036" s="93"/>
      <c r="AR1036" s="93"/>
      <c r="AS1036" s="93"/>
      <c r="AT1036" s="93"/>
      <c r="AU1036" s="93"/>
      <c r="AV1036" s="93"/>
      <c r="AW1036" s="93"/>
      <c r="AX1036" s="93"/>
      <c r="AY1036" s="93"/>
      <c r="AZ1036" s="93"/>
      <c r="BA1036" s="93"/>
      <c r="BB1036" s="93"/>
      <c r="BC1036" s="93"/>
      <c r="BD1036" s="93"/>
      <c r="BE1036" s="93"/>
      <c r="BF1036" s="93"/>
      <c r="BG1036" s="93"/>
      <c r="BH1036" s="93"/>
      <c r="BI1036" s="93"/>
      <c r="BJ1036" s="93"/>
      <c r="BK1036" s="93"/>
      <c r="BL1036" s="93"/>
      <c r="BM1036" s="93"/>
      <c r="BN1036" s="93"/>
      <c r="BO1036" s="93"/>
      <c r="BP1036" s="93"/>
      <c r="BQ1036" s="93"/>
      <c r="BR1036" s="93"/>
      <c r="BS1036" s="93"/>
      <c r="BT1036" s="93"/>
      <c r="BU1036" s="93"/>
      <c r="BV1036" s="93"/>
      <c r="BW1036" s="93"/>
      <c r="BX1036" s="93"/>
      <c r="BY1036" s="93"/>
      <c r="BZ1036" s="93"/>
    </row>
    <row r="1037">
      <c r="B1037" t="s">
        <v>3795</v>
      </c>
      <c r="C1037" s="89" t="s">
        <v>3796</v>
      </c>
      <c r="D1037" s="90" t="s">
        <v>3555</v>
      </c>
      <c r="E1037" s="91">
        <v>2018.0</v>
      </c>
      <c r="F1037" s="104">
        <v>1.0</v>
      </c>
      <c r="G1037" s="93"/>
      <c r="H1037" s="93"/>
      <c r="I1037" s="93"/>
      <c r="J1037" s="93"/>
      <c r="K1037" s="93"/>
      <c r="L1037" s="93"/>
      <c r="M1037" s="93"/>
      <c r="N1037" s="93"/>
      <c r="O1037" s="93"/>
      <c r="P1037" s="93"/>
      <c r="Q1037" s="93"/>
      <c r="R1037" s="93"/>
      <c r="S1037" s="93"/>
      <c r="T1037" s="93"/>
      <c r="U1037" s="93"/>
      <c r="V1037" s="93"/>
      <c r="W1037" s="93"/>
      <c r="X1037" s="93"/>
      <c r="Y1037" s="93"/>
      <c r="Z1037" s="93"/>
      <c r="AA1037" s="93"/>
      <c r="AB1037" s="93"/>
      <c r="AC1037" s="93"/>
      <c r="AD1037" s="93"/>
      <c r="AE1037" s="93"/>
      <c r="AF1037" s="93"/>
      <c r="AG1037" s="93"/>
      <c r="AH1037" s="93"/>
      <c r="AI1037" s="93"/>
      <c r="AJ1037" s="93"/>
      <c r="AK1037" s="93"/>
      <c r="AL1037" s="93"/>
      <c r="AM1037" s="93"/>
      <c r="AN1037" s="93"/>
      <c r="AO1037" s="93"/>
      <c r="AP1037" s="93"/>
      <c r="AQ1037" s="93"/>
      <c r="AR1037" s="93"/>
      <c r="AS1037" s="93"/>
      <c r="AT1037" s="93"/>
      <c r="AU1037" s="93"/>
      <c r="AV1037" s="93"/>
      <c r="AW1037" s="93"/>
      <c r="AX1037" s="93"/>
      <c r="AY1037" s="93"/>
      <c r="AZ1037" s="93"/>
      <c r="BA1037" s="93"/>
      <c r="BB1037" s="93"/>
      <c r="BC1037" s="93"/>
      <c r="BD1037" s="93"/>
      <c r="BE1037" s="93"/>
      <c r="BF1037" s="93"/>
      <c r="BG1037" s="93"/>
      <c r="BH1037" s="93"/>
      <c r="BI1037" s="93"/>
      <c r="BJ1037" s="93"/>
      <c r="BK1037" s="93"/>
      <c r="BL1037" s="93"/>
      <c r="BM1037" s="93"/>
      <c r="BN1037" s="93"/>
      <c r="BO1037" s="93"/>
      <c r="BP1037" s="93"/>
      <c r="BQ1037" s="93"/>
      <c r="BR1037" s="93"/>
      <c r="BS1037" s="93"/>
      <c r="BT1037" s="93"/>
      <c r="BU1037" s="93"/>
      <c r="BV1037" s="93"/>
      <c r="BW1037" s="93"/>
      <c r="BX1037" s="93"/>
      <c r="BY1037" s="93"/>
      <c r="BZ1037" s="93"/>
    </row>
    <row r="1038">
      <c r="B1038" t="s">
        <v>3797</v>
      </c>
      <c r="C1038" s="89" t="s">
        <v>3798</v>
      </c>
      <c r="D1038" s="90" t="s">
        <v>3799</v>
      </c>
      <c r="E1038" s="91">
        <v>2018.0</v>
      </c>
      <c r="F1038" s="104">
        <v>1.0</v>
      </c>
      <c r="G1038" s="93"/>
      <c r="H1038" s="93"/>
      <c r="I1038" s="93"/>
      <c r="J1038" s="93"/>
      <c r="K1038" s="93"/>
      <c r="L1038" s="93"/>
      <c r="M1038" s="93"/>
      <c r="N1038" s="93"/>
      <c r="O1038" s="93"/>
      <c r="P1038" s="93"/>
      <c r="Q1038" s="93"/>
      <c r="R1038" s="93"/>
      <c r="S1038" s="93"/>
      <c r="T1038" s="93"/>
      <c r="U1038" s="93"/>
      <c r="V1038" s="93"/>
      <c r="W1038" s="93"/>
      <c r="X1038" s="93"/>
      <c r="Y1038" s="93"/>
      <c r="Z1038" s="93"/>
      <c r="AA1038" s="93"/>
      <c r="AB1038" s="93"/>
      <c r="AC1038" s="93"/>
      <c r="AD1038" s="93"/>
      <c r="AE1038" s="93"/>
      <c r="AF1038" s="93"/>
      <c r="AG1038" s="93"/>
      <c r="AH1038" s="93"/>
      <c r="AI1038" s="93"/>
      <c r="AJ1038" s="93"/>
      <c r="AK1038" s="93"/>
      <c r="AL1038" s="93"/>
      <c r="AM1038" s="93"/>
      <c r="AN1038" s="93"/>
      <c r="AO1038" s="93"/>
      <c r="AP1038" s="93"/>
      <c r="AQ1038" s="93"/>
      <c r="AR1038" s="93"/>
      <c r="AS1038" s="93"/>
      <c r="AT1038" s="93"/>
      <c r="AU1038" s="93"/>
      <c r="AV1038" s="93"/>
      <c r="AW1038" s="93"/>
      <c r="AX1038" s="93"/>
      <c r="AY1038" s="93"/>
      <c r="AZ1038" s="93"/>
      <c r="BA1038" s="93"/>
      <c r="BB1038" s="93"/>
      <c r="BC1038" s="93"/>
      <c r="BD1038" s="93"/>
      <c r="BE1038" s="93"/>
      <c r="BF1038" s="93"/>
      <c r="BG1038" s="93"/>
      <c r="BH1038" s="93"/>
      <c r="BI1038" s="93"/>
      <c r="BJ1038" s="93"/>
      <c r="BK1038" s="93"/>
      <c r="BL1038" s="93"/>
      <c r="BM1038" s="93"/>
      <c r="BN1038" s="93"/>
      <c r="BO1038" s="93"/>
      <c r="BP1038" s="93"/>
      <c r="BQ1038" s="93"/>
      <c r="BR1038" s="93"/>
      <c r="BS1038" s="93"/>
      <c r="BT1038" s="93"/>
      <c r="BU1038" s="93"/>
      <c r="BV1038" s="93"/>
      <c r="BW1038" s="93"/>
      <c r="BX1038" s="93"/>
      <c r="BY1038" s="93"/>
      <c r="BZ1038" s="93"/>
    </row>
    <row r="1039">
      <c r="B1039" t="s">
        <v>3800</v>
      </c>
      <c r="C1039" s="89" t="s">
        <v>3801</v>
      </c>
      <c r="D1039" s="90" t="s">
        <v>2874</v>
      </c>
      <c r="E1039" s="91">
        <v>2016.0</v>
      </c>
      <c r="F1039" s="104">
        <v>1.0</v>
      </c>
      <c r="G1039" s="93"/>
      <c r="H1039" s="93"/>
      <c r="I1039" s="93"/>
      <c r="J1039" s="93"/>
      <c r="K1039" s="93"/>
      <c r="L1039" s="93"/>
      <c r="M1039" s="93"/>
      <c r="N1039" s="93"/>
      <c r="O1039" s="93"/>
      <c r="P1039" s="93"/>
      <c r="Q1039" s="93"/>
      <c r="R1039" s="93"/>
      <c r="S1039" s="93"/>
      <c r="T1039" s="93"/>
      <c r="U1039" s="93"/>
      <c r="V1039" s="93"/>
      <c r="W1039" s="93"/>
      <c r="X1039" s="93"/>
      <c r="Y1039" s="93"/>
      <c r="Z1039" s="93"/>
      <c r="AA1039" s="93"/>
      <c r="AB1039" s="93"/>
      <c r="AC1039" s="93"/>
      <c r="AD1039" s="93"/>
      <c r="AE1039" s="93"/>
      <c r="AF1039" s="93"/>
      <c r="AG1039" s="93"/>
      <c r="AH1039" s="93"/>
      <c r="AI1039" s="93"/>
      <c r="AJ1039" s="93"/>
      <c r="AK1039" s="93"/>
      <c r="AL1039" s="93"/>
      <c r="AM1039" s="93"/>
      <c r="AN1039" s="93"/>
      <c r="AO1039" s="93"/>
      <c r="AP1039" s="93"/>
      <c r="AQ1039" s="93"/>
      <c r="AR1039" s="93"/>
      <c r="AS1039" s="93"/>
      <c r="AT1039" s="93"/>
      <c r="AU1039" s="93"/>
      <c r="AV1039" s="93"/>
      <c r="AW1039" s="93"/>
      <c r="AX1039" s="93"/>
      <c r="AY1039" s="93"/>
      <c r="AZ1039" s="93"/>
      <c r="BA1039" s="93"/>
      <c r="BB1039" s="93"/>
      <c r="BC1039" s="93"/>
      <c r="BD1039" s="93"/>
      <c r="BE1039" s="93"/>
      <c r="BF1039" s="93"/>
      <c r="BG1039" s="93"/>
      <c r="BH1039" s="93"/>
      <c r="BI1039" s="93"/>
      <c r="BJ1039" s="93"/>
      <c r="BK1039" s="93"/>
      <c r="BL1039" s="93"/>
      <c r="BM1039" s="93"/>
      <c r="BN1039" s="93"/>
      <c r="BO1039" s="93"/>
      <c r="BP1039" s="93"/>
      <c r="BQ1039" s="93"/>
      <c r="BR1039" s="93"/>
      <c r="BS1039" s="93"/>
      <c r="BT1039" s="93"/>
      <c r="BU1039" s="93"/>
      <c r="BV1039" s="93"/>
      <c r="BW1039" s="93"/>
      <c r="BX1039" s="93"/>
      <c r="BY1039" s="93"/>
      <c r="BZ1039" s="93"/>
    </row>
    <row r="1040">
      <c r="B1040" t="s">
        <v>3802</v>
      </c>
      <c r="C1040" s="89" t="s">
        <v>3803</v>
      </c>
      <c r="D1040" s="90" t="s">
        <v>3334</v>
      </c>
      <c r="E1040" s="91">
        <v>2019.0</v>
      </c>
      <c r="F1040" s="104">
        <v>1.0</v>
      </c>
      <c r="G1040" s="93"/>
      <c r="H1040" s="93"/>
      <c r="I1040" s="93"/>
      <c r="J1040" s="93"/>
      <c r="K1040" s="93"/>
      <c r="L1040" s="93"/>
      <c r="M1040" s="93"/>
      <c r="N1040" s="93"/>
      <c r="O1040" s="93"/>
      <c r="P1040" s="93"/>
      <c r="Q1040" s="93"/>
      <c r="R1040" s="93"/>
      <c r="S1040" s="93"/>
      <c r="T1040" s="93"/>
      <c r="U1040" s="93"/>
      <c r="V1040" s="93"/>
      <c r="W1040" s="93"/>
      <c r="X1040" s="93"/>
      <c r="Y1040" s="93"/>
      <c r="Z1040" s="93"/>
      <c r="AA1040" s="93"/>
      <c r="AB1040" s="93"/>
      <c r="AC1040" s="93"/>
      <c r="AD1040" s="93"/>
      <c r="AE1040" s="93"/>
      <c r="AF1040" s="93"/>
      <c r="AG1040" s="93"/>
      <c r="AH1040" s="93"/>
      <c r="AI1040" s="93"/>
      <c r="AJ1040" s="93"/>
      <c r="AK1040" s="93"/>
      <c r="AL1040" s="93"/>
      <c r="AM1040" s="93"/>
      <c r="AN1040" s="93"/>
      <c r="AO1040" s="93"/>
      <c r="AP1040" s="93"/>
      <c r="AQ1040" s="93"/>
      <c r="AR1040" s="93"/>
      <c r="AS1040" s="93"/>
      <c r="AT1040" s="93"/>
      <c r="AU1040" s="93"/>
      <c r="AV1040" s="93"/>
      <c r="AW1040" s="93"/>
      <c r="AX1040" s="93"/>
      <c r="AY1040" s="93"/>
      <c r="AZ1040" s="93"/>
      <c r="BA1040" s="93"/>
      <c r="BB1040" s="93"/>
      <c r="BC1040" s="93"/>
      <c r="BD1040" s="93"/>
      <c r="BE1040" s="93"/>
      <c r="BF1040" s="93"/>
      <c r="BG1040" s="93"/>
      <c r="BH1040" s="93"/>
      <c r="BI1040" s="93"/>
      <c r="BJ1040" s="93"/>
      <c r="BK1040" s="93"/>
      <c r="BL1040" s="93"/>
      <c r="BM1040" s="93"/>
      <c r="BN1040" s="93"/>
      <c r="BO1040" s="93"/>
      <c r="BP1040" s="93"/>
      <c r="BQ1040" s="93"/>
      <c r="BR1040" s="93"/>
      <c r="BS1040" s="93"/>
      <c r="BT1040" s="93"/>
      <c r="BU1040" s="93"/>
      <c r="BV1040" s="93"/>
      <c r="BW1040" s="93"/>
      <c r="BX1040" s="93"/>
      <c r="BY1040" s="93"/>
      <c r="BZ1040" s="93"/>
    </row>
    <row r="1041">
      <c r="B1041" t="s">
        <v>3804</v>
      </c>
      <c r="C1041" s="89" t="s">
        <v>3805</v>
      </c>
      <c r="D1041" s="90" t="s">
        <v>2856</v>
      </c>
      <c r="E1041" s="91">
        <v>2018.0</v>
      </c>
      <c r="F1041" s="104">
        <v>1.0</v>
      </c>
      <c r="G1041" s="93"/>
      <c r="H1041" s="93"/>
      <c r="I1041" s="93"/>
      <c r="J1041" s="93"/>
      <c r="K1041" s="93"/>
      <c r="L1041" s="93"/>
      <c r="M1041" s="93"/>
      <c r="N1041" s="93"/>
      <c r="O1041" s="93"/>
      <c r="P1041" s="93"/>
      <c r="Q1041" s="93"/>
      <c r="R1041" s="93"/>
      <c r="S1041" s="93"/>
      <c r="T1041" s="93"/>
      <c r="U1041" s="93"/>
      <c r="V1041" s="93"/>
      <c r="W1041" s="93"/>
      <c r="X1041" s="93"/>
      <c r="Y1041" s="93"/>
      <c r="Z1041" s="93"/>
      <c r="AA1041" s="93"/>
      <c r="AB1041" s="93"/>
      <c r="AC1041" s="93"/>
      <c r="AD1041" s="93"/>
      <c r="AE1041" s="93"/>
      <c r="AF1041" s="93"/>
      <c r="AG1041" s="93"/>
      <c r="AH1041" s="93"/>
      <c r="AI1041" s="93"/>
      <c r="AJ1041" s="93"/>
      <c r="AK1041" s="93"/>
      <c r="AL1041" s="93"/>
      <c r="AM1041" s="93"/>
      <c r="AN1041" s="93"/>
      <c r="AO1041" s="93"/>
      <c r="AP1041" s="93"/>
      <c r="AQ1041" s="93"/>
      <c r="AR1041" s="93"/>
      <c r="AS1041" s="93"/>
      <c r="AT1041" s="93"/>
      <c r="AU1041" s="93"/>
      <c r="AV1041" s="93"/>
      <c r="AW1041" s="93"/>
      <c r="AX1041" s="93"/>
      <c r="AY1041" s="93"/>
      <c r="AZ1041" s="93"/>
      <c r="BA1041" s="93"/>
      <c r="BB1041" s="93"/>
      <c r="BC1041" s="93"/>
      <c r="BD1041" s="93"/>
      <c r="BE1041" s="93"/>
      <c r="BF1041" s="93"/>
      <c r="BG1041" s="93"/>
      <c r="BH1041" s="93"/>
      <c r="BI1041" s="93"/>
      <c r="BJ1041" s="93"/>
      <c r="BK1041" s="93"/>
      <c r="BL1041" s="93"/>
      <c r="BM1041" s="93"/>
      <c r="BN1041" s="93"/>
      <c r="BO1041" s="93"/>
      <c r="BP1041" s="93"/>
      <c r="BQ1041" s="93"/>
      <c r="BR1041" s="93"/>
      <c r="BS1041" s="93"/>
      <c r="BT1041" s="93"/>
      <c r="BU1041" s="93"/>
      <c r="BV1041" s="93"/>
      <c r="BW1041" s="93"/>
      <c r="BX1041" s="93"/>
      <c r="BY1041" s="93"/>
      <c r="BZ1041" s="93"/>
    </row>
    <row r="1042">
      <c r="B1042" t="s">
        <v>3806</v>
      </c>
      <c r="C1042" s="89" t="s">
        <v>3807</v>
      </c>
      <c r="D1042" s="90" t="s">
        <v>2874</v>
      </c>
      <c r="E1042" s="91">
        <v>2017.0</v>
      </c>
      <c r="F1042" s="104">
        <v>1.0</v>
      </c>
      <c r="G1042" s="93"/>
      <c r="H1042" s="93"/>
      <c r="I1042" s="93"/>
      <c r="J1042" s="93"/>
      <c r="K1042" s="93"/>
      <c r="L1042" s="93"/>
      <c r="M1042" s="93"/>
      <c r="N1042" s="93"/>
      <c r="O1042" s="93"/>
      <c r="P1042" s="93"/>
      <c r="Q1042" s="93"/>
      <c r="R1042" s="93"/>
      <c r="S1042" s="93"/>
      <c r="T1042" s="93"/>
      <c r="U1042" s="93"/>
      <c r="V1042" s="93"/>
      <c r="W1042" s="93"/>
      <c r="X1042" s="93"/>
      <c r="Y1042" s="93"/>
      <c r="Z1042" s="93"/>
      <c r="AA1042" s="93"/>
      <c r="AB1042" s="93"/>
      <c r="AC1042" s="93"/>
      <c r="AD1042" s="93"/>
      <c r="AE1042" s="93"/>
      <c r="AF1042" s="93"/>
      <c r="AG1042" s="93"/>
      <c r="AH1042" s="93"/>
      <c r="AI1042" s="93"/>
      <c r="AJ1042" s="93"/>
      <c r="AK1042" s="93"/>
      <c r="AL1042" s="93"/>
      <c r="AM1042" s="93"/>
      <c r="AN1042" s="93"/>
      <c r="AO1042" s="93"/>
      <c r="AP1042" s="93"/>
      <c r="AQ1042" s="93"/>
      <c r="AR1042" s="93"/>
      <c r="AS1042" s="93"/>
      <c r="AT1042" s="93"/>
      <c r="AU1042" s="93"/>
      <c r="AV1042" s="93"/>
      <c r="AW1042" s="93"/>
      <c r="AX1042" s="93"/>
      <c r="AY1042" s="93"/>
      <c r="AZ1042" s="93"/>
      <c r="BA1042" s="93"/>
      <c r="BB1042" s="93"/>
      <c r="BC1042" s="93"/>
      <c r="BD1042" s="93"/>
      <c r="BE1042" s="93"/>
      <c r="BF1042" s="93"/>
      <c r="BG1042" s="93"/>
      <c r="BH1042" s="93"/>
      <c r="BI1042" s="93"/>
      <c r="BJ1042" s="93"/>
      <c r="BK1042" s="93"/>
      <c r="BL1042" s="93"/>
      <c r="BM1042" s="93"/>
      <c r="BN1042" s="93"/>
      <c r="BO1042" s="93"/>
      <c r="BP1042" s="93"/>
      <c r="BQ1042" s="93"/>
      <c r="BR1042" s="93"/>
      <c r="BS1042" s="93"/>
      <c r="BT1042" s="93"/>
      <c r="BU1042" s="93"/>
      <c r="BV1042" s="93"/>
      <c r="BW1042" s="93"/>
      <c r="BX1042" s="93"/>
      <c r="BY1042" s="93"/>
      <c r="BZ1042" s="93"/>
    </row>
    <row r="1043">
      <c r="B1043" t="s">
        <v>3808</v>
      </c>
      <c r="C1043" s="89" t="s">
        <v>3809</v>
      </c>
      <c r="D1043" s="90" t="s">
        <v>3051</v>
      </c>
      <c r="E1043" s="91">
        <v>2018.0</v>
      </c>
      <c r="F1043" s="104">
        <v>1.0</v>
      </c>
      <c r="G1043" s="93"/>
      <c r="H1043" s="93"/>
      <c r="I1043" s="93"/>
      <c r="J1043" s="93"/>
      <c r="K1043" s="93"/>
      <c r="L1043" s="93"/>
      <c r="M1043" s="93"/>
      <c r="N1043" s="93"/>
      <c r="O1043" s="93"/>
      <c r="P1043" s="93"/>
      <c r="Q1043" s="93"/>
      <c r="R1043" s="93"/>
      <c r="S1043" s="93"/>
      <c r="T1043" s="93"/>
      <c r="U1043" s="93"/>
      <c r="V1043" s="93"/>
      <c r="W1043" s="93"/>
      <c r="X1043" s="93"/>
      <c r="Y1043" s="93"/>
      <c r="Z1043" s="93"/>
      <c r="AA1043" s="93"/>
      <c r="AB1043" s="93"/>
      <c r="AC1043" s="93"/>
      <c r="AD1043" s="93"/>
      <c r="AE1043" s="93"/>
      <c r="AF1043" s="93"/>
      <c r="AG1043" s="93"/>
      <c r="AH1043" s="93"/>
      <c r="AI1043" s="93"/>
      <c r="AJ1043" s="93"/>
      <c r="AK1043" s="93"/>
      <c r="AL1043" s="93"/>
      <c r="AM1043" s="93"/>
      <c r="AN1043" s="93"/>
      <c r="AO1043" s="93"/>
      <c r="AP1043" s="93"/>
      <c r="AQ1043" s="93"/>
      <c r="AR1043" s="93"/>
      <c r="AS1043" s="93"/>
      <c r="AT1043" s="93"/>
      <c r="AU1043" s="93"/>
      <c r="AV1043" s="93"/>
      <c r="AW1043" s="93"/>
      <c r="AX1043" s="93"/>
      <c r="AY1043" s="93"/>
      <c r="AZ1043" s="93"/>
      <c r="BA1043" s="93"/>
      <c r="BB1043" s="93"/>
      <c r="BC1043" s="93"/>
      <c r="BD1043" s="93"/>
      <c r="BE1043" s="93"/>
      <c r="BF1043" s="93"/>
      <c r="BG1043" s="93"/>
      <c r="BH1043" s="93"/>
      <c r="BI1043" s="93"/>
      <c r="BJ1043" s="93"/>
      <c r="BK1043" s="93"/>
      <c r="BL1043" s="93"/>
      <c r="BM1043" s="93"/>
      <c r="BN1043" s="93"/>
      <c r="BO1043" s="93"/>
      <c r="BP1043" s="93"/>
      <c r="BQ1043" s="93"/>
      <c r="BR1043" s="93"/>
      <c r="BS1043" s="93"/>
      <c r="BT1043" s="93"/>
      <c r="BU1043" s="93"/>
      <c r="BV1043" s="93"/>
      <c r="BW1043" s="93"/>
      <c r="BX1043" s="93"/>
      <c r="BY1043" s="93"/>
      <c r="BZ1043" s="93"/>
    </row>
    <row r="1044">
      <c r="B1044" t="s">
        <v>3810</v>
      </c>
      <c r="C1044" s="89" t="s">
        <v>3811</v>
      </c>
      <c r="D1044" s="90" t="s">
        <v>2874</v>
      </c>
      <c r="E1044" s="91">
        <v>2019.0</v>
      </c>
      <c r="F1044" s="104">
        <v>1.0</v>
      </c>
      <c r="G1044" s="93"/>
      <c r="H1044" s="93"/>
      <c r="I1044" s="93"/>
      <c r="J1044" s="93"/>
      <c r="K1044" s="93"/>
      <c r="L1044" s="93"/>
      <c r="M1044" s="93"/>
      <c r="N1044" s="93"/>
      <c r="O1044" s="93"/>
      <c r="P1044" s="93"/>
      <c r="Q1044" s="93"/>
      <c r="R1044" s="93"/>
      <c r="S1044" s="93"/>
      <c r="T1044" s="93"/>
      <c r="U1044" s="93"/>
      <c r="V1044" s="93"/>
      <c r="W1044" s="93"/>
      <c r="X1044" s="93"/>
      <c r="Y1044" s="93"/>
      <c r="Z1044" s="93"/>
      <c r="AA1044" s="93"/>
      <c r="AB1044" s="93"/>
      <c r="AC1044" s="93"/>
      <c r="AD1044" s="93"/>
      <c r="AE1044" s="93"/>
      <c r="AF1044" s="93"/>
      <c r="AG1044" s="93"/>
      <c r="AH1044" s="93"/>
      <c r="AI1044" s="93"/>
      <c r="AJ1044" s="93"/>
      <c r="AK1044" s="93"/>
      <c r="AL1044" s="93"/>
      <c r="AM1044" s="93"/>
      <c r="AN1044" s="93"/>
      <c r="AO1044" s="93"/>
      <c r="AP1044" s="93"/>
      <c r="AQ1044" s="93"/>
      <c r="AR1044" s="93"/>
      <c r="AS1044" s="93"/>
      <c r="AT1044" s="93"/>
      <c r="AU1044" s="93"/>
      <c r="AV1044" s="93"/>
      <c r="AW1044" s="93"/>
      <c r="AX1044" s="93"/>
      <c r="AY1044" s="93"/>
      <c r="AZ1044" s="93"/>
      <c r="BA1044" s="93"/>
      <c r="BB1044" s="93"/>
      <c r="BC1044" s="93"/>
      <c r="BD1044" s="93"/>
      <c r="BE1044" s="93"/>
      <c r="BF1044" s="93"/>
      <c r="BG1044" s="93"/>
      <c r="BH1044" s="93"/>
      <c r="BI1044" s="93"/>
      <c r="BJ1044" s="93"/>
      <c r="BK1044" s="93"/>
      <c r="BL1044" s="93"/>
      <c r="BM1044" s="93"/>
      <c r="BN1044" s="93"/>
      <c r="BO1044" s="93"/>
      <c r="BP1044" s="93"/>
      <c r="BQ1044" s="93"/>
      <c r="BR1044" s="93"/>
      <c r="BS1044" s="93"/>
      <c r="BT1044" s="93"/>
      <c r="BU1044" s="93"/>
      <c r="BV1044" s="93"/>
      <c r="BW1044" s="93"/>
      <c r="BX1044" s="93"/>
      <c r="BY1044" s="93"/>
      <c r="BZ1044" s="93"/>
    </row>
    <row r="1045">
      <c r="B1045" t="s">
        <v>3812</v>
      </c>
      <c r="C1045" s="89" t="s">
        <v>3813</v>
      </c>
      <c r="D1045" s="90" t="s">
        <v>777</v>
      </c>
      <c r="E1045" s="91">
        <v>2019.0</v>
      </c>
      <c r="F1045" s="104">
        <v>1.0</v>
      </c>
      <c r="G1045" s="93"/>
      <c r="H1045" s="93"/>
      <c r="I1045" s="93"/>
      <c r="J1045" s="93"/>
      <c r="K1045" s="93"/>
      <c r="L1045" s="93"/>
      <c r="M1045" s="93"/>
      <c r="N1045" s="93"/>
      <c r="O1045" s="93"/>
      <c r="P1045" s="93"/>
      <c r="Q1045" s="93"/>
      <c r="R1045" s="93"/>
      <c r="S1045" s="93"/>
      <c r="T1045" s="93"/>
      <c r="U1045" s="93"/>
      <c r="V1045" s="93"/>
      <c r="W1045" s="93"/>
      <c r="X1045" s="93"/>
      <c r="Y1045" s="93"/>
      <c r="Z1045" s="93"/>
      <c r="AA1045" s="93"/>
      <c r="AB1045" s="93"/>
      <c r="AC1045" s="93"/>
      <c r="AD1045" s="93"/>
      <c r="AE1045" s="93"/>
      <c r="AF1045" s="93"/>
      <c r="AG1045" s="93"/>
      <c r="AH1045" s="93"/>
      <c r="AI1045" s="93"/>
      <c r="AJ1045" s="93"/>
      <c r="AK1045" s="93"/>
      <c r="AL1045" s="93"/>
      <c r="AM1045" s="93"/>
      <c r="AN1045" s="93"/>
      <c r="AO1045" s="93"/>
      <c r="AP1045" s="93"/>
      <c r="AQ1045" s="93"/>
      <c r="AR1045" s="93"/>
      <c r="AS1045" s="93"/>
      <c r="AT1045" s="93"/>
      <c r="AU1045" s="93"/>
      <c r="AV1045" s="93"/>
      <c r="AW1045" s="93"/>
      <c r="AX1045" s="93"/>
      <c r="AY1045" s="93"/>
      <c r="AZ1045" s="93"/>
      <c r="BA1045" s="93"/>
      <c r="BB1045" s="93"/>
      <c r="BC1045" s="93"/>
      <c r="BD1045" s="93"/>
      <c r="BE1045" s="93"/>
      <c r="BF1045" s="93"/>
      <c r="BG1045" s="93"/>
      <c r="BH1045" s="93"/>
      <c r="BI1045" s="93"/>
      <c r="BJ1045" s="93"/>
      <c r="BK1045" s="93"/>
      <c r="BL1045" s="93"/>
      <c r="BM1045" s="93"/>
      <c r="BN1045" s="93"/>
      <c r="BO1045" s="93"/>
      <c r="BP1045" s="93"/>
      <c r="BQ1045" s="93"/>
      <c r="BR1045" s="93"/>
      <c r="BS1045" s="93"/>
      <c r="BT1045" s="93"/>
      <c r="BU1045" s="93"/>
      <c r="BV1045" s="93"/>
      <c r="BW1045" s="93"/>
      <c r="BX1045" s="93"/>
      <c r="BY1045" s="93"/>
      <c r="BZ1045" s="93"/>
    </row>
    <row r="1046">
      <c r="B1046" t="s">
        <v>3814</v>
      </c>
      <c r="C1046" s="89" t="s">
        <v>3815</v>
      </c>
      <c r="D1046" s="90" t="s">
        <v>3619</v>
      </c>
      <c r="E1046" s="91">
        <v>2020.0</v>
      </c>
      <c r="F1046" s="104">
        <v>1.0</v>
      </c>
      <c r="G1046" s="93"/>
      <c r="H1046" s="93"/>
      <c r="I1046" s="93"/>
      <c r="J1046" s="93"/>
      <c r="K1046" s="93"/>
      <c r="L1046" s="93"/>
      <c r="M1046" s="93"/>
      <c r="N1046" s="93"/>
      <c r="O1046" s="93"/>
      <c r="P1046" s="93"/>
      <c r="Q1046" s="93"/>
      <c r="R1046" s="93"/>
      <c r="S1046" s="93"/>
      <c r="T1046" s="93"/>
      <c r="U1046" s="93"/>
      <c r="V1046" s="93"/>
      <c r="W1046" s="93"/>
      <c r="X1046" s="93"/>
      <c r="Y1046" s="93"/>
      <c r="Z1046" s="93"/>
      <c r="AA1046" s="93"/>
      <c r="AB1046" s="93"/>
      <c r="AC1046" s="93"/>
      <c r="AD1046" s="93"/>
      <c r="AE1046" s="93"/>
      <c r="AF1046" s="93"/>
      <c r="AG1046" s="93"/>
      <c r="AH1046" s="93"/>
      <c r="AI1046" s="93"/>
      <c r="AJ1046" s="93"/>
      <c r="AK1046" s="93"/>
      <c r="AL1046" s="93"/>
      <c r="AM1046" s="93"/>
      <c r="AN1046" s="93"/>
      <c r="AO1046" s="93"/>
      <c r="AP1046" s="93"/>
      <c r="AQ1046" s="93"/>
      <c r="AR1046" s="93"/>
      <c r="AS1046" s="93"/>
      <c r="AT1046" s="93"/>
      <c r="AU1046" s="93"/>
      <c r="AV1046" s="93"/>
      <c r="AW1046" s="93"/>
      <c r="AX1046" s="93"/>
      <c r="AY1046" s="93"/>
      <c r="AZ1046" s="93"/>
      <c r="BA1046" s="93"/>
      <c r="BB1046" s="93"/>
      <c r="BC1046" s="93"/>
      <c r="BD1046" s="93"/>
      <c r="BE1046" s="93"/>
      <c r="BF1046" s="93"/>
      <c r="BG1046" s="93"/>
      <c r="BH1046" s="93"/>
      <c r="BI1046" s="93"/>
      <c r="BJ1046" s="93"/>
      <c r="BK1046" s="93"/>
      <c r="BL1046" s="93"/>
      <c r="BM1046" s="93"/>
      <c r="BN1046" s="93"/>
      <c r="BO1046" s="93"/>
      <c r="BP1046" s="93"/>
      <c r="BQ1046" s="93"/>
      <c r="BR1046" s="93"/>
      <c r="BS1046" s="93"/>
      <c r="BT1046" s="93"/>
      <c r="BU1046" s="93"/>
      <c r="BV1046" s="93"/>
      <c r="BW1046" s="93"/>
      <c r="BX1046" s="93"/>
      <c r="BY1046" s="93"/>
      <c r="BZ1046" s="93"/>
    </row>
    <row r="1047">
      <c r="A1047" t="s">
        <v>1331</v>
      </c>
      <c r="B1047" t="s">
        <v>3816</v>
      </c>
      <c r="C1047" s="89" t="s">
        <v>3817</v>
      </c>
      <c r="D1047" s="90" t="s">
        <v>2874</v>
      </c>
      <c r="E1047" s="91">
        <v>2018.0</v>
      </c>
      <c r="F1047" s="104">
        <v>1.0</v>
      </c>
      <c r="G1047" s="93"/>
      <c r="H1047" s="93"/>
      <c r="I1047" s="93"/>
      <c r="J1047" s="93"/>
      <c r="K1047" s="93"/>
      <c r="L1047" s="93"/>
      <c r="M1047" s="93"/>
      <c r="N1047" s="93"/>
      <c r="O1047" s="93"/>
      <c r="P1047" s="93"/>
      <c r="Q1047" s="93"/>
      <c r="R1047" s="93"/>
      <c r="S1047" s="93"/>
      <c r="T1047" s="93"/>
      <c r="U1047" s="93"/>
      <c r="V1047" s="93"/>
      <c r="W1047" s="93"/>
      <c r="X1047" s="93"/>
      <c r="Y1047" s="93"/>
      <c r="Z1047" s="93"/>
      <c r="AA1047" s="93"/>
      <c r="AB1047" s="93"/>
      <c r="AC1047" s="93"/>
      <c r="AD1047" s="93"/>
      <c r="AE1047" s="93"/>
      <c r="AF1047" s="93"/>
      <c r="AG1047" s="93"/>
      <c r="AH1047" s="93"/>
      <c r="AI1047" s="93"/>
      <c r="AJ1047" s="93"/>
      <c r="AK1047" s="93"/>
      <c r="AL1047" s="93"/>
      <c r="AM1047" s="93"/>
      <c r="AN1047" s="93"/>
      <c r="AO1047" s="93"/>
      <c r="AP1047" s="93"/>
      <c r="AQ1047" s="93"/>
      <c r="AR1047" s="93"/>
      <c r="AS1047" s="93"/>
      <c r="AT1047" s="93"/>
      <c r="AU1047" s="93"/>
      <c r="AV1047" s="93"/>
      <c r="AW1047" s="93"/>
      <c r="AX1047" s="93"/>
      <c r="AY1047" s="93"/>
      <c r="AZ1047" s="93"/>
      <c r="BA1047" s="93"/>
      <c r="BB1047" s="93"/>
      <c r="BC1047" s="93"/>
      <c r="BD1047" s="93"/>
      <c r="BE1047" s="93"/>
      <c r="BF1047" s="93"/>
      <c r="BG1047" s="93"/>
      <c r="BH1047" s="93"/>
      <c r="BI1047" s="93"/>
      <c r="BJ1047" s="93"/>
      <c r="BK1047" s="93"/>
      <c r="BL1047" s="93"/>
      <c r="BM1047" s="93"/>
      <c r="BN1047" s="93"/>
      <c r="BO1047" s="93"/>
      <c r="BP1047" s="93"/>
      <c r="BQ1047" s="93"/>
      <c r="BR1047" s="93"/>
      <c r="BS1047" s="93"/>
      <c r="BT1047" s="93"/>
      <c r="BU1047" s="93"/>
      <c r="BV1047" s="93"/>
      <c r="BW1047" s="93"/>
      <c r="BX1047" s="93"/>
      <c r="BY1047" s="93"/>
      <c r="BZ1047" s="93"/>
    </row>
    <row r="1048">
      <c r="B1048" t="s">
        <v>3818</v>
      </c>
      <c r="C1048" s="89" t="s">
        <v>3819</v>
      </c>
      <c r="D1048" s="90" t="s">
        <v>3820</v>
      </c>
      <c r="E1048" s="91">
        <v>2018.0</v>
      </c>
      <c r="F1048" s="104">
        <v>1.0</v>
      </c>
      <c r="G1048" s="93"/>
      <c r="H1048" s="93"/>
      <c r="I1048" s="93"/>
      <c r="J1048" s="93"/>
      <c r="K1048" s="93"/>
      <c r="L1048" s="93"/>
      <c r="M1048" s="93"/>
      <c r="N1048" s="93"/>
      <c r="O1048" s="93"/>
      <c r="P1048" s="93"/>
      <c r="Q1048" s="93"/>
      <c r="R1048" s="93"/>
      <c r="S1048" s="93"/>
      <c r="T1048" s="93"/>
      <c r="U1048" s="93"/>
      <c r="V1048" s="93"/>
      <c r="W1048" s="93"/>
      <c r="X1048" s="93"/>
      <c r="Y1048" s="93"/>
      <c r="Z1048" s="93"/>
      <c r="AA1048" s="93"/>
      <c r="AB1048" s="93"/>
      <c r="AC1048" s="93"/>
      <c r="AD1048" s="93"/>
      <c r="AE1048" s="93"/>
      <c r="AF1048" s="93"/>
      <c r="AG1048" s="93"/>
      <c r="AH1048" s="93"/>
      <c r="AI1048" s="93"/>
      <c r="AJ1048" s="93"/>
      <c r="AK1048" s="93"/>
      <c r="AL1048" s="93"/>
      <c r="AM1048" s="93"/>
      <c r="AN1048" s="93"/>
      <c r="AO1048" s="93"/>
      <c r="AP1048" s="93"/>
      <c r="AQ1048" s="93"/>
      <c r="AR1048" s="93"/>
      <c r="AS1048" s="93"/>
      <c r="AT1048" s="93"/>
      <c r="AU1048" s="93"/>
      <c r="AV1048" s="93"/>
      <c r="AW1048" s="93"/>
      <c r="AX1048" s="93"/>
      <c r="AY1048" s="93"/>
      <c r="AZ1048" s="93"/>
      <c r="BA1048" s="93"/>
      <c r="BB1048" s="93"/>
      <c r="BC1048" s="93"/>
      <c r="BD1048" s="93"/>
      <c r="BE1048" s="93"/>
      <c r="BF1048" s="93"/>
      <c r="BG1048" s="93"/>
      <c r="BH1048" s="93"/>
      <c r="BI1048" s="93"/>
      <c r="BJ1048" s="93"/>
      <c r="BK1048" s="93"/>
      <c r="BL1048" s="93"/>
      <c r="BM1048" s="93"/>
      <c r="BN1048" s="93"/>
      <c r="BO1048" s="93"/>
      <c r="BP1048" s="93"/>
      <c r="BQ1048" s="93"/>
      <c r="BR1048" s="93"/>
      <c r="BS1048" s="93"/>
      <c r="BT1048" s="93"/>
      <c r="BU1048" s="93"/>
      <c r="BV1048" s="93"/>
      <c r="BW1048" s="93"/>
      <c r="BX1048" s="93"/>
      <c r="BY1048" s="93"/>
      <c r="BZ1048" s="93"/>
    </row>
    <row r="1049">
      <c r="B1049" t="s">
        <v>3821</v>
      </c>
      <c r="C1049" s="89" t="s">
        <v>3822</v>
      </c>
      <c r="D1049" s="90" t="s">
        <v>3823</v>
      </c>
      <c r="E1049" s="91">
        <v>2017.0</v>
      </c>
      <c r="F1049" s="104">
        <v>1.0</v>
      </c>
      <c r="G1049" s="93"/>
      <c r="H1049" s="93"/>
      <c r="I1049" s="93"/>
      <c r="J1049" s="93"/>
      <c r="K1049" s="93"/>
      <c r="L1049" s="93"/>
      <c r="M1049" s="93"/>
      <c r="N1049" s="93"/>
      <c r="O1049" s="93"/>
      <c r="P1049" s="93"/>
      <c r="Q1049" s="93"/>
      <c r="R1049" s="93"/>
      <c r="S1049" s="93"/>
      <c r="T1049" s="93"/>
      <c r="U1049" s="93"/>
      <c r="V1049" s="93"/>
      <c r="W1049" s="93"/>
      <c r="X1049" s="93"/>
      <c r="Y1049" s="93"/>
      <c r="Z1049" s="93"/>
      <c r="AA1049" s="93"/>
      <c r="AB1049" s="93"/>
      <c r="AC1049" s="93"/>
      <c r="AD1049" s="93"/>
      <c r="AE1049" s="93"/>
      <c r="AF1049" s="93"/>
      <c r="AG1049" s="93"/>
      <c r="AH1049" s="93"/>
      <c r="AI1049" s="93"/>
      <c r="AJ1049" s="93"/>
      <c r="AK1049" s="93"/>
      <c r="AL1049" s="93"/>
      <c r="AM1049" s="93"/>
      <c r="AN1049" s="93"/>
      <c r="AO1049" s="93"/>
      <c r="AP1049" s="93"/>
      <c r="AQ1049" s="93"/>
      <c r="AR1049" s="93"/>
      <c r="AS1049" s="93"/>
      <c r="AT1049" s="93"/>
      <c r="AU1049" s="93"/>
      <c r="AV1049" s="93"/>
      <c r="AW1049" s="93"/>
      <c r="AX1049" s="93"/>
      <c r="AY1049" s="93"/>
      <c r="AZ1049" s="93"/>
      <c r="BA1049" s="93"/>
      <c r="BB1049" s="93"/>
      <c r="BC1049" s="93"/>
      <c r="BD1049" s="93"/>
      <c r="BE1049" s="93"/>
      <c r="BF1049" s="93"/>
      <c r="BG1049" s="93"/>
      <c r="BH1049" s="93"/>
      <c r="BI1049" s="93"/>
      <c r="BJ1049" s="93"/>
      <c r="BK1049" s="93"/>
      <c r="BL1049" s="93"/>
      <c r="BM1049" s="93"/>
      <c r="BN1049" s="93"/>
      <c r="BO1049" s="93"/>
      <c r="BP1049" s="93"/>
      <c r="BQ1049" s="93"/>
      <c r="BR1049" s="93"/>
      <c r="BS1049" s="93"/>
      <c r="BT1049" s="93"/>
      <c r="BU1049" s="93"/>
      <c r="BV1049" s="93"/>
      <c r="BW1049" s="93"/>
      <c r="BX1049" s="93"/>
      <c r="BY1049" s="93"/>
      <c r="BZ1049" s="93"/>
    </row>
    <row r="1050">
      <c r="B1050" t="s">
        <v>3824</v>
      </c>
      <c r="C1050" s="89" t="s">
        <v>3825</v>
      </c>
      <c r="D1050" s="90" t="s">
        <v>2874</v>
      </c>
      <c r="E1050" s="91">
        <v>2017.0</v>
      </c>
      <c r="F1050" s="104">
        <v>1.0</v>
      </c>
      <c r="G1050" s="93"/>
      <c r="H1050" s="93"/>
      <c r="I1050" s="93"/>
      <c r="J1050" s="93"/>
      <c r="K1050" s="93"/>
      <c r="L1050" s="93"/>
      <c r="M1050" s="93"/>
      <c r="N1050" s="93"/>
      <c r="O1050" s="93"/>
      <c r="P1050" s="93"/>
      <c r="Q1050" s="93"/>
      <c r="R1050" s="93"/>
      <c r="S1050" s="93"/>
      <c r="T1050" s="93"/>
      <c r="U1050" s="93"/>
      <c r="V1050" s="93"/>
      <c r="W1050" s="93"/>
      <c r="X1050" s="93"/>
      <c r="Y1050" s="93"/>
      <c r="Z1050" s="93"/>
      <c r="AA1050" s="93"/>
      <c r="AB1050" s="93"/>
      <c r="AC1050" s="93"/>
      <c r="AD1050" s="93"/>
      <c r="AE1050" s="93"/>
      <c r="AF1050" s="93"/>
      <c r="AG1050" s="93"/>
      <c r="AH1050" s="93"/>
      <c r="AI1050" s="93"/>
      <c r="AJ1050" s="93"/>
      <c r="AK1050" s="93"/>
      <c r="AL1050" s="93"/>
      <c r="AM1050" s="93"/>
      <c r="AN1050" s="93"/>
      <c r="AO1050" s="93"/>
      <c r="AP1050" s="93"/>
      <c r="AQ1050" s="93"/>
      <c r="AR1050" s="93"/>
      <c r="AS1050" s="93"/>
      <c r="AT1050" s="93"/>
      <c r="AU1050" s="93"/>
      <c r="AV1050" s="93"/>
      <c r="AW1050" s="93"/>
      <c r="AX1050" s="93"/>
      <c r="AY1050" s="93"/>
      <c r="AZ1050" s="93"/>
      <c r="BA1050" s="93"/>
      <c r="BB1050" s="93"/>
      <c r="BC1050" s="93"/>
      <c r="BD1050" s="93"/>
      <c r="BE1050" s="93"/>
      <c r="BF1050" s="93"/>
      <c r="BG1050" s="93"/>
      <c r="BH1050" s="93"/>
      <c r="BI1050" s="93"/>
      <c r="BJ1050" s="93"/>
      <c r="BK1050" s="93"/>
      <c r="BL1050" s="93"/>
      <c r="BM1050" s="93"/>
      <c r="BN1050" s="93"/>
      <c r="BO1050" s="93"/>
      <c r="BP1050" s="93"/>
      <c r="BQ1050" s="93"/>
      <c r="BR1050" s="93"/>
      <c r="BS1050" s="93"/>
      <c r="BT1050" s="93"/>
      <c r="BU1050" s="93"/>
      <c r="BV1050" s="93"/>
      <c r="BW1050" s="93"/>
      <c r="BX1050" s="93"/>
      <c r="BY1050" s="93"/>
      <c r="BZ1050" s="93"/>
    </row>
    <row r="1051">
      <c r="B1051" t="s">
        <v>3826</v>
      </c>
      <c r="C1051" s="89" t="s">
        <v>3827</v>
      </c>
      <c r="D1051" s="90" t="s">
        <v>3828</v>
      </c>
      <c r="E1051" s="91">
        <v>2018.0</v>
      </c>
      <c r="F1051" s="104">
        <v>1.0</v>
      </c>
      <c r="G1051" s="93"/>
      <c r="H1051" s="93"/>
      <c r="I1051" s="93"/>
      <c r="J1051" s="93"/>
      <c r="K1051" s="93"/>
      <c r="L1051" s="93"/>
      <c r="M1051" s="93"/>
      <c r="N1051" s="93"/>
      <c r="O1051" s="93"/>
      <c r="P1051" s="93"/>
      <c r="Q1051" s="93"/>
      <c r="R1051" s="93"/>
      <c r="S1051" s="93"/>
      <c r="T1051" s="93"/>
      <c r="U1051" s="93"/>
      <c r="V1051" s="93"/>
      <c r="W1051" s="93"/>
      <c r="X1051" s="93"/>
      <c r="Y1051" s="93"/>
      <c r="Z1051" s="93"/>
      <c r="AA1051" s="93"/>
      <c r="AB1051" s="93"/>
      <c r="AC1051" s="93"/>
      <c r="AD1051" s="93"/>
      <c r="AE1051" s="93"/>
      <c r="AF1051" s="93"/>
      <c r="AG1051" s="93"/>
      <c r="AH1051" s="93"/>
      <c r="AI1051" s="93"/>
      <c r="AJ1051" s="93"/>
      <c r="AK1051" s="93"/>
      <c r="AL1051" s="93"/>
      <c r="AM1051" s="93"/>
      <c r="AN1051" s="93"/>
      <c r="AO1051" s="93"/>
      <c r="AP1051" s="93"/>
      <c r="AQ1051" s="93"/>
      <c r="AR1051" s="93"/>
      <c r="AS1051" s="93"/>
      <c r="AT1051" s="93"/>
      <c r="AU1051" s="93"/>
      <c r="AV1051" s="93"/>
      <c r="AW1051" s="93"/>
      <c r="AX1051" s="93"/>
      <c r="AY1051" s="93"/>
      <c r="AZ1051" s="93"/>
      <c r="BA1051" s="93"/>
      <c r="BB1051" s="93"/>
      <c r="BC1051" s="93"/>
      <c r="BD1051" s="93"/>
      <c r="BE1051" s="93"/>
      <c r="BF1051" s="93"/>
      <c r="BG1051" s="93"/>
      <c r="BH1051" s="93"/>
      <c r="BI1051" s="93"/>
      <c r="BJ1051" s="93"/>
      <c r="BK1051" s="93"/>
      <c r="BL1051" s="93"/>
      <c r="BM1051" s="93"/>
      <c r="BN1051" s="93"/>
      <c r="BO1051" s="93"/>
      <c r="BP1051" s="93"/>
      <c r="BQ1051" s="93"/>
      <c r="BR1051" s="93"/>
      <c r="BS1051" s="93"/>
      <c r="BT1051" s="93"/>
      <c r="BU1051" s="93"/>
      <c r="BV1051" s="93"/>
      <c r="BW1051" s="93"/>
      <c r="BX1051" s="93"/>
      <c r="BY1051" s="93"/>
      <c r="BZ1051" s="93"/>
    </row>
    <row r="1052">
      <c r="B1052" t="s">
        <v>3829</v>
      </c>
      <c r="C1052" s="89" t="s">
        <v>3830</v>
      </c>
      <c r="D1052" s="90" t="s">
        <v>2804</v>
      </c>
      <c r="E1052" s="91">
        <v>2017.0</v>
      </c>
      <c r="F1052" s="104">
        <v>1.0</v>
      </c>
      <c r="G1052" s="93"/>
      <c r="H1052" s="93"/>
      <c r="I1052" s="93"/>
      <c r="J1052" s="93"/>
      <c r="K1052" s="93"/>
      <c r="L1052" s="93"/>
      <c r="M1052" s="93"/>
      <c r="N1052" s="93"/>
      <c r="O1052" s="93"/>
      <c r="P1052" s="93"/>
      <c r="Q1052" s="93"/>
      <c r="R1052" s="93"/>
      <c r="S1052" s="93"/>
      <c r="T1052" s="93"/>
      <c r="U1052" s="93"/>
      <c r="V1052" s="93"/>
      <c r="W1052" s="93"/>
      <c r="X1052" s="93"/>
      <c r="Y1052" s="93"/>
      <c r="Z1052" s="93"/>
      <c r="AA1052" s="93"/>
      <c r="AB1052" s="93"/>
      <c r="AC1052" s="93"/>
      <c r="AD1052" s="93"/>
      <c r="AE1052" s="93"/>
      <c r="AF1052" s="93"/>
      <c r="AG1052" s="93"/>
      <c r="AH1052" s="93"/>
      <c r="AI1052" s="93"/>
      <c r="AJ1052" s="93"/>
      <c r="AK1052" s="93"/>
      <c r="AL1052" s="93"/>
      <c r="AM1052" s="93"/>
      <c r="AN1052" s="93"/>
      <c r="AO1052" s="93"/>
      <c r="AP1052" s="93"/>
      <c r="AQ1052" s="93"/>
      <c r="AR1052" s="93"/>
      <c r="AS1052" s="93"/>
      <c r="AT1052" s="93"/>
      <c r="AU1052" s="93"/>
      <c r="AV1052" s="93"/>
      <c r="AW1052" s="93"/>
      <c r="AX1052" s="93"/>
      <c r="AY1052" s="93"/>
      <c r="AZ1052" s="93"/>
      <c r="BA1052" s="93"/>
      <c r="BB1052" s="93"/>
      <c r="BC1052" s="93"/>
      <c r="BD1052" s="93"/>
      <c r="BE1052" s="93"/>
      <c r="BF1052" s="93"/>
      <c r="BG1052" s="93"/>
      <c r="BH1052" s="93"/>
      <c r="BI1052" s="93"/>
      <c r="BJ1052" s="93"/>
      <c r="BK1052" s="93"/>
      <c r="BL1052" s="93"/>
      <c r="BM1052" s="93"/>
      <c r="BN1052" s="93"/>
      <c r="BO1052" s="93"/>
      <c r="BP1052" s="93"/>
      <c r="BQ1052" s="93"/>
      <c r="BR1052" s="93"/>
      <c r="BS1052" s="93"/>
      <c r="BT1052" s="93"/>
      <c r="BU1052" s="93"/>
      <c r="BV1052" s="93"/>
      <c r="BW1052" s="93"/>
      <c r="BX1052" s="93"/>
      <c r="BY1052" s="93"/>
      <c r="BZ1052" s="93"/>
    </row>
    <row r="1053">
      <c r="B1053" t="s">
        <v>3831</v>
      </c>
      <c r="C1053" s="89" t="s">
        <v>3832</v>
      </c>
      <c r="D1053" s="90" t="s">
        <v>3833</v>
      </c>
      <c r="E1053" s="91">
        <v>2017.0</v>
      </c>
      <c r="F1053" s="104">
        <v>1.0</v>
      </c>
      <c r="G1053" s="93"/>
      <c r="H1053" s="93"/>
      <c r="I1053" s="93"/>
      <c r="J1053" s="93"/>
      <c r="K1053" s="93"/>
      <c r="L1053" s="93"/>
      <c r="M1053" s="93"/>
      <c r="N1053" s="93"/>
      <c r="O1053" s="93"/>
      <c r="P1053" s="93"/>
      <c r="Q1053" s="93"/>
      <c r="R1053" s="93"/>
      <c r="S1053" s="93"/>
      <c r="T1053" s="93"/>
      <c r="U1053" s="93"/>
      <c r="V1053" s="93"/>
      <c r="W1053" s="93"/>
      <c r="X1053" s="93"/>
      <c r="Y1053" s="93"/>
      <c r="Z1053" s="93"/>
      <c r="AA1053" s="93"/>
      <c r="AB1053" s="93"/>
      <c r="AC1053" s="93"/>
      <c r="AD1053" s="93"/>
      <c r="AE1053" s="93"/>
      <c r="AF1053" s="93"/>
      <c r="AG1053" s="93"/>
      <c r="AH1053" s="93"/>
      <c r="AI1053" s="93"/>
      <c r="AJ1053" s="93"/>
      <c r="AK1053" s="93"/>
      <c r="AL1053" s="93"/>
      <c r="AM1053" s="93"/>
      <c r="AN1053" s="93"/>
      <c r="AO1053" s="93"/>
      <c r="AP1053" s="93"/>
      <c r="AQ1053" s="93"/>
      <c r="AR1053" s="93"/>
      <c r="AS1053" s="93"/>
      <c r="AT1053" s="93"/>
      <c r="AU1053" s="93"/>
      <c r="AV1053" s="93"/>
      <c r="AW1053" s="93"/>
      <c r="AX1053" s="93"/>
      <c r="AY1053" s="93"/>
      <c r="AZ1053" s="93"/>
      <c r="BA1053" s="93"/>
      <c r="BB1053" s="93"/>
      <c r="BC1053" s="93"/>
      <c r="BD1053" s="93"/>
      <c r="BE1053" s="93"/>
      <c r="BF1053" s="93"/>
      <c r="BG1053" s="93"/>
      <c r="BH1053" s="93"/>
      <c r="BI1053" s="93"/>
      <c r="BJ1053" s="93"/>
      <c r="BK1053" s="93"/>
      <c r="BL1053" s="93"/>
      <c r="BM1053" s="93"/>
      <c r="BN1053" s="93"/>
      <c r="BO1053" s="93"/>
      <c r="BP1053" s="93"/>
      <c r="BQ1053" s="93"/>
      <c r="BR1053" s="93"/>
      <c r="BS1053" s="93"/>
      <c r="BT1053" s="93"/>
      <c r="BU1053" s="93"/>
      <c r="BV1053" s="93"/>
      <c r="BW1053" s="93"/>
      <c r="BX1053" s="93"/>
      <c r="BY1053" s="93"/>
      <c r="BZ1053" s="93"/>
    </row>
    <row r="1054">
      <c r="B1054" t="s">
        <v>3834</v>
      </c>
      <c r="C1054" s="89" t="s">
        <v>3835</v>
      </c>
      <c r="D1054" s="90" t="s">
        <v>3836</v>
      </c>
      <c r="E1054" s="91">
        <v>2018.0</v>
      </c>
      <c r="F1054" s="104">
        <v>1.0</v>
      </c>
      <c r="G1054" s="93"/>
      <c r="H1054" s="93"/>
      <c r="I1054" s="93"/>
      <c r="J1054" s="93"/>
      <c r="K1054" s="93"/>
      <c r="L1054" s="93"/>
      <c r="M1054" s="93"/>
      <c r="N1054" s="93"/>
      <c r="O1054" s="93"/>
      <c r="P1054" s="93"/>
      <c r="Q1054" s="93"/>
      <c r="R1054" s="93"/>
      <c r="S1054" s="93"/>
      <c r="T1054" s="93"/>
      <c r="U1054" s="93"/>
      <c r="V1054" s="93"/>
      <c r="W1054" s="93"/>
      <c r="X1054" s="93"/>
      <c r="Y1054" s="93"/>
      <c r="Z1054" s="93"/>
      <c r="AA1054" s="93"/>
      <c r="AB1054" s="93"/>
      <c r="AC1054" s="93"/>
      <c r="AD1054" s="93"/>
      <c r="AE1054" s="93"/>
      <c r="AF1054" s="93"/>
      <c r="AG1054" s="93"/>
      <c r="AH1054" s="93"/>
      <c r="AI1054" s="93"/>
      <c r="AJ1054" s="93"/>
      <c r="AK1054" s="93"/>
      <c r="AL1054" s="93"/>
      <c r="AM1054" s="93"/>
      <c r="AN1054" s="93"/>
      <c r="AO1054" s="93"/>
      <c r="AP1054" s="93"/>
      <c r="AQ1054" s="93"/>
      <c r="AR1054" s="93"/>
      <c r="AS1054" s="93"/>
      <c r="AT1054" s="93"/>
      <c r="AU1054" s="93"/>
      <c r="AV1054" s="93"/>
      <c r="AW1054" s="93"/>
      <c r="AX1054" s="93"/>
      <c r="AY1054" s="93"/>
      <c r="AZ1054" s="93"/>
      <c r="BA1054" s="93"/>
      <c r="BB1054" s="93"/>
      <c r="BC1054" s="93"/>
      <c r="BD1054" s="93"/>
      <c r="BE1054" s="93"/>
      <c r="BF1054" s="93"/>
      <c r="BG1054" s="93"/>
      <c r="BH1054" s="93"/>
      <c r="BI1054" s="93"/>
      <c r="BJ1054" s="93"/>
      <c r="BK1054" s="93"/>
      <c r="BL1054" s="93"/>
      <c r="BM1054" s="93"/>
      <c r="BN1054" s="93"/>
      <c r="BO1054" s="93"/>
      <c r="BP1054" s="93"/>
      <c r="BQ1054" s="93"/>
      <c r="BR1054" s="93"/>
      <c r="BS1054" s="93"/>
      <c r="BT1054" s="93"/>
      <c r="BU1054" s="93"/>
      <c r="BV1054" s="93"/>
      <c r="BW1054" s="93"/>
      <c r="BX1054" s="93"/>
      <c r="BY1054" s="93"/>
      <c r="BZ1054" s="93"/>
    </row>
    <row r="1055">
      <c r="A1055" t="s">
        <v>1340</v>
      </c>
      <c r="B1055" t="s">
        <v>3837</v>
      </c>
      <c r="C1055" s="89" t="s">
        <v>3838</v>
      </c>
      <c r="D1055" s="90" t="s">
        <v>3839</v>
      </c>
      <c r="E1055" s="91">
        <v>2018.0</v>
      </c>
      <c r="F1055" s="104">
        <v>1.0</v>
      </c>
      <c r="G1055" s="93"/>
      <c r="H1055" s="93"/>
      <c r="I1055" s="93"/>
      <c r="J1055" s="93"/>
      <c r="K1055" s="93"/>
      <c r="L1055" s="93"/>
      <c r="M1055" s="93"/>
      <c r="N1055" s="93"/>
      <c r="O1055" s="93"/>
      <c r="P1055" s="93"/>
      <c r="Q1055" s="93"/>
      <c r="R1055" s="93"/>
      <c r="S1055" s="93"/>
      <c r="T1055" s="93"/>
      <c r="U1055" s="93"/>
      <c r="V1055" s="93"/>
      <c r="W1055" s="93"/>
      <c r="X1055" s="93"/>
      <c r="Y1055" s="93"/>
      <c r="Z1055" s="93"/>
      <c r="AA1055" s="93"/>
      <c r="AB1055" s="93"/>
      <c r="AC1055" s="93"/>
      <c r="AD1055" s="93"/>
      <c r="AE1055" s="93"/>
      <c r="AF1055" s="93"/>
      <c r="AG1055" s="93"/>
      <c r="AH1055" s="93"/>
      <c r="AI1055" s="93"/>
      <c r="AJ1055" s="93"/>
      <c r="AK1055" s="93"/>
      <c r="AL1055" s="93"/>
      <c r="AM1055" s="93"/>
      <c r="AN1055" s="93"/>
      <c r="AO1055" s="93"/>
      <c r="AP1055" s="93"/>
      <c r="AQ1055" s="93"/>
      <c r="AR1055" s="93"/>
      <c r="AS1055" s="93"/>
      <c r="AT1055" s="93"/>
      <c r="AU1055" s="93"/>
      <c r="AV1055" s="93"/>
      <c r="AW1055" s="93"/>
      <c r="AX1055" s="93"/>
      <c r="AY1055" s="93"/>
      <c r="AZ1055" s="93"/>
      <c r="BA1055" s="93"/>
      <c r="BB1055" s="93"/>
      <c r="BC1055" s="93"/>
      <c r="BD1055" s="93"/>
      <c r="BE1055" s="93"/>
      <c r="BF1055" s="93"/>
      <c r="BG1055" s="93"/>
      <c r="BH1055" s="93"/>
      <c r="BI1055" s="93"/>
      <c r="BJ1055" s="93"/>
      <c r="BK1055" s="93"/>
      <c r="BL1055" s="93"/>
      <c r="BM1055" s="93"/>
      <c r="BN1055" s="93"/>
      <c r="BO1055" s="93"/>
      <c r="BP1055" s="93"/>
      <c r="BQ1055" s="93"/>
      <c r="BR1055" s="93"/>
      <c r="BS1055" s="93"/>
      <c r="BT1055" s="93"/>
      <c r="BU1055" s="93"/>
      <c r="BV1055" s="93"/>
      <c r="BW1055" s="93"/>
      <c r="BX1055" s="93"/>
      <c r="BY1055" s="93"/>
      <c r="BZ1055" s="93"/>
    </row>
    <row r="1056">
      <c r="B1056" t="s">
        <v>3840</v>
      </c>
      <c r="C1056" s="89" t="s">
        <v>3841</v>
      </c>
      <c r="D1056" s="90" t="s">
        <v>3619</v>
      </c>
      <c r="E1056" s="91">
        <v>2015.0</v>
      </c>
      <c r="F1056" s="104">
        <v>1.0</v>
      </c>
      <c r="G1056" s="93"/>
      <c r="H1056" s="93"/>
      <c r="I1056" s="93"/>
      <c r="J1056" s="93"/>
      <c r="K1056" s="93"/>
      <c r="L1056" s="93"/>
      <c r="M1056" s="93"/>
      <c r="N1056" s="93"/>
      <c r="O1056" s="93"/>
      <c r="P1056" s="93"/>
      <c r="Q1056" s="93"/>
      <c r="R1056" s="93"/>
      <c r="S1056" s="93"/>
      <c r="T1056" s="93"/>
      <c r="U1056" s="93"/>
      <c r="V1056" s="93"/>
      <c r="W1056" s="93"/>
      <c r="X1056" s="93"/>
      <c r="Y1056" s="93"/>
      <c r="Z1056" s="93"/>
      <c r="AA1056" s="93"/>
      <c r="AB1056" s="93"/>
      <c r="AC1056" s="93"/>
      <c r="AD1056" s="93"/>
      <c r="AE1056" s="93"/>
      <c r="AF1056" s="93"/>
      <c r="AG1056" s="93"/>
      <c r="AH1056" s="93"/>
      <c r="AI1056" s="93"/>
      <c r="AJ1056" s="93"/>
      <c r="AK1056" s="93"/>
      <c r="AL1056" s="93"/>
      <c r="AM1056" s="93"/>
      <c r="AN1056" s="93"/>
      <c r="AO1056" s="93"/>
      <c r="AP1056" s="93"/>
      <c r="AQ1056" s="93"/>
      <c r="AR1056" s="93"/>
      <c r="AS1056" s="93"/>
      <c r="AT1056" s="93"/>
      <c r="AU1056" s="93"/>
      <c r="AV1056" s="93"/>
      <c r="AW1056" s="93"/>
      <c r="AX1056" s="93"/>
      <c r="AY1056" s="93"/>
      <c r="AZ1056" s="93"/>
      <c r="BA1056" s="93"/>
      <c r="BB1056" s="93"/>
      <c r="BC1056" s="93"/>
      <c r="BD1056" s="93"/>
      <c r="BE1056" s="93"/>
      <c r="BF1056" s="93"/>
      <c r="BG1056" s="93"/>
      <c r="BH1056" s="93"/>
      <c r="BI1056" s="93"/>
      <c r="BJ1056" s="93"/>
      <c r="BK1056" s="93"/>
      <c r="BL1056" s="93"/>
      <c r="BM1056" s="93"/>
      <c r="BN1056" s="93"/>
      <c r="BO1056" s="93"/>
      <c r="BP1056" s="93"/>
      <c r="BQ1056" s="93"/>
      <c r="BR1056" s="93"/>
      <c r="BS1056" s="93"/>
      <c r="BT1056" s="93"/>
      <c r="BU1056" s="93"/>
      <c r="BV1056" s="93"/>
      <c r="BW1056" s="93"/>
      <c r="BX1056" s="93"/>
      <c r="BY1056" s="93"/>
      <c r="BZ1056" s="93"/>
    </row>
    <row r="1057">
      <c r="B1057" t="s">
        <v>3842</v>
      </c>
      <c r="C1057" s="89" t="s">
        <v>3843</v>
      </c>
      <c r="D1057" s="90" t="s">
        <v>3004</v>
      </c>
      <c r="E1057" s="91">
        <v>2016.0</v>
      </c>
      <c r="F1057" s="104">
        <v>1.0</v>
      </c>
      <c r="G1057" s="93"/>
      <c r="H1057" s="93"/>
      <c r="I1057" s="93"/>
      <c r="J1057" s="93"/>
      <c r="K1057" s="93"/>
      <c r="L1057" s="93"/>
      <c r="M1057" s="93"/>
      <c r="N1057" s="93"/>
      <c r="O1057" s="93"/>
      <c r="P1057" s="93"/>
      <c r="Q1057" s="93"/>
      <c r="R1057" s="93"/>
      <c r="S1057" s="93"/>
      <c r="T1057" s="93"/>
      <c r="U1057" s="93"/>
      <c r="V1057" s="93"/>
      <c r="W1057" s="93"/>
      <c r="X1057" s="93"/>
      <c r="Y1057" s="93"/>
      <c r="Z1057" s="93"/>
      <c r="AA1057" s="93"/>
      <c r="AB1057" s="93"/>
      <c r="AC1057" s="93"/>
      <c r="AD1057" s="93"/>
      <c r="AE1057" s="93"/>
      <c r="AF1057" s="93"/>
      <c r="AG1057" s="93"/>
      <c r="AH1057" s="93"/>
      <c r="AI1057" s="93"/>
      <c r="AJ1057" s="93"/>
      <c r="AK1057" s="93"/>
      <c r="AL1057" s="93"/>
      <c r="AM1057" s="93"/>
      <c r="AN1057" s="93"/>
      <c r="AO1057" s="93"/>
      <c r="AP1057" s="93"/>
      <c r="AQ1057" s="93"/>
      <c r="AR1057" s="93"/>
      <c r="AS1057" s="93"/>
      <c r="AT1057" s="93"/>
      <c r="AU1057" s="93"/>
      <c r="AV1057" s="93"/>
      <c r="AW1057" s="93"/>
      <c r="AX1057" s="93"/>
      <c r="AY1057" s="93"/>
      <c r="AZ1057" s="93"/>
      <c r="BA1057" s="93"/>
      <c r="BB1057" s="93"/>
      <c r="BC1057" s="93"/>
      <c r="BD1057" s="93"/>
      <c r="BE1057" s="93"/>
      <c r="BF1057" s="93"/>
      <c r="BG1057" s="93"/>
      <c r="BH1057" s="93"/>
      <c r="BI1057" s="93"/>
      <c r="BJ1057" s="93"/>
      <c r="BK1057" s="93"/>
      <c r="BL1057" s="93"/>
      <c r="BM1057" s="93"/>
      <c r="BN1057" s="93"/>
      <c r="BO1057" s="93"/>
      <c r="BP1057" s="93"/>
      <c r="BQ1057" s="93"/>
      <c r="BR1057" s="93"/>
      <c r="BS1057" s="93"/>
      <c r="BT1057" s="93"/>
      <c r="BU1057" s="93"/>
      <c r="BV1057" s="93"/>
      <c r="BW1057" s="93"/>
      <c r="BX1057" s="93"/>
      <c r="BY1057" s="93"/>
      <c r="BZ1057" s="93"/>
    </row>
    <row r="1058">
      <c r="A1058" t="s">
        <v>1354</v>
      </c>
      <c r="B1058" t="s">
        <v>3844</v>
      </c>
      <c r="C1058" s="89" t="s">
        <v>3845</v>
      </c>
      <c r="D1058" s="90" t="s">
        <v>2885</v>
      </c>
      <c r="E1058" s="91">
        <v>2019.0</v>
      </c>
      <c r="F1058" s="104">
        <v>1.0</v>
      </c>
      <c r="G1058" s="93"/>
      <c r="H1058" s="93"/>
      <c r="I1058" s="93"/>
      <c r="J1058" s="93"/>
      <c r="K1058" s="93"/>
      <c r="L1058" s="93"/>
      <c r="M1058" s="93"/>
      <c r="N1058" s="93"/>
      <c r="O1058" s="93"/>
      <c r="P1058" s="93"/>
      <c r="Q1058" s="93"/>
      <c r="R1058" s="93"/>
      <c r="S1058" s="93"/>
      <c r="T1058" s="93"/>
      <c r="U1058" s="93"/>
      <c r="V1058" s="93"/>
      <c r="W1058" s="93"/>
      <c r="X1058" s="93"/>
      <c r="Y1058" s="93"/>
      <c r="Z1058" s="93"/>
      <c r="AA1058" s="93"/>
      <c r="AB1058" s="93"/>
      <c r="AC1058" s="93"/>
      <c r="AD1058" s="93"/>
      <c r="AE1058" s="93"/>
      <c r="AF1058" s="93"/>
      <c r="AG1058" s="93"/>
      <c r="AH1058" s="93"/>
      <c r="AI1058" s="93"/>
      <c r="AJ1058" s="93"/>
      <c r="AK1058" s="93"/>
      <c r="AL1058" s="93"/>
      <c r="AM1058" s="93"/>
      <c r="AN1058" s="93"/>
      <c r="AO1058" s="93"/>
      <c r="AP1058" s="93"/>
      <c r="AQ1058" s="93"/>
      <c r="AR1058" s="93"/>
      <c r="AS1058" s="93"/>
      <c r="AT1058" s="93"/>
      <c r="AU1058" s="93"/>
      <c r="AV1058" s="93"/>
      <c r="AW1058" s="93"/>
      <c r="AX1058" s="93"/>
      <c r="AY1058" s="93"/>
      <c r="AZ1058" s="93"/>
      <c r="BA1058" s="93"/>
      <c r="BB1058" s="93"/>
      <c r="BC1058" s="93"/>
      <c r="BD1058" s="93"/>
      <c r="BE1058" s="93"/>
      <c r="BF1058" s="93"/>
      <c r="BG1058" s="93"/>
      <c r="BH1058" s="93"/>
      <c r="BI1058" s="93"/>
      <c r="BJ1058" s="93"/>
      <c r="BK1058" s="93"/>
      <c r="BL1058" s="93"/>
      <c r="BM1058" s="93"/>
      <c r="BN1058" s="93"/>
      <c r="BO1058" s="93"/>
      <c r="BP1058" s="93"/>
      <c r="BQ1058" s="93"/>
      <c r="BR1058" s="93"/>
      <c r="BS1058" s="93"/>
      <c r="BT1058" s="93"/>
      <c r="BU1058" s="93"/>
      <c r="BV1058" s="93"/>
      <c r="BW1058" s="93"/>
      <c r="BX1058" s="93"/>
      <c r="BY1058" s="93"/>
      <c r="BZ1058" s="93"/>
    </row>
    <row r="1059">
      <c r="A1059" t="s">
        <v>116</v>
      </c>
      <c r="B1059" t="s">
        <v>3846</v>
      </c>
      <c r="C1059" s="89" t="s">
        <v>3847</v>
      </c>
      <c r="D1059" s="90" t="s">
        <v>3136</v>
      </c>
      <c r="E1059" s="91">
        <v>2018.0</v>
      </c>
      <c r="F1059" s="104">
        <v>1.0</v>
      </c>
      <c r="G1059" s="93"/>
      <c r="H1059" s="93"/>
      <c r="I1059" s="93"/>
      <c r="J1059" s="93"/>
      <c r="K1059" s="93"/>
      <c r="L1059" s="93"/>
      <c r="M1059" s="93"/>
      <c r="N1059" s="93"/>
      <c r="O1059" s="93"/>
      <c r="P1059" s="93"/>
      <c r="Q1059" s="93"/>
      <c r="R1059" s="93"/>
      <c r="S1059" s="93"/>
      <c r="T1059" s="93"/>
      <c r="U1059" s="93"/>
      <c r="V1059" s="93"/>
      <c r="W1059" s="93"/>
      <c r="X1059" s="93"/>
      <c r="Y1059" s="93"/>
      <c r="Z1059" s="93"/>
      <c r="AA1059" s="93"/>
      <c r="AB1059" s="93"/>
      <c r="AC1059" s="93"/>
      <c r="AD1059" s="93"/>
      <c r="AE1059" s="93"/>
      <c r="AF1059" s="93"/>
      <c r="AG1059" s="93"/>
      <c r="AH1059" s="93"/>
      <c r="AI1059" s="93"/>
      <c r="AJ1059" s="93"/>
      <c r="AK1059" s="93"/>
      <c r="AL1059" s="93"/>
      <c r="AM1059" s="93"/>
      <c r="AN1059" s="93"/>
      <c r="AO1059" s="93"/>
      <c r="AP1059" s="93"/>
      <c r="AQ1059" s="93"/>
      <c r="AR1059" s="93"/>
      <c r="AS1059" s="93"/>
      <c r="AT1059" s="93"/>
      <c r="AU1059" s="93"/>
      <c r="AV1059" s="93"/>
      <c r="AW1059" s="93"/>
      <c r="AX1059" s="93"/>
      <c r="AY1059" s="93"/>
      <c r="AZ1059" s="93"/>
      <c r="BA1059" s="93"/>
      <c r="BB1059" s="93"/>
      <c r="BC1059" s="93"/>
      <c r="BD1059" s="93"/>
      <c r="BE1059" s="93"/>
      <c r="BF1059" s="93"/>
      <c r="BG1059" s="93"/>
      <c r="BH1059" s="93"/>
      <c r="BI1059" s="93"/>
      <c r="BJ1059" s="93"/>
      <c r="BK1059" s="93"/>
      <c r="BL1059" s="93"/>
      <c r="BM1059" s="93"/>
      <c r="BN1059" s="93"/>
      <c r="BO1059" s="93"/>
      <c r="BP1059" s="93"/>
      <c r="BQ1059" s="93"/>
      <c r="BR1059" s="93"/>
      <c r="BS1059" s="93"/>
      <c r="BT1059" s="93"/>
      <c r="BU1059" s="93"/>
      <c r="BV1059" s="93"/>
      <c r="BW1059" s="93"/>
      <c r="BX1059" s="93"/>
      <c r="BY1059" s="93"/>
      <c r="BZ1059" s="93"/>
    </row>
    <row r="1060">
      <c r="B1060" t="s">
        <v>3848</v>
      </c>
      <c r="C1060" s="89" t="s">
        <v>3849</v>
      </c>
      <c r="D1060" s="90" t="s">
        <v>3155</v>
      </c>
      <c r="E1060" s="91">
        <v>2017.0</v>
      </c>
      <c r="F1060" s="104">
        <v>1.0</v>
      </c>
      <c r="G1060" s="93"/>
      <c r="H1060" s="93"/>
      <c r="I1060" s="93"/>
      <c r="J1060" s="93"/>
      <c r="K1060" s="93"/>
      <c r="L1060" s="93"/>
      <c r="M1060" s="93"/>
      <c r="N1060" s="93"/>
      <c r="O1060" s="93"/>
      <c r="P1060" s="93"/>
      <c r="Q1060" s="93"/>
      <c r="R1060" s="93"/>
      <c r="S1060" s="93"/>
      <c r="T1060" s="93"/>
      <c r="U1060" s="93"/>
      <c r="V1060" s="93"/>
      <c r="W1060" s="93"/>
      <c r="X1060" s="93"/>
      <c r="Y1060" s="93"/>
      <c r="Z1060" s="93"/>
      <c r="AA1060" s="93"/>
      <c r="AB1060" s="93"/>
      <c r="AC1060" s="93"/>
      <c r="AD1060" s="93"/>
      <c r="AE1060" s="93"/>
      <c r="AF1060" s="93"/>
      <c r="AG1060" s="93"/>
      <c r="AH1060" s="93"/>
      <c r="AI1060" s="93"/>
      <c r="AJ1060" s="93"/>
      <c r="AK1060" s="93"/>
      <c r="AL1060" s="93"/>
      <c r="AM1060" s="93"/>
      <c r="AN1060" s="93"/>
      <c r="AO1060" s="93"/>
      <c r="AP1060" s="93"/>
      <c r="AQ1060" s="93"/>
      <c r="AR1060" s="93"/>
      <c r="AS1060" s="93"/>
      <c r="AT1060" s="93"/>
      <c r="AU1060" s="93"/>
      <c r="AV1060" s="93"/>
      <c r="AW1060" s="93"/>
      <c r="AX1060" s="93"/>
      <c r="AY1060" s="93"/>
      <c r="AZ1060" s="93"/>
      <c r="BA1060" s="93"/>
      <c r="BB1060" s="93"/>
      <c r="BC1060" s="93"/>
      <c r="BD1060" s="93"/>
      <c r="BE1060" s="93"/>
      <c r="BF1060" s="93"/>
      <c r="BG1060" s="93"/>
      <c r="BH1060" s="93"/>
      <c r="BI1060" s="93"/>
      <c r="BJ1060" s="93"/>
      <c r="BK1060" s="93"/>
      <c r="BL1060" s="93"/>
      <c r="BM1060" s="93"/>
      <c r="BN1060" s="93"/>
      <c r="BO1060" s="93"/>
      <c r="BP1060" s="93"/>
      <c r="BQ1060" s="93"/>
      <c r="BR1060" s="93"/>
      <c r="BS1060" s="93"/>
      <c r="BT1060" s="93"/>
      <c r="BU1060" s="93"/>
      <c r="BV1060" s="93"/>
      <c r="BW1060" s="93"/>
      <c r="BX1060" s="93"/>
      <c r="BY1060" s="93"/>
      <c r="BZ1060" s="93"/>
    </row>
    <row r="1061">
      <c r="B1061" t="s">
        <v>3850</v>
      </c>
      <c r="C1061" s="89" t="s">
        <v>3851</v>
      </c>
      <c r="D1061" s="90" t="s">
        <v>3630</v>
      </c>
      <c r="E1061" s="91">
        <v>2019.0</v>
      </c>
      <c r="F1061" s="104">
        <v>1.0</v>
      </c>
      <c r="G1061" s="93"/>
      <c r="H1061" s="93"/>
      <c r="I1061" s="93"/>
      <c r="J1061" s="93"/>
      <c r="K1061" s="93"/>
      <c r="L1061" s="93"/>
      <c r="M1061" s="93"/>
      <c r="N1061" s="93"/>
      <c r="O1061" s="93"/>
      <c r="P1061" s="93"/>
      <c r="Q1061" s="93"/>
      <c r="R1061" s="93"/>
      <c r="S1061" s="93"/>
      <c r="T1061" s="93"/>
      <c r="U1061" s="93"/>
      <c r="V1061" s="93"/>
      <c r="W1061" s="93"/>
      <c r="X1061" s="93"/>
      <c r="Y1061" s="93"/>
      <c r="Z1061" s="93"/>
      <c r="AA1061" s="93"/>
      <c r="AB1061" s="93"/>
      <c r="AC1061" s="93"/>
      <c r="AD1061" s="93"/>
      <c r="AE1061" s="93"/>
      <c r="AF1061" s="93"/>
      <c r="AG1061" s="93"/>
      <c r="AH1061" s="93"/>
      <c r="AI1061" s="93"/>
      <c r="AJ1061" s="93"/>
      <c r="AK1061" s="93"/>
      <c r="AL1061" s="93"/>
      <c r="AM1061" s="93"/>
      <c r="AN1061" s="93"/>
      <c r="AO1061" s="93"/>
      <c r="AP1061" s="93"/>
      <c r="AQ1061" s="93"/>
      <c r="AR1061" s="93"/>
      <c r="AS1061" s="93"/>
      <c r="AT1061" s="93"/>
      <c r="AU1061" s="93"/>
      <c r="AV1061" s="93"/>
      <c r="AW1061" s="93"/>
      <c r="AX1061" s="93"/>
      <c r="AY1061" s="93"/>
      <c r="AZ1061" s="93"/>
      <c r="BA1061" s="93"/>
      <c r="BB1061" s="93"/>
      <c r="BC1061" s="93"/>
      <c r="BD1061" s="93"/>
      <c r="BE1061" s="93"/>
      <c r="BF1061" s="93"/>
      <c r="BG1061" s="93"/>
      <c r="BH1061" s="93"/>
      <c r="BI1061" s="93"/>
      <c r="BJ1061" s="93"/>
      <c r="BK1061" s="93"/>
      <c r="BL1061" s="93"/>
      <c r="BM1061" s="93"/>
      <c r="BN1061" s="93"/>
      <c r="BO1061" s="93"/>
      <c r="BP1061" s="93"/>
      <c r="BQ1061" s="93"/>
      <c r="BR1061" s="93"/>
      <c r="BS1061" s="93"/>
      <c r="BT1061" s="93"/>
      <c r="BU1061" s="93"/>
      <c r="BV1061" s="93"/>
      <c r="BW1061" s="93"/>
      <c r="BX1061" s="93"/>
      <c r="BY1061" s="93"/>
      <c r="BZ1061" s="93"/>
    </row>
    <row r="1062">
      <c r="B1062" t="s">
        <v>3852</v>
      </c>
      <c r="C1062" s="89" t="s">
        <v>3853</v>
      </c>
      <c r="D1062" s="90" t="s">
        <v>2795</v>
      </c>
      <c r="E1062" s="91">
        <v>2018.0</v>
      </c>
      <c r="F1062" s="104">
        <v>1.0</v>
      </c>
      <c r="G1062" s="93"/>
      <c r="H1062" s="93"/>
      <c r="I1062" s="93"/>
      <c r="J1062" s="93"/>
      <c r="K1062" s="93"/>
      <c r="L1062" s="93"/>
      <c r="M1062" s="93"/>
      <c r="N1062" s="93"/>
      <c r="O1062" s="93"/>
      <c r="P1062" s="93"/>
      <c r="Q1062" s="93"/>
      <c r="R1062" s="93"/>
      <c r="S1062" s="93"/>
      <c r="T1062" s="93"/>
      <c r="U1062" s="93"/>
      <c r="V1062" s="93"/>
      <c r="W1062" s="93"/>
      <c r="X1062" s="93"/>
      <c r="Y1062" s="93"/>
      <c r="Z1062" s="93"/>
      <c r="AA1062" s="93"/>
      <c r="AB1062" s="93"/>
      <c r="AC1062" s="93"/>
      <c r="AD1062" s="93"/>
      <c r="AE1062" s="93"/>
      <c r="AF1062" s="93"/>
      <c r="AG1062" s="93"/>
      <c r="AH1062" s="93"/>
      <c r="AI1062" s="93"/>
      <c r="AJ1062" s="93"/>
      <c r="AK1062" s="93"/>
      <c r="AL1062" s="93"/>
      <c r="AM1062" s="93"/>
      <c r="AN1062" s="93"/>
      <c r="AO1062" s="93"/>
      <c r="AP1062" s="93"/>
      <c r="AQ1062" s="93"/>
      <c r="AR1062" s="93"/>
      <c r="AS1062" s="93"/>
      <c r="AT1062" s="93"/>
      <c r="AU1062" s="93"/>
      <c r="AV1062" s="93"/>
      <c r="AW1062" s="93"/>
      <c r="AX1062" s="93"/>
      <c r="AY1062" s="93"/>
      <c r="AZ1062" s="93"/>
      <c r="BA1062" s="93"/>
      <c r="BB1062" s="93"/>
      <c r="BC1062" s="93"/>
      <c r="BD1062" s="93"/>
      <c r="BE1062" s="93"/>
      <c r="BF1062" s="93"/>
      <c r="BG1062" s="93"/>
      <c r="BH1062" s="93"/>
      <c r="BI1062" s="93"/>
      <c r="BJ1062" s="93"/>
      <c r="BK1062" s="93"/>
      <c r="BL1062" s="93"/>
      <c r="BM1062" s="93"/>
      <c r="BN1062" s="93"/>
      <c r="BO1062" s="93"/>
      <c r="BP1062" s="93"/>
      <c r="BQ1062" s="93"/>
      <c r="BR1062" s="93"/>
      <c r="BS1062" s="93"/>
      <c r="BT1062" s="93"/>
      <c r="BU1062" s="93"/>
      <c r="BV1062" s="93"/>
      <c r="BW1062" s="93"/>
      <c r="BX1062" s="93"/>
      <c r="BY1062" s="93"/>
      <c r="BZ1062" s="93"/>
    </row>
    <row r="1063">
      <c r="B1063" t="s">
        <v>3854</v>
      </c>
      <c r="C1063" s="89" t="s">
        <v>3855</v>
      </c>
      <c r="D1063" s="90" t="s">
        <v>3575</v>
      </c>
      <c r="E1063" s="91">
        <v>2018.0</v>
      </c>
      <c r="F1063" s="104">
        <v>1.0</v>
      </c>
      <c r="G1063" s="93"/>
      <c r="H1063" s="93"/>
      <c r="I1063" s="93"/>
      <c r="J1063" s="93"/>
      <c r="K1063" s="93"/>
      <c r="L1063" s="93"/>
      <c r="M1063" s="93"/>
      <c r="N1063" s="93"/>
      <c r="O1063" s="93"/>
      <c r="P1063" s="93"/>
      <c r="Q1063" s="93"/>
      <c r="R1063" s="93"/>
      <c r="S1063" s="93"/>
      <c r="T1063" s="93"/>
      <c r="U1063" s="93"/>
      <c r="V1063" s="93"/>
      <c r="W1063" s="93"/>
      <c r="X1063" s="93"/>
      <c r="Y1063" s="93"/>
      <c r="Z1063" s="93"/>
      <c r="AA1063" s="93"/>
      <c r="AB1063" s="93"/>
      <c r="AC1063" s="93"/>
      <c r="AD1063" s="93"/>
      <c r="AE1063" s="93"/>
      <c r="AF1063" s="93"/>
      <c r="AG1063" s="93"/>
      <c r="AH1063" s="93"/>
      <c r="AI1063" s="93"/>
      <c r="AJ1063" s="93"/>
      <c r="AK1063" s="93"/>
      <c r="AL1063" s="93"/>
      <c r="AM1063" s="93"/>
      <c r="AN1063" s="93"/>
      <c r="AO1063" s="93"/>
      <c r="AP1063" s="93"/>
      <c r="AQ1063" s="93"/>
      <c r="AR1063" s="93"/>
      <c r="AS1063" s="93"/>
      <c r="AT1063" s="93"/>
      <c r="AU1063" s="93"/>
      <c r="AV1063" s="93"/>
      <c r="AW1063" s="93"/>
      <c r="AX1063" s="93"/>
      <c r="AY1063" s="93"/>
      <c r="AZ1063" s="93"/>
      <c r="BA1063" s="93"/>
      <c r="BB1063" s="93"/>
      <c r="BC1063" s="93"/>
      <c r="BD1063" s="93"/>
      <c r="BE1063" s="93"/>
      <c r="BF1063" s="93"/>
      <c r="BG1063" s="93"/>
      <c r="BH1063" s="93"/>
      <c r="BI1063" s="93"/>
      <c r="BJ1063" s="93"/>
      <c r="BK1063" s="93"/>
      <c r="BL1063" s="93"/>
      <c r="BM1063" s="93"/>
      <c r="BN1063" s="93"/>
      <c r="BO1063" s="93"/>
      <c r="BP1063" s="93"/>
      <c r="BQ1063" s="93"/>
      <c r="BR1063" s="93"/>
      <c r="BS1063" s="93"/>
      <c r="BT1063" s="93"/>
      <c r="BU1063" s="93"/>
      <c r="BV1063" s="93"/>
      <c r="BW1063" s="93"/>
      <c r="BX1063" s="93"/>
      <c r="BY1063" s="93"/>
      <c r="BZ1063" s="93"/>
    </row>
    <row r="1064">
      <c r="B1064" t="s">
        <v>3856</v>
      </c>
      <c r="C1064" s="89" t="s">
        <v>3857</v>
      </c>
      <c r="D1064" s="90" t="s">
        <v>3582</v>
      </c>
      <c r="E1064" s="91">
        <v>2016.0</v>
      </c>
      <c r="F1064" s="104">
        <v>1.0</v>
      </c>
      <c r="G1064" s="93"/>
      <c r="H1064" s="93"/>
      <c r="I1064" s="93"/>
      <c r="J1064" s="93"/>
      <c r="K1064" s="93"/>
      <c r="L1064" s="93"/>
      <c r="M1064" s="93"/>
      <c r="N1064" s="93"/>
      <c r="O1064" s="93"/>
      <c r="P1064" s="93"/>
      <c r="Q1064" s="93"/>
      <c r="R1064" s="93"/>
      <c r="S1064" s="93"/>
      <c r="T1064" s="93"/>
      <c r="U1064" s="93"/>
      <c r="V1064" s="93"/>
      <c r="W1064" s="93"/>
      <c r="X1064" s="93"/>
      <c r="Y1064" s="93"/>
      <c r="Z1064" s="93"/>
      <c r="AA1064" s="93"/>
      <c r="AB1064" s="93"/>
      <c r="AC1064" s="93"/>
      <c r="AD1064" s="93"/>
      <c r="AE1064" s="93"/>
      <c r="AF1064" s="93"/>
      <c r="AG1064" s="93"/>
      <c r="AH1064" s="93"/>
      <c r="AI1064" s="93"/>
      <c r="AJ1064" s="93"/>
      <c r="AK1064" s="93"/>
      <c r="AL1064" s="93"/>
      <c r="AM1064" s="93"/>
      <c r="AN1064" s="93"/>
      <c r="AO1064" s="93"/>
      <c r="AP1064" s="93"/>
      <c r="AQ1064" s="93"/>
      <c r="AR1064" s="93"/>
      <c r="AS1064" s="93"/>
      <c r="AT1064" s="93"/>
      <c r="AU1064" s="93"/>
      <c r="AV1064" s="93"/>
      <c r="AW1064" s="93"/>
      <c r="AX1064" s="93"/>
      <c r="AY1064" s="93"/>
      <c r="AZ1064" s="93"/>
      <c r="BA1064" s="93"/>
      <c r="BB1064" s="93"/>
      <c r="BC1064" s="93"/>
      <c r="BD1064" s="93"/>
      <c r="BE1064" s="93"/>
      <c r="BF1064" s="93"/>
      <c r="BG1064" s="93"/>
      <c r="BH1064" s="93"/>
      <c r="BI1064" s="93"/>
      <c r="BJ1064" s="93"/>
      <c r="BK1064" s="93"/>
      <c r="BL1064" s="93"/>
      <c r="BM1064" s="93"/>
      <c r="BN1064" s="93"/>
      <c r="BO1064" s="93"/>
      <c r="BP1064" s="93"/>
      <c r="BQ1064" s="93"/>
      <c r="BR1064" s="93"/>
      <c r="BS1064" s="93"/>
      <c r="BT1064" s="93"/>
      <c r="BU1064" s="93"/>
      <c r="BV1064" s="93"/>
      <c r="BW1064" s="93"/>
      <c r="BX1064" s="93"/>
      <c r="BY1064" s="93"/>
      <c r="BZ1064" s="93"/>
    </row>
    <row r="1065">
      <c r="B1065" t="s">
        <v>3858</v>
      </c>
      <c r="C1065" s="89" t="s">
        <v>3859</v>
      </c>
      <c r="D1065" s="90" t="s">
        <v>2909</v>
      </c>
      <c r="E1065" s="91">
        <v>2016.0</v>
      </c>
      <c r="F1065" s="104">
        <v>1.0</v>
      </c>
      <c r="G1065" s="93"/>
      <c r="H1065" s="93"/>
      <c r="I1065" s="93"/>
      <c r="J1065" s="93"/>
      <c r="K1065" s="93"/>
      <c r="L1065" s="93"/>
      <c r="M1065" s="93"/>
      <c r="N1065" s="93"/>
      <c r="O1065" s="93"/>
      <c r="P1065" s="93"/>
      <c r="Q1065" s="93"/>
      <c r="R1065" s="93"/>
      <c r="S1065" s="93"/>
      <c r="T1065" s="93"/>
      <c r="U1065" s="93"/>
      <c r="V1065" s="93"/>
      <c r="W1065" s="93"/>
      <c r="X1065" s="93"/>
      <c r="Y1065" s="93"/>
      <c r="Z1065" s="93"/>
      <c r="AA1065" s="93"/>
      <c r="AB1065" s="93"/>
      <c r="AC1065" s="93"/>
      <c r="AD1065" s="93"/>
      <c r="AE1065" s="93"/>
      <c r="AF1065" s="93"/>
      <c r="AG1065" s="93"/>
      <c r="AH1065" s="93"/>
      <c r="AI1065" s="93"/>
      <c r="AJ1065" s="93"/>
      <c r="AK1065" s="93"/>
      <c r="AL1065" s="93"/>
      <c r="AM1065" s="93"/>
      <c r="AN1065" s="93"/>
      <c r="AO1065" s="93"/>
      <c r="AP1065" s="93"/>
      <c r="AQ1065" s="93"/>
      <c r="AR1065" s="93"/>
      <c r="AS1065" s="93"/>
      <c r="AT1065" s="93"/>
      <c r="AU1065" s="93"/>
      <c r="AV1065" s="93"/>
      <c r="AW1065" s="93"/>
      <c r="AX1065" s="93"/>
      <c r="AY1065" s="93"/>
      <c r="AZ1065" s="93"/>
      <c r="BA1065" s="93"/>
      <c r="BB1065" s="93"/>
      <c r="BC1065" s="93"/>
      <c r="BD1065" s="93"/>
      <c r="BE1065" s="93"/>
      <c r="BF1065" s="93"/>
      <c r="BG1065" s="93"/>
      <c r="BH1065" s="93"/>
      <c r="BI1065" s="93"/>
      <c r="BJ1065" s="93"/>
      <c r="BK1065" s="93"/>
      <c r="BL1065" s="93"/>
      <c r="BM1065" s="93"/>
      <c r="BN1065" s="93"/>
      <c r="BO1065" s="93"/>
      <c r="BP1065" s="93"/>
      <c r="BQ1065" s="93"/>
      <c r="BR1065" s="93"/>
      <c r="BS1065" s="93"/>
      <c r="BT1065" s="93"/>
      <c r="BU1065" s="93"/>
      <c r="BV1065" s="93"/>
      <c r="BW1065" s="93"/>
      <c r="BX1065" s="93"/>
      <c r="BY1065" s="93"/>
      <c r="BZ1065" s="93"/>
    </row>
    <row r="1066">
      <c r="B1066" t="s">
        <v>3860</v>
      </c>
      <c r="C1066" s="89" t="s">
        <v>3861</v>
      </c>
      <c r="D1066" s="90" t="s">
        <v>3555</v>
      </c>
      <c r="E1066" s="91">
        <v>2015.0</v>
      </c>
      <c r="F1066" s="104">
        <v>1.0</v>
      </c>
      <c r="G1066" s="93"/>
      <c r="H1066" s="93"/>
      <c r="I1066" s="93"/>
      <c r="J1066" s="93"/>
      <c r="K1066" s="93"/>
      <c r="L1066" s="93"/>
      <c r="M1066" s="93"/>
      <c r="N1066" s="93"/>
      <c r="O1066" s="93"/>
      <c r="P1066" s="93"/>
      <c r="Q1066" s="93"/>
      <c r="R1066" s="93"/>
      <c r="S1066" s="93"/>
      <c r="T1066" s="93"/>
      <c r="U1066" s="93"/>
      <c r="V1066" s="93"/>
      <c r="W1066" s="93"/>
      <c r="X1066" s="93"/>
      <c r="Y1066" s="93"/>
      <c r="Z1066" s="93"/>
      <c r="AA1066" s="93"/>
      <c r="AB1066" s="93"/>
      <c r="AC1066" s="93"/>
      <c r="AD1066" s="93"/>
      <c r="AE1066" s="93"/>
      <c r="AF1066" s="93"/>
      <c r="AG1066" s="93"/>
      <c r="AH1066" s="93"/>
      <c r="AI1066" s="93"/>
      <c r="AJ1066" s="93"/>
      <c r="AK1066" s="93"/>
      <c r="AL1066" s="93"/>
      <c r="AM1066" s="93"/>
      <c r="AN1066" s="93"/>
      <c r="AO1066" s="93"/>
      <c r="AP1066" s="93"/>
      <c r="AQ1066" s="93"/>
      <c r="AR1066" s="93"/>
      <c r="AS1066" s="93"/>
      <c r="AT1066" s="93"/>
      <c r="AU1066" s="93"/>
      <c r="AV1066" s="93"/>
      <c r="AW1066" s="93"/>
      <c r="AX1066" s="93"/>
      <c r="AY1066" s="93"/>
      <c r="AZ1066" s="93"/>
      <c r="BA1066" s="93"/>
      <c r="BB1066" s="93"/>
      <c r="BC1066" s="93"/>
      <c r="BD1066" s="93"/>
      <c r="BE1066" s="93"/>
      <c r="BF1066" s="93"/>
      <c r="BG1066" s="93"/>
      <c r="BH1066" s="93"/>
      <c r="BI1066" s="93"/>
      <c r="BJ1066" s="93"/>
      <c r="BK1066" s="93"/>
      <c r="BL1066" s="93"/>
      <c r="BM1066" s="93"/>
      <c r="BN1066" s="93"/>
      <c r="BO1066" s="93"/>
      <c r="BP1066" s="93"/>
      <c r="BQ1066" s="93"/>
      <c r="BR1066" s="93"/>
      <c r="BS1066" s="93"/>
      <c r="BT1066" s="93"/>
      <c r="BU1066" s="93"/>
      <c r="BV1066" s="93"/>
      <c r="BW1066" s="93"/>
      <c r="BX1066" s="93"/>
      <c r="BY1066" s="93"/>
      <c r="BZ1066" s="93"/>
    </row>
    <row r="1067">
      <c r="B1067" t="s">
        <v>3862</v>
      </c>
      <c r="C1067" s="89" t="s">
        <v>3863</v>
      </c>
      <c r="D1067" s="90" t="s">
        <v>2874</v>
      </c>
      <c r="E1067" s="91">
        <v>2017.0</v>
      </c>
      <c r="F1067" s="104">
        <v>1.0</v>
      </c>
      <c r="G1067" s="93"/>
      <c r="H1067" s="93"/>
      <c r="I1067" s="93"/>
      <c r="J1067" s="93"/>
      <c r="K1067" s="93"/>
      <c r="L1067" s="93"/>
      <c r="M1067" s="93"/>
      <c r="N1067" s="93"/>
      <c r="O1067" s="93"/>
      <c r="P1067" s="93"/>
      <c r="Q1067" s="93"/>
      <c r="R1067" s="93"/>
      <c r="S1067" s="93"/>
      <c r="T1067" s="93"/>
      <c r="U1067" s="93"/>
      <c r="V1067" s="93"/>
      <c r="W1067" s="93"/>
      <c r="X1067" s="93"/>
      <c r="Y1067" s="93"/>
      <c r="Z1067" s="93"/>
      <c r="AA1067" s="93"/>
      <c r="AB1067" s="93"/>
      <c r="AC1067" s="93"/>
      <c r="AD1067" s="93"/>
      <c r="AE1067" s="93"/>
      <c r="AF1067" s="93"/>
      <c r="AG1067" s="93"/>
      <c r="AH1067" s="93"/>
      <c r="AI1067" s="93"/>
      <c r="AJ1067" s="93"/>
      <c r="AK1067" s="93"/>
      <c r="AL1067" s="93"/>
      <c r="AM1067" s="93"/>
      <c r="AN1067" s="93"/>
      <c r="AO1067" s="93"/>
      <c r="AP1067" s="93"/>
      <c r="AQ1067" s="93"/>
      <c r="AR1067" s="93"/>
      <c r="AS1067" s="93"/>
      <c r="AT1067" s="93"/>
      <c r="AU1067" s="93"/>
      <c r="AV1067" s="93"/>
      <c r="AW1067" s="93"/>
      <c r="AX1067" s="93"/>
      <c r="AY1067" s="93"/>
      <c r="AZ1067" s="93"/>
      <c r="BA1067" s="93"/>
      <c r="BB1067" s="93"/>
      <c r="BC1067" s="93"/>
      <c r="BD1067" s="93"/>
      <c r="BE1067" s="93"/>
      <c r="BF1067" s="93"/>
      <c r="BG1067" s="93"/>
      <c r="BH1067" s="93"/>
      <c r="BI1067" s="93"/>
      <c r="BJ1067" s="93"/>
      <c r="BK1067" s="93"/>
      <c r="BL1067" s="93"/>
      <c r="BM1067" s="93"/>
      <c r="BN1067" s="93"/>
      <c r="BO1067" s="93"/>
      <c r="BP1067" s="93"/>
      <c r="BQ1067" s="93"/>
      <c r="BR1067" s="93"/>
      <c r="BS1067" s="93"/>
      <c r="BT1067" s="93"/>
      <c r="BU1067" s="93"/>
      <c r="BV1067" s="93"/>
      <c r="BW1067" s="93"/>
      <c r="BX1067" s="93"/>
      <c r="BY1067" s="93"/>
      <c r="BZ1067" s="93"/>
    </row>
    <row r="1068">
      <c r="B1068" t="s">
        <v>3864</v>
      </c>
      <c r="C1068" s="89" t="s">
        <v>3865</v>
      </c>
      <c r="D1068" s="90" t="s">
        <v>2874</v>
      </c>
      <c r="E1068" s="91">
        <v>2017.0</v>
      </c>
      <c r="F1068" s="104">
        <v>1.0</v>
      </c>
      <c r="G1068" s="93"/>
      <c r="H1068" s="93"/>
      <c r="I1068" s="93"/>
      <c r="J1068" s="93"/>
      <c r="K1068" s="93"/>
      <c r="L1068" s="93"/>
      <c r="M1068" s="93"/>
      <c r="N1068" s="93"/>
      <c r="O1068" s="93"/>
      <c r="P1068" s="93"/>
      <c r="Q1068" s="93"/>
      <c r="R1068" s="93"/>
      <c r="S1068" s="93"/>
      <c r="T1068" s="93"/>
      <c r="U1068" s="93"/>
      <c r="V1068" s="93"/>
      <c r="W1068" s="93"/>
      <c r="X1068" s="93"/>
      <c r="Y1068" s="93"/>
      <c r="Z1068" s="93"/>
      <c r="AA1068" s="93"/>
      <c r="AB1068" s="93"/>
      <c r="AC1068" s="93"/>
      <c r="AD1068" s="93"/>
      <c r="AE1068" s="93"/>
      <c r="AF1068" s="93"/>
      <c r="AG1068" s="93"/>
      <c r="AH1068" s="93"/>
      <c r="AI1068" s="93"/>
      <c r="AJ1068" s="93"/>
      <c r="AK1068" s="93"/>
      <c r="AL1068" s="93"/>
      <c r="AM1068" s="93"/>
      <c r="AN1068" s="93"/>
      <c r="AO1068" s="93"/>
      <c r="AP1068" s="93"/>
      <c r="AQ1068" s="93"/>
      <c r="AR1068" s="93"/>
      <c r="AS1068" s="93"/>
      <c r="AT1068" s="93"/>
      <c r="AU1068" s="93"/>
      <c r="AV1068" s="93"/>
      <c r="AW1068" s="93"/>
      <c r="AX1068" s="93"/>
      <c r="AY1068" s="93"/>
      <c r="AZ1068" s="93"/>
      <c r="BA1068" s="93"/>
      <c r="BB1068" s="93"/>
      <c r="BC1068" s="93"/>
      <c r="BD1068" s="93"/>
      <c r="BE1068" s="93"/>
      <c r="BF1068" s="93"/>
      <c r="BG1068" s="93"/>
      <c r="BH1068" s="93"/>
      <c r="BI1068" s="93"/>
      <c r="BJ1068" s="93"/>
      <c r="BK1068" s="93"/>
      <c r="BL1068" s="93"/>
      <c r="BM1068" s="93"/>
      <c r="BN1068" s="93"/>
      <c r="BO1068" s="93"/>
      <c r="BP1068" s="93"/>
      <c r="BQ1068" s="93"/>
      <c r="BR1068" s="93"/>
      <c r="BS1068" s="93"/>
      <c r="BT1068" s="93"/>
      <c r="BU1068" s="93"/>
      <c r="BV1068" s="93"/>
      <c r="BW1068" s="93"/>
      <c r="BX1068" s="93"/>
      <c r="BY1068" s="93"/>
      <c r="BZ1068" s="93"/>
    </row>
    <row r="1069">
      <c r="B1069" t="s">
        <v>3866</v>
      </c>
      <c r="C1069" s="89" t="s">
        <v>3867</v>
      </c>
      <c r="D1069" s="90" t="s">
        <v>2912</v>
      </c>
      <c r="E1069" s="91">
        <v>2019.0</v>
      </c>
      <c r="F1069" s="104">
        <v>1.0</v>
      </c>
      <c r="G1069" s="93"/>
      <c r="H1069" s="93"/>
      <c r="I1069" s="93"/>
      <c r="J1069" s="93"/>
      <c r="K1069" s="93"/>
      <c r="L1069" s="93"/>
      <c r="M1069" s="93"/>
      <c r="N1069" s="93"/>
      <c r="O1069" s="93"/>
      <c r="P1069" s="93"/>
      <c r="Q1069" s="93"/>
      <c r="R1069" s="93"/>
      <c r="S1069" s="93"/>
      <c r="T1069" s="93"/>
      <c r="U1069" s="93"/>
      <c r="V1069" s="93"/>
      <c r="W1069" s="93"/>
      <c r="X1069" s="93"/>
      <c r="Y1069" s="93"/>
      <c r="Z1069" s="93"/>
      <c r="AA1069" s="93"/>
      <c r="AB1069" s="93"/>
      <c r="AC1069" s="93"/>
      <c r="AD1069" s="93"/>
      <c r="AE1069" s="93"/>
      <c r="AF1069" s="93"/>
      <c r="AG1069" s="93"/>
      <c r="AH1069" s="93"/>
      <c r="AI1069" s="93"/>
      <c r="AJ1069" s="93"/>
      <c r="AK1069" s="93"/>
      <c r="AL1069" s="93"/>
      <c r="AM1069" s="93"/>
      <c r="AN1069" s="93"/>
      <c r="AO1069" s="93"/>
      <c r="AP1069" s="93"/>
      <c r="AQ1069" s="93"/>
      <c r="AR1069" s="93"/>
      <c r="AS1069" s="93"/>
      <c r="AT1069" s="93"/>
      <c r="AU1069" s="93"/>
      <c r="AV1069" s="93"/>
      <c r="AW1069" s="93"/>
      <c r="AX1069" s="93"/>
      <c r="AY1069" s="93"/>
      <c r="AZ1069" s="93"/>
      <c r="BA1069" s="93"/>
      <c r="BB1069" s="93"/>
      <c r="BC1069" s="93"/>
      <c r="BD1069" s="93"/>
      <c r="BE1069" s="93"/>
      <c r="BF1069" s="93"/>
      <c r="BG1069" s="93"/>
      <c r="BH1069" s="93"/>
      <c r="BI1069" s="93"/>
      <c r="BJ1069" s="93"/>
      <c r="BK1069" s="93"/>
      <c r="BL1069" s="93"/>
      <c r="BM1069" s="93"/>
      <c r="BN1069" s="93"/>
      <c r="BO1069" s="93"/>
      <c r="BP1069" s="93"/>
      <c r="BQ1069" s="93"/>
      <c r="BR1069" s="93"/>
      <c r="BS1069" s="93"/>
      <c r="BT1069" s="93"/>
      <c r="BU1069" s="93"/>
      <c r="BV1069" s="93"/>
      <c r="BW1069" s="93"/>
      <c r="BX1069" s="93"/>
      <c r="BY1069" s="93"/>
      <c r="BZ1069" s="93"/>
    </row>
    <row r="1070">
      <c r="B1070" t="s">
        <v>3868</v>
      </c>
      <c r="C1070" s="89" t="s">
        <v>3869</v>
      </c>
      <c r="D1070" s="90" t="s">
        <v>3229</v>
      </c>
      <c r="E1070" s="91">
        <v>2018.0</v>
      </c>
      <c r="F1070" s="104">
        <v>1.0</v>
      </c>
      <c r="G1070" s="93"/>
      <c r="H1070" s="93"/>
      <c r="I1070" s="93"/>
      <c r="J1070" s="93"/>
      <c r="K1070" s="93"/>
      <c r="L1070" s="93"/>
      <c r="M1070" s="93"/>
      <c r="N1070" s="93"/>
      <c r="O1070" s="93"/>
      <c r="P1070" s="93"/>
      <c r="Q1070" s="93"/>
      <c r="R1070" s="93"/>
      <c r="S1070" s="93"/>
      <c r="T1070" s="93"/>
      <c r="U1070" s="93"/>
      <c r="V1070" s="93"/>
      <c r="W1070" s="93"/>
      <c r="X1070" s="93"/>
      <c r="Y1070" s="93"/>
      <c r="Z1070" s="93"/>
      <c r="AA1070" s="93"/>
      <c r="AB1070" s="93"/>
      <c r="AC1070" s="93"/>
      <c r="AD1070" s="93"/>
      <c r="AE1070" s="93"/>
      <c r="AF1070" s="93"/>
      <c r="AG1070" s="93"/>
      <c r="AH1070" s="93"/>
      <c r="AI1070" s="93"/>
      <c r="AJ1070" s="93"/>
      <c r="AK1070" s="93"/>
      <c r="AL1070" s="93"/>
      <c r="AM1070" s="93"/>
      <c r="AN1070" s="93"/>
      <c r="AO1070" s="93"/>
      <c r="AP1070" s="93"/>
      <c r="AQ1070" s="93"/>
      <c r="AR1070" s="93"/>
      <c r="AS1070" s="93"/>
      <c r="AT1070" s="93"/>
      <c r="AU1070" s="93"/>
      <c r="AV1070" s="93"/>
      <c r="AW1070" s="93"/>
      <c r="AX1070" s="93"/>
      <c r="AY1070" s="93"/>
      <c r="AZ1070" s="93"/>
      <c r="BA1070" s="93"/>
      <c r="BB1070" s="93"/>
      <c r="BC1070" s="93"/>
      <c r="BD1070" s="93"/>
      <c r="BE1070" s="93"/>
      <c r="BF1070" s="93"/>
      <c r="BG1070" s="93"/>
      <c r="BH1070" s="93"/>
      <c r="BI1070" s="93"/>
      <c r="BJ1070" s="93"/>
      <c r="BK1070" s="93"/>
      <c r="BL1070" s="93"/>
      <c r="BM1070" s="93"/>
      <c r="BN1070" s="93"/>
      <c r="BO1070" s="93"/>
      <c r="BP1070" s="93"/>
      <c r="BQ1070" s="93"/>
      <c r="BR1070" s="93"/>
      <c r="BS1070" s="93"/>
      <c r="BT1070" s="93"/>
      <c r="BU1070" s="93"/>
      <c r="BV1070" s="93"/>
      <c r="BW1070" s="93"/>
      <c r="BX1070" s="93"/>
      <c r="BY1070" s="93"/>
      <c r="BZ1070" s="93"/>
    </row>
    <row r="1071">
      <c r="A1071" t="s">
        <v>1331</v>
      </c>
      <c r="B1071" t="s">
        <v>3870</v>
      </c>
      <c r="C1071" s="89" t="s">
        <v>3871</v>
      </c>
      <c r="D1071" s="90" t="s">
        <v>3872</v>
      </c>
      <c r="E1071" s="91">
        <v>2018.0</v>
      </c>
      <c r="F1071" s="104">
        <v>1.0</v>
      </c>
      <c r="G1071" s="93"/>
      <c r="H1071" s="93"/>
      <c r="I1071" s="93"/>
      <c r="J1071" s="93"/>
      <c r="K1071" s="93"/>
      <c r="L1071" s="93"/>
      <c r="M1071" s="93"/>
      <c r="N1071" s="93"/>
      <c r="O1071" s="93"/>
      <c r="P1071" s="93"/>
      <c r="Q1071" s="93"/>
      <c r="R1071" s="93"/>
      <c r="S1071" s="93"/>
      <c r="T1071" s="93"/>
      <c r="U1071" s="93"/>
      <c r="V1071" s="93"/>
      <c r="W1071" s="93"/>
      <c r="X1071" s="93"/>
      <c r="Y1071" s="93"/>
      <c r="Z1071" s="93"/>
      <c r="AA1071" s="93"/>
      <c r="AB1071" s="93"/>
      <c r="AC1071" s="93"/>
      <c r="AD1071" s="93"/>
      <c r="AE1071" s="93"/>
      <c r="AF1071" s="93"/>
      <c r="AG1071" s="93"/>
      <c r="AH1071" s="93"/>
      <c r="AI1071" s="93"/>
      <c r="AJ1071" s="93"/>
      <c r="AK1071" s="93"/>
      <c r="AL1071" s="93"/>
      <c r="AM1071" s="93"/>
      <c r="AN1071" s="93"/>
      <c r="AO1071" s="93"/>
      <c r="AP1071" s="93"/>
      <c r="AQ1071" s="93"/>
      <c r="AR1071" s="93"/>
      <c r="AS1071" s="93"/>
      <c r="AT1071" s="93"/>
      <c r="AU1071" s="93"/>
      <c r="AV1071" s="93"/>
      <c r="AW1071" s="93"/>
      <c r="AX1071" s="93"/>
      <c r="AY1071" s="93"/>
      <c r="AZ1071" s="93"/>
      <c r="BA1071" s="93"/>
      <c r="BB1071" s="93"/>
      <c r="BC1071" s="93"/>
      <c r="BD1071" s="93"/>
      <c r="BE1071" s="93"/>
      <c r="BF1071" s="93"/>
      <c r="BG1071" s="93"/>
      <c r="BH1071" s="93"/>
      <c r="BI1071" s="93"/>
      <c r="BJ1071" s="93"/>
      <c r="BK1071" s="93"/>
      <c r="BL1071" s="93"/>
      <c r="BM1071" s="93"/>
      <c r="BN1071" s="93"/>
      <c r="BO1071" s="93"/>
      <c r="BP1071" s="93"/>
      <c r="BQ1071" s="93"/>
      <c r="BR1071" s="93"/>
      <c r="BS1071" s="93"/>
      <c r="BT1071" s="93"/>
      <c r="BU1071" s="93"/>
      <c r="BV1071" s="93"/>
      <c r="BW1071" s="93"/>
      <c r="BX1071" s="93"/>
      <c r="BY1071" s="93"/>
      <c r="BZ1071" s="93"/>
    </row>
    <row r="1072">
      <c r="B1072" t="s">
        <v>3873</v>
      </c>
      <c r="C1072" s="89" t="s">
        <v>3874</v>
      </c>
      <c r="D1072" s="90" t="s">
        <v>3875</v>
      </c>
      <c r="E1072" s="91">
        <v>2018.0</v>
      </c>
      <c r="F1072" s="104">
        <v>1.0</v>
      </c>
      <c r="G1072" s="93"/>
      <c r="H1072" s="93"/>
      <c r="I1072" s="93"/>
      <c r="J1072" s="93"/>
      <c r="K1072" s="93"/>
      <c r="L1072" s="93"/>
      <c r="M1072" s="93"/>
      <c r="N1072" s="93"/>
      <c r="O1072" s="93"/>
      <c r="P1072" s="93"/>
      <c r="Q1072" s="93"/>
      <c r="R1072" s="93"/>
      <c r="S1072" s="93"/>
      <c r="T1072" s="93"/>
      <c r="U1072" s="93"/>
      <c r="V1072" s="93"/>
      <c r="W1072" s="93"/>
      <c r="X1072" s="93"/>
      <c r="Y1072" s="93"/>
      <c r="Z1072" s="93"/>
      <c r="AA1072" s="93"/>
      <c r="AB1072" s="93"/>
      <c r="AC1072" s="93"/>
      <c r="AD1072" s="93"/>
      <c r="AE1072" s="93"/>
      <c r="AF1072" s="93"/>
      <c r="AG1072" s="93"/>
      <c r="AH1072" s="93"/>
      <c r="AI1072" s="93"/>
      <c r="AJ1072" s="93"/>
      <c r="AK1072" s="93"/>
      <c r="AL1072" s="93"/>
      <c r="AM1072" s="93"/>
      <c r="AN1072" s="93"/>
      <c r="AO1072" s="93"/>
      <c r="AP1072" s="93"/>
      <c r="AQ1072" s="93"/>
      <c r="AR1072" s="93"/>
      <c r="AS1072" s="93"/>
      <c r="AT1072" s="93"/>
      <c r="AU1072" s="93"/>
      <c r="AV1072" s="93"/>
      <c r="AW1072" s="93"/>
      <c r="AX1072" s="93"/>
      <c r="AY1072" s="93"/>
      <c r="AZ1072" s="93"/>
      <c r="BA1072" s="93"/>
      <c r="BB1072" s="93"/>
      <c r="BC1072" s="93"/>
      <c r="BD1072" s="93"/>
      <c r="BE1072" s="93"/>
      <c r="BF1072" s="93"/>
      <c r="BG1072" s="93"/>
      <c r="BH1072" s="93"/>
      <c r="BI1072" s="93"/>
      <c r="BJ1072" s="93"/>
      <c r="BK1072" s="93"/>
      <c r="BL1072" s="93"/>
      <c r="BM1072" s="93"/>
      <c r="BN1072" s="93"/>
      <c r="BO1072" s="93"/>
      <c r="BP1072" s="93"/>
      <c r="BQ1072" s="93"/>
      <c r="BR1072" s="93"/>
      <c r="BS1072" s="93"/>
      <c r="BT1072" s="93"/>
      <c r="BU1072" s="93"/>
      <c r="BV1072" s="93"/>
      <c r="BW1072" s="93"/>
      <c r="BX1072" s="93"/>
      <c r="BY1072" s="93"/>
      <c r="BZ1072" s="93"/>
    </row>
    <row r="1073">
      <c r="B1073" t="s">
        <v>3876</v>
      </c>
      <c r="C1073" s="89" t="s">
        <v>3877</v>
      </c>
      <c r="D1073" s="90" t="s">
        <v>3561</v>
      </c>
      <c r="E1073" s="91">
        <v>2019.0</v>
      </c>
      <c r="F1073" s="104">
        <v>1.0</v>
      </c>
      <c r="G1073" s="93"/>
      <c r="H1073" s="93"/>
      <c r="I1073" s="93"/>
      <c r="J1073" s="93"/>
      <c r="K1073" s="93"/>
      <c r="L1073" s="93"/>
      <c r="M1073" s="93"/>
      <c r="N1073" s="93"/>
      <c r="O1073" s="93"/>
      <c r="P1073" s="93"/>
      <c r="Q1073" s="93"/>
      <c r="R1073" s="93"/>
      <c r="S1073" s="93"/>
      <c r="T1073" s="93"/>
      <c r="U1073" s="93"/>
      <c r="V1073" s="93"/>
      <c r="W1073" s="93"/>
      <c r="X1073" s="93"/>
      <c r="Y1073" s="93"/>
      <c r="Z1073" s="93"/>
      <c r="AA1073" s="93"/>
      <c r="AB1073" s="93"/>
      <c r="AC1073" s="93"/>
      <c r="AD1073" s="93"/>
      <c r="AE1073" s="93"/>
      <c r="AF1073" s="93"/>
      <c r="AG1073" s="93"/>
      <c r="AH1073" s="93"/>
      <c r="AI1073" s="93"/>
      <c r="AJ1073" s="93"/>
      <c r="AK1073" s="93"/>
      <c r="AL1073" s="93"/>
      <c r="AM1073" s="93"/>
      <c r="AN1073" s="93"/>
      <c r="AO1073" s="93"/>
      <c r="AP1073" s="93"/>
      <c r="AQ1073" s="93"/>
      <c r="AR1073" s="93"/>
      <c r="AS1073" s="93"/>
      <c r="AT1073" s="93"/>
      <c r="AU1073" s="93"/>
      <c r="AV1073" s="93"/>
      <c r="AW1073" s="93"/>
      <c r="AX1073" s="93"/>
      <c r="AY1073" s="93"/>
      <c r="AZ1073" s="93"/>
      <c r="BA1073" s="93"/>
      <c r="BB1073" s="93"/>
      <c r="BC1073" s="93"/>
      <c r="BD1073" s="93"/>
      <c r="BE1073" s="93"/>
      <c r="BF1073" s="93"/>
      <c r="BG1073" s="93"/>
      <c r="BH1073" s="93"/>
      <c r="BI1073" s="93"/>
      <c r="BJ1073" s="93"/>
      <c r="BK1073" s="93"/>
      <c r="BL1073" s="93"/>
      <c r="BM1073" s="93"/>
      <c r="BN1073" s="93"/>
      <c r="BO1073" s="93"/>
      <c r="BP1073" s="93"/>
      <c r="BQ1073" s="93"/>
      <c r="BR1073" s="93"/>
      <c r="BS1073" s="93"/>
      <c r="BT1073" s="93"/>
      <c r="BU1073" s="93"/>
      <c r="BV1073" s="93"/>
      <c r="BW1073" s="93"/>
      <c r="BX1073" s="93"/>
      <c r="BY1073" s="93"/>
      <c r="BZ1073" s="93"/>
    </row>
    <row r="1074">
      <c r="B1074" t="s">
        <v>3878</v>
      </c>
      <c r="C1074" s="89" t="s">
        <v>3879</v>
      </c>
      <c r="D1074" s="90" t="s">
        <v>777</v>
      </c>
      <c r="E1074" s="91">
        <v>2017.0</v>
      </c>
      <c r="F1074" s="104">
        <v>1.0</v>
      </c>
      <c r="G1074" s="93"/>
      <c r="H1074" s="93"/>
      <c r="I1074" s="93"/>
      <c r="J1074" s="93"/>
      <c r="K1074" s="93"/>
      <c r="L1074" s="93"/>
      <c r="M1074" s="93"/>
      <c r="N1074" s="93"/>
      <c r="O1074" s="93"/>
      <c r="P1074" s="93"/>
      <c r="Q1074" s="93"/>
      <c r="R1074" s="93"/>
      <c r="S1074" s="93"/>
      <c r="T1074" s="93"/>
      <c r="U1074" s="93"/>
      <c r="V1074" s="93"/>
      <c r="W1074" s="93"/>
      <c r="X1074" s="93"/>
      <c r="Y1074" s="93"/>
      <c r="Z1074" s="93"/>
      <c r="AA1074" s="93"/>
      <c r="AB1074" s="93"/>
      <c r="AC1074" s="93"/>
      <c r="AD1074" s="93"/>
      <c r="AE1074" s="93"/>
      <c r="AF1074" s="93"/>
      <c r="AG1074" s="93"/>
      <c r="AH1074" s="93"/>
      <c r="AI1074" s="93"/>
      <c r="AJ1074" s="93"/>
      <c r="AK1074" s="93"/>
      <c r="AL1074" s="93"/>
      <c r="AM1074" s="93"/>
      <c r="AN1074" s="93"/>
      <c r="AO1074" s="93"/>
      <c r="AP1074" s="93"/>
      <c r="AQ1074" s="93"/>
      <c r="AR1074" s="93"/>
      <c r="AS1074" s="93"/>
      <c r="AT1074" s="93"/>
      <c r="AU1074" s="93"/>
      <c r="AV1074" s="93"/>
      <c r="AW1074" s="93"/>
      <c r="AX1074" s="93"/>
      <c r="AY1074" s="93"/>
      <c r="AZ1074" s="93"/>
      <c r="BA1074" s="93"/>
      <c r="BB1074" s="93"/>
      <c r="BC1074" s="93"/>
      <c r="BD1074" s="93"/>
      <c r="BE1074" s="93"/>
      <c r="BF1074" s="93"/>
      <c r="BG1074" s="93"/>
      <c r="BH1074" s="93"/>
      <c r="BI1074" s="93"/>
      <c r="BJ1074" s="93"/>
      <c r="BK1074" s="93"/>
      <c r="BL1074" s="93"/>
      <c r="BM1074" s="93"/>
      <c r="BN1074" s="93"/>
      <c r="BO1074" s="93"/>
      <c r="BP1074" s="93"/>
      <c r="BQ1074" s="93"/>
      <c r="BR1074" s="93"/>
      <c r="BS1074" s="93"/>
      <c r="BT1074" s="93"/>
      <c r="BU1074" s="93"/>
      <c r="BV1074" s="93"/>
      <c r="BW1074" s="93"/>
      <c r="BX1074" s="93"/>
      <c r="BY1074" s="93"/>
      <c r="BZ1074" s="93"/>
    </row>
    <row r="1075">
      <c r="B1075" t="s">
        <v>3880</v>
      </c>
      <c r="C1075" s="89" t="s">
        <v>3881</v>
      </c>
      <c r="D1075" s="90" t="s">
        <v>3882</v>
      </c>
      <c r="E1075" s="91">
        <v>2018.0</v>
      </c>
      <c r="F1075" s="104">
        <v>1.0</v>
      </c>
      <c r="G1075" s="93"/>
      <c r="H1075" s="93"/>
      <c r="I1075" s="93"/>
      <c r="J1075" s="93"/>
      <c r="K1075" s="93"/>
      <c r="L1075" s="93"/>
      <c r="M1075" s="93"/>
      <c r="N1075" s="93"/>
      <c r="O1075" s="93"/>
      <c r="P1075" s="93"/>
      <c r="Q1075" s="93"/>
      <c r="R1075" s="93"/>
      <c r="S1075" s="93"/>
      <c r="T1075" s="93"/>
      <c r="U1075" s="93"/>
      <c r="V1075" s="93"/>
      <c r="W1075" s="93"/>
      <c r="X1075" s="93"/>
      <c r="Y1075" s="93"/>
      <c r="Z1075" s="93"/>
      <c r="AA1075" s="93"/>
      <c r="AB1075" s="93"/>
      <c r="AC1075" s="93"/>
      <c r="AD1075" s="93"/>
      <c r="AE1075" s="93"/>
      <c r="AF1075" s="93"/>
      <c r="AG1075" s="93"/>
      <c r="AH1075" s="93"/>
      <c r="AI1075" s="93"/>
      <c r="AJ1075" s="93"/>
      <c r="AK1075" s="93"/>
      <c r="AL1075" s="93"/>
      <c r="AM1075" s="93"/>
      <c r="AN1075" s="93"/>
      <c r="AO1075" s="93"/>
      <c r="AP1075" s="93"/>
      <c r="AQ1075" s="93"/>
      <c r="AR1075" s="93"/>
      <c r="AS1075" s="93"/>
      <c r="AT1075" s="93"/>
      <c r="AU1075" s="93"/>
      <c r="AV1075" s="93"/>
      <c r="AW1075" s="93"/>
      <c r="AX1075" s="93"/>
      <c r="AY1075" s="93"/>
      <c r="AZ1075" s="93"/>
      <c r="BA1075" s="93"/>
      <c r="BB1075" s="93"/>
      <c r="BC1075" s="93"/>
      <c r="BD1075" s="93"/>
      <c r="BE1075" s="93"/>
      <c r="BF1075" s="93"/>
      <c r="BG1075" s="93"/>
      <c r="BH1075" s="93"/>
      <c r="BI1075" s="93"/>
      <c r="BJ1075" s="93"/>
      <c r="BK1075" s="93"/>
      <c r="BL1075" s="93"/>
      <c r="BM1075" s="93"/>
      <c r="BN1075" s="93"/>
      <c r="BO1075" s="93"/>
      <c r="BP1075" s="93"/>
      <c r="BQ1075" s="93"/>
      <c r="BR1075" s="93"/>
      <c r="BS1075" s="93"/>
      <c r="BT1075" s="93"/>
      <c r="BU1075" s="93"/>
      <c r="BV1075" s="93"/>
      <c r="BW1075" s="93"/>
      <c r="BX1075" s="93"/>
      <c r="BY1075" s="93"/>
      <c r="BZ1075" s="93"/>
    </row>
    <row r="1076">
      <c r="B1076" t="s">
        <v>3883</v>
      </c>
      <c r="C1076" s="89" t="s">
        <v>3884</v>
      </c>
      <c r="D1076" s="90" t="s">
        <v>3144</v>
      </c>
      <c r="E1076" s="91">
        <v>2019.0</v>
      </c>
      <c r="F1076" s="104">
        <v>1.0</v>
      </c>
      <c r="G1076" s="93"/>
      <c r="H1076" s="93"/>
      <c r="I1076" s="93"/>
      <c r="J1076" s="93"/>
      <c r="K1076" s="93"/>
      <c r="L1076" s="93"/>
      <c r="M1076" s="93"/>
      <c r="N1076" s="93"/>
      <c r="O1076" s="93"/>
      <c r="P1076" s="93"/>
      <c r="Q1076" s="93"/>
      <c r="R1076" s="93"/>
      <c r="S1076" s="93"/>
      <c r="T1076" s="93"/>
      <c r="U1076" s="93"/>
      <c r="V1076" s="93"/>
      <c r="W1076" s="93"/>
      <c r="X1076" s="93"/>
      <c r="Y1076" s="93"/>
      <c r="Z1076" s="93"/>
      <c r="AA1076" s="93"/>
      <c r="AB1076" s="93"/>
      <c r="AC1076" s="93"/>
      <c r="AD1076" s="93"/>
      <c r="AE1076" s="93"/>
      <c r="AF1076" s="93"/>
      <c r="AG1076" s="93"/>
      <c r="AH1076" s="93"/>
      <c r="AI1076" s="93"/>
      <c r="AJ1076" s="93"/>
      <c r="AK1076" s="93"/>
      <c r="AL1076" s="93"/>
      <c r="AM1076" s="93"/>
      <c r="AN1076" s="93"/>
      <c r="AO1076" s="93"/>
      <c r="AP1076" s="93"/>
      <c r="AQ1076" s="93"/>
      <c r="AR1076" s="93"/>
      <c r="AS1076" s="93"/>
      <c r="AT1076" s="93"/>
      <c r="AU1076" s="93"/>
      <c r="AV1076" s="93"/>
      <c r="AW1076" s="93"/>
      <c r="AX1076" s="93"/>
      <c r="AY1076" s="93"/>
      <c r="AZ1076" s="93"/>
      <c r="BA1076" s="93"/>
      <c r="BB1076" s="93"/>
      <c r="BC1076" s="93"/>
      <c r="BD1076" s="93"/>
      <c r="BE1076" s="93"/>
      <c r="BF1076" s="93"/>
      <c r="BG1076" s="93"/>
      <c r="BH1076" s="93"/>
      <c r="BI1076" s="93"/>
      <c r="BJ1076" s="93"/>
      <c r="BK1076" s="93"/>
      <c r="BL1076" s="93"/>
      <c r="BM1076" s="93"/>
      <c r="BN1076" s="93"/>
      <c r="BO1076" s="93"/>
      <c r="BP1076" s="93"/>
      <c r="BQ1076" s="93"/>
      <c r="BR1076" s="93"/>
      <c r="BS1076" s="93"/>
      <c r="BT1076" s="93"/>
      <c r="BU1076" s="93"/>
      <c r="BV1076" s="93"/>
      <c r="BW1076" s="93"/>
      <c r="BX1076" s="93"/>
      <c r="BY1076" s="93"/>
      <c r="BZ1076" s="93"/>
    </row>
    <row r="1077">
      <c r="B1077" t="s">
        <v>3885</v>
      </c>
      <c r="C1077" s="89" t="s">
        <v>3886</v>
      </c>
      <c r="D1077" s="90" t="s">
        <v>2856</v>
      </c>
      <c r="E1077" s="91">
        <v>2016.0</v>
      </c>
      <c r="F1077" s="104">
        <v>1.0</v>
      </c>
      <c r="G1077" s="93"/>
      <c r="H1077" s="93"/>
      <c r="I1077" s="93"/>
      <c r="J1077" s="93"/>
      <c r="K1077" s="93"/>
      <c r="L1077" s="93"/>
      <c r="M1077" s="93"/>
      <c r="N1077" s="93"/>
      <c r="O1077" s="93"/>
      <c r="P1077" s="93"/>
      <c r="Q1077" s="93"/>
      <c r="R1077" s="93"/>
      <c r="S1077" s="93"/>
      <c r="T1077" s="93"/>
      <c r="U1077" s="93"/>
      <c r="V1077" s="93"/>
      <c r="W1077" s="93"/>
      <c r="X1077" s="93"/>
      <c r="Y1077" s="93"/>
      <c r="Z1077" s="93"/>
      <c r="AA1077" s="93"/>
      <c r="AB1077" s="93"/>
      <c r="AC1077" s="93"/>
      <c r="AD1077" s="93"/>
      <c r="AE1077" s="93"/>
      <c r="AF1077" s="93"/>
      <c r="AG1077" s="93"/>
      <c r="AH1077" s="93"/>
      <c r="AI1077" s="93"/>
      <c r="AJ1077" s="93"/>
      <c r="AK1077" s="93"/>
      <c r="AL1077" s="93"/>
      <c r="AM1077" s="93"/>
      <c r="AN1077" s="93"/>
      <c r="AO1077" s="93"/>
      <c r="AP1077" s="93"/>
      <c r="AQ1077" s="93"/>
      <c r="AR1077" s="93"/>
      <c r="AS1077" s="93"/>
      <c r="AT1077" s="93"/>
      <c r="AU1077" s="93"/>
      <c r="AV1077" s="93"/>
      <c r="AW1077" s="93"/>
      <c r="AX1077" s="93"/>
      <c r="AY1077" s="93"/>
      <c r="AZ1077" s="93"/>
      <c r="BA1077" s="93"/>
      <c r="BB1077" s="93"/>
      <c r="BC1077" s="93"/>
      <c r="BD1077" s="93"/>
      <c r="BE1077" s="93"/>
      <c r="BF1077" s="93"/>
      <c r="BG1077" s="93"/>
      <c r="BH1077" s="93"/>
      <c r="BI1077" s="93"/>
      <c r="BJ1077" s="93"/>
      <c r="BK1077" s="93"/>
      <c r="BL1077" s="93"/>
      <c r="BM1077" s="93"/>
      <c r="BN1077" s="93"/>
      <c r="BO1077" s="93"/>
      <c r="BP1077" s="93"/>
      <c r="BQ1077" s="93"/>
      <c r="BR1077" s="93"/>
      <c r="BS1077" s="93"/>
      <c r="BT1077" s="93"/>
      <c r="BU1077" s="93"/>
      <c r="BV1077" s="93"/>
      <c r="BW1077" s="93"/>
      <c r="BX1077" s="93"/>
      <c r="BY1077" s="93"/>
      <c r="BZ1077" s="93"/>
    </row>
    <row r="1078">
      <c r="B1078" t="s">
        <v>3887</v>
      </c>
      <c r="C1078" s="89" t="s">
        <v>3157</v>
      </c>
      <c r="D1078" s="90" t="s">
        <v>2882</v>
      </c>
      <c r="E1078" s="91">
        <v>2019.0</v>
      </c>
      <c r="F1078" s="104">
        <v>1.0</v>
      </c>
      <c r="G1078" s="93"/>
      <c r="H1078" s="93"/>
      <c r="I1078" s="93"/>
      <c r="J1078" s="93"/>
      <c r="K1078" s="93"/>
      <c r="L1078" s="93"/>
      <c r="M1078" s="93"/>
      <c r="N1078" s="93"/>
      <c r="O1078" s="93"/>
      <c r="P1078" s="93"/>
      <c r="Q1078" s="93"/>
      <c r="R1078" s="93"/>
      <c r="S1078" s="93"/>
      <c r="T1078" s="93"/>
      <c r="U1078" s="93"/>
      <c r="V1078" s="93"/>
      <c r="W1078" s="93"/>
      <c r="X1078" s="93"/>
      <c r="Y1078" s="93"/>
      <c r="Z1078" s="93"/>
      <c r="AA1078" s="93"/>
      <c r="AB1078" s="93"/>
      <c r="AC1078" s="93"/>
      <c r="AD1078" s="93"/>
      <c r="AE1078" s="93"/>
      <c r="AF1078" s="93"/>
      <c r="AG1078" s="93"/>
      <c r="AH1078" s="93"/>
      <c r="AI1078" s="93"/>
      <c r="AJ1078" s="93"/>
      <c r="AK1078" s="93"/>
      <c r="AL1078" s="93"/>
      <c r="AM1078" s="93"/>
      <c r="AN1078" s="93"/>
      <c r="AO1078" s="93"/>
      <c r="AP1078" s="93"/>
      <c r="AQ1078" s="93"/>
      <c r="AR1078" s="93"/>
      <c r="AS1078" s="93"/>
      <c r="AT1078" s="93"/>
      <c r="AU1078" s="93"/>
      <c r="AV1078" s="93"/>
      <c r="AW1078" s="93"/>
      <c r="AX1078" s="93"/>
      <c r="AY1078" s="93"/>
      <c r="AZ1078" s="93"/>
      <c r="BA1078" s="93"/>
      <c r="BB1078" s="93"/>
      <c r="BC1078" s="93"/>
      <c r="BD1078" s="93"/>
      <c r="BE1078" s="93"/>
      <c r="BF1078" s="93"/>
      <c r="BG1078" s="93"/>
      <c r="BH1078" s="93"/>
      <c r="BI1078" s="93"/>
      <c r="BJ1078" s="93"/>
      <c r="BK1078" s="93"/>
      <c r="BL1078" s="93"/>
      <c r="BM1078" s="93"/>
      <c r="BN1078" s="93"/>
      <c r="BO1078" s="93"/>
      <c r="BP1078" s="93"/>
      <c r="BQ1078" s="93"/>
      <c r="BR1078" s="93"/>
      <c r="BS1078" s="93"/>
      <c r="BT1078" s="93"/>
      <c r="BU1078" s="93"/>
      <c r="BV1078" s="93"/>
      <c r="BW1078" s="93"/>
      <c r="BX1078" s="93"/>
      <c r="BY1078" s="93"/>
      <c r="BZ1078" s="93"/>
    </row>
    <row r="1079">
      <c r="A1079" t="s">
        <v>1340</v>
      </c>
      <c r="B1079" t="s">
        <v>3888</v>
      </c>
      <c r="C1079" s="89" t="s">
        <v>3889</v>
      </c>
      <c r="D1079" s="90" t="s">
        <v>3890</v>
      </c>
      <c r="E1079" s="91">
        <v>2017.0</v>
      </c>
      <c r="F1079" s="104">
        <v>1.0</v>
      </c>
      <c r="G1079" s="93"/>
      <c r="H1079" s="93"/>
      <c r="I1079" s="93"/>
      <c r="J1079" s="93"/>
      <c r="K1079" s="93"/>
      <c r="L1079" s="93"/>
      <c r="M1079" s="93"/>
      <c r="N1079" s="93"/>
      <c r="O1079" s="93"/>
      <c r="P1079" s="93"/>
      <c r="Q1079" s="93"/>
      <c r="R1079" s="93"/>
      <c r="S1079" s="93"/>
      <c r="T1079" s="93"/>
      <c r="U1079" s="93"/>
      <c r="V1079" s="93"/>
      <c r="W1079" s="93"/>
      <c r="X1079" s="93"/>
      <c r="Y1079" s="93"/>
      <c r="Z1079" s="93"/>
      <c r="AA1079" s="93"/>
      <c r="AB1079" s="93"/>
      <c r="AC1079" s="93"/>
      <c r="AD1079" s="93"/>
      <c r="AE1079" s="93"/>
      <c r="AF1079" s="93"/>
      <c r="AG1079" s="93"/>
      <c r="AH1079" s="93"/>
      <c r="AI1079" s="93"/>
      <c r="AJ1079" s="93"/>
      <c r="AK1079" s="93"/>
      <c r="AL1079" s="93"/>
      <c r="AM1079" s="93"/>
      <c r="AN1079" s="93"/>
      <c r="AO1079" s="93"/>
      <c r="AP1079" s="93"/>
      <c r="AQ1079" s="93"/>
      <c r="AR1079" s="93"/>
      <c r="AS1079" s="93"/>
      <c r="AT1079" s="93"/>
      <c r="AU1079" s="93"/>
      <c r="AV1079" s="93"/>
      <c r="AW1079" s="93"/>
      <c r="AX1079" s="93"/>
      <c r="AY1079" s="93"/>
      <c r="AZ1079" s="93"/>
      <c r="BA1079" s="93"/>
      <c r="BB1079" s="93"/>
      <c r="BC1079" s="93"/>
      <c r="BD1079" s="93"/>
      <c r="BE1079" s="93"/>
      <c r="BF1079" s="93"/>
      <c r="BG1079" s="93"/>
      <c r="BH1079" s="93"/>
      <c r="BI1079" s="93"/>
      <c r="BJ1079" s="93"/>
      <c r="BK1079" s="93"/>
      <c r="BL1079" s="93"/>
      <c r="BM1079" s="93"/>
      <c r="BN1079" s="93"/>
      <c r="BO1079" s="93"/>
      <c r="BP1079" s="93"/>
      <c r="BQ1079" s="93"/>
      <c r="BR1079" s="93"/>
      <c r="BS1079" s="93"/>
      <c r="BT1079" s="93"/>
      <c r="BU1079" s="93"/>
      <c r="BV1079" s="93"/>
      <c r="BW1079" s="93"/>
      <c r="BX1079" s="93"/>
      <c r="BY1079" s="93"/>
      <c r="BZ1079" s="93"/>
    </row>
    <row r="1080">
      <c r="B1080" t="s">
        <v>3891</v>
      </c>
      <c r="C1080" s="89" t="s">
        <v>3892</v>
      </c>
      <c r="D1080" s="90" t="s">
        <v>3575</v>
      </c>
      <c r="E1080" s="91">
        <v>2019.0</v>
      </c>
      <c r="F1080" s="104">
        <v>1.0</v>
      </c>
      <c r="G1080" s="93"/>
      <c r="H1080" s="93"/>
      <c r="I1080" s="93"/>
      <c r="J1080" s="93"/>
      <c r="K1080" s="93"/>
      <c r="L1080" s="93"/>
      <c r="M1080" s="93"/>
      <c r="N1080" s="93"/>
      <c r="O1080" s="93"/>
      <c r="P1080" s="93"/>
      <c r="Q1080" s="93"/>
      <c r="R1080" s="93"/>
      <c r="S1080" s="93"/>
      <c r="T1080" s="93"/>
      <c r="U1080" s="93"/>
      <c r="V1080" s="93"/>
      <c r="W1080" s="93"/>
      <c r="X1080" s="93"/>
      <c r="Y1080" s="93"/>
      <c r="Z1080" s="93"/>
      <c r="AA1080" s="93"/>
      <c r="AB1080" s="93"/>
      <c r="AC1080" s="93"/>
      <c r="AD1080" s="93"/>
      <c r="AE1080" s="93"/>
      <c r="AF1080" s="93"/>
      <c r="AG1080" s="93"/>
      <c r="AH1080" s="93"/>
      <c r="AI1080" s="93"/>
      <c r="AJ1080" s="93"/>
      <c r="AK1080" s="93"/>
      <c r="AL1080" s="93"/>
      <c r="AM1080" s="93"/>
      <c r="AN1080" s="93"/>
      <c r="AO1080" s="93"/>
      <c r="AP1080" s="93"/>
      <c r="AQ1080" s="93"/>
      <c r="AR1080" s="93"/>
      <c r="AS1080" s="93"/>
      <c r="AT1080" s="93"/>
      <c r="AU1080" s="93"/>
      <c r="AV1080" s="93"/>
      <c r="AW1080" s="93"/>
      <c r="AX1080" s="93"/>
      <c r="AY1080" s="93"/>
      <c r="AZ1080" s="93"/>
      <c r="BA1080" s="93"/>
      <c r="BB1080" s="93"/>
      <c r="BC1080" s="93"/>
      <c r="BD1080" s="93"/>
      <c r="BE1080" s="93"/>
      <c r="BF1080" s="93"/>
      <c r="BG1080" s="93"/>
      <c r="BH1080" s="93"/>
      <c r="BI1080" s="93"/>
      <c r="BJ1080" s="93"/>
      <c r="BK1080" s="93"/>
      <c r="BL1080" s="93"/>
      <c r="BM1080" s="93"/>
      <c r="BN1080" s="93"/>
      <c r="BO1080" s="93"/>
      <c r="BP1080" s="93"/>
      <c r="BQ1080" s="93"/>
      <c r="BR1080" s="93"/>
      <c r="BS1080" s="93"/>
      <c r="BT1080" s="93"/>
      <c r="BU1080" s="93"/>
      <c r="BV1080" s="93"/>
      <c r="BW1080" s="93"/>
      <c r="BX1080" s="93"/>
      <c r="BY1080" s="93"/>
      <c r="BZ1080" s="93"/>
    </row>
    <row r="1081">
      <c r="B1081" t="s">
        <v>3893</v>
      </c>
      <c r="C1081" s="89" t="s">
        <v>3894</v>
      </c>
      <c r="D1081" s="90" t="s">
        <v>3575</v>
      </c>
      <c r="E1081" s="91">
        <v>2019.0</v>
      </c>
      <c r="F1081" s="104">
        <v>1.0</v>
      </c>
      <c r="G1081" s="93"/>
      <c r="H1081" s="93"/>
      <c r="I1081" s="93"/>
      <c r="J1081" s="93"/>
      <c r="K1081" s="93"/>
      <c r="L1081" s="93"/>
      <c r="M1081" s="93"/>
      <c r="N1081" s="93"/>
      <c r="O1081" s="93"/>
      <c r="P1081" s="93"/>
      <c r="Q1081" s="93"/>
      <c r="R1081" s="93"/>
      <c r="S1081" s="93"/>
      <c r="T1081" s="93"/>
      <c r="U1081" s="93"/>
      <c r="V1081" s="93"/>
      <c r="W1081" s="93"/>
      <c r="X1081" s="93"/>
      <c r="Y1081" s="93"/>
      <c r="Z1081" s="93"/>
      <c r="AA1081" s="93"/>
      <c r="AB1081" s="93"/>
      <c r="AC1081" s="93"/>
      <c r="AD1081" s="93"/>
      <c r="AE1081" s="93"/>
      <c r="AF1081" s="93"/>
      <c r="AG1081" s="93"/>
      <c r="AH1081" s="93"/>
      <c r="AI1081" s="93"/>
      <c r="AJ1081" s="93"/>
      <c r="AK1081" s="93"/>
      <c r="AL1081" s="93"/>
      <c r="AM1081" s="93"/>
      <c r="AN1081" s="93"/>
      <c r="AO1081" s="93"/>
      <c r="AP1081" s="93"/>
      <c r="AQ1081" s="93"/>
      <c r="AR1081" s="93"/>
      <c r="AS1081" s="93"/>
      <c r="AT1081" s="93"/>
      <c r="AU1081" s="93"/>
      <c r="AV1081" s="93"/>
      <c r="AW1081" s="93"/>
      <c r="AX1081" s="93"/>
      <c r="AY1081" s="93"/>
      <c r="AZ1081" s="93"/>
      <c r="BA1081" s="93"/>
      <c r="BB1081" s="93"/>
      <c r="BC1081" s="93"/>
      <c r="BD1081" s="93"/>
      <c r="BE1081" s="93"/>
      <c r="BF1081" s="93"/>
      <c r="BG1081" s="93"/>
      <c r="BH1081" s="93"/>
      <c r="BI1081" s="93"/>
      <c r="BJ1081" s="93"/>
      <c r="BK1081" s="93"/>
      <c r="BL1081" s="93"/>
      <c r="BM1081" s="93"/>
      <c r="BN1081" s="93"/>
      <c r="BO1081" s="93"/>
      <c r="BP1081" s="93"/>
      <c r="BQ1081" s="93"/>
      <c r="BR1081" s="93"/>
      <c r="BS1081" s="93"/>
      <c r="BT1081" s="93"/>
      <c r="BU1081" s="93"/>
      <c r="BV1081" s="93"/>
      <c r="BW1081" s="93"/>
      <c r="BX1081" s="93"/>
      <c r="BY1081" s="93"/>
      <c r="BZ1081" s="93"/>
    </row>
    <row r="1082">
      <c r="B1082" t="s">
        <v>3895</v>
      </c>
      <c r="C1082" s="89" t="s">
        <v>3896</v>
      </c>
      <c r="D1082" s="90" t="s">
        <v>2856</v>
      </c>
      <c r="E1082" s="91">
        <v>2017.0</v>
      </c>
      <c r="F1082" s="104">
        <v>1.0</v>
      </c>
      <c r="G1082" s="93"/>
      <c r="H1082" s="93"/>
      <c r="I1082" s="93"/>
      <c r="J1082" s="93"/>
      <c r="K1082" s="93"/>
      <c r="L1082" s="93"/>
      <c r="M1082" s="93"/>
      <c r="N1082" s="93"/>
      <c r="O1082" s="93"/>
      <c r="P1082" s="93"/>
      <c r="Q1082" s="93"/>
      <c r="R1082" s="93"/>
      <c r="S1082" s="93"/>
      <c r="T1082" s="93"/>
      <c r="U1082" s="93"/>
      <c r="V1082" s="93"/>
      <c r="W1082" s="93"/>
      <c r="X1082" s="93"/>
      <c r="Y1082" s="93"/>
      <c r="Z1082" s="93"/>
      <c r="AA1082" s="93"/>
      <c r="AB1082" s="93"/>
      <c r="AC1082" s="93"/>
      <c r="AD1082" s="93"/>
      <c r="AE1082" s="93"/>
      <c r="AF1082" s="93"/>
      <c r="AG1082" s="93"/>
      <c r="AH1082" s="93"/>
      <c r="AI1082" s="93"/>
      <c r="AJ1082" s="93"/>
      <c r="AK1082" s="93"/>
      <c r="AL1082" s="93"/>
      <c r="AM1082" s="93"/>
      <c r="AN1082" s="93"/>
      <c r="AO1082" s="93"/>
      <c r="AP1082" s="93"/>
      <c r="AQ1082" s="93"/>
      <c r="AR1082" s="93"/>
      <c r="AS1082" s="93"/>
      <c r="AT1082" s="93"/>
      <c r="AU1082" s="93"/>
      <c r="AV1082" s="93"/>
      <c r="AW1082" s="93"/>
      <c r="AX1082" s="93"/>
      <c r="AY1082" s="93"/>
      <c r="AZ1082" s="93"/>
      <c r="BA1082" s="93"/>
      <c r="BB1082" s="93"/>
      <c r="BC1082" s="93"/>
      <c r="BD1082" s="93"/>
      <c r="BE1082" s="93"/>
      <c r="BF1082" s="93"/>
      <c r="BG1082" s="93"/>
      <c r="BH1082" s="93"/>
      <c r="BI1082" s="93"/>
      <c r="BJ1082" s="93"/>
      <c r="BK1082" s="93"/>
      <c r="BL1082" s="93"/>
      <c r="BM1082" s="93"/>
      <c r="BN1082" s="93"/>
      <c r="BO1082" s="93"/>
      <c r="BP1082" s="93"/>
      <c r="BQ1082" s="93"/>
      <c r="BR1082" s="93"/>
      <c r="BS1082" s="93"/>
      <c r="BT1082" s="93"/>
      <c r="BU1082" s="93"/>
      <c r="BV1082" s="93"/>
      <c r="BW1082" s="93"/>
      <c r="BX1082" s="93"/>
      <c r="BY1082" s="93"/>
      <c r="BZ1082" s="93"/>
    </row>
    <row r="1083">
      <c r="B1083" t="s">
        <v>3897</v>
      </c>
      <c r="C1083" s="89" t="s">
        <v>3898</v>
      </c>
      <c r="D1083" s="90" t="s">
        <v>3155</v>
      </c>
      <c r="E1083" s="91">
        <v>2017.0</v>
      </c>
      <c r="F1083" s="104">
        <v>1.0</v>
      </c>
      <c r="G1083" s="93"/>
      <c r="H1083" s="93"/>
      <c r="I1083" s="93"/>
      <c r="J1083" s="93"/>
      <c r="K1083" s="93"/>
      <c r="L1083" s="93"/>
      <c r="M1083" s="93"/>
      <c r="N1083" s="93"/>
      <c r="O1083" s="93"/>
      <c r="P1083" s="93"/>
      <c r="Q1083" s="93"/>
      <c r="R1083" s="93"/>
      <c r="S1083" s="93"/>
      <c r="T1083" s="93"/>
      <c r="U1083" s="93"/>
      <c r="V1083" s="93"/>
      <c r="W1083" s="93"/>
      <c r="X1083" s="93"/>
      <c r="Y1083" s="93"/>
      <c r="Z1083" s="93"/>
      <c r="AA1083" s="93"/>
      <c r="AB1083" s="93"/>
      <c r="AC1083" s="93"/>
      <c r="AD1083" s="93"/>
      <c r="AE1083" s="93"/>
      <c r="AF1083" s="93"/>
      <c r="AG1083" s="93"/>
      <c r="AH1083" s="93"/>
      <c r="AI1083" s="93"/>
      <c r="AJ1083" s="93"/>
      <c r="AK1083" s="93"/>
      <c r="AL1083" s="93"/>
      <c r="AM1083" s="93"/>
      <c r="AN1083" s="93"/>
      <c r="AO1083" s="93"/>
      <c r="AP1083" s="93"/>
      <c r="AQ1083" s="93"/>
      <c r="AR1083" s="93"/>
      <c r="AS1083" s="93"/>
      <c r="AT1083" s="93"/>
      <c r="AU1083" s="93"/>
      <c r="AV1083" s="93"/>
      <c r="AW1083" s="93"/>
      <c r="AX1083" s="93"/>
      <c r="AY1083" s="93"/>
      <c r="AZ1083" s="93"/>
      <c r="BA1083" s="93"/>
      <c r="BB1083" s="93"/>
      <c r="BC1083" s="93"/>
      <c r="BD1083" s="93"/>
      <c r="BE1083" s="93"/>
      <c r="BF1083" s="93"/>
      <c r="BG1083" s="93"/>
      <c r="BH1083" s="93"/>
      <c r="BI1083" s="93"/>
      <c r="BJ1083" s="93"/>
      <c r="BK1083" s="93"/>
      <c r="BL1083" s="93"/>
      <c r="BM1083" s="93"/>
      <c r="BN1083" s="93"/>
      <c r="BO1083" s="93"/>
      <c r="BP1083" s="93"/>
      <c r="BQ1083" s="93"/>
      <c r="BR1083" s="93"/>
      <c r="BS1083" s="93"/>
      <c r="BT1083" s="93"/>
      <c r="BU1083" s="93"/>
      <c r="BV1083" s="93"/>
      <c r="BW1083" s="93"/>
      <c r="BX1083" s="93"/>
      <c r="BY1083" s="93"/>
      <c r="BZ1083" s="93"/>
    </row>
    <row r="1084">
      <c r="B1084" t="s">
        <v>3899</v>
      </c>
      <c r="C1084" s="89" t="s">
        <v>3900</v>
      </c>
      <c r="D1084" s="90" t="s">
        <v>3555</v>
      </c>
      <c r="E1084" s="91">
        <v>2018.0</v>
      </c>
      <c r="F1084" s="104">
        <v>1.0</v>
      </c>
      <c r="G1084" s="93"/>
      <c r="H1084" s="93"/>
      <c r="I1084" s="93"/>
      <c r="J1084" s="93"/>
      <c r="K1084" s="93"/>
      <c r="L1084" s="93"/>
      <c r="M1084" s="93"/>
      <c r="N1084" s="93"/>
      <c r="O1084" s="93"/>
      <c r="P1084" s="93"/>
      <c r="Q1084" s="93"/>
      <c r="R1084" s="93"/>
      <c r="S1084" s="93"/>
      <c r="T1084" s="93"/>
      <c r="U1084" s="93"/>
      <c r="V1084" s="93"/>
      <c r="W1084" s="93"/>
      <c r="X1084" s="93"/>
      <c r="Y1084" s="93"/>
      <c r="Z1084" s="93"/>
      <c r="AA1084" s="93"/>
      <c r="AB1084" s="93"/>
      <c r="AC1084" s="93"/>
      <c r="AD1084" s="93"/>
      <c r="AE1084" s="93"/>
      <c r="AF1084" s="93"/>
      <c r="AG1084" s="93"/>
      <c r="AH1084" s="93"/>
      <c r="AI1084" s="93"/>
      <c r="AJ1084" s="93"/>
      <c r="AK1084" s="93"/>
      <c r="AL1084" s="93"/>
      <c r="AM1084" s="93"/>
      <c r="AN1084" s="93"/>
      <c r="AO1084" s="93"/>
      <c r="AP1084" s="93"/>
      <c r="AQ1084" s="93"/>
      <c r="AR1084" s="93"/>
      <c r="AS1084" s="93"/>
      <c r="AT1084" s="93"/>
      <c r="AU1084" s="93"/>
      <c r="AV1084" s="93"/>
      <c r="AW1084" s="93"/>
      <c r="AX1084" s="93"/>
      <c r="AY1084" s="93"/>
      <c r="AZ1084" s="93"/>
      <c r="BA1084" s="93"/>
      <c r="BB1084" s="93"/>
      <c r="BC1084" s="93"/>
      <c r="BD1084" s="93"/>
      <c r="BE1084" s="93"/>
      <c r="BF1084" s="93"/>
      <c r="BG1084" s="93"/>
      <c r="BH1084" s="93"/>
      <c r="BI1084" s="93"/>
      <c r="BJ1084" s="93"/>
      <c r="BK1084" s="93"/>
      <c r="BL1084" s="93"/>
      <c r="BM1084" s="93"/>
      <c r="BN1084" s="93"/>
      <c r="BO1084" s="93"/>
      <c r="BP1084" s="93"/>
      <c r="BQ1084" s="93"/>
      <c r="BR1084" s="93"/>
      <c r="BS1084" s="93"/>
      <c r="BT1084" s="93"/>
      <c r="BU1084" s="93"/>
      <c r="BV1084" s="93"/>
      <c r="BW1084" s="93"/>
      <c r="BX1084" s="93"/>
      <c r="BY1084" s="93"/>
      <c r="BZ1084" s="93"/>
    </row>
    <row r="1085">
      <c r="A1085" t="s">
        <v>1354</v>
      </c>
      <c r="B1085" t="s">
        <v>3901</v>
      </c>
      <c r="C1085" s="89" t="s">
        <v>3902</v>
      </c>
      <c r="D1085" s="90" t="s">
        <v>3331</v>
      </c>
      <c r="E1085" s="91">
        <v>2016.0</v>
      </c>
      <c r="F1085" s="104">
        <v>1.0</v>
      </c>
      <c r="G1085" s="93"/>
      <c r="H1085" s="93"/>
      <c r="I1085" s="93"/>
      <c r="J1085" s="93"/>
      <c r="K1085" s="93"/>
      <c r="L1085" s="93"/>
      <c r="M1085" s="93"/>
      <c r="N1085" s="93"/>
      <c r="O1085" s="93"/>
      <c r="P1085" s="93"/>
      <c r="Q1085" s="93"/>
      <c r="R1085" s="93"/>
      <c r="S1085" s="93"/>
      <c r="T1085" s="93"/>
      <c r="U1085" s="93"/>
      <c r="V1085" s="93"/>
      <c r="W1085" s="93"/>
      <c r="X1085" s="93"/>
      <c r="Y1085" s="93"/>
      <c r="Z1085" s="93"/>
      <c r="AA1085" s="93"/>
      <c r="AB1085" s="93"/>
      <c r="AC1085" s="93"/>
      <c r="AD1085" s="93"/>
      <c r="AE1085" s="93"/>
      <c r="AF1085" s="93"/>
      <c r="AG1085" s="93"/>
      <c r="AH1085" s="93"/>
      <c r="AI1085" s="93"/>
      <c r="AJ1085" s="93"/>
      <c r="AK1085" s="93"/>
      <c r="AL1085" s="93"/>
      <c r="AM1085" s="93"/>
      <c r="AN1085" s="93"/>
      <c r="AO1085" s="93"/>
      <c r="AP1085" s="93"/>
      <c r="AQ1085" s="93"/>
      <c r="AR1085" s="93"/>
      <c r="AS1085" s="93"/>
      <c r="AT1085" s="93"/>
      <c r="AU1085" s="93"/>
      <c r="AV1085" s="93"/>
      <c r="AW1085" s="93"/>
      <c r="AX1085" s="93"/>
      <c r="AY1085" s="93"/>
      <c r="AZ1085" s="93"/>
      <c r="BA1085" s="93"/>
      <c r="BB1085" s="93"/>
      <c r="BC1085" s="93"/>
      <c r="BD1085" s="93"/>
      <c r="BE1085" s="93"/>
      <c r="BF1085" s="93"/>
      <c r="BG1085" s="93"/>
      <c r="BH1085" s="93"/>
      <c r="BI1085" s="93"/>
      <c r="BJ1085" s="93"/>
      <c r="BK1085" s="93"/>
      <c r="BL1085" s="93"/>
      <c r="BM1085" s="93"/>
      <c r="BN1085" s="93"/>
      <c r="BO1085" s="93"/>
      <c r="BP1085" s="93"/>
      <c r="BQ1085" s="93"/>
      <c r="BR1085" s="93"/>
      <c r="BS1085" s="93"/>
      <c r="BT1085" s="93"/>
      <c r="BU1085" s="93"/>
      <c r="BV1085" s="93"/>
      <c r="BW1085" s="93"/>
      <c r="BX1085" s="93"/>
      <c r="BY1085" s="93"/>
      <c r="BZ1085" s="93"/>
    </row>
    <row r="1086">
      <c r="B1086" t="s">
        <v>3903</v>
      </c>
      <c r="C1086" s="89" t="s">
        <v>3904</v>
      </c>
      <c r="D1086" s="90" t="s">
        <v>777</v>
      </c>
      <c r="E1086" s="91">
        <v>2017.0</v>
      </c>
      <c r="F1086" s="104">
        <v>1.0</v>
      </c>
      <c r="G1086" s="93"/>
      <c r="H1086" s="93"/>
      <c r="I1086" s="93"/>
      <c r="J1086" s="93"/>
      <c r="K1086" s="93"/>
      <c r="L1086" s="93"/>
      <c r="M1086" s="93"/>
      <c r="N1086" s="93"/>
      <c r="O1086" s="93"/>
      <c r="P1086" s="93"/>
      <c r="Q1086" s="93"/>
      <c r="R1086" s="93"/>
      <c r="S1086" s="93"/>
      <c r="T1086" s="93"/>
      <c r="U1086" s="93"/>
      <c r="V1086" s="93"/>
      <c r="W1086" s="93"/>
      <c r="X1086" s="93"/>
      <c r="Y1086" s="93"/>
      <c r="Z1086" s="93"/>
      <c r="AA1086" s="93"/>
      <c r="AB1086" s="93"/>
      <c r="AC1086" s="93"/>
      <c r="AD1086" s="93"/>
      <c r="AE1086" s="93"/>
      <c r="AF1086" s="93"/>
      <c r="AG1086" s="93"/>
      <c r="AH1086" s="93"/>
      <c r="AI1086" s="93"/>
      <c r="AJ1086" s="93"/>
      <c r="AK1086" s="93"/>
      <c r="AL1086" s="93"/>
      <c r="AM1086" s="93"/>
      <c r="AN1086" s="93"/>
      <c r="AO1086" s="93"/>
      <c r="AP1086" s="93"/>
      <c r="AQ1086" s="93"/>
      <c r="AR1086" s="93"/>
      <c r="AS1086" s="93"/>
      <c r="AT1086" s="93"/>
      <c r="AU1086" s="93"/>
      <c r="AV1086" s="93"/>
      <c r="AW1086" s="93"/>
      <c r="AX1086" s="93"/>
      <c r="AY1086" s="93"/>
      <c r="AZ1086" s="93"/>
      <c r="BA1086" s="93"/>
      <c r="BB1086" s="93"/>
      <c r="BC1086" s="93"/>
      <c r="BD1086" s="93"/>
      <c r="BE1086" s="93"/>
      <c r="BF1086" s="93"/>
      <c r="BG1086" s="93"/>
      <c r="BH1086" s="93"/>
      <c r="BI1086" s="93"/>
      <c r="BJ1086" s="93"/>
      <c r="BK1086" s="93"/>
      <c r="BL1086" s="93"/>
      <c r="BM1086" s="93"/>
      <c r="BN1086" s="93"/>
      <c r="BO1086" s="93"/>
      <c r="BP1086" s="93"/>
      <c r="BQ1086" s="93"/>
      <c r="BR1086" s="93"/>
      <c r="BS1086" s="93"/>
      <c r="BT1086" s="93"/>
      <c r="BU1086" s="93"/>
      <c r="BV1086" s="93"/>
      <c r="BW1086" s="93"/>
      <c r="BX1086" s="93"/>
      <c r="BY1086" s="93"/>
      <c r="BZ1086" s="93"/>
    </row>
    <row r="1087">
      <c r="B1087" t="s">
        <v>3905</v>
      </c>
      <c r="C1087" s="89" t="s">
        <v>3906</v>
      </c>
      <c r="D1087" s="90" t="s">
        <v>3907</v>
      </c>
      <c r="E1087" s="91">
        <v>2017.0</v>
      </c>
      <c r="F1087" s="104">
        <v>1.0</v>
      </c>
      <c r="G1087" s="93"/>
      <c r="H1087" s="93"/>
      <c r="I1087" s="93"/>
      <c r="J1087" s="93"/>
      <c r="K1087" s="93"/>
      <c r="L1087" s="93"/>
      <c r="M1087" s="93"/>
      <c r="N1087" s="93"/>
      <c r="O1087" s="93"/>
      <c r="P1087" s="93"/>
      <c r="Q1087" s="93"/>
      <c r="R1087" s="93"/>
      <c r="S1087" s="93"/>
      <c r="T1087" s="93"/>
      <c r="U1087" s="93"/>
      <c r="V1087" s="93"/>
      <c r="W1087" s="93"/>
      <c r="X1087" s="93"/>
      <c r="Y1087" s="93"/>
      <c r="Z1087" s="93"/>
      <c r="AA1087" s="93"/>
      <c r="AB1087" s="93"/>
      <c r="AC1087" s="93"/>
      <c r="AD1087" s="93"/>
      <c r="AE1087" s="93"/>
      <c r="AF1087" s="93"/>
      <c r="AG1087" s="93"/>
      <c r="AH1087" s="93"/>
      <c r="AI1087" s="93"/>
      <c r="AJ1087" s="93"/>
      <c r="AK1087" s="93"/>
      <c r="AL1087" s="93"/>
      <c r="AM1087" s="93"/>
      <c r="AN1087" s="93"/>
      <c r="AO1087" s="93"/>
      <c r="AP1087" s="93"/>
      <c r="AQ1087" s="93"/>
      <c r="AR1087" s="93"/>
      <c r="AS1087" s="93"/>
      <c r="AT1087" s="93"/>
      <c r="AU1087" s="93"/>
      <c r="AV1087" s="93"/>
      <c r="AW1087" s="93"/>
      <c r="AX1087" s="93"/>
      <c r="AY1087" s="93"/>
      <c r="AZ1087" s="93"/>
      <c r="BA1087" s="93"/>
      <c r="BB1087" s="93"/>
      <c r="BC1087" s="93"/>
      <c r="BD1087" s="93"/>
      <c r="BE1087" s="93"/>
      <c r="BF1087" s="93"/>
      <c r="BG1087" s="93"/>
      <c r="BH1087" s="93"/>
      <c r="BI1087" s="93"/>
      <c r="BJ1087" s="93"/>
      <c r="BK1087" s="93"/>
      <c r="BL1087" s="93"/>
      <c r="BM1087" s="93"/>
      <c r="BN1087" s="93"/>
      <c r="BO1087" s="93"/>
      <c r="BP1087" s="93"/>
      <c r="BQ1087" s="93"/>
      <c r="BR1087" s="93"/>
      <c r="BS1087" s="93"/>
      <c r="BT1087" s="93"/>
      <c r="BU1087" s="93"/>
      <c r="BV1087" s="93"/>
      <c r="BW1087" s="93"/>
      <c r="BX1087" s="93"/>
      <c r="BY1087" s="93"/>
      <c r="BZ1087" s="93"/>
    </row>
    <row r="1088">
      <c r="B1088" t="s">
        <v>3908</v>
      </c>
      <c r="C1088" s="89" t="s">
        <v>3909</v>
      </c>
      <c r="D1088" s="90" t="s">
        <v>2874</v>
      </c>
      <c r="E1088" s="91">
        <v>2017.0</v>
      </c>
      <c r="F1088" s="104">
        <v>1.0</v>
      </c>
      <c r="G1088" s="93"/>
      <c r="H1088" s="93"/>
      <c r="I1088" s="93"/>
      <c r="J1088" s="93"/>
      <c r="K1088" s="93"/>
      <c r="L1088" s="93"/>
      <c r="M1088" s="93"/>
      <c r="N1088" s="93"/>
      <c r="O1088" s="93"/>
      <c r="P1088" s="93"/>
      <c r="Q1088" s="93"/>
      <c r="R1088" s="93"/>
      <c r="S1088" s="93"/>
      <c r="T1088" s="93"/>
      <c r="U1088" s="93"/>
      <c r="V1088" s="93"/>
      <c r="W1088" s="93"/>
      <c r="X1088" s="93"/>
      <c r="Y1088" s="93"/>
      <c r="Z1088" s="93"/>
      <c r="AA1088" s="93"/>
      <c r="AB1088" s="93"/>
      <c r="AC1088" s="93"/>
      <c r="AD1088" s="93"/>
      <c r="AE1088" s="93"/>
      <c r="AF1088" s="93"/>
      <c r="AG1088" s="93"/>
      <c r="AH1088" s="93"/>
      <c r="AI1088" s="93"/>
      <c r="AJ1088" s="93"/>
      <c r="AK1088" s="93"/>
      <c r="AL1088" s="93"/>
      <c r="AM1088" s="93"/>
      <c r="AN1088" s="93"/>
      <c r="AO1088" s="93"/>
      <c r="AP1088" s="93"/>
      <c r="AQ1088" s="93"/>
      <c r="AR1088" s="93"/>
      <c r="AS1088" s="93"/>
      <c r="AT1088" s="93"/>
      <c r="AU1088" s="93"/>
      <c r="AV1088" s="93"/>
      <c r="AW1088" s="93"/>
      <c r="AX1088" s="93"/>
      <c r="AY1088" s="93"/>
      <c r="AZ1088" s="93"/>
      <c r="BA1088" s="93"/>
      <c r="BB1088" s="93"/>
      <c r="BC1088" s="93"/>
      <c r="BD1088" s="93"/>
      <c r="BE1088" s="93"/>
      <c r="BF1088" s="93"/>
      <c r="BG1088" s="93"/>
      <c r="BH1088" s="93"/>
      <c r="BI1088" s="93"/>
      <c r="BJ1088" s="93"/>
      <c r="BK1088" s="93"/>
      <c r="BL1088" s="93"/>
      <c r="BM1088" s="93"/>
      <c r="BN1088" s="93"/>
      <c r="BO1088" s="93"/>
      <c r="BP1088" s="93"/>
      <c r="BQ1088" s="93"/>
      <c r="BR1088" s="93"/>
      <c r="BS1088" s="93"/>
      <c r="BT1088" s="93"/>
      <c r="BU1088" s="93"/>
      <c r="BV1088" s="93"/>
      <c r="BW1088" s="93"/>
      <c r="BX1088" s="93"/>
      <c r="BY1088" s="93"/>
      <c r="BZ1088" s="93"/>
    </row>
    <row r="1089">
      <c r="A1089" t="s">
        <v>116</v>
      </c>
      <c r="B1089" t="s">
        <v>3910</v>
      </c>
      <c r="C1089" s="89" t="s">
        <v>3911</v>
      </c>
      <c r="D1089" s="90" t="s">
        <v>3890</v>
      </c>
      <c r="E1089" s="91">
        <v>2017.0</v>
      </c>
      <c r="F1089" s="104">
        <v>1.0</v>
      </c>
      <c r="G1089" s="93"/>
      <c r="H1089" s="93"/>
      <c r="I1089" s="93"/>
      <c r="J1089" s="93"/>
      <c r="K1089" s="93"/>
      <c r="L1089" s="93"/>
      <c r="M1089" s="93"/>
      <c r="N1089" s="93"/>
      <c r="O1089" s="93"/>
      <c r="P1089" s="93"/>
      <c r="Q1089" s="93"/>
      <c r="R1089" s="93"/>
      <c r="S1089" s="93"/>
      <c r="T1089" s="93"/>
      <c r="U1089" s="93"/>
      <c r="V1089" s="93"/>
      <c r="W1089" s="93"/>
      <c r="X1089" s="93"/>
      <c r="Y1089" s="93"/>
      <c r="Z1089" s="93"/>
      <c r="AA1089" s="93"/>
      <c r="AB1089" s="93"/>
      <c r="AC1089" s="93"/>
      <c r="AD1089" s="93"/>
      <c r="AE1089" s="93"/>
      <c r="AF1089" s="93"/>
      <c r="AG1089" s="93"/>
      <c r="AH1089" s="93"/>
      <c r="AI1089" s="93"/>
      <c r="AJ1089" s="93"/>
      <c r="AK1089" s="93"/>
      <c r="AL1089" s="93"/>
      <c r="AM1089" s="93"/>
      <c r="AN1089" s="93"/>
      <c r="AO1089" s="93"/>
      <c r="AP1089" s="93"/>
      <c r="AQ1089" s="93"/>
      <c r="AR1089" s="93"/>
      <c r="AS1089" s="93"/>
      <c r="AT1089" s="93"/>
      <c r="AU1089" s="93"/>
      <c r="AV1089" s="93"/>
      <c r="AW1089" s="93"/>
      <c r="AX1089" s="93"/>
      <c r="AY1089" s="93"/>
      <c r="AZ1089" s="93"/>
      <c r="BA1089" s="93"/>
      <c r="BB1089" s="93"/>
      <c r="BC1089" s="93"/>
      <c r="BD1089" s="93"/>
      <c r="BE1089" s="93"/>
      <c r="BF1089" s="93"/>
      <c r="BG1089" s="93"/>
      <c r="BH1089" s="93"/>
      <c r="BI1089" s="93"/>
      <c r="BJ1089" s="93"/>
      <c r="BK1089" s="93"/>
      <c r="BL1089" s="93"/>
      <c r="BM1089" s="93"/>
      <c r="BN1089" s="93"/>
      <c r="BO1089" s="93"/>
      <c r="BP1089" s="93"/>
      <c r="BQ1089" s="93"/>
      <c r="BR1089" s="93"/>
      <c r="BS1089" s="93"/>
      <c r="BT1089" s="93"/>
      <c r="BU1089" s="93"/>
      <c r="BV1089" s="93"/>
      <c r="BW1089" s="93"/>
      <c r="BX1089" s="93"/>
      <c r="BY1089" s="93"/>
      <c r="BZ1089" s="93"/>
    </row>
    <row r="1090">
      <c r="B1090" t="s">
        <v>3912</v>
      </c>
      <c r="C1090" s="89" t="s">
        <v>3913</v>
      </c>
      <c r="D1090" s="90" t="s">
        <v>2856</v>
      </c>
      <c r="E1090" s="91">
        <v>2018.0</v>
      </c>
      <c r="F1090" s="104">
        <v>1.0</v>
      </c>
      <c r="G1090" s="93"/>
      <c r="H1090" s="93"/>
      <c r="I1090" s="93"/>
      <c r="J1090" s="93"/>
      <c r="K1090" s="93"/>
      <c r="L1090" s="93"/>
      <c r="M1090" s="93"/>
      <c r="N1090" s="93"/>
      <c r="O1090" s="93"/>
      <c r="P1090" s="93"/>
      <c r="Q1090" s="93"/>
      <c r="R1090" s="93"/>
      <c r="S1090" s="93"/>
      <c r="T1090" s="93"/>
      <c r="U1090" s="93"/>
      <c r="V1090" s="93"/>
      <c r="W1090" s="93"/>
      <c r="X1090" s="93"/>
      <c r="Y1090" s="93"/>
      <c r="Z1090" s="93"/>
      <c r="AA1090" s="93"/>
      <c r="AB1090" s="93"/>
      <c r="AC1090" s="93"/>
      <c r="AD1090" s="93"/>
      <c r="AE1090" s="93"/>
      <c r="AF1090" s="93"/>
      <c r="AG1090" s="93"/>
      <c r="AH1090" s="93"/>
      <c r="AI1090" s="93"/>
      <c r="AJ1090" s="93"/>
      <c r="AK1090" s="93"/>
      <c r="AL1090" s="93"/>
      <c r="AM1090" s="93"/>
      <c r="AN1090" s="93"/>
      <c r="AO1090" s="93"/>
      <c r="AP1090" s="93"/>
      <c r="AQ1090" s="93"/>
      <c r="AR1090" s="93"/>
      <c r="AS1090" s="93"/>
      <c r="AT1090" s="93"/>
      <c r="AU1090" s="93"/>
      <c r="AV1090" s="93"/>
      <c r="AW1090" s="93"/>
      <c r="AX1090" s="93"/>
      <c r="AY1090" s="93"/>
      <c r="AZ1090" s="93"/>
      <c r="BA1090" s="93"/>
      <c r="BB1090" s="93"/>
      <c r="BC1090" s="93"/>
      <c r="BD1090" s="93"/>
      <c r="BE1090" s="93"/>
      <c r="BF1090" s="93"/>
      <c r="BG1090" s="93"/>
      <c r="BH1090" s="93"/>
      <c r="BI1090" s="93"/>
      <c r="BJ1090" s="93"/>
      <c r="BK1090" s="93"/>
      <c r="BL1090" s="93"/>
      <c r="BM1090" s="93"/>
      <c r="BN1090" s="93"/>
      <c r="BO1090" s="93"/>
      <c r="BP1090" s="93"/>
      <c r="BQ1090" s="93"/>
      <c r="BR1090" s="93"/>
      <c r="BS1090" s="93"/>
      <c r="BT1090" s="93"/>
      <c r="BU1090" s="93"/>
      <c r="BV1090" s="93"/>
      <c r="BW1090" s="93"/>
      <c r="BX1090" s="93"/>
      <c r="BY1090" s="93"/>
      <c r="BZ1090" s="93"/>
    </row>
    <row r="1091">
      <c r="B1091" t="s">
        <v>3914</v>
      </c>
      <c r="C1091" s="89" t="s">
        <v>3915</v>
      </c>
      <c r="D1091" s="90" t="s">
        <v>2874</v>
      </c>
      <c r="E1091" s="91">
        <v>2016.0</v>
      </c>
      <c r="F1091" s="104">
        <v>1.0</v>
      </c>
      <c r="G1091" s="93"/>
      <c r="H1091" s="93"/>
      <c r="I1091" s="93"/>
      <c r="J1091" s="93"/>
      <c r="K1091" s="93"/>
      <c r="L1091" s="93"/>
      <c r="M1091" s="93"/>
      <c r="N1091" s="93"/>
      <c r="O1091" s="93"/>
      <c r="P1091" s="93"/>
      <c r="Q1091" s="93"/>
      <c r="R1091" s="93"/>
      <c r="S1091" s="93"/>
      <c r="T1091" s="93"/>
      <c r="U1091" s="93"/>
      <c r="V1091" s="93"/>
      <c r="W1091" s="93"/>
      <c r="X1091" s="93"/>
      <c r="Y1091" s="93"/>
      <c r="Z1091" s="93"/>
      <c r="AA1091" s="93"/>
      <c r="AB1091" s="93"/>
      <c r="AC1091" s="93"/>
      <c r="AD1091" s="93"/>
      <c r="AE1091" s="93"/>
      <c r="AF1091" s="93"/>
      <c r="AG1091" s="93"/>
      <c r="AH1091" s="93"/>
      <c r="AI1091" s="93"/>
      <c r="AJ1091" s="93"/>
      <c r="AK1091" s="93"/>
      <c r="AL1091" s="93"/>
      <c r="AM1091" s="93"/>
      <c r="AN1091" s="93"/>
      <c r="AO1091" s="93"/>
      <c r="AP1091" s="93"/>
      <c r="AQ1091" s="93"/>
      <c r="AR1091" s="93"/>
      <c r="AS1091" s="93"/>
      <c r="AT1091" s="93"/>
      <c r="AU1091" s="93"/>
      <c r="AV1091" s="93"/>
      <c r="AW1091" s="93"/>
      <c r="AX1091" s="93"/>
      <c r="AY1091" s="93"/>
      <c r="AZ1091" s="93"/>
      <c r="BA1091" s="93"/>
      <c r="BB1091" s="93"/>
      <c r="BC1091" s="93"/>
      <c r="BD1091" s="93"/>
      <c r="BE1091" s="93"/>
      <c r="BF1091" s="93"/>
      <c r="BG1091" s="93"/>
      <c r="BH1091" s="93"/>
      <c r="BI1091" s="93"/>
      <c r="BJ1091" s="93"/>
      <c r="BK1091" s="93"/>
      <c r="BL1091" s="93"/>
      <c r="BM1091" s="93"/>
      <c r="BN1091" s="93"/>
      <c r="BO1091" s="93"/>
      <c r="BP1091" s="93"/>
      <c r="BQ1091" s="93"/>
      <c r="BR1091" s="93"/>
      <c r="BS1091" s="93"/>
      <c r="BT1091" s="93"/>
      <c r="BU1091" s="93"/>
      <c r="BV1091" s="93"/>
      <c r="BW1091" s="93"/>
      <c r="BX1091" s="93"/>
      <c r="BY1091" s="93"/>
      <c r="BZ1091" s="93"/>
    </row>
    <row r="1092">
      <c r="A1092" t="s">
        <v>1331</v>
      </c>
      <c r="B1092" t="s">
        <v>3916</v>
      </c>
      <c r="C1092" s="89" t="s">
        <v>3917</v>
      </c>
      <c r="D1092" s="90" t="s">
        <v>2941</v>
      </c>
      <c r="E1092" s="91">
        <v>2019.0</v>
      </c>
      <c r="F1092" s="104">
        <v>1.0</v>
      </c>
      <c r="G1092" s="93"/>
      <c r="H1092" s="93"/>
      <c r="I1092" s="93"/>
      <c r="J1092" s="93"/>
      <c r="K1092" s="93"/>
      <c r="L1092" s="93"/>
      <c r="M1092" s="93"/>
      <c r="N1092" s="93"/>
      <c r="O1092" s="93"/>
      <c r="P1092" s="93"/>
      <c r="Q1092" s="93"/>
      <c r="R1092" s="93"/>
      <c r="S1092" s="93"/>
      <c r="T1092" s="93"/>
      <c r="U1092" s="93"/>
      <c r="V1092" s="93"/>
      <c r="W1092" s="93"/>
      <c r="X1092" s="93"/>
      <c r="Y1092" s="93"/>
      <c r="Z1092" s="93"/>
      <c r="AA1092" s="93"/>
      <c r="AB1092" s="93"/>
      <c r="AC1092" s="93"/>
      <c r="AD1092" s="93"/>
      <c r="AE1092" s="93"/>
      <c r="AF1092" s="93"/>
      <c r="AG1092" s="93"/>
      <c r="AH1092" s="93"/>
      <c r="AI1092" s="93"/>
      <c r="AJ1092" s="93"/>
      <c r="AK1092" s="93"/>
      <c r="AL1092" s="93"/>
      <c r="AM1092" s="93"/>
      <c r="AN1092" s="93"/>
      <c r="AO1092" s="93"/>
      <c r="AP1092" s="93"/>
      <c r="AQ1092" s="93"/>
      <c r="AR1092" s="93"/>
      <c r="AS1092" s="93"/>
      <c r="AT1092" s="93"/>
      <c r="AU1092" s="93"/>
      <c r="AV1092" s="93"/>
      <c r="AW1092" s="93"/>
      <c r="AX1092" s="93"/>
      <c r="AY1092" s="93"/>
      <c r="AZ1092" s="93"/>
      <c r="BA1092" s="93"/>
      <c r="BB1092" s="93"/>
      <c r="BC1092" s="93"/>
      <c r="BD1092" s="93"/>
      <c r="BE1092" s="93"/>
      <c r="BF1092" s="93"/>
      <c r="BG1092" s="93"/>
      <c r="BH1092" s="93"/>
      <c r="BI1092" s="93"/>
      <c r="BJ1092" s="93"/>
      <c r="BK1092" s="93"/>
      <c r="BL1092" s="93"/>
      <c r="BM1092" s="93"/>
      <c r="BN1092" s="93"/>
      <c r="BO1092" s="93"/>
      <c r="BP1092" s="93"/>
      <c r="BQ1092" s="93"/>
      <c r="BR1092" s="93"/>
      <c r="BS1092" s="93"/>
      <c r="BT1092" s="93"/>
      <c r="BU1092" s="93"/>
      <c r="BV1092" s="93"/>
      <c r="BW1092" s="93"/>
      <c r="BX1092" s="93"/>
      <c r="BY1092" s="93"/>
      <c r="BZ1092" s="93"/>
    </row>
    <row r="1093">
      <c r="B1093" t="s">
        <v>3918</v>
      </c>
      <c r="C1093" s="89" t="s">
        <v>3919</v>
      </c>
      <c r="D1093" s="90" t="s">
        <v>3555</v>
      </c>
      <c r="E1093" s="91">
        <v>2017.0</v>
      </c>
      <c r="F1093" s="104">
        <v>1.0</v>
      </c>
      <c r="G1093" s="93"/>
      <c r="H1093" s="93"/>
      <c r="I1093" s="93"/>
      <c r="J1093" s="93"/>
      <c r="K1093" s="93"/>
      <c r="L1093" s="93"/>
      <c r="M1093" s="93"/>
      <c r="N1093" s="93"/>
      <c r="O1093" s="93"/>
      <c r="P1093" s="93"/>
      <c r="Q1093" s="93"/>
      <c r="R1093" s="93"/>
      <c r="S1093" s="93"/>
      <c r="T1093" s="93"/>
      <c r="U1093" s="93"/>
      <c r="V1093" s="93"/>
      <c r="W1093" s="93"/>
      <c r="X1093" s="93"/>
      <c r="Y1093" s="93"/>
      <c r="Z1093" s="93"/>
      <c r="AA1093" s="93"/>
      <c r="AB1093" s="93"/>
      <c r="AC1093" s="93"/>
      <c r="AD1093" s="93"/>
      <c r="AE1093" s="93"/>
      <c r="AF1093" s="93"/>
      <c r="AG1093" s="93"/>
      <c r="AH1093" s="93"/>
      <c r="AI1093" s="93"/>
      <c r="AJ1093" s="93"/>
      <c r="AK1093" s="93"/>
      <c r="AL1093" s="93"/>
      <c r="AM1093" s="93"/>
      <c r="AN1093" s="93"/>
      <c r="AO1093" s="93"/>
      <c r="AP1093" s="93"/>
      <c r="AQ1093" s="93"/>
      <c r="AR1093" s="93"/>
      <c r="AS1093" s="93"/>
      <c r="AT1093" s="93"/>
      <c r="AU1093" s="93"/>
      <c r="AV1093" s="93"/>
      <c r="AW1093" s="93"/>
      <c r="AX1093" s="93"/>
      <c r="AY1093" s="93"/>
      <c r="AZ1093" s="93"/>
      <c r="BA1093" s="93"/>
      <c r="BB1093" s="93"/>
      <c r="BC1093" s="93"/>
      <c r="BD1093" s="93"/>
      <c r="BE1093" s="93"/>
      <c r="BF1093" s="93"/>
      <c r="BG1093" s="93"/>
      <c r="BH1093" s="93"/>
      <c r="BI1093" s="93"/>
      <c r="BJ1093" s="93"/>
      <c r="BK1093" s="93"/>
      <c r="BL1093" s="93"/>
      <c r="BM1093" s="93"/>
      <c r="BN1093" s="93"/>
      <c r="BO1093" s="93"/>
      <c r="BP1093" s="93"/>
      <c r="BQ1093" s="93"/>
      <c r="BR1093" s="93"/>
      <c r="BS1093" s="93"/>
      <c r="BT1093" s="93"/>
      <c r="BU1093" s="93"/>
      <c r="BV1093" s="93"/>
      <c r="BW1093" s="93"/>
      <c r="BX1093" s="93"/>
      <c r="BY1093" s="93"/>
      <c r="BZ1093" s="93"/>
    </row>
    <row r="1094">
      <c r="B1094" t="s">
        <v>3920</v>
      </c>
      <c r="C1094" s="89" t="s">
        <v>3921</v>
      </c>
      <c r="D1094" s="90" t="s">
        <v>3349</v>
      </c>
      <c r="E1094" s="91">
        <v>2018.0</v>
      </c>
      <c r="F1094" s="104">
        <v>1.0</v>
      </c>
      <c r="G1094" s="93"/>
      <c r="H1094" s="93"/>
      <c r="I1094" s="93"/>
      <c r="J1094" s="93"/>
      <c r="K1094" s="93"/>
      <c r="L1094" s="93"/>
      <c r="M1094" s="93"/>
      <c r="N1094" s="93"/>
      <c r="O1094" s="93"/>
      <c r="P1094" s="93"/>
      <c r="Q1094" s="93"/>
      <c r="R1094" s="93"/>
      <c r="S1094" s="93"/>
      <c r="T1094" s="93"/>
      <c r="U1094" s="93"/>
      <c r="V1094" s="93"/>
      <c r="W1094" s="93"/>
      <c r="X1094" s="93"/>
      <c r="Y1094" s="93"/>
      <c r="Z1094" s="93"/>
      <c r="AA1094" s="93"/>
      <c r="AB1094" s="93"/>
      <c r="AC1094" s="93"/>
      <c r="AD1094" s="93"/>
      <c r="AE1094" s="93"/>
      <c r="AF1094" s="93"/>
      <c r="AG1094" s="93"/>
      <c r="AH1094" s="93"/>
      <c r="AI1094" s="93"/>
      <c r="AJ1094" s="93"/>
      <c r="AK1094" s="93"/>
      <c r="AL1094" s="93"/>
      <c r="AM1094" s="93"/>
      <c r="AN1094" s="93"/>
      <c r="AO1094" s="93"/>
      <c r="AP1094" s="93"/>
      <c r="AQ1094" s="93"/>
      <c r="AR1094" s="93"/>
      <c r="AS1094" s="93"/>
      <c r="AT1094" s="93"/>
      <c r="AU1094" s="93"/>
      <c r="AV1094" s="93"/>
      <c r="AW1094" s="93"/>
      <c r="AX1094" s="93"/>
      <c r="AY1094" s="93"/>
      <c r="AZ1094" s="93"/>
      <c r="BA1094" s="93"/>
      <c r="BB1094" s="93"/>
      <c r="BC1094" s="93"/>
      <c r="BD1094" s="93"/>
      <c r="BE1094" s="93"/>
      <c r="BF1094" s="93"/>
      <c r="BG1094" s="93"/>
      <c r="BH1094" s="93"/>
      <c r="BI1094" s="93"/>
      <c r="BJ1094" s="93"/>
      <c r="BK1094" s="93"/>
      <c r="BL1094" s="93"/>
      <c r="BM1094" s="93"/>
      <c r="BN1094" s="93"/>
      <c r="BO1094" s="93"/>
      <c r="BP1094" s="93"/>
      <c r="BQ1094" s="93"/>
      <c r="BR1094" s="93"/>
      <c r="BS1094" s="93"/>
      <c r="BT1094" s="93"/>
      <c r="BU1094" s="93"/>
      <c r="BV1094" s="93"/>
      <c r="BW1094" s="93"/>
      <c r="BX1094" s="93"/>
      <c r="BY1094" s="93"/>
      <c r="BZ1094" s="93"/>
    </row>
    <row r="1095">
      <c r="B1095" t="s">
        <v>3922</v>
      </c>
      <c r="C1095" s="89" t="s">
        <v>3923</v>
      </c>
      <c r="D1095" s="90" t="s">
        <v>2795</v>
      </c>
      <c r="E1095" s="91">
        <v>2018.0</v>
      </c>
      <c r="F1095" s="104">
        <v>1.0</v>
      </c>
      <c r="G1095" s="93"/>
      <c r="H1095" s="93"/>
      <c r="I1095" s="93"/>
      <c r="J1095" s="93"/>
      <c r="K1095" s="93"/>
      <c r="L1095" s="93"/>
      <c r="M1095" s="93"/>
      <c r="N1095" s="93"/>
      <c r="O1095" s="93"/>
      <c r="P1095" s="93"/>
      <c r="Q1095" s="93"/>
      <c r="R1095" s="93"/>
      <c r="S1095" s="93"/>
      <c r="T1095" s="93"/>
      <c r="U1095" s="93"/>
      <c r="V1095" s="93"/>
      <c r="W1095" s="93"/>
      <c r="X1095" s="93"/>
      <c r="Y1095" s="93"/>
      <c r="Z1095" s="93"/>
      <c r="AA1095" s="93"/>
      <c r="AB1095" s="93"/>
      <c r="AC1095" s="93"/>
      <c r="AD1095" s="93"/>
      <c r="AE1095" s="93"/>
      <c r="AF1095" s="93"/>
      <c r="AG1095" s="93"/>
      <c r="AH1095" s="93"/>
      <c r="AI1095" s="93"/>
      <c r="AJ1095" s="93"/>
      <c r="AK1095" s="93"/>
      <c r="AL1095" s="93"/>
      <c r="AM1095" s="93"/>
      <c r="AN1095" s="93"/>
      <c r="AO1095" s="93"/>
      <c r="AP1095" s="93"/>
      <c r="AQ1095" s="93"/>
      <c r="AR1095" s="93"/>
      <c r="AS1095" s="93"/>
      <c r="AT1095" s="93"/>
      <c r="AU1095" s="93"/>
      <c r="AV1095" s="93"/>
      <c r="AW1095" s="93"/>
      <c r="AX1095" s="93"/>
      <c r="AY1095" s="93"/>
      <c r="AZ1095" s="93"/>
      <c r="BA1095" s="93"/>
      <c r="BB1095" s="93"/>
      <c r="BC1095" s="93"/>
      <c r="BD1095" s="93"/>
      <c r="BE1095" s="93"/>
      <c r="BF1095" s="93"/>
      <c r="BG1095" s="93"/>
      <c r="BH1095" s="93"/>
      <c r="BI1095" s="93"/>
      <c r="BJ1095" s="93"/>
      <c r="BK1095" s="93"/>
      <c r="BL1095" s="93"/>
      <c r="BM1095" s="93"/>
      <c r="BN1095" s="93"/>
      <c r="BO1095" s="93"/>
      <c r="BP1095" s="93"/>
      <c r="BQ1095" s="93"/>
      <c r="BR1095" s="93"/>
      <c r="BS1095" s="93"/>
      <c r="BT1095" s="93"/>
      <c r="BU1095" s="93"/>
      <c r="BV1095" s="93"/>
      <c r="BW1095" s="93"/>
      <c r="BX1095" s="93"/>
      <c r="BY1095" s="93"/>
      <c r="BZ1095" s="93"/>
    </row>
    <row r="1096">
      <c r="B1096" t="s">
        <v>3924</v>
      </c>
      <c r="C1096" s="89" t="s">
        <v>3925</v>
      </c>
      <c r="D1096" s="90" t="s">
        <v>2874</v>
      </c>
      <c r="E1096" s="91">
        <v>2017.0</v>
      </c>
      <c r="F1096" s="104">
        <v>1.0</v>
      </c>
      <c r="G1096" s="93"/>
      <c r="H1096" s="93"/>
      <c r="I1096" s="93"/>
      <c r="J1096" s="93"/>
      <c r="K1096" s="93"/>
      <c r="L1096" s="93"/>
      <c r="M1096" s="93"/>
      <c r="N1096" s="93"/>
      <c r="O1096" s="93"/>
      <c r="P1096" s="93"/>
      <c r="Q1096" s="93"/>
      <c r="R1096" s="93"/>
      <c r="S1096" s="93"/>
      <c r="T1096" s="93"/>
      <c r="U1096" s="93"/>
      <c r="V1096" s="93"/>
      <c r="W1096" s="93"/>
      <c r="X1096" s="93"/>
      <c r="Y1096" s="93"/>
      <c r="Z1096" s="93"/>
      <c r="AA1096" s="93"/>
      <c r="AB1096" s="93"/>
      <c r="AC1096" s="93"/>
      <c r="AD1096" s="93"/>
      <c r="AE1096" s="93"/>
      <c r="AF1096" s="93"/>
      <c r="AG1096" s="93"/>
      <c r="AH1096" s="93"/>
      <c r="AI1096" s="93"/>
      <c r="AJ1096" s="93"/>
      <c r="AK1096" s="93"/>
      <c r="AL1096" s="93"/>
      <c r="AM1096" s="93"/>
      <c r="AN1096" s="93"/>
      <c r="AO1096" s="93"/>
      <c r="AP1096" s="93"/>
      <c r="AQ1096" s="93"/>
      <c r="AR1096" s="93"/>
      <c r="AS1096" s="93"/>
      <c r="AT1096" s="93"/>
      <c r="AU1096" s="93"/>
      <c r="AV1096" s="93"/>
      <c r="AW1096" s="93"/>
      <c r="AX1096" s="93"/>
      <c r="AY1096" s="93"/>
      <c r="AZ1096" s="93"/>
      <c r="BA1096" s="93"/>
      <c r="BB1096" s="93"/>
      <c r="BC1096" s="93"/>
      <c r="BD1096" s="93"/>
      <c r="BE1096" s="93"/>
      <c r="BF1096" s="93"/>
      <c r="BG1096" s="93"/>
      <c r="BH1096" s="93"/>
      <c r="BI1096" s="93"/>
      <c r="BJ1096" s="93"/>
      <c r="BK1096" s="93"/>
      <c r="BL1096" s="93"/>
      <c r="BM1096" s="93"/>
      <c r="BN1096" s="93"/>
      <c r="BO1096" s="93"/>
      <c r="BP1096" s="93"/>
      <c r="BQ1096" s="93"/>
      <c r="BR1096" s="93"/>
      <c r="BS1096" s="93"/>
      <c r="BT1096" s="93"/>
      <c r="BU1096" s="93"/>
      <c r="BV1096" s="93"/>
      <c r="BW1096" s="93"/>
      <c r="BX1096" s="93"/>
      <c r="BY1096" s="93"/>
      <c r="BZ1096" s="93"/>
    </row>
    <row r="1097">
      <c r="B1097" t="s">
        <v>3926</v>
      </c>
      <c r="C1097" s="89" t="s">
        <v>3927</v>
      </c>
      <c r="D1097" s="90" t="s">
        <v>2856</v>
      </c>
      <c r="E1097" s="91">
        <v>2017.0</v>
      </c>
      <c r="F1097" s="104">
        <v>1.0</v>
      </c>
      <c r="G1097" s="93"/>
      <c r="H1097" s="93"/>
      <c r="I1097" s="93"/>
      <c r="J1097" s="93"/>
      <c r="K1097" s="93"/>
      <c r="L1097" s="93"/>
      <c r="M1097" s="93"/>
      <c r="N1097" s="93"/>
      <c r="O1097" s="93"/>
      <c r="P1097" s="93"/>
      <c r="Q1097" s="93"/>
      <c r="R1097" s="93"/>
      <c r="S1097" s="93"/>
      <c r="T1097" s="93"/>
      <c r="U1097" s="93"/>
      <c r="V1097" s="93"/>
      <c r="W1097" s="93"/>
      <c r="X1097" s="93"/>
      <c r="Y1097" s="93"/>
      <c r="Z1097" s="93"/>
      <c r="AA1097" s="93"/>
      <c r="AB1097" s="93"/>
      <c r="AC1097" s="93"/>
      <c r="AD1097" s="93"/>
      <c r="AE1097" s="93"/>
      <c r="AF1097" s="93"/>
      <c r="AG1097" s="93"/>
      <c r="AH1097" s="93"/>
      <c r="AI1097" s="93"/>
      <c r="AJ1097" s="93"/>
      <c r="AK1097" s="93"/>
      <c r="AL1097" s="93"/>
      <c r="AM1097" s="93"/>
      <c r="AN1097" s="93"/>
      <c r="AO1097" s="93"/>
      <c r="AP1097" s="93"/>
      <c r="AQ1097" s="93"/>
      <c r="AR1097" s="93"/>
      <c r="AS1097" s="93"/>
      <c r="AT1097" s="93"/>
      <c r="AU1097" s="93"/>
      <c r="AV1097" s="93"/>
      <c r="AW1097" s="93"/>
      <c r="AX1097" s="93"/>
      <c r="AY1097" s="93"/>
      <c r="AZ1097" s="93"/>
      <c r="BA1097" s="93"/>
      <c r="BB1097" s="93"/>
      <c r="BC1097" s="93"/>
      <c r="BD1097" s="93"/>
      <c r="BE1097" s="93"/>
      <c r="BF1097" s="93"/>
      <c r="BG1097" s="93"/>
      <c r="BH1097" s="93"/>
      <c r="BI1097" s="93"/>
      <c r="BJ1097" s="93"/>
      <c r="BK1097" s="93"/>
      <c r="BL1097" s="93"/>
      <c r="BM1097" s="93"/>
      <c r="BN1097" s="93"/>
      <c r="BO1097" s="93"/>
      <c r="BP1097" s="93"/>
      <c r="BQ1097" s="93"/>
      <c r="BR1097" s="93"/>
      <c r="BS1097" s="93"/>
      <c r="BT1097" s="93"/>
      <c r="BU1097" s="93"/>
      <c r="BV1097" s="93"/>
      <c r="BW1097" s="93"/>
      <c r="BX1097" s="93"/>
      <c r="BY1097" s="93"/>
      <c r="BZ1097" s="93"/>
    </row>
    <row r="1098">
      <c r="B1098" t="s">
        <v>3928</v>
      </c>
      <c r="C1098" s="89" t="s">
        <v>3929</v>
      </c>
      <c r="D1098" s="90" t="s">
        <v>2874</v>
      </c>
      <c r="E1098" s="91">
        <v>2017.0</v>
      </c>
      <c r="F1098" s="104">
        <v>1.0</v>
      </c>
      <c r="G1098" s="93"/>
      <c r="H1098" s="93"/>
      <c r="I1098" s="93"/>
      <c r="J1098" s="93"/>
      <c r="K1098" s="93"/>
      <c r="L1098" s="93"/>
      <c r="M1098" s="93"/>
      <c r="N1098" s="93"/>
      <c r="O1098" s="93"/>
      <c r="P1098" s="93"/>
      <c r="Q1098" s="93"/>
      <c r="R1098" s="93"/>
      <c r="S1098" s="93"/>
      <c r="T1098" s="93"/>
      <c r="U1098" s="93"/>
      <c r="V1098" s="93"/>
      <c r="W1098" s="93"/>
      <c r="X1098" s="93"/>
      <c r="Y1098" s="93"/>
      <c r="Z1098" s="93"/>
      <c r="AA1098" s="93"/>
      <c r="AB1098" s="93"/>
      <c r="AC1098" s="93"/>
      <c r="AD1098" s="93"/>
      <c r="AE1098" s="93"/>
      <c r="AF1098" s="93"/>
      <c r="AG1098" s="93"/>
      <c r="AH1098" s="93"/>
      <c r="AI1098" s="93"/>
      <c r="AJ1098" s="93"/>
      <c r="AK1098" s="93"/>
      <c r="AL1098" s="93"/>
      <c r="AM1098" s="93"/>
      <c r="AN1098" s="93"/>
      <c r="AO1098" s="93"/>
      <c r="AP1098" s="93"/>
      <c r="AQ1098" s="93"/>
      <c r="AR1098" s="93"/>
      <c r="AS1098" s="93"/>
      <c r="AT1098" s="93"/>
      <c r="AU1098" s="93"/>
      <c r="AV1098" s="93"/>
      <c r="AW1098" s="93"/>
      <c r="AX1098" s="93"/>
      <c r="AY1098" s="93"/>
      <c r="AZ1098" s="93"/>
      <c r="BA1098" s="93"/>
      <c r="BB1098" s="93"/>
      <c r="BC1098" s="93"/>
      <c r="BD1098" s="93"/>
      <c r="BE1098" s="93"/>
      <c r="BF1098" s="93"/>
      <c r="BG1098" s="93"/>
      <c r="BH1098" s="93"/>
      <c r="BI1098" s="93"/>
      <c r="BJ1098" s="93"/>
      <c r="BK1098" s="93"/>
      <c r="BL1098" s="93"/>
      <c r="BM1098" s="93"/>
      <c r="BN1098" s="93"/>
      <c r="BO1098" s="93"/>
      <c r="BP1098" s="93"/>
      <c r="BQ1098" s="93"/>
      <c r="BR1098" s="93"/>
      <c r="BS1098" s="93"/>
      <c r="BT1098" s="93"/>
      <c r="BU1098" s="93"/>
      <c r="BV1098" s="93"/>
      <c r="BW1098" s="93"/>
      <c r="BX1098" s="93"/>
      <c r="BY1098" s="93"/>
      <c r="BZ1098" s="93"/>
    </row>
    <row r="1099">
      <c r="B1099" t="s">
        <v>3930</v>
      </c>
      <c r="C1099" s="89" t="s">
        <v>3931</v>
      </c>
      <c r="D1099" s="90" t="s">
        <v>2856</v>
      </c>
      <c r="E1099" s="91">
        <v>2017.0</v>
      </c>
      <c r="F1099" s="104">
        <v>1.0</v>
      </c>
      <c r="G1099" s="93"/>
      <c r="H1099" s="93"/>
      <c r="I1099" s="93"/>
      <c r="J1099" s="93"/>
      <c r="K1099" s="93"/>
      <c r="L1099" s="93"/>
      <c r="M1099" s="93"/>
      <c r="N1099" s="93"/>
      <c r="O1099" s="93"/>
      <c r="P1099" s="93"/>
      <c r="Q1099" s="93"/>
      <c r="R1099" s="93"/>
      <c r="S1099" s="93"/>
      <c r="T1099" s="93"/>
      <c r="U1099" s="93"/>
      <c r="V1099" s="93"/>
      <c r="W1099" s="93"/>
      <c r="X1099" s="93"/>
      <c r="Y1099" s="93"/>
      <c r="Z1099" s="93"/>
      <c r="AA1099" s="93"/>
      <c r="AB1099" s="93"/>
      <c r="AC1099" s="93"/>
      <c r="AD1099" s="93"/>
      <c r="AE1099" s="93"/>
      <c r="AF1099" s="93"/>
      <c r="AG1099" s="93"/>
      <c r="AH1099" s="93"/>
      <c r="AI1099" s="93"/>
      <c r="AJ1099" s="93"/>
      <c r="AK1099" s="93"/>
      <c r="AL1099" s="93"/>
      <c r="AM1099" s="93"/>
      <c r="AN1099" s="93"/>
      <c r="AO1099" s="93"/>
      <c r="AP1099" s="93"/>
      <c r="AQ1099" s="93"/>
      <c r="AR1099" s="93"/>
      <c r="AS1099" s="93"/>
      <c r="AT1099" s="93"/>
      <c r="AU1099" s="93"/>
      <c r="AV1099" s="93"/>
      <c r="AW1099" s="93"/>
      <c r="AX1099" s="93"/>
      <c r="AY1099" s="93"/>
      <c r="AZ1099" s="93"/>
      <c r="BA1099" s="93"/>
      <c r="BB1099" s="93"/>
      <c r="BC1099" s="93"/>
      <c r="BD1099" s="93"/>
      <c r="BE1099" s="93"/>
      <c r="BF1099" s="93"/>
      <c r="BG1099" s="93"/>
      <c r="BH1099" s="93"/>
      <c r="BI1099" s="93"/>
      <c r="BJ1099" s="93"/>
      <c r="BK1099" s="93"/>
      <c r="BL1099" s="93"/>
      <c r="BM1099" s="93"/>
      <c r="BN1099" s="93"/>
      <c r="BO1099" s="93"/>
      <c r="BP1099" s="93"/>
      <c r="BQ1099" s="93"/>
      <c r="BR1099" s="93"/>
      <c r="BS1099" s="93"/>
      <c r="BT1099" s="93"/>
      <c r="BU1099" s="93"/>
      <c r="BV1099" s="93"/>
      <c r="BW1099" s="93"/>
      <c r="BX1099" s="93"/>
      <c r="BY1099" s="93"/>
      <c r="BZ1099" s="93"/>
    </row>
    <row r="1100">
      <c r="B1100" t="s">
        <v>3932</v>
      </c>
      <c r="C1100" s="89" t="s">
        <v>3933</v>
      </c>
      <c r="D1100" s="90" t="s">
        <v>3934</v>
      </c>
      <c r="E1100" s="91">
        <v>2016.0</v>
      </c>
      <c r="F1100" s="104">
        <v>1.0</v>
      </c>
      <c r="G1100" s="93"/>
      <c r="H1100" s="93"/>
      <c r="I1100" s="93"/>
      <c r="J1100" s="93"/>
      <c r="K1100" s="93"/>
      <c r="L1100" s="93"/>
      <c r="M1100" s="93"/>
      <c r="N1100" s="93"/>
      <c r="O1100" s="93"/>
      <c r="P1100" s="93"/>
      <c r="Q1100" s="93"/>
      <c r="R1100" s="93"/>
      <c r="S1100" s="93"/>
      <c r="T1100" s="93"/>
      <c r="U1100" s="93"/>
      <c r="V1100" s="93"/>
      <c r="W1100" s="93"/>
      <c r="X1100" s="93"/>
      <c r="Y1100" s="93"/>
      <c r="Z1100" s="93"/>
      <c r="AA1100" s="93"/>
      <c r="AB1100" s="93"/>
      <c r="AC1100" s="93"/>
      <c r="AD1100" s="93"/>
      <c r="AE1100" s="93"/>
      <c r="AF1100" s="93"/>
      <c r="AG1100" s="93"/>
      <c r="AH1100" s="93"/>
      <c r="AI1100" s="93"/>
      <c r="AJ1100" s="93"/>
      <c r="AK1100" s="93"/>
      <c r="AL1100" s="93"/>
      <c r="AM1100" s="93"/>
      <c r="AN1100" s="93"/>
      <c r="AO1100" s="93"/>
      <c r="AP1100" s="93"/>
      <c r="AQ1100" s="93"/>
      <c r="AR1100" s="93"/>
      <c r="AS1100" s="93"/>
      <c r="AT1100" s="93"/>
      <c r="AU1100" s="93"/>
      <c r="AV1100" s="93"/>
      <c r="AW1100" s="93"/>
      <c r="AX1100" s="93"/>
      <c r="AY1100" s="93"/>
      <c r="AZ1100" s="93"/>
      <c r="BA1100" s="93"/>
      <c r="BB1100" s="93"/>
      <c r="BC1100" s="93"/>
      <c r="BD1100" s="93"/>
      <c r="BE1100" s="93"/>
      <c r="BF1100" s="93"/>
      <c r="BG1100" s="93"/>
      <c r="BH1100" s="93"/>
      <c r="BI1100" s="93"/>
      <c r="BJ1100" s="93"/>
      <c r="BK1100" s="93"/>
      <c r="BL1100" s="93"/>
      <c r="BM1100" s="93"/>
      <c r="BN1100" s="93"/>
      <c r="BO1100" s="93"/>
      <c r="BP1100" s="93"/>
      <c r="BQ1100" s="93"/>
      <c r="BR1100" s="93"/>
      <c r="BS1100" s="93"/>
      <c r="BT1100" s="93"/>
      <c r="BU1100" s="93"/>
      <c r="BV1100" s="93"/>
      <c r="BW1100" s="93"/>
      <c r="BX1100" s="93"/>
      <c r="BY1100" s="93"/>
      <c r="BZ1100" s="93"/>
    </row>
    <row r="1101">
      <c r="B1101" t="s">
        <v>3935</v>
      </c>
      <c r="C1101" s="89" t="s">
        <v>3936</v>
      </c>
      <c r="D1101" s="90" t="s">
        <v>3555</v>
      </c>
      <c r="E1101" s="91">
        <v>2016.0</v>
      </c>
      <c r="F1101" s="104">
        <v>1.0</v>
      </c>
      <c r="G1101" s="93"/>
      <c r="H1101" s="93"/>
      <c r="I1101" s="93"/>
      <c r="J1101" s="93"/>
      <c r="K1101" s="93"/>
      <c r="L1101" s="93"/>
      <c r="M1101" s="93"/>
      <c r="N1101" s="93"/>
      <c r="O1101" s="93"/>
      <c r="P1101" s="93"/>
      <c r="Q1101" s="93"/>
      <c r="R1101" s="93"/>
      <c r="S1101" s="93"/>
      <c r="T1101" s="93"/>
      <c r="U1101" s="93"/>
      <c r="V1101" s="93"/>
      <c r="W1101" s="93"/>
      <c r="X1101" s="93"/>
      <c r="Y1101" s="93"/>
      <c r="Z1101" s="93"/>
      <c r="AA1101" s="93"/>
      <c r="AB1101" s="93"/>
      <c r="AC1101" s="93"/>
      <c r="AD1101" s="93"/>
      <c r="AE1101" s="93"/>
      <c r="AF1101" s="93"/>
      <c r="AG1101" s="93"/>
      <c r="AH1101" s="93"/>
      <c r="AI1101" s="93"/>
      <c r="AJ1101" s="93"/>
      <c r="AK1101" s="93"/>
      <c r="AL1101" s="93"/>
      <c r="AM1101" s="93"/>
      <c r="AN1101" s="93"/>
      <c r="AO1101" s="93"/>
      <c r="AP1101" s="93"/>
      <c r="AQ1101" s="93"/>
      <c r="AR1101" s="93"/>
      <c r="AS1101" s="93"/>
      <c r="AT1101" s="93"/>
      <c r="AU1101" s="93"/>
      <c r="AV1101" s="93"/>
      <c r="AW1101" s="93"/>
      <c r="AX1101" s="93"/>
      <c r="AY1101" s="93"/>
      <c r="AZ1101" s="93"/>
      <c r="BA1101" s="93"/>
      <c r="BB1101" s="93"/>
      <c r="BC1101" s="93"/>
      <c r="BD1101" s="93"/>
      <c r="BE1101" s="93"/>
      <c r="BF1101" s="93"/>
      <c r="BG1101" s="93"/>
      <c r="BH1101" s="93"/>
      <c r="BI1101" s="93"/>
      <c r="BJ1101" s="93"/>
      <c r="BK1101" s="93"/>
      <c r="BL1101" s="93"/>
      <c r="BM1101" s="93"/>
      <c r="BN1101" s="93"/>
      <c r="BO1101" s="93"/>
      <c r="BP1101" s="93"/>
      <c r="BQ1101" s="93"/>
      <c r="BR1101" s="93"/>
      <c r="BS1101" s="93"/>
      <c r="BT1101" s="93"/>
      <c r="BU1101" s="93"/>
      <c r="BV1101" s="93"/>
      <c r="BW1101" s="93"/>
      <c r="BX1101" s="93"/>
      <c r="BY1101" s="93"/>
      <c r="BZ1101" s="93"/>
    </row>
    <row r="1102">
      <c r="B1102" t="s">
        <v>3937</v>
      </c>
      <c r="C1102" s="89" t="s">
        <v>3938</v>
      </c>
      <c r="D1102" s="90" t="s">
        <v>2795</v>
      </c>
      <c r="E1102" s="91">
        <v>2016.0</v>
      </c>
      <c r="F1102" s="104">
        <v>1.0</v>
      </c>
      <c r="G1102" s="93"/>
      <c r="H1102" s="93"/>
      <c r="I1102" s="93"/>
      <c r="J1102" s="93"/>
      <c r="K1102" s="93"/>
      <c r="L1102" s="93"/>
      <c r="M1102" s="93"/>
      <c r="N1102" s="93"/>
      <c r="O1102" s="93"/>
      <c r="P1102" s="93"/>
      <c r="Q1102" s="93"/>
      <c r="R1102" s="93"/>
      <c r="S1102" s="93"/>
      <c r="T1102" s="93"/>
      <c r="U1102" s="93"/>
      <c r="V1102" s="93"/>
      <c r="W1102" s="93"/>
      <c r="X1102" s="93"/>
      <c r="Y1102" s="93"/>
      <c r="Z1102" s="93"/>
      <c r="AA1102" s="93"/>
      <c r="AB1102" s="93"/>
      <c r="AC1102" s="93"/>
      <c r="AD1102" s="93"/>
      <c r="AE1102" s="93"/>
      <c r="AF1102" s="93"/>
      <c r="AG1102" s="93"/>
      <c r="AH1102" s="93"/>
      <c r="AI1102" s="93"/>
      <c r="AJ1102" s="93"/>
      <c r="AK1102" s="93"/>
      <c r="AL1102" s="93"/>
      <c r="AM1102" s="93"/>
      <c r="AN1102" s="93"/>
      <c r="AO1102" s="93"/>
      <c r="AP1102" s="93"/>
      <c r="AQ1102" s="93"/>
      <c r="AR1102" s="93"/>
      <c r="AS1102" s="93"/>
      <c r="AT1102" s="93"/>
      <c r="AU1102" s="93"/>
      <c r="AV1102" s="93"/>
      <c r="AW1102" s="93"/>
      <c r="AX1102" s="93"/>
      <c r="AY1102" s="93"/>
      <c r="AZ1102" s="93"/>
      <c r="BA1102" s="93"/>
      <c r="BB1102" s="93"/>
      <c r="BC1102" s="93"/>
      <c r="BD1102" s="93"/>
      <c r="BE1102" s="93"/>
      <c r="BF1102" s="93"/>
      <c r="BG1102" s="93"/>
      <c r="BH1102" s="93"/>
      <c r="BI1102" s="93"/>
      <c r="BJ1102" s="93"/>
      <c r="BK1102" s="93"/>
      <c r="BL1102" s="93"/>
      <c r="BM1102" s="93"/>
      <c r="BN1102" s="93"/>
      <c r="BO1102" s="93"/>
      <c r="BP1102" s="93"/>
      <c r="BQ1102" s="93"/>
      <c r="BR1102" s="93"/>
      <c r="BS1102" s="93"/>
      <c r="BT1102" s="93"/>
      <c r="BU1102" s="93"/>
      <c r="BV1102" s="93"/>
      <c r="BW1102" s="93"/>
      <c r="BX1102" s="93"/>
      <c r="BY1102" s="93"/>
      <c r="BZ1102" s="93"/>
    </row>
    <row r="1103">
      <c r="B1103" t="s">
        <v>3939</v>
      </c>
      <c r="C1103" s="89" t="s">
        <v>3940</v>
      </c>
      <c r="D1103" s="90" t="s">
        <v>1597</v>
      </c>
      <c r="E1103" s="91">
        <v>2019.0</v>
      </c>
      <c r="F1103" s="104">
        <v>1.0</v>
      </c>
      <c r="G1103" s="93"/>
      <c r="H1103" s="93"/>
      <c r="I1103" s="93"/>
      <c r="J1103" s="93"/>
      <c r="K1103" s="93"/>
      <c r="L1103" s="93"/>
      <c r="M1103" s="93"/>
      <c r="N1103" s="93"/>
      <c r="O1103" s="93"/>
      <c r="P1103" s="93"/>
      <c r="Q1103" s="93"/>
      <c r="R1103" s="93"/>
      <c r="S1103" s="93"/>
      <c r="T1103" s="93"/>
      <c r="U1103" s="93"/>
      <c r="V1103" s="93"/>
      <c r="W1103" s="93"/>
      <c r="X1103" s="93"/>
      <c r="Y1103" s="93"/>
      <c r="Z1103" s="93"/>
      <c r="AA1103" s="93"/>
      <c r="AB1103" s="93"/>
      <c r="AC1103" s="93"/>
      <c r="AD1103" s="93"/>
      <c r="AE1103" s="93"/>
      <c r="AF1103" s="93"/>
      <c r="AG1103" s="93"/>
      <c r="AH1103" s="93"/>
      <c r="AI1103" s="93"/>
      <c r="AJ1103" s="93"/>
      <c r="AK1103" s="93"/>
      <c r="AL1103" s="93"/>
      <c r="AM1103" s="93"/>
      <c r="AN1103" s="93"/>
      <c r="AO1103" s="93"/>
      <c r="AP1103" s="93"/>
      <c r="AQ1103" s="93"/>
      <c r="AR1103" s="93"/>
      <c r="AS1103" s="93"/>
      <c r="AT1103" s="93"/>
      <c r="AU1103" s="93"/>
      <c r="AV1103" s="93"/>
      <c r="AW1103" s="93"/>
      <c r="AX1103" s="93"/>
      <c r="AY1103" s="93"/>
      <c r="AZ1103" s="93"/>
      <c r="BA1103" s="93"/>
      <c r="BB1103" s="93"/>
      <c r="BC1103" s="93"/>
      <c r="BD1103" s="93"/>
      <c r="BE1103" s="93"/>
      <c r="BF1103" s="93"/>
      <c r="BG1103" s="93"/>
      <c r="BH1103" s="93"/>
      <c r="BI1103" s="93"/>
      <c r="BJ1103" s="93"/>
      <c r="BK1103" s="93"/>
      <c r="BL1103" s="93"/>
      <c r="BM1103" s="93"/>
      <c r="BN1103" s="93"/>
      <c r="BO1103" s="93"/>
      <c r="BP1103" s="93"/>
      <c r="BQ1103" s="93"/>
      <c r="BR1103" s="93"/>
      <c r="BS1103" s="93"/>
      <c r="BT1103" s="93"/>
      <c r="BU1103" s="93"/>
      <c r="BV1103" s="93"/>
      <c r="BW1103" s="93"/>
      <c r="BX1103" s="93"/>
      <c r="BY1103" s="93"/>
      <c r="BZ1103" s="93"/>
    </row>
    <row r="1104">
      <c r="B1104" t="s">
        <v>3941</v>
      </c>
      <c r="C1104" s="89" t="s">
        <v>3942</v>
      </c>
      <c r="D1104" s="90" t="s">
        <v>3144</v>
      </c>
      <c r="E1104" s="91">
        <v>2019.0</v>
      </c>
      <c r="F1104" s="104">
        <v>1.0</v>
      </c>
      <c r="G1104" s="93"/>
      <c r="H1104" s="93"/>
      <c r="I1104" s="93"/>
      <c r="J1104" s="93"/>
      <c r="K1104" s="93"/>
      <c r="L1104" s="93"/>
      <c r="M1104" s="93"/>
      <c r="N1104" s="93"/>
      <c r="O1104" s="93"/>
      <c r="P1104" s="93"/>
      <c r="Q1104" s="93"/>
      <c r="R1104" s="93"/>
      <c r="S1104" s="93"/>
      <c r="T1104" s="93"/>
      <c r="U1104" s="93"/>
      <c r="V1104" s="93"/>
      <c r="W1104" s="93"/>
      <c r="X1104" s="93"/>
      <c r="Y1104" s="93"/>
      <c r="Z1104" s="93"/>
      <c r="AA1104" s="93"/>
      <c r="AB1104" s="93"/>
      <c r="AC1104" s="93"/>
      <c r="AD1104" s="93"/>
      <c r="AE1104" s="93"/>
      <c r="AF1104" s="93"/>
      <c r="AG1104" s="93"/>
      <c r="AH1104" s="93"/>
      <c r="AI1104" s="93"/>
      <c r="AJ1104" s="93"/>
      <c r="AK1104" s="93"/>
      <c r="AL1104" s="93"/>
      <c r="AM1104" s="93"/>
      <c r="AN1104" s="93"/>
      <c r="AO1104" s="93"/>
      <c r="AP1104" s="93"/>
      <c r="AQ1104" s="93"/>
      <c r="AR1104" s="93"/>
      <c r="AS1104" s="93"/>
      <c r="AT1104" s="93"/>
      <c r="AU1104" s="93"/>
      <c r="AV1104" s="93"/>
      <c r="AW1104" s="93"/>
      <c r="AX1104" s="93"/>
      <c r="AY1104" s="93"/>
      <c r="AZ1104" s="93"/>
      <c r="BA1104" s="93"/>
      <c r="BB1104" s="93"/>
      <c r="BC1104" s="93"/>
      <c r="BD1104" s="93"/>
      <c r="BE1104" s="93"/>
      <c r="BF1104" s="93"/>
      <c r="BG1104" s="93"/>
      <c r="BH1104" s="93"/>
      <c r="BI1104" s="93"/>
      <c r="BJ1104" s="93"/>
      <c r="BK1104" s="93"/>
      <c r="BL1104" s="93"/>
      <c r="BM1104" s="93"/>
      <c r="BN1104" s="93"/>
      <c r="BO1104" s="93"/>
      <c r="BP1104" s="93"/>
      <c r="BQ1104" s="93"/>
      <c r="BR1104" s="93"/>
      <c r="BS1104" s="93"/>
      <c r="BT1104" s="93"/>
      <c r="BU1104" s="93"/>
      <c r="BV1104" s="93"/>
      <c r="BW1104" s="93"/>
      <c r="BX1104" s="93"/>
      <c r="BY1104" s="93"/>
      <c r="BZ1104" s="93"/>
    </row>
    <row r="1105">
      <c r="B1105" t="s">
        <v>3943</v>
      </c>
      <c r="C1105" s="89" t="s">
        <v>3944</v>
      </c>
      <c r="D1105" s="90" t="s">
        <v>3833</v>
      </c>
      <c r="E1105" s="91">
        <v>2017.0</v>
      </c>
      <c r="F1105" s="104">
        <v>1.0</v>
      </c>
      <c r="G1105" s="93"/>
      <c r="H1105" s="93"/>
      <c r="I1105" s="93"/>
      <c r="J1105" s="93"/>
      <c r="K1105" s="93"/>
      <c r="L1105" s="93"/>
      <c r="M1105" s="93"/>
      <c r="N1105" s="93"/>
      <c r="O1105" s="93"/>
      <c r="P1105" s="93"/>
      <c r="Q1105" s="93"/>
      <c r="R1105" s="93"/>
      <c r="S1105" s="93"/>
      <c r="T1105" s="93"/>
      <c r="U1105" s="93"/>
      <c r="V1105" s="93"/>
      <c r="W1105" s="93"/>
      <c r="X1105" s="93"/>
      <c r="Y1105" s="93"/>
      <c r="Z1105" s="93"/>
      <c r="AA1105" s="93"/>
      <c r="AB1105" s="93"/>
      <c r="AC1105" s="93"/>
      <c r="AD1105" s="93"/>
      <c r="AE1105" s="93"/>
      <c r="AF1105" s="93"/>
      <c r="AG1105" s="93"/>
      <c r="AH1105" s="93"/>
      <c r="AI1105" s="93"/>
      <c r="AJ1105" s="93"/>
      <c r="AK1105" s="93"/>
      <c r="AL1105" s="93"/>
      <c r="AM1105" s="93"/>
      <c r="AN1105" s="93"/>
      <c r="AO1105" s="93"/>
      <c r="AP1105" s="93"/>
      <c r="AQ1105" s="93"/>
      <c r="AR1105" s="93"/>
      <c r="AS1105" s="93"/>
      <c r="AT1105" s="93"/>
      <c r="AU1105" s="93"/>
      <c r="AV1105" s="93"/>
      <c r="AW1105" s="93"/>
      <c r="AX1105" s="93"/>
      <c r="AY1105" s="93"/>
      <c r="AZ1105" s="93"/>
      <c r="BA1105" s="93"/>
      <c r="BB1105" s="93"/>
      <c r="BC1105" s="93"/>
      <c r="BD1105" s="93"/>
      <c r="BE1105" s="93"/>
      <c r="BF1105" s="93"/>
      <c r="BG1105" s="93"/>
      <c r="BH1105" s="93"/>
      <c r="BI1105" s="93"/>
      <c r="BJ1105" s="93"/>
      <c r="BK1105" s="93"/>
      <c r="BL1105" s="93"/>
      <c r="BM1105" s="93"/>
      <c r="BN1105" s="93"/>
      <c r="BO1105" s="93"/>
      <c r="BP1105" s="93"/>
      <c r="BQ1105" s="93"/>
      <c r="BR1105" s="93"/>
      <c r="BS1105" s="93"/>
      <c r="BT1105" s="93"/>
      <c r="BU1105" s="93"/>
      <c r="BV1105" s="93"/>
      <c r="BW1105" s="93"/>
      <c r="BX1105" s="93"/>
      <c r="BY1105" s="93"/>
      <c r="BZ1105" s="93"/>
    </row>
    <row r="1106">
      <c r="A1106" t="s">
        <v>1340</v>
      </c>
      <c r="B1106" t="s">
        <v>3945</v>
      </c>
      <c r="C1106" s="89" t="s">
        <v>3946</v>
      </c>
      <c r="D1106" s="90" t="s">
        <v>2874</v>
      </c>
      <c r="E1106" s="91">
        <v>2019.0</v>
      </c>
      <c r="F1106" s="104">
        <v>1.0</v>
      </c>
      <c r="G1106" s="93"/>
      <c r="H1106" s="93"/>
      <c r="I1106" s="93"/>
      <c r="J1106" s="93"/>
      <c r="K1106" s="93"/>
      <c r="L1106" s="93"/>
      <c r="M1106" s="93"/>
      <c r="N1106" s="93"/>
      <c r="O1106" s="93"/>
      <c r="P1106" s="93"/>
      <c r="Q1106" s="93"/>
      <c r="R1106" s="93"/>
      <c r="S1106" s="93"/>
      <c r="T1106" s="93"/>
      <c r="U1106" s="93"/>
      <c r="V1106" s="93"/>
      <c r="W1106" s="93"/>
      <c r="X1106" s="93"/>
      <c r="Y1106" s="93"/>
      <c r="Z1106" s="93"/>
      <c r="AA1106" s="93"/>
      <c r="AB1106" s="93"/>
      <c r="AC1106" s="93"/>
      <c r="AD1106" s="93"/>
      <c r="AE1106" s="93"/>
      <c r="AF1106" s="93"/>
      <c r="AG1106" s="93"/>
      <c r="AH1106" s="93"/>
      <c r="AI1106" s="93"/>
      <c r="AJ1106" s="93"/>
      <c r="AK1106" s="93"/>
      <c r="AL1106" s="93"/>
      <c r="AM1106" s="93"/>
      <c r="AN1106" s="93"/>
      <c r="AO1106" s="93"/>
      <c r="AP1106" s="93"/>
      <c r="AQ1106" s="93"/>
      <c r="AR1106" s="93"/>
      <c r="AS1106" s="93"/>
      <c r="AT1106" s="93"/>
      <c r="AU1106" s="93"/>
      <c r="AV1106" s="93"/>
      <c r="AW1106" s="93"/>
      <c r="AX1106" s="93"/>
      <c r="AY1106" s="93"/>
      <c r="AZ1106" s="93"/>
      <c r="BA1106" s="93"/>
      <c r="BB1106" s="93"/>
      <c r="BC1106" s="93"/>
      <c r="BD1106" s="93"/>
      <c r="BE1106" s="93"/>
      <c r="BF1106" s="93"/>
      <c r="BG1106" s="93"/>
      <c r="BH1106" s="93"/>
      <c r="BI1106" s="93"/>
      <c r="BJ1106" s="93"/>
      <c r="BK1106" s="93"/>
      <c r="BL1106" s="93"/>
      <c r="BM1106" s="93"/>
      <c r="BN1106" s="93"/>
      <c r="BO1106" s="93"/>
      <c r="BP1106" s="93"/>
      <c r="BQ1106" s="93"/>
      <c r="BR1106" s="93"/>
      <c r="BS1106" s="93"/>
      <c r="BT1106" s="93"/>
      <c r="BU1106" s="93"/>
      <c r="BV1106" s="93"/>
      <c r="BW1106" s="93"/>
      <c r="BX1106" s="93"/>
      <c r="BY1106" s="93"/>
      <c r="BZ1106" s="93"/>
    </row>
    <row r="1107">
      <c r="B1107" t="s">
        <v>3947</v>
      </c>
      <c r="C1107" s="89" t="s">
        <v>3948</v>
      </c>
      <c r="D1107" s="90" t="s">
        <v>2856</v>
      </c>
      <c r="E1107" s="91">
        <v>2019.0</v>
      </c>
      <c r="F1107" s="104">
        <v>1.0</v>
      </c>
      <c r="G1107" s="93"/>
      <c r="H1107" s="93"/>
      <c r="I1107" s="93"/>
      <c r="J1107" s="93"/>
      <c r="K1107" s="93"/>
      <c r="L1107" s="93"/>
      <c r="M1107" s="93"/>
      <c r="N1107" s="93"/>
      <c r="O1107" s="93"/>
      <c r="P1107" s="93"/>
      <c r="Q1107" s="93"/>
      <c r="R1107" s="93"/>
      <c r="S1107" s="93"/>
      <c r="T1107" s="93"/>
      <c r="U1107" s="93"/>
      <c r="V1107" s="93"/>
      <c r="W1107" s="93"/>
      <c r="X1107" s="93"/>
      <c r="Y1107" s="93"/>
      <c r="Z1107" s="93"/>
      <c r="AA1107" s="93"/>
      <c r="AB1107" s="93"/>
      <c r="AC1107" s="93"/>
      <c r="AD1107" s="93"/>
      <c r="AE1107" s="93"/>
      <c r="AF1107" s="93"/>
      <c r="AG1107" s="93"/>
      <c r="AH1107" s="93"/>
      <c r="AI1107" s="93"/>
      <c r="AJ1107" s="93"/>
      <c r="AK1107" s="93"/>
      <c r="AL1107" s="93"/>
      <c r="AM1107" s="93"/>
      <c r="AN1107" s="93"/>
      <c r="AO1107" s="93"/>
      <c r="AP1107" s="93"/>
      <c r="AQ1107" s="93"/>
      <c r="AR1107" s="93"/>
      <c r="AS1107" s="93"/>
      <c r="AT1107" s="93"/>
      <c r="AU1107" s="93"/>
      <c r="AV1107" s="93"/>
      <c r="AW1107" s="93"/>
      <c r="AX1107" s="93"/>
      <c r="AY1107" s="93"/>
      <c r="AZ1107" s="93"/>
      <c r="BA1107" s="93"/>
      <c r="BB1107" s="93"/>
      <c r="BC1107" s="93"/>
      <c r="BD1107" s="93"/>
      <c r="BE1107" s="93"/>
      <c r="BF1107" s="93"/>
      <c r="BG1107" s="93"/>
      <c r="BH1107" s="93"/>
      <c r="BI1107" s="93"/>
      <c r="BJ1107" s="93"/>
      <c r="BK1107" s="93"/>
      <c r="BL1107" s="93"/>
      <c r="BM1107" s="93"/>
      <c r="BN1107" s="93"/>
      <c r="BO1107" s="93"/>
      <c r="BP1107" s="93"/>
      <c r="BQ1107" s="93"/>
      <c r="BR1107" s="93"/>
      <c r="BS1107" s="93"/>
      <c r="BT1107" s="93"/>
      <c r="BU1107" s="93"/>
      <c r="BV1107" s="93"/>
      <c r="BW1107" s="93"/>
      <c r="BX1107" s="93"/>
      <c r="BY1107" s="93"/>
      <c r="BZ1107" s="93"/>
    </row>
    <row r="1108">
      <c r="B1108" t="s">
        <v>3949</v>
      </c>
      <c r="C1108" s="89" t="s">
        <v>3950</v>
      </c>
      <c r="D1108" s="90" t="s">
        <v>3582</v>
      </c>
      <c r="E1108" s="91">
        <v>2016.0</v>
      </c>
      <c r="F1108" s="104">
        <v>1.0</v>
      </c>
      <c r="G1108" s="93"/>
      <c r="H1108" s="93"/>
      <c r="I1108" s="93"/>
      <c r="J1108" s="93"/>
      <c r="K1108" s="93"/>
      <c r="L1108" s="93"/>
      <c r="M1108" s="93"/>
      <c r="N1108" s="93"/>
      <c r="O1108" s="93"/>
      <c r="P1108" s="93"/>
      <c r="Q1108" s="93"/>
      <c r="R1108" s="93"/>
      <c r="S1108" s="93"/>
      <c r="T1108" s="93"/>
      <c r="U1108" s="93"/>
      <c r="V1108" s="93"/>
      <c r="W1108" s="93"/>
      <c r="X1108" s="93"/>
      <c r="Y1108" s="93"/>
      <c r="Z1108" s="93"/>
      <c r="AA1108" s="93"/>
      <c r="AB1108" s="93"/>
      <c r="AC1108" s="93"/>
      <c r="AD1108" s="93"/>
      <c r="AE1108" s="93"/>
      <c r="AF1108" s="93"/>
      <c r="AG1108" s="93"/>
      <c r="AH1108" s="93"/>
      <c r="AI1108" s="93"/>
      <c r="AJ1108" s="93"/>
      <c r="AK1108" s="93"/>
      <c r="AL1108" s="93"/>
      <c r="AM1108" s="93"/>
      <c r="AN1108" s="93"/>
      <c r="AO1108" s="93"/>
      <c r="AP1108" s="93"/>
      <c r="AQ1108" s="93"/>
      <c r="AR1108" s="93"/>
      <c r="AS1108" s="93"/>
      <c r="AT1108" s="93"/>
      <c r="AU1108" s="93"/>
      <c r="AV1108" s="93"/>
      <c r="AW1108" s="93"/>
      <c r="AX1108" s="93"/>
      <c r="AY1108" s="93"/>
      <c r="AZ1108" s="93"/>
      <c r="BA1108" s="93"/>
      <c r="BB1108" s="93"/>
      <c r="BC1108" s="93"/>
      <c r="BD1108" s="93"/>
      <c r="BE1108" s="93"/>
      <c r="BF1108" s="93"/>
      <c r="BG1108" s="93"/>
      <c r="BH1108" s="93"/>
      <c r="BI1108" s="93"/>
      <c r="BJ1108" s="93"/>
      <c r="BK1108" s="93"/>
      <c r="BL1108" s="93"/>
      <c r="BM1108" s="93"/>
      <c r="BN1108" s="93"/>
      <c r="BO1108" s="93"/>
      <c r="BP1108" s="93"/>
      <c r="BQ1108" s="93"/>
      <c r="BR1108" s="93"/>
      <c r="BS1108" s="93"/>
      <c r="BT1108" s="93"/>
      <c r="BU1108" s="93"/>
      <c r="BV1108" s="93"/>
      <c r="BW1108" s="93"/>
      <c r="BX1108" s="93"/>
      <c r="BY1108" s="93"/>
      <c r="BZ1108" s="93"/>
    </row>
    <row r="1109">
      <c r="B1109" t="s">
        <v>3951</v>
      </c>
      <c r="C1109" s="89" t="s">
        <v>3952</v>
      </c>
      <c r="D1109" s="90" t="s">
        <v>3555</v>
      </c>
      <c r="E1109" s="91">
        <v>2020.0</v>
      </c>
      <c r="F1109" s="104">
        <v>1.0</v>
      </c>
      <c r="G1109" s="93"/>
      <c r="H1109" s="93"/>
      <c r="I1109" s="93"/>
      <c r="J1109" s="93"/>
      <c r="K1109" s="93"/>
      <c r="L1109" s="93"/>
      <c r="M1109" s="93"/>
      <c r="N1109" s="93"/>
      <c r="O1109" s="93"/>
      <c r="P1109" s="93"/>
      <c r="Q1109" s="93"/>
      <c r="R1109" s="93"/>
      <c r="S1109" s="93"/>
      <c r="T1109" s="93"/>
      <c r="U1109" s="93"/>
      <c r="V1109" s="93"/>
      <c r="W1109" s="93"/>
      <c r="X1109" s="93"/>
      <c r="Y1109" s="93"/>
      <c r="Z1109" s="93"/>
      <c r="AA1109" s="93"/>
      <c r="AB1109" s="93"/>
      <c r="AC1109" s="93"/>
      <c r="AD1109" s="93"/>
      <c r="AE1109" s="93"/>
      <c r="AF1109" s="93"/>
      <c r="AG1109" s="93"/>
      <c r="AH1109" s="93"/>
      <c r="AI1109" s="93"/>
      <c r="AJ1109" s="93"/>
      <c r="AK1109" s="93"/>
      <c r="AL1109" s="93"/>
      <c r="AM1109" s="93"/>
      <c r="AN1109" s="93"/>
      <c r="AO1109" s="93"/>
      <c r="AP1109" s="93"/>
      <c r="AQ1109" s="93"/>
      <c r="AR1109" s="93"/>
      <c r="AS1109" s="93"/>
      <c r="AT1109" s="93"/>
      <c r="AU1109" s="93"/>
      <c r="AV1109" s="93"/>
      <c r="AW1109" s="93"/>
      <c r="AX1109" s="93"/>
      <c r="AY1109" s="93"/>
      <c r="AZ1109" s="93"/>
      <c r="BA1109" s="93"/>
      <c r="BB1109" s="93"/>
      <c r="BC1109" s="93"/>
      <c r="BD1109" s="93"/>
      <c r="BE1109" s="93"/>
      <c r="BF1109" s="93"/>
      <c r="BG1109" s="93"/>
      <c r="BH1109" s="93"/>
      <c r="BI1109" s="93"/>
      <c r="BJ1109" s="93"/>
      <c r="BK1109" s="93"/>
      <c r="BL1109" s="93"/>
      <c r="BM1109" s="93"/>
      <c r="BN1109" s="93"/>
      <c r="BO1109" s="93"/>
      <c r="BP1109" s="93"/>
      <c r="BQ1109" s="93"/>
      <c r="BR1109" s="93"/>
      <c r="BS1109" s="93"/>
      <c r="BT1109" s="93"/>
      <c r="BU1109" s="93"/>
      <c r="BV1109" s="93"/>
      <c r="BW1109" s="93"/>
      <c r="BX1109" s="93"/>
      <c r="BY1109" s="93"/>
      <c r="BZ1109" s="93"/>
    </row>
    <row r="1110">
      <c r="A1110" t="s">
        <v>1354</v>
      </c>
      <c r="B1110" t="s">
        <v>3953</v>
      </c>
      <c r="C1110" s="89" t="s">
        <v>3954</v>
      </c>
      <c r="D1110" s="90" t="s">
        <v>2960</v>
      </c>
      <c r="E1110" s="91">
        <v>2019.0</v>
      </c>
      <c r="F1110" s="104">
        <v>1.0</v>
      </c>
      <c r="G1110" s="93"/>
      <c r="H1110" s="93"/>
      <c r="I1110" s="93"/>
      <c r="J1110" s="93"/>
      <c r="K1110" s="93"/>
      <c r="L1110" s="93"/>
      <c r="M1110" s="93"/>
      <c r="N1110" s="93"/>
      <c r="O1110" s="93"/>
      <c r="P1110" s="93"/>
      <c r="Q1110" s="93"/>
      <c r="R1110" s="93"/>
      <c r="S1110" s="93"/>
      <c r="T1110" s="93"/>
      <c r="U1110" s="93"/>
      <c r="V1110" s="93"/>
      <c r="W1110" s="93"/>
      <c r="X1110" s="93"/>
      <c r="Y1110" s="93"/>
      <c r="Z1110" s="93"/>
      <c r="AA1110" s="93"/>
      <c r="AB1110" s="93"/>
      <c r="AC1110" s="93"/>
      <c r="AD1110" s="93"/>
      <c r="AE1110" s="93"/>
      <c r="AF1110" s="93"/>
      <c r="AG1110" s="93"/>
      <c r="AH1110" s="93"/>
      <c r="AI1110" s="93"/>
      <c r="AJ1110" s="93"/>
      <c r="AK1110" s="93"/>
      <c r="AL1110" s="93"/>
      <c r="AM1110" s="93"/>
      <c r="AN1110" s="93"/>
      <c r="AO1110" s="93"/>
      <c r="AP1110" s="93"/>
      <c r="AQ1110" s="93"/>
      <c r="AR1110" s="93"/>
      <c r="AS1110" s="93"/>
      <c r="AT1110" s="93"/>
      <c r="AU1110" s="93"/>
      <c r="AV1110" s="93"/>
      <c r="AW1110" s="93"/>
      <c r="AX1110" s="93"/>
      <c r="AY1110" s="93"/>
      <c r="AZ1110" s="93"/>
      <c r="BA1110" s="93"/>
      <c r="BB1110" s="93"/>
      <c r="BC1110" s="93"/>
      <c r="BD1110" s="93"/>
      <c r="BE1110" s="93"/>
      <c r="BF1110" s="93"/>
      <c r="BG1110" s="93"/>
      <c r="BH1110" s="93"/>
      <c r="BI1110" s="93"/>
      <c r="BJ1110" s="93"/>
      <c r="BK1110" s="93"/>
      <c r="BL1110" s="93"/>
      <c r="BM1110" s="93"/>
      <c r="BN1110" s="93"/>
      <c r="BO1110" s="93"/>
      <c r="BP1110" s="93"/>
      <c r="BQ1110" s="93"/>
      <c r="BR1110" s="93"/>
      <c r="BS1110" s="93"/>
      <c r="BT1110" s="93"/>
      <c r="BU1110" s="93"/>
      <c r="BV1110" s="93"/>
      <c r="BW1110" s="93"/>
      <c r="BX1110" s="93"/>
      <c r="BY1110" s="93"/>
      <c r="BZ1110" s="93"/>
    </row>
    <row r="1111">
      <c r="B1111" t="s">
        <v>3955</v>
      </c>
      <c r="C1111" s="89" t="s">
        <v>3956</v>
      </c>
      <c r="D1111" s="90" t="s">
        <v>3555</v>
      </c>
      <c r="E1111" s="91">
        <v>2015.0</v>
      </c>
      <c r="F1111" s="104">
        <v>1.0</v>
      </c>
      <c r="G1111" s="93"/>
      <c r="H1111" s="93"/>
      <c r="I1111" s="93"/>
      <c r="J1111" s="93"/>
      <c r="K1111" s="93"/>
      <c r="L1111" s="93"/>
      <c r="M1111" s="93"/>
      <c r="N1111" s="93"/>
      <c r="O1111" s="93"/>
      <c r="P1111" s="93"/>
      <c r="Q1111" s="93"/>
      <c r="R1111" s="93"/>
      <c r="S1111" s="93"/>
      <c r="T1111" s="93"/>
      <c r="U1111" s="93"/>
      <c r="V1111" s="93"/>
      <c r="W1111" s="93"/>
      <c r="X1111" s="93"/>
      <c r="Y1111" s="93"/>
      <c r="Z1111" s="93"/>
      <c r="AA1111" s="93"/>
      <c r="AB1111" s="93"/>
      <c r="AC1111" s="93"/>
      <c r="AD1111" s="93"/>
      <c r="AE1111" s="93"/>
      <c r="AF1111" s="93"/>
      <c r="AG1111" s="93"/>
      <c r="AH1111" s="93"/>
      <c r="AI1111" s="93"/>
      <c r="AJ1111" s="93"/>
      <c r="AK1111" s="93"/>
      <c r="AL1111" s="93"/>
      <c r="AM1111" s="93"/>
      <c r="AN1111" s="93"/>
      <c r="AO1111" s="93"/>
      <c r="AP1111" s="93"/>
      <c r="AQ1111" s="93"/>
      <c r="AR1111" s="93"/>
      <c r="AS1111" s="93"/>
      <c r="AT1111" s="93"/>
      <c r="AU1111" s="93"/>
      <c r="AV1111" s="93"/>
      <c r="AW1111" s="93"/>
      <c r="AX1111" s="93"/>
      <c r="AY1111" s="93"/>
      <c r="AZ1111" s="93"/>
      <c r="BA1111" s="93"/>
      <c r="BB1111" s="93"/>
      <c r="BC1111" s="93"/>
      <c r="BD1111" s="93"/>
      <c r="BE1111" s="93"/>
      <c r="BF1111" s="93"/>
      <c r="BG1111" s="93"/>
      <c r="BH1111" s="93"/>
      <c r="BI1111" s="93"/>
      <c r="BJ1111" s="93"/>
      <c r="BK1111" s="93"/>
      <c r="BL1111" s="93"/>
      <c r="BM1111" s="93"/>
      <c r="BN1111" s="93"/>
      <c r="BO1111" s="93"/>
      <c r="BP1111" s="93"/>
      <c r="BQ1111" s="93"/>
      <c r="BR1111" s="93"/>
      <c r="BS1111" s="93"/>
      <c r="BT1111" s="93"/>
      <c r="BU1111" s="93"/>
      <c r="BV1111" s="93"/>
      <c r="BW1111" s="93"/>
      <c r="BX1111" s="93"/>
      <c r="BY1111" s="93"/>
      <c r="BZ1111" s="93"/>
    </row>
    <row r="1112">
      <c r="B1112" t="s">
        <v>3957</v>
      </c>
      <c r="C1112" s="89" t="s">
        <v>3958</v>
      </c>
      <c r="D1112" s="90" t="s">
        <v>2909</v>
      </c>
      <c r="E1112" s="91">
        <v>2017.0</v>
      </c>
      <c r="F1112" s="104">
        <v>1.0</v>
      </c>
      <c r="G1112" s="93"/>
      <c r="H1112" s="93"/>
      <c r="I1112" s="93"/>
      <c r="J1112" s="93"/>
      <c r="K1112" s="93"/>
      <c r="L1112" s="93"/>
      <c r="M1112" s="93"/>
      <c r="N1112" s="93"/>
      <c r="O1112" s="93"/>
      <c r="P1112" s="93"/>
      <c r="Q1112" s="93"/>
      <c r="R1112" s="93"/>
      <c r="S1112" s="93"/>
      <c r="T1112" s="93"/>
      <c r="U1112" s="93"/>
      <c r="V1112" s="93"/>
      <c r="W1112" s="93"/>
      <c r="X1112" s="93"/>
      <c r="Y1112" s="93"/>
      <c r="Z1112" s="93"/>
      <c r="AA1112" s="93"/>
      <c r="AB1112" s="93"/>
      <c r="AC1112" s="93"/>
      <c r="AD1112" s="93"/>
      <c r="AE1112" s="93"/>
      <c r="AF1112" s="93"/>
      <c r="AG1112" s="93"/>
      <c r="AH1112" s="93"/>
      <c r="AI1112" s="93"/>
      <c r="AJ1112" s="93"/>
      <c r="AK1112" s="93"/>
      <c r="AL1112" s="93"/>
      <c r="AM1112" s="93"/>
      <c r="AN1112" s="93"/>
      <c r="AO1112" s="93"/>
      <c r="AP1112" s="93"/>
      <c r="AQ1112" s="93"/>
      <c r="AR1112" s="93"/>
      <c r="AS1112" s="93"/>
      <c r="AT1112" s="93"/>
      <c r="AU1112" s="93"/>
      <c r="AV1112" s="93"/>
      <c r="AW1112" s="93"/>
      <c r="AX1112" s="93"/>
      <c r="AY1112" s="93"/>
      <c r="AZ1112" s="93"/>
      <c r="BA1112" s="93"/>
      <c r="BB1112" s="93"/>
      <c r="BC1112" s="93"/>
      <c r="BD1112" s="93"/>
      <c r="BE1112" s="93"/>
      <c r="BF1112" s="93"/>
      <c r="BG1112" s="93"/>
      <c r="BH1112" s="93"/>
      <c r="BI1112" s="93"/>
      <c r="BJ1112" s="93"/>
      <c r="BK1112" s="93"/>
      <c r="BL1112" s="93"/>
      <c r="BM1112" s="93"/>
      <c r="BN1112" s="93"/>
      <c r="BO1112" s="93"/>
      <c r="BP1112" s="93"/>
      <c r="BQ1112" s="93"/>
      <c r="BR1112" s="93"/>
      <c r="BS1112" s="93"/>
      <c r="BT1112" s="93"/>
      <c r="BU1112" s="93"/>
      <c r="BV1112" s="93"/>
      <c r="BW1112" s="93"/>
      <c r="BX1112" s="93"/>
      <c r="BY1112" s="93"/>
      <c r="BZ1112" s="93"/>
    </row>
    <row r="1113">
      <c r="B1113" t="s">
        <v>3959</v>
      </c>
      <c r="C1113" s="89" t="s">
        <v>3960</v>
      </c>
      <c r="D1113" s="90" t="s">
        <v>3961</v>
      </c>
      <c r="E1113" s="91">
        <v>2017.0</v>
      </c>
      <c r="F1113" s="104">
        <v>1.0</v>
      </c>
      <c r="G1113" s="93"/>
      <c r="H1113" s="93"/>
      <c r="I1113" s="93"/>
      <c r="J1113" s="93"/>
      <c r="K1113" s="93"/>
      <c r="L1113" s="93"/>
      <c r="M1113" s="93"/>
      <c r="N1113" s="93"/>
      <c r="O1113" s="93"/>
      <c r="P1113" s="93"/>
      <c r="Q1113" s="93"/>
      <c r="R1113" s="93"/>
      <c r="S1113" s="93"/>
      <c r="T1113" s="93"/>
      <c r="U1113" s="93"/>
      <c r="V1113" s="93"/>
      <c r="W1113" s="93"/>
      <c r="X1113" s="93"/>
      <c r="Y1113" s="93"/>
      <c r="Z1113" s="93"/>
      <c r="AA1113" s="93"/>
      <c r="AB1113" s="93"/>
      <c r="AC1113" s="93"/>
      <c r="AD1113" s="93"/>
      <c r="AE1113" s="93"/>
      <c r="AF1113" s="93"/>
      <c r="AG1113" s="93"/>
      <c r="AH1113" s="93"/>
      <c r="AI1113" s="93"/>
      <c r="AJ1113" s="93"/>
      <c r="AK1113" s="93"/>
      <c r="AL1113" s="93"/>
      <c r="AM1113" s="93"/>
      <c r="AN1113" s="93"/>
      <c r="AO1113" s="93"/>
      <c r="AP1113" s="93"/>
      <c r="AQ1113" s="93"/>
      <c r="AR1113" s="93"/>
      <c r="AS1113" s="93"/>
      <c r="AT1113" s="93"/>
      <c r="AU1113" s="93"/>
      <c r="AV1113" s="93"/>
      <c r="AW1113" s="93"/>
      <c r="AX1113" s="93"/>
      <c r="AY1113" s="93"/>
      <c r="AZ1113" s="93"/>
      <c r="BA1113" s="93"/>
      <c r="BB1113" s="93"/>
      <c r="BC1113" s="93"/>
      <c r="BD1113" s="93"/>
      <c r="BE1113" s="93"/>
      <c r="BF1113" s="93"/>
      <c r="BG1113" s="93"/>
      <c r="BH1113" s="93"/>
      <c r="BI1113" s="93"/>
      <c r="BJ1113" s="93"/>
      <c r="BK1113" s="93"/>
      <c r="BL1113" s="93"/>
      <c r="BM1113" s="93"/>
      <c r="BN1113" s="93"/>
      <c r="BO1113" s="93"/>
      <c r="BP1113" s="93"/>
      <c r="BQ1113" s="93"/>
      <c r="BR1113" s="93"/>
      <c r="BS1113" s="93"/>
      <c r="BT1113" s="93"/>
      <c r="BU1113" s="93"/>
      <c r="BV1113" s="93"/>
      <c r="BW1113" s="93"/>
      <c r="BX1113" s="93"/>
      <c r="BY1113" s="93"/>
      <c r="BZ1113" s="93"/>
    </row>
    <row r="1114">
      <c r="B1114" t="s">
        <v>3962</v>
      </c>
      <c r="C1114" s="89" t="s">
        <v>3963</v>
      </c>
      <c r="D1114" s="90" t="s">
        <v>2795</v>
      </c>
      <c r="E1114" s="91">
        <v>2016.0</v>
      </c>
      <c r="F1114" s="104">
        <v>1.0</v>
      </c>
      <c r="G1114" s="93"/>
      <c r="H1114" s="93"/>
      <c r="I1114" s="93"/>
      <c r="J1114" s="93"/>
      <c r="K1114" s="93"/>
      <c r="L1114" s="93"/>
      <c r="M1114" s="93"/>
      <c r="N1114" s="93"/>
      <c r="O1114" s="93"/>
      <c r="P1114" s="93"/>
      <c r="Q1114" s="93"/>
      <c r="R1114" s="93"/>
      <c r="S1114" s="93"/>
      <c r="T1114" s="93"/>
      <c r="U1114" s="93"/>
      <c r="V1114" s="93"/>
      <c r="W1114" s="93"/>
      <c r="X1114" s="93"/>
      <c r="Y1114" s="93"/>
      <c r="Z1114" s="93"/>
      <c r="AA1114" s="93"/>
      <c r="AB1114" s="93"/>
      <c r="AC1114" s="93"/>
      <c r="AD1114" s="93"/>
      <c r="AE1114" s="93"/>
      <c r="AF1114" s="93"/>
      <c r="AG1114" s="93"/>
      <c r="AH1114" s="93"/>
      <c r="AI1114" s="93"/>
      <c r="AJ1114" s="93"/>
      <c r="AK1114" s="93"/>
      <c r="AL1114" s="93"/>
      <c r="AM1114" s="93"/>
      <c r="AN1114" s="93"/>
      <c r="AO1114" s="93"/>
      <c r="AP1114" s="93"/>
      <c r="AQ1114" s="93"/>
      <c r="AR1114" s="93"/>
      <c r="AS1114" s="93"/>
      <c r="AT1114" s="93"/>
      <c r="AU1114" s="93"/>
      <c r="AV1114" s="93"/>
      <c r="AW1114" s="93"/>
      <c r="AX1114" s="93"/>
      <c r="AY1114" s="93"/>
      <c r="AZ1114" s="93"/>
      <c r="BA1114" s="93"/>
      <c r="BB1114" s="93"/>
      <c r="BC1114" s="93"/>
      <c r="BD1114" s="93"/>
      <c r="BE1114" s="93"/>
      <c r="BF1114" s="93"/>
      <c r="BG1114" s="93"/>
      <c r="BH1114" s="93"/>
      <c r="BI1114" s="93"/>
      <c r="BJ1114" s="93"/>
      <c r="BK1114" s="93"/>
      <c r="BL1114" s="93"/>
      <c r="BM1114" s="93"/>
      <c r="BN1114" s="93"/>
      <c r="BO1114" s="93"/>
      <c r="BP1114" s="93"/>
      <c r="BQ1114" s="93"/>
      <c r="BR1114" s="93"/>
      <c r="BS1114" s="93"/>
      <c r="BT1114" s="93"/>
      <c r="BU1114" s="93"/>
      <c r="BV1114" s="93"/>
      <c r="BW1114" s="93"/>
      <c r="BX1114" s="93"/>
      <c r="BY1114" s="93"/>
      <c r="BZ1114" s="93"/>
    </row>
    <row r="1115">
      <c r="B1115" t="s">
        <v>3964</v>
      </c>
      <c r="C1115" s="89" t="s">
        <v>3965</v>
      </c>
      <c r="D1115" s="90" t="s">
        <v>3144</v>
      </c>
      <c r="E1115" s="91">
        <v>2019.0</v>
      </c>
      <c r="F1115" s="104">
        <v>1.0</v>
      </c>
      <c r="G1115" s="93"/>
      <c r="H1115" s="93"/>
      <c r="I1115" s="93"/>
      <c r="J1115" s="93"/>
      <c r="K1115" s="93"/>
      <c r="L1115" s="93"/>
      <c r="M1115" s="93"/>
      <c r="N1115" s="93"/>
      <c r="O1115" s="93"/>
      <c r="P1115" s="93"/>
      <c r="Q1115" s="93"/>
      <c r="R1115" s="93"/>
      <c r="S1115" s="93"/>
      <c r="T1115" s="93"/>
      <c r="U1115" s="93"/>
      <c r="V1115" s="93"/>
      <c r="W1115" s="93"/>
      <c r="X1115" s="93"/>
      <c r="Y1115" s="93"/>
      <c r="Z1115" s="93"/>
      <c r="AA1115" s="93"/>
      <c r="AB1115" s="93"/>
      <c r="AC1115" s="93"/>
      <c r="AD1115" s="93"/>
      <c r="AE1115" s="93"/>
      <c r="AF1115" s="93"/>
      <c r="AG1115" s="93"/>
      <c r="AH1115" s="93"/>
      <c r="AI1115" s="93"/>
      <c r="AJ1115" s="93"/>
      <c r="AK1115" s="93"/>
      <c r="AL1115" s="93"/>
      <c r="AM1115" s="93"/>
      <c r="AN1115" s="93"/>
      <c r="AO1115" s="93"/>
      <c r="AP1115" s="93"/>
      <c r="AQ1115" s="93"/>
      <c r="AR1115" s="93"/>
      <c r="AS1115" s="93"/>
      <c r="AT1115" s="93"/>
      <c r="AU1115" s="93"/>
      <c r="AV1115" s="93"/>
      <c r="AW1115" s="93"/>
      <c r="AX1115" s="93"/>
      <c r="AY1115" s="93"/>
      <c r="AZ1115" s="93"/>
      <c r="BA1115" s="93"/>
      <c r="BB1115" s="93"/>
      <c r="BC1115" s="93"/>
      <c r="BD1115" s="93"/>
      <c r="BE1115" s="93"/>
      <c r="BF1115" s="93"/>
      <c r="BG1115" s="93"/>
      <c r="BH1115" s="93"/>
      <c r="BI1115" s="93"/>
      <c r="BJ1115" s="93"/>
      <c r="BK1115" s="93"/>
      <c r="BL1115" s="93"/>
      <c r="BM1115" s="93"/>
      <c r="BN1115" s="93"/>
      <c r="BO1115" s="93"/>
      <c r="BP1115" s="93"/>
      <c r="BQ1115" s="93"/>
      <c r="BR1115" s="93"/>
      <c r="BS1115" s="93"/>
      <c r="BT1115" s="93"/>
      <c r="BU1115" s="93"/>
      <c r="BV1115" s="93"/>
      <c r="BW1115" s="93"/>
      <c r="BX1115" s="93"/>
      <c r="BY1115" s="93"/>
      <c r="BZ1115" s="93"/>
    </row>
    <row r="1116">
      <c r="B1116" t="s">
        <v>3966</v>
      </c>
      <c r="C1116" s="89" t="s">
        <v>3967</v>
      </c>
      <c r="D1116" s="90" t="s">
        <v>3756</v>
      </c>
      <c r="E1116" s="91">
        <v>2016.0</v>
      </c>
      <c r="F1116" s="104">
        <v>1.0</v>
      </c>
      <c r="G1116" s="93"/>
      <c r="H1116" s="93"/>
      <c r="I1116" s="93"/>
      <c r="J1116" s="93"/>
      <c r="K1116" s="93"/>
      <c r="L1116" s="93"/>
      <c r="M1116" s="93"/>
      <c r="N1116" s="93"/>
      <c r="O1116" s="93"/>
      <c r="P1116" s="93"/>
      <c r="Q1116" s="93"/>
      <c r="R1116" s="93"/>
      <c r="S1116" s="93"/>
      <c r="T1116" s="93"/>
      <c r="U1116" s="93"/>
      <c r="V1116" s="93"/>
      <c r="W1116" s="93"/>
      <c r="X1116" s="93"/>
      <c r="Y1116" s="93"/>
      <c r="Z1116" s="93"/>
      <c r="AA1116" s="93"/>
      <c r="AB1116" s="93"/>
      <c r="AC1116" s="93"/>
      <c r="AD1116" s="93"/>
      <c r="AE1116" s="93"/>
      <c r="AF1116" s="93"/>
      <c r="AG1116" s="93"/>
      <c r="AH1116" s="93"/>
      <c r="AI1116" s="93"/>
      <c r="AJ1116" s="93"/>
      <c r="AK1116" s="93"/>
      <c r="AL1116" s="93"/>
      <c r="AM1116" s="93"/>
      <c r="AN1116" s="93"/>
      <c r="AO1116" s="93"/>
      <c r="AP1116" s="93"/>
      <c r="AQ1116" s="93"/>
      <c r="AR1116" s="93"/>
      <c r="AS1116" s="93"/>
      <c r="AT1116" s="93"/>
      <c r="AU1116" s="93"/>
      <c r="AV1116" s="93"/>
      <c r="AW1116" s="93"/>
      <c r="AX1116" s="93"/>
      <c r="AY1116" s="93"/>
      <c r="AZ1116" s="93"/>
      <c r="BA1116" s="93"/>
      <c r="BB1116" s="93"/>
      <c r="BC1116" s="93"/>
      <c r="BD1116" s="93"/>
      <c r="BE1116" s="93"/>
      <c r="BF1116" s="93"/>
      <c r="BG1116" s="93"/>
      <c r="BH1116" s="93"/>
      <c r="BI1116" s="93"/>
      <c r="BJ1116" s="93"/>
      <c r="BK1116" s="93"/>
      <c r="BL1116" s="93"/>
      <c r="BM1116" s="93"/>
      <c r="BN1116" s="93"/>
      <c r="BO1116" s="93"/>
      <c r="BP1116" s="93"/>
      <c r="BQ1116" s="93"/>
      <c r="BR1116" s="93"/>
      <c r="BS1116" s="93"/>
      <c r="BT1116" s="93"/>
      <c r="BU1116" s="93"/>
      <c r="BV1116" s="93"/>
      <c r="BW1116" s="93"/>
      <c r="BX1116" s="93"/>
      <c r="BY1116" s="93"/>
      <c r="BZ1116" s="93"/>
    </row>
    <row r="1117">
      <c r="B1117" t="s">
        <v>3968</v>
      </c>
      <c r="C1117" s="89" t="s">
        <v>3969</v>
      </c>
      <c r="D1117" s="90" t="s">
        <v>2856</v>
      </c>
      <c r="E1117" s="91">
        <v>2019.0</v>
      </c>
      <c r="F1117" s="104">
        <v>1.0</v>
      </c>
      <c r="G1117" s="93"/>
      <c r="H1117" s="93"/>
      <c r="I1117" s="93"/>
      <c r="J1117" s="93"/>
      <c r="K1117" s="93"/>
      <c r="L1117" s="93"/>
      <c r="M1117" s="93"/>
      <c r="N1117" s="93"/>
      <c r="O1117" s="93"/>
      <c r="P1117" s="93"/>
      <c r="Q1117" s="93"/>
      <c r="R1117" s="93"/>
      <c r="S1117" s="93"/>
      <c r="T1117" s="93"/>
      <c r="U1117" s="93"/>
      <c r="V1117" s="93"/>
      <c r="W1117" s="93"/>
      <c r="X1117" s="93"/>
      <c r="Y1117" s="93"/>
      <c r="Z1117" s="93"/>
      <c r="AA1117" s="93"/>
      <c r="AB1117" s="93"/>
      <c r="AC1117" s="93"/>
      <c r="AD1117" s="93"/>
      <c r="AE1117" s="93"/>
      <c r="AF1117" s="93"/>
      <c r="AG1117" s="93"/>
      <c r="AH1117" s="93"/>
      <c r="AI1117" s="93"/>
      <c r="AJ1117" s="93"/>
      <c r="AK1117" s="93"/>
      <c r="AL1117" s="93"/>
      <c r="AM1117" s="93"/>
      <c r="AN1117" s="93"/>
      <c r="AO1117" s="93"/>
      <c r="AP1117" s="93"/>
      <c r="AQ1117" s="93"/>
      <c r="AR1117" s="93"/>
      <c r="AS1117" s="93"/>
      <c r="AT1117" s="93"/>
      <c r="AU1117" s="93"/>
      <c r="AV1117" s="93"/>
      <c r="AW1117" s="93"/>
      <c r="AX1117" s="93"/>
      <c r="AY1117" s="93"/>
      <c r="AZ1117" s="93"/>
      <c r="BA1117" s="93"/>
      <c r="BB1117" s="93"/>
      <c r="BC1117" s="93"/>
      <c r="BD1117" s="93"/>
      <c r="BE1117" s="93"/>
      <c r="BF1117" s="93"/>
      <c r="BG1117" s="93"/>
      <c r="BH1117" s="93"/>
      <c r="BI1117" s="93"/>
      <c r="BJ1117" s="93"/>
      <c r="BK1117" s="93"/>
      <c r="BL1117" s="93"/>
      <c r="BM1117" s="93"/>
      <c r="BN1117" s="93"/>
      <c r="BO1117" s="93"/>
      <c r="BP1117" s="93"/>
      <c r="BQ1117" s="93"/>
      <c r="BR1117" s="93"/>
      <c r="BS1117" s="93"/>
      <c r="BT1117" s="93"/>
      <c r="BU1117" s="93"/>
      <c r="BV1117" s="93"/>
      <c r="BW1117" s="93"/>
      <c r="BX1117" s="93"/>
      <c r="BY1117" s="93"/>
      <c r="BZ1117" s="93"/>
    </row>
    <row r="1118">
      <c r="B1118" t="s">
        <v>3970</v>
      </c>
      <c r="C1118" s="89" t="s">
        <v>3971</v>
      </c>
      <c r="D1118" s="90" t="s">
        <v>2795</v>
      </c>
      <c r="E1118" s="91">
        <v>2019.0</v>
      </c>
      <c r="F1118" s="104">
        <v>1.0</v>
      </c>
      <c r="G1118" s="93"/>
      <c r="H1118" s="93"/>
      <c r="I1118" s="93"/>
      <c r="J1118" s="93"/>
      <c r="K1118" s="93"/>
      <c r="L1118" s="93"/>
      <c r="M1118" s="93"/>
      <c r="N1118" s="93"/>
      <c r="O1118" s="93"/>
      <c r="P1118" s="93"/>
      <c r="Q1118" s="93"/>
      <c r="R1118" s="93"/>
      <c r="S1118" s="93"/>
      <c r="T1118" s="93"/>
      <c r="U1118" s="93"/>
      <c r="V1118" s="93"/>
      <c r="W1118" s="93"/>
      <c r="X1118" s="93"/>
      <c r="Y1118" s="93"/>
      <c r="Z1118" s="93"/>
      <c r="AA1118" s="93"/>
      <c r="AB1118" s="93"/>
      <c r="AC1118" s="93"/>
      <c r="AD1118" s="93"/>
      <c r="AE1118" s="93"/>
      <c r="AF1118" s="93"/>
      <c r="AG1118" s="93"/>
      <c r="AH1118" s="93"/>
      <c r="AI1118" s="93"/>
      <c r="AJ1118" s="93"/>
      <c r="AK1118" s="93"/>
      <c r="AL1118" s="93"/>
      <c r="AM1118" s="93"/>
      <c r="AN1118" s="93"/>
      <c r="AO1118" s="93"/>
      <c r="AP1118" s="93"/>
      <c r="AQ1118" s="93"/>
      <c r="AR1118" s="93"/>
      <c r="AS1118" s="93"/>
      <c r="AT1118" s="93"/>
      <c r="AU1118" s="93"/>
      <c r="AV1118" s="93"/>
      <c r="AW1118" s="93"/>
      <c r="AX1118" s="93"/>
      <c r="AY1118" s="93"/>
      <c r="AZ1118" s="93"/>
      <c r="BA1118" s="93"/>
      <c r="BB1118" s="93"/>
      <c r="BC1118" s="93"/>
      <c r="BD1118" s="93"/>
      <c r="BE1118" s="93"/>
      <c r="BF1118" s="93"/>
      <c r="BG1118" s="93"/>
      <c r="BH1118" s="93"/>
      <c r="BI1118" s="93"/>
      <c r="BJ1118" s="93"/>
      <c r="BK1118" s="93"/>
      <c r="BL1118" s="93"/>
      <c r="BM1118" s="93"/>
      <c r="BN1118" s="93"/>
      <c r="BO1118" s="93"/>
      <c r="BP1118" s="93"/>
      <c r="BQ1118" s="93"/>
      <c r="BR1118" s="93"/>
      <c r="BS1118" s="93"/>
      <c r="BT1118" s="93"/>
      <c r="BU1118" s="93"/>
      <c r="BV1118" s="93"/>
      <c r="BW1118" s="93"/>
      <c r="BX1118" s="93"/>
      <c r="BY1118" s="93"/>
      <c r="BZ1118" s="93"/>
    </row>
    <row r="1119">
      <c r="B1119" t="s">
        <v>3972</v>
      </c>
      <c r="C1119" s="89" t="s">
        <v>3973</v>
      </c>
      <c r="D1119" s="90" t="s">
        <v>2903</v>
      </c>
      <c r="E1119" s="91">
        <v>2019.0</v>
      </c>
      <c r="F1119" s="104">
        <v>1.0</v>
      </c>
      <c r="G1119" s="93"/>
      <c r="H1119" s="93"/>
      <c r="I1119" s="93"/>
      <c r="J1119" s="93"/>
      <c r="K1119" s="93"/>
      <c r="L1119" s="93"/>
      <c r="M1119" s="93"/>
      <c r="N1119" s="93"/>
      <c r="O1119" s="93"/>
      <c r="P1119" s="93"/>
      <c r="Q1119" s="93"/>
      <c r="R1119" s="93"/>
      <c r="S1119" s="93"/>
      <c r="T1119" s="93"/>
      <c r="U1119" s="93"/>
      <c r="V1119" s="93"/>
      <c r="W1119" s="93"/>
      <c r="X1119" s="93"/>
      <c r="Y1119" s="93"/>
      <c r="Z1119" s="93"/>
      <c r="AA1119" s="93"/>
      <c r="AB1119" s="93"/>
      <c r="AC1119" s="93"/>
      <c r="AD1119" s="93"/>
      <c r="AE1119" s="93"/>
      <c r="AF1119" s="93"/>
      <c r="AG1119" s="93"/>
      <c r="AH1119" s="93"/>
      <c r="AI1119" s="93"/>
      <c r="AJ1119" s="93"/>
      <c r="AK1119" s="93"/>
      <c r="AL1119" s="93"/>
      <c r="AM1119" s="93"/>
      <c r="AN1119" s="93"/>
      <c r="AO1119" s="93"/>
      <c r="AP1119" s="93"/>
      <c r="AQ1119" s="93"/>
      <c r="AR1119" s="93"/>
      <c r="AS1119" s="93"/>
      <c r="AT1119" s="93"/>
      <c r="AU1119" s="93"/>
      <c r="AV1119" s="93"/>
      <c r="AW1119" s="93"/>
      <c r="AX1119" s="93"/>
      <c r="AY1119" s="93"/>
      <c r="AZ1119" s="93"/>
      <c r="BA1119" s="93"/>
      <c r="BB1119" s="93"/>
      <c r="BC1119" s="93"/>
      <c r="BD1119" s="93"/>
      <c r="BE1119" s="93"/>
      <c r="BF1119" s="93"/>
      <c r="BG1119" s="93"/>
      <c r="BH1119" s="93"/>
      <c r="BI1119" s="93"/>
      <c r="BJ1119" s="93"/>
      <c r="BK1119" s="93"/>
      <c r="BL1119" s="93"/>
      <c r="BM1119" s="93"/>
      <c r="BN1119" s="93"/>
      <c r="BO1119" s="93"/>
      <c r="BP1119" s="93"/>
      <c r="BQ1119" s="93"/>
      <c r="BR1119" s="93"/>
      <c r="BS1119" s="93"/>
      <c r="BT1119" s="93"/>
      <c r="BU1119" s="93"/>
      <c r="BV1119" s="93"/>
      <c r="BW1119" s="93"/>
      <c r="BX1119" s="93"/>
      <c r="BY1119" s="93"/>
      <c r="BZ1119" s="93"/>
    </row>
    <row r="1120">
      <c r="B1120" t="s">
        <v>3974</v>
      </c>
      <c r="C1120" s="89" t="s">
        <v>3975</v>
      </c>
      <c r="D1120" s="90" t="s">
        <v>2795</v>
      </c>
      <c r="E1120" s="91">
        <v>2016.0</v>
      </c>
      <c r="F1120" s="104">
        <v>1.0</v>
      </c>
      <c r="G1120" s="93"/>
      <c r="H1120" s="93"/>
      <c r="I1120" s="93"/>
      <c r="J1120" s="93"/>
      <c r="K1120" s="93"/>
      <c r="L1120" s="93"/>
      <c r="M1120" s="93"/>
      <c r="N1120" s="93"/>
      <c r="O1120" s="93"/>
      <c r="P1120" s="93"/>
      <c r="Q1120" s="93"/>
      <c r="R1120" s="93"/>
      <c r="S1120" s="93"/>
      <c r="T1120" s="93"/>
      <c r="U1120" s="93"/>
      <c r="V1120" s="93"/>
      <c r="W1120" s="93"/>
      <c r="X1120" s="93"/>
      <c r="Y1120" s="93"/>
      <c r="Z1120" s="93"/>
      <c r="AA1120" s="93"/>
      <c r="AB1120" s="93"/>
      <c r="AC1120" s="93"/>
      <c r="AD1120" s="93"/>
      <c r="AE1120" s="93"/>
      <c r="AF1120" s="93"/>
      <c r="AG1120" s="93"/>
      <c r="AH1120" s="93"/>
      <c r="AI1120" s="93"/>
      <c r="AJ1120" s="93"/>
      <c r="AK1120" s="93"/>
      <c r="AL1120" s="93"/>
      <c r="AM1120" s="93"/>
      <c r="AN1120" s="93"/>
      <c r="AO1120" s="93"/>
      <c r="AP1120" s="93"/>
      <c r="AQ1120" s="93"/>
      <c r="AR1120" s="93"/>
      <c r="AS1120" s="93"/>
      <c r="AT1120" s="93"/>
      <c r="AU1120" s="93"/>
      <c r="AV1120" s="93"/>
      <c r="AW1120" s="93"/>
      <c r="AX1120" s="93"/>
      <c r="AY1120" s="93"/>
      <c r="AZ1120" s="93"/>
      <c r="BA1120" s="93"/>
      <c r="BB1120" s="93"/>
      <c r="BC1120" s="93"/>
      <c r="BD1120" s="93"/>
      <c r="BE1120" s="93"/>
      <c r="BF1120" s="93"/>
      <c r="BG1120" s="93"/>
      <c r="BH1120" s="93"/>
      <c r="BI1120" s="93"/>
      <c r="BJ1120" s="93"/>
      <c r="BK1120" s="93"/>
      <c r="BL1120" s="93"/>
      <c r="BM1120" s="93"/>
      <c r="BN1120" s="93"/>
      <c r="BO1120" s="93"/>
      <c r="BP1120" s="93"/>
      <c r="BQ1120" s="93"/>
      <c r="BR1120" s="93"/>
      <c r="BS1120" s="93"/>
      <c r="BT1120" s="93"/>
      <c r="BU1120" s="93"/>
      <c r="BV1120" s="93"/>
      <c r="BW1120" s="93"/>
      <c r="BX1120" s="93"/>
      <c r="BY1120" s="93"/>
      <c r="BZ1120" s="93"/>
    </row>
    <row r="1121">
      <c r="B1121" t="s">
        <v>3976</v>
      </c>
      <c r="C1121" s="89" t="s">
        <v>3977</v>
      </c>
      <c r="D1121" s="90" t="s">
        <v>2903</v>
      </c>
      <c r="E1121" s="91">
        <v>2019.0</v>
      </c>
      <c r="F1121" s="104">
        <v>1.0</v>
      </c>
      <c r="G1121" s="93"/>
      <c r="H1121" s="93"/>
      <c r="I1121" s="93"/>
      <c r="J1121" s="93"/>
      <c r="K1121" s="93"/>
      <c r="L1121" s="93"/>
      <c r="M1121" s="93"/>
      <c r="N1121" s="93"/>
      <c r="O1121" s="93"/>
      <c r="P1121" s="93"/>
      <c r="Q1121" s="93"/>
      <c r="R1121" s="93"/>
      <c r="S1121" s="93"/>
      <c r="T1121" s="93"/>
      <c r="U1121" s="93"/>
      <c r="V1121" s="93"/>
      <c r="W1121" s="93"/>
      <c r="X1121" s="93"/>
      <c r="Y1121" s="93"/>
      <c r="Z1121" s="93"/>
      <c r="AA1121" s="93"/>
      <c r="AB1121" s="93"/>
      <c r="AC1121" s="93"/>
      <c r="AD1121" s="93"/>
      <c r="AE1121" s="93"/>
      <c r="AF1121" s="93"/>
      <c r="AG1121" s="93"/>
      <c r="AH1121" s="93"/>
      <c r="AI1121" s="93"/>
      <c r="AJ1121" s="93"/>
      <c r="AK1121" s="93"/>
      <c r="AL1121" s="93"/>
      <c r="AM1121" s="93"/>
      <c r="AN1121" s="93"/>
      <c r="AO1121" s="93"/>
      <c r="AP1121" s="93"/>
      <c r="AQ1121" s="93"/>
      <c r="AR1121" s="93"/>
      <c r="AS1121" s="93"/>
      <c r="AT1121" s="93"/>
      <c r="AU1121" s="93"/>
      <c r="AV1121" s="93"/>
      <c r="AW1121" s="93"/>
      <c r="AX1121" s="93"/>
      <c r="AY1121" s="93"/>
      <c r="AZ1121" s="93"/>
      <c r="BA1121" s="93"/>
      <c r="BB1121" s="93"/>
      <c r="BC1121" s="93"/>
      <c r="BD1121" s="93"/>
      <c r="BE1121" s="93"/>
      <c r="BF1121" s="93"/>
      <c r="BG1121" s="93"/>
      <c r="BH1121" s="93"/>
      <c r="BI1121" s="93"/>
      <c r="BJ1121" s="93"/>
      <c r="BK1121" s="93"/>
      <c r="BL1121" s="93"/>
      <c r="BM1121" s="93"/>
      <c r="BN1121" s="93"/>
      <c r="BO1121" s="93"/>
      <c r="BP1121" s="93"/>
      <c r="BQ1121" s="93"/>
      <c r="BR1121" s="93"/>
      <c r="BS1121" s="93"/>
      <c r="BT1121" s="93"/>
      <c r="BU1121" s="93"/>
      <c r="BV1121" s="93"/>
      <c r="BW1121" s="93"/>
      <c r="BX1121" s="93"/>
      <c r="BY1121" s="93"/>
      <c r="BZ1121" s="93"/>
    </row>
    <row r="1122">
      <c r="B1122" t="s">
        <v>3978</v>
      </c>
      <c r="C1122" s="89" t="s">
        <v>3979</v>
      </c>
      <c r="D1122" s="90" t="s">
        <v>2885</v>
      </c>
      <c r="E1122" s="91">
        <v>2019.0</v>
      </c>
      <c r="F1122" s="104">
        <v>1.0</v>
      </c>
      <c r="G1122" s="93"/>
      <c r="H1122" s="93"/>
      <c r="I1122" s="93"/>
      <c r="J1122" s="93"/>
      <c r="K1122" s="93"/>
      <c r="L1122" s="93"/>
      <c r="M1122" s="93"/>
      <c r="N1122" s="93"/>
      <c r="O1122" s="93"/>
      <c r="P1122" s="93"/>
      <c r="Q1122" s="93"/>
      <c r="R1122" s="93"/>
      <c r="S1122" s="93"/>
      <c r="T1122" s="93"/>
      <c r="U1122" s="93"/>
      <c r="V1122" s="93"/>
      <c r="W1122" s="93"/>
      <c r="X1122" s="93"/>
      <c r="Y1122" s="93"/>
      <c r="Z1122" s="93"/>
      <c r="AA1122" s="93"/>
      <c r="AB1122" s="93"/>
      <c r="AC1122" s="93"/>
      <c r="AD1122" s="93"/>
      <c r="AE1122" s="93"/>
      <c r="AF1122" s="93"/>
      <c r="AG1122" s="93"/>
      <c r="AH1122" s="93"/>
      <c r="AI1122" s="93"/>
      <c r="AJ1122" s="93"/>
      <c r="AK1122" s="93"/>
      <c r="AL1122" s="93"/>
      <c r="AM1122" s="93"/>
      <c r="AN1122" s="93"/>
      <c r="AO1122" s="93"/>
      <c r="AP1122" s="93"/>
      <c r="AQ1122" s="93"/>
      <c r="AR1122" s="93"/>
      <c r="AS1122" s="93"/>
      <c r="AT1122" s="93"/>
      <c r="AU1122" s="93"/>
      <c r="AV1122" s="93"/>
      <c r="AW1122" s="93"/>
      <c r="AX1122" s="93"/>
      <c r="AY1122" s="93"/>
      <c r="AZ1122" s="93"/>
      <c r="BA1122" s="93"/>
      <c r="BB1122" s="93"/>
      <c r="BC1122" s="93"/>
      <c r="BD1122" s="93"/>
      <c r="BE1122" s="93"/>
      <c r="BF1122" s="93"/>
      <c r="BG1122" s="93"/>
      <c r="BH1122" s="93"/>
      <c r="BI1122" s="93"/>
      <c r="BJ1122" s="93"/>
      <c r="BK1122" s="93"/>
      <c r="BL1122" s="93"/>
      <c r="BM1122" s="93"/>
      <c r="BN1122" s="93"/>
      <c r="BO1122" s="93"/>
      <c r="BP1122" s="93"/>
      <c r="BQ1122" s="93"/>
      <c r="BR1122" s="93"/>
      <c r="BS1122" s="93"/>
      <c r="BT1122" s="93"/>
      <c r="BU1122" s="93"/>
      <c r="BV1122" s="93"/>
      <c r="BW1122" s="93"/>
      <c r="BX1122" s="93"/>
      <c r="BY1122" s="93"/>
      <c r="BZ1122" s="93"/>
    </row>
    <row r="1123">
      <c r="A1123" t="s">
        <v>116</v>
      </c>
      <c r="B1123" t="s">
        <v>3980</v>
      </c>
      <c r="C1123" s="89" t="s">
        <v>3981</v>
      </c>
      <c r="D1123" s="90" t="s">
        <v>3331</v>
      </c>
      <c r="E1123" s="91">
        <v>2020.0</v>
      </c>
      <c r="F1123" s="104">
        <v>1.0</v>
      </c>
      <c r="G1123" s="93"/>
      <c r="H1123" s="93"/>
      <c r="I1123" s="93"/>
      <c r="J1123" s="93"/>
      <c r="K1123" s="93"/>
      <c r="L1123" s="93"/>
      <c r="M1123" s="93"/>
      <c r="N1123" s="93"/>
      <c r="O1123" s="93"/>
      <c r="P1123" s="93"/>
      <c r="Q1123" s="93"/>
      <c r="R1123" s="93"/>
      <c r="S1123" s="93"/>
      <c r="T1123" s="93"/>
      <c r="U1123" s="93"/>
      <c r="V1123" s="93"/>
      <c r="W1123" s="93"/>
      <c r="X1123" s="93"/>
      <c r="Y1123" s="93"/>
      <c r="Z1123" s="93"/>
      <c r="AA1123" s="93"/>
      <c r="AB1123" s="93"/>
      <c r="AC1123" s="93"/>
      <c r="AD1123" s="93"/>
      <c r="AE1123" s="93"/>
      <c r="AF1123" s="93"/>
      <c r="AG1123" s="93"/>
      <c r="AH1123" s="93"/>
      <c r="AI1123" s="93"/>
      <c r="AJ1123" s="93"/>
      <c r="AK1123" s="93"/>
      <c r="AL1123" s="93"/>
      <c r="AM1123" s="93"/>
      <c r="AN1123" s="93"/>
      <c r="AO1123" s="93"/>
      <c r="AP1123" s="93"/>
      <c r="AQ1123" s="93"/>
      <c r="AR1123" s="93"/>
      <c r="AS1123" s="93"/>
      <c r="AT1123" s="93"/>
      <c r="AU1123" s="93"/>
      <c r="AV1123" s="93"/>
      <c r="AW1123" s="93"/>
      <c r="AX1123" s="93"/>
      <c r="AY1123" s="93"/>
      <c r="AZ1123" s="93"/>
      <c r="BA1123" s="93"/>
      <c r="BB1123" s="93"/>
      <c r="BC1123" s="93"/>
      <c r="BD1123" s="93"/>
      <c r="BE1123" s="93"/>
      <c r="BF1123" s="93"/>
      <c r="BG1123" s="93"/>
      <c r="BH1123" s="93"/>
      <c r="BI1123" s="93"/>
      <c r="BJ1123" s="93"/>
      <c r="BK1123" s="93"/>
      <c r="BL1123" s="93"/>
      <c r="BM1123" s="93"/>
      <c r="BN1123" s="93"/>
      <c r="BO1123" s="93"/>
      <c r="BP1123" s="93"/>
      <c r="BQ1123" s="93"/>
      <c r="BR1123" s="93"/>
      <c r="BS1123" s="93"/>
      <c r="BT1123" s="93"/>
      <c r="BU1123" s="93"/>
      <c r="BV1123" s="93"/>
      <c r="BW1123" s="93"/>
      <c r="BX1123" s="93"/>
      <c r="BY1123" s="93"/>
      <c r="BZ1123" s="93"/>
    </row>
    <row r="1124">
      <c r="B1124" t="s">
        <v>3982</v>
      </c>
      <c r="C1124" s="89" t="s">
        <v>3983</v>
      </c>
      <c r="D1124" s="90" t="s">
        <v>2960</v>
      </c>
      <c r="E1124" s="91">
        <v>2017.0</v>
      </c>
      <c r="F1124" s="104">
        <v>1.0</v>
      </c>
      <c r="G1124" s="93"/>
      <c r="H1124" s="93"/>
      <c r="I1124" s="93"/>
      <c r="J1124" s="93"/>
      <c r="K1124" s="93"/>
      <c r="L1124" s="93"/>
      <c r="M1124" s="93"/>
      <c r="N1124" s="93"/>
      <c r="O1124" s="93"/>
      <c r="P1124" s="93"/>
      <c r="Q1124" s="93"/>
      <c r="R1124" s="93"/>
      <c r="S1124" s="93"/>
      <c r="T1124" s="93"/>
      <c r="U1124" s="93"/>
      <c r="V1124" s="93"/>
      <c r="W1124" s="93"/>
      <c r="X1124" s="93"/>
      <c r="Y1124" s="93"/>
      <c r="Z1124" s="93"/>
      <c r="AA1124" s="93"/>
      <c r="AB1124" s="93"/>
      <c r="AC1124" s="93"/>
      <c r="AD1124" s="93"/>
      <c r="AE1124" s="93"/>
      <c r="AF1124" s="93"/>
      <c r="AG1124" s="93"/>
      <c r="AH1124" s="93"/>
      <c r="AI1124" s="93"/>
      <c r="AJ1124" s="93"/>
      <c r="AK1124" s="93"/>
      <c r="AL1124" s="93"/>
      <c r="AM1124" s="93"/>
      <c r="AN1124" s="93"/>
      <c r="AO1124" s="93"/>
      <c r="AP1124" s="93"/>
      <c r="AQ1124" s="93"/>
      <c r="AR1124" s="93"/>
      <c r="AS1124" s="93"/>
      <c r="AT1124" s="93"/>
      <c r="AU1124" s="93"/>
      <c r="AV1124" s="93"/>
      <c r="AW1124" s="93"/>
      <c r="AX1124" s="93"/>
      <c r="AY1124" s="93"/>
      <c r="AZ1124" s="93"/>
      <c r="BA1124" s="93"/>
      <c r="BB1124" s="93"/>
      <c r="BC1124" s="93"/>
      <c r="BD1124" s="93"/>
      <c r="BE1124" s="93"/>
      <c r="BF1124" s="93"/>
      <c r="BG1124" s="93"/>
      <c r="BH1124" s="93"/>
      <c r="BI1124" s="93"/>
      <c r="BJ1124" s="93"/>
      <c r="BK1124" s="93"/>
      <c r="BL1124" s="93"/>
      <c r="BM1124" s="93"/>
      <c r="BN1124" s="93"/>
      <c r="BO1124" s="93"/>
      <c r="BP1124" s="93"/>
      <c r="BQ1124" s="93"/>
      <c r="BR1124" s="93"/>
      <c r="BS1124" s="93"/>
      <c r="BT1124" s="93"/>
      <c r="BU1124" s="93"/>
      <c r="BV1124" s="93"/>
      <c r="BW1124" s="93"/>
      <c r="BX1124" s="93"/>
      <c r="BY1124" s="93"/>
      <c r="BZ1124" s="93"/>
    </row>
    <row r="1125">
      <c r="B1125" t="s">
        <v>3984</v>
      </c>
      <c r="C1125" s="89" t="s">
        <v>3985</v>
      </c>
      <c r="D1125" s="90" t="s">
        <v>3238</v>
      </c>
      <c r="E1125" s="91">
        <v>2017.0</v>
      </c>
      <c r="F1125" s="104">
        <v>1.0</v>
      </c>
      <c r="G1125" s="93"/>
      <c r="H1125" s="93"/>
      <c r="I1125" s="93"/>
      <c r="J1125" s="93"/>
      <c r="K1125" s="93"/>
      <c r="L1125" s="93"/>
      <c r="M1125" s="93"/>
      <c r="N1125" s="93"/>
      <c r="O1125" s="93"/>
      <c r="P1125" s="93"/>
      <c r="Q1125" s="93"/>
      <c r="R1125" s="93"/>
      <c r="S1125" s="93"/>
      <c r="T1125" s="93"/>
      <c r="U1125" s="93"/>
      <c r="V1125" s="93"/>
      <c r="W1125" s="93"/>
      <c r="X1125" s="93"/>
      <c r="Y1125" s="93"/>
      <c r="Z1125" s="93"/>
      <c r="AA1125" s="93"/>
      <c r="AB1125" s="93"/>
      <c r="AC1125" s="93"/>
      <c r="AD1125" s="93"/>
      <c r="AE1125" s="93"/>
      <c r="AF1125" s="93"/>
      <c r="AG1125" s="93"/>
      <c r="AH1125" s="93"/>
      <c r="AI1125" s="93"/>
      <c r="AJ1125" s="93"/>
      <c r="AK1125" s="93"/>
      <c r="AL1125" s="93"/>
      <c r="AM1125" s="93"/>
      <c r="AN1125" s="93"/>
      <c r="AO1125" s="93"/>
      <c r="AP1125" s="93"/>
      <c r="AQ1125" s="93"/>
      <c r="AR1125" s="93"/>
      <c r="AS1125" s="93"/>
      <c r="AT1125" s="93"/>
      <c r="AU1125" s="93"/>
      <c r="AV1125" s="93"/>
      <c r="AW1125" s="93"/>
      <c r="AX1125" s="93"/>
      <c r="AY1125" s="93"/>
      <c r="AZ1125" s="93"/>
      <c r="BA1125" s="93"/>
      <c r="BB1125" s="93"/>
      <c r="BC1125" s="93"/>
      <c r="BD1125" s="93"/>
      <c r="BE1125" s="93"/>
      <c r="BF1125" s="93"/>
      <c r="BG1125" s="93"/>
      <c r="BH1125" s="93"/>
      <c r="BI1125" s="93"/>
      <c r="BJ1125" s="93"/>
      <c r="BK1125" s="93"/>
      <c r="BL1125" s="93"/>
      <c r="BM1125" s="93"/>
      <c r="BN1125" s="93"/>
      <c r="BO1125" s="93"/>
      <c r="BP1125" s="93"/>
      <c r="BQ1125" s="93"/>
      <c r="BR1125" s="93"/>
      <c r="BS1125" s="93"/>
      <c r="BT1125" s="93"/>
      <c r="BU1125" s="93"/>
      <c r="BV1125" s="93"/>
      <c r="BW1125" s="93"/>
      <c r="BX1125" s="93"/>
      <c r="BY1125" s="93"/>
      <c r="BZ1125" s="93"/>
    </row>
    <row r="1126">
      <c r="B1126" t="s">
        <v>3986</v>
      </c>
      <c r="C1126" s="89" t="s">
        <v>3987</v>
      </c>
      <c r="D1126" s="90" t="s">
        <v>2874</v>
      </c>
      <c r="E1126" s="91">
        <v>2019.0</v>
      </c>
      <c r="F1126" s="104">
        <v>1.0</v>
      </c>
      <c r="G1126" s="93"/>
      <c r="H1126" s="93"/>
      <c r="I1126" s="93"/>
      <c r="J1126" s="93"/>
      <c r="K1126" s="93"/>
      <c r="L1126" s="93"/>
      <c r="M1126" s="93"/>
      <c r="N1126" s="93"/>
      <c r="O1126" s="93"/>
      <c r="P1126" s="93"/>
      <c r="Q1126" s="93"/>
      <c r="R1126" s="93"/>
      <c r="S1126" s="93"/>
      <c r="T1126" s="93"/>
      <c r="U1126" s="93"/>
      <c r="V1126" s="93"/>
      <c r="W1126" s="93"/>
      <c r="X1126" s="93"/>
      <c r="Y1126" s="93"/>
      <c r="Z1126" s="93"/>
      <c r="AA1126" s="93"/>
      <c r="AB1126" s="93"/>
      <c r="AC1126" s="93"/>
      <c r="AD1126" s="93"/>
      <c r="AE1126" s="93"/>
      <c r="AF1126" s="93"/>
      <c r="AG1126" s="93"/>
      <c r="AH1126" s="93"/>
      <c r="AI1126" s="93"/>
      <c r="AJ1126" s="93"/>
      <c r="AK1126" s="93"/>
      <c r="AL1126" s="93"/>
      <c r="AM1126" s="93"/>
      <c r="AN1126" s="93"/>
      <c r="AO1126" s="93"/>
      <c r="AP1126" s="93"/>
      <c r="AQ1126" s="93"/>
      <c r="AR1126" s="93"/>
      <c r="AS1126" s="93"/>
      <c r="AT1126" s="93"/>
      <c r="AU1126" s="93"/>
      <c r="AV1126" s="93"/>
      <c r="AW1126" s="93"/>
      <c r="AX1126" s="93"/>
      <c r="AY1126" s="93"/>
      <c r="AZ1126" s="93"/>
      <c r="BA1126" s="93"/>
      <c r="BB1126" s="93"/>
      <c r="BC1126" s="93"/>
      <c r="BD1126" s="93"/>
      <c r="BE1126" s="93"/>
      <c r="BF1126" s="93"/>
      <c r="BG1126" s="93"/>
      <c r="BH1126" s="93"/>
      <c r="BI1126" s="93"/>
      <c r="BJ1126" s="93"/>
      <c r="BK1126" s="93"/>
      <c r="BL1126" s="93"/>
      <c r="BM1126" s="93"/>
      <c r="BN1126" s="93"/>
      <c r="BO1126" s="93"/>
      <c r="BP1126" s="93"/>
      <c r="BQ1126" s="93"/>
      <c r="BR1126" s="93"/>
      <c r="BS1126" s="93"/>
      <c r="BT1126" s="93"/>
      <c r="BU1126" s="93"/>
      <c r="BV1126" s="93"/>
      <c r="BW1126" s="93"/>
      <c r="BX1126" s="93"/>
      <c r="BY1126" s="93"/>
      <c r="BZ1126" s="93"/>
    </row>
    <row r="1127">
      <c r="B1127" t="s">
        <v>3988</v>
      </c>
      <c r="C1127" s="89" t="s">
        <v>3989</v>
      </c>
      <c r="D1127" s="90" t="s">
        <v>3059</v>
      </c>
      <c r="E1127" s="91">
        <v>2016.0</v>
      </c>
      <c r="F1127" s="104">
        <v>1.0</v>
      </c>
      <c r="G1127" s="93"/>
      <c r="H1127" s="93"/>
      <c r="I1127" s="93"/>
      <c r="J1127" s="93"/>
      <c r="K1127" s="93"/>
      <c r="L1127" s="93"/>
      <c r="M1127" s="93"/>
      <c r="N1127" s="93"/>
      <c r="O1127" s="93"/>
      <c r="P1127" s="93"/>
      <c r="Q1127" s="93"/>
      <c r="R1127" s="93"/>
      <c r="S1127" s="93"/>
      <c r="T1127" s="93"/>
      <c r="U1127" s="93"/>
      <c r="V1127" s="93"/>
      <c r="W1127" s="93"/>
      <c r="X1127" s="93"/>
      <c r="Y1127" s="93"/>
      <c r="Z1127" s="93"/>
      <c r="AA1127" s="93"/>
      <c r="AB1127" s="93"/>
      <c r="AC1127" s="93"/>
      <c r="AD1127" s="93"/>
      <c r="AE1127" s="93"/>
      <c r="AF1127" s="93"/>
      <c r="AG1127" s="93"/>
      <c r="AH1127" s="93"/>
      <c r="AI1127" s="93"/>
      <c r="AJ1127" s="93"/>
      <c r="AK1127" s="93"/>
      <c r="AL1127" s="93"/>
      <c r="AM1127" s="93"/>
      <c r="AN1127" s="93"/>
      <c r="AO1127" s="93"/>
      <c r="AP1127" s="93"/>
      <c r="AQ1127" s="93"/>
      <c r="AR1127" s="93"/>
      <c r="AS1127" s="93"/>
      <c r="AT1127" s="93"/>
      <c r="AU1127" s="93"/>
      <c r="AV1127" s="93"/>
      <c r="AW1127" s="93"/>
      <c r="AX1127" s="93"/>
      <c r="AY1127" s="93"/>
      <c r="AZ1127" s="93"/>
      <c r="BA1127" s="93"/>
      <c r="BB1127" s="93"/>
      <c r="BC1127" s="93"/>
      <c r="BD1127" s="93"/>
      <c r="BE1127" s="93"/>
      <c r="BF1127" s="93"/>
      <c r="BG1127" s="93"/>
      <c r="BH1127" s="93"/>
      <c r="BI1127" s="93"/>
      <c r="BJ1127" s="93"/>
      <c r="BK1127" s="93"/>
      <c r="BL1127" s="93"/>
      <c r="BM1127" s="93"/>
      <c r="BN1127" s="93"/>
      <c r="BO1127" s="93"/>
      <c r="BP1127" s="93"/>
      <c r="BQ1127" s="93"/>
      <c r="BR1127" s="93"/>
      <c r="BS1127" s="93"/>
      <c r="BT1127" s="93"/>
      <c r="BU1127" s="93"/>
      <c r="BV1127" s="93"/>
      <c r="BW1127" s="93"/>
      <c r="BX1127" s="93"/>
      <c r="BY1127" s="93"/>
      <c r="BZ1127" s="93"/>
    </row>
    <row r="1128">
      <c r="B1128" t="s">
        <v>3990</v>
      </c>
      <c r="C1128" s="89" t="s">
        <v>3991</v>
      </c>
      <c r="D1128" s="90" t="s">
        <v>2874</v>
      </c>
      <c r="E1128" s="91">
        <v>2017.0</v>
      </c>
      <c r="F1128" s="104">
        <v>1.0</v>
      </c>
      <c r="G1128" s="93"/>
      <c r="H1128" s="93"/>
      <c r="I1128" s="93"/>
      <c r="J1128" s="93"/>
      <c r="K1128" s="93"/>
      <c r="L1128" s="93"/>
      <c r="M1128" s="93"/>
      <c r="N1128" s="93"/>
      <c r="O1128" s="93"/>
      <c r="P1128" s="93"/>
      <c r="Q1128" s="93"/>
      <c r="R1128" s="93"/>
      <c r="S1128" s="93"/>
      <c r="T1128" s="93"/>
      <c r="U1128" s="93"/>
      <c r="V1128" s="93"/>
      <c r="W1128" s="93"/>
      <c r="X1128" s="93"/>
      <c r="Y1128" s="93"/>
      <c r="Z1128" s="93"/>
      <c r="AA1128" s="93"/>
      <c r="AB1128" s="93"/>
      <c r="AC1128" s="93"/>
      <c r="AD1128" s="93"/>
      <c r="AE1128" s="93"/>
      <c r="AF1128" s="93"/>
      <c r="AG1128" s="93"/>
      <c r="AH1128" s="93"/>
      <c r="AI1128" s="93"/>
      <c r="AJ1128" s="93"/>
      <c r="AK1128" s="93"/>
      <c r="AL1128" s="93"/>
      <c r="AM1128" s="93"/>
      <c r="AN1128" s="93"/>
      <c r="AO1128" s="93"/>
      <c r="AP1128" s="93"/>
      <c r="AQ1128" s="93"/>
      <c r="AR1128" s="93"/>
      <c r="AS1128" s="93"/>
      <c r="AT1128" s="93"/>
      <c r="AU1128" s="93"/>
      <c r="AV1128" s="93"/>
      <c r="AW1128" s="93"/>
      <c r="AX1128" s="93"/>
      <c r="AY1128" s="93"/>
      <c r="AZ1128" s="93"/>
      <c r="BA1128" s="93"/>
      <c r="BB1128" s="93"/>
      <c r="BC1128" s="93"/>
      <c r="BD1128" s="93"/>
      <c r="BE1128" s="93"/>
      <c r="BF1128" s="93"/>
      <c r="BG1128" s="93"/>
      <c r="BH1128" s="93"/>
      <c r="BI1128" s="93"/>
      <c r="BJ1128" s="93"/>
      <c r="BK1128" s="93"/>
      <c r="BL1128" s="93"/>
      <c r="BM1128" s="93"/>
      <c r="BN1128" s="93"/>
      <c r="BO1128" s="93"/>
      <c r="BP1128" s="93"/>
      <c r="BQ1128" s="93"/>
      <c r="BR1128" s="93"/>
      <c r="BS1128" s="93"/>
      <c r="BT1128" s="93"/>
      <c r="BU1128" s="93"/>
      <c r="BV1128" s="93"/>
      <c r="BW1128" s="93"/>
      <c r="BX1128" s="93"/>
      <c r="BY1128" s="93"/>
      <c r="BZ1128" s="93"/>
    </row>
    <row r="1129">
      <c r="B1129" t="s">
        <v>3992</v>
      </c>
      <c r="C1129" s="89" t="s">
        <v>3993</v>
      </c>
      <c r="D1129" s="90" t="s">
        <v>3994</v>
      </c>
      <c r="E1129" s="91">
        <v>2019.0</v>
      </c>
      <c r="F1129" s="104">
        <v>1.0</v>
      </c>
      <c r="G1129" s="93"/>
      <c r="H1129" s="93"/>
      <c r="I1129" s="93"/>
      <c r="J1129" s="93"/>
      <c r="K1129" s="93"/>
      <c r="L1129" s="93"/>
      <c r="M1129" s="93"/>
      <c r="N1129" s="93"/>
      <c r="O1129" s="93"/>
      <c r="P1129" s="93"/>
      <c r="Q1129" s="93"/>
      <c r="R1129" s="93"/>
      <c r="S1129" s="93"/>
      <c r="T1129" s="93"/>
      <c r="U1129" s="93"/>
      <c r="V1129" s="93"/>
      <c r="W1129" s="93"/>
      <c r="X1129" s="93"/>
      <c r="Y1129" s="93"/>
      <c r="Z1129" s="93"/>
      <c r="AA1129" s="93"/>
      <c r="AB1129" s="93"/>
      <c r="AC1129" s="93"/>
      <c r="AD1129" s="93"/>
      <c r="AE1129" s="93"/>
      <c r="AF1129" s="93"/>
      <c r="AG1129" s="93"/>
      <c r="AH1129" s="93"/>
      <c r="AI1129" s="93"/>
      <c r="AJ1129" s="93"/>
      <c r="AK1129" s="93"/>
      <c r="AL1129" s="93"/>
      <c r="AM1129" s="93"/>
      <c r="AN1129" s="93"/>
      <c r="AO1129" s="93"/>
      <c r="AP1129" s="93"/>
      <c r="AQ1129" s="93"/>
      <c r="AR1129" s="93"/>
      <c r="AS1129" s="93"/>
      <c r="AT1129" s="93"/>
      <c r="AU1129" s="93"/>
      <c r="AV1129" s="93"/>
      <c r="AW1129" s="93"/>
      <c r="AX1129" s="93"/>
      <c r="AY1129" s="93"/>
      <c r="AZ1129" s="93"/>
      <c r="BA1129" s="93"/>
      <c r="BB1129" s="93"/>
      <c r="BC1129" s="93"/>
      <c r="BD1129" s="93"/>
      <c r="BE1129" s="93"/>
      <c r="BF1129" s="93"/>
      <c r="BG1129" s="93"/>
      <c r="BH1129" s="93"/>
      <c r="BI1129" s="93"/>
      <c r="BJ1129" s="93"/>
      <c r="BK1129" s="93"/>
      <c r="BL1129" s="93"/>
      <c r="BM1129" s="93"/>
      <c r="BN1129" s="93"/>
      <c r="BO1129" s="93"/>
      <c r="BP1129" s="93"/>
      <c r="BQ1129" s="93"/>
      <c r="BR1129" s="93"/>
      <c r="BS1129" s="93"/>
      <c r="BT1129" s="93"/>
      <c r="BU1129" s="93"/>
      <c r="BV1129" s="93"/>
      <c r="BW1129" s="93"/>
      <c r="BX1129" s="93"/>
      <c r="BY1129" s="93"/>
      <c r="BZ1129" s="93"/>
    </row>
    <row r="1130">
      <c r="B1130" t="s">
        <v>3995</v>
      </c>
      <c r="C1130" s="89" t="s">
        <v>3996</v>
      </c>
      <c r="D1130" s="90" t="s">
        <v>2874</v>
      </c>
      <c r="E1130" s="91">
        <v>2017.0</v>
      </c>
      <c r="F1130" s="104">
        <v>1.0</v>
      </c>
      <c r="G1130" s="93"/>
      <c r="H1130" s="93"/>
      <c r="I1130" s="93"/>
      <c r="J1130" s="93"/>
      <c r="K1130" s="93"/>
      <c r="L1130" s="93"/>
      <c r="M1130" s="93"/>
      <c r="N1130" s="93"/>
      <c r="O1130" s="93"/>
      <c r="P1130" s="93"/>
      <c r="Q1130" s="93"/>
      <c r="R1130" s="93"/>
      <c r="S1130" s="93"/>
      <c r="T1130" s="93"/>
      <c r="U1130" s="93"/>
      <c r="V1130" s="93"/>
      <c r="W1130" s="93"/>
      <c r="X1130" s="93"/>
      <c r="Y1130" s="93"/>
      <c r="Z1130" s="93"/>
      <c r="AA1130" s="93"/>
      <c r="AB1130" s="93"/>
      <c r="AC1130" s="93"/>
      <c r="AD1130" s="93"/>
      <c r="AE1130" s="93"/>
      <c r="AF1130" s="93"/>
      <c r="AG1130" s="93"/>
      <c r="AH1130" s="93"/>
      <c r="AI1130" s="93"/>
      <c r="AJ1130" s="93"/>
      <c r="AK1130" s="93"/>
      <c r="AL1130" s="93"/>
      <c r="AM1130" s="93"/>
      <c r="AN1130" s="93"/>
      <c r="AO1130" s="93"/>
      <c r="AP1130" s="93"/>
      <c r="AQ1130" s="93"/>
      <c r="AR1130" s="93"/>
      <c r="AS1130" s="93"/>
      <c r="AT1130" s="93"/>
      <c r="AU1130" s="93"/>
      <c r="AV1130" s="93"/>
      <c r="AW1130" s="93"/>
      <c r="AX1130" s="93"/>
      <c r="AY1130" s="93"/>
      <c r="AZ1130" s="93"/>
      <c r="BA1130" s="93"/>
      <c r="BB1130" s="93"/>
      <c r="BC1130" s="93"/>
      <c r="BD1130" s="93"/>
      <c r="BE1130" s="93"/>
      <c r="BF1130" s="93"/>
      <c r="BG1130" s="93"/>
      <c r="BH1130" s="93"/>
      <c r="BI1130" s="93"/>
      <c r="BJ1130" s="93"/>
      <c r="BK1130" s="93"/>
      <c r="BL1130" s="93"/>
      <c r="BM1130" s="93"/>
      <c r="BN1130" s="93"/>
      <c r="BO1130" s="93"/>
      <c r="BP1130" s="93"/>
      <c r="BQ1130" s="93"/>
      <c r="BR1130" s="93"/>
      <c r="BS1130" s="93"/>
      <c r="BT1130" s="93"/>
      <c r="BU1130" s="93"/>
      <c r="BV1130" s="93"/>
      <c r="BW1130" s="93"/>
      <c r="BX1130" s="93"/>
      <c r="BY1130" s="93"/>
      <c r="BZ1130" s="93"/>
    </row>
    <row r="1131">
      <c r="B1131" t="s">
        <v>3997</v>
      </c>
      <c r="C1131" s="89" t="s">
        <v>3998</v>
      </c>
      <c r="D1131" s="90" t="s">
        <v>3999</v>
      </c>
      <c r="E1131" s="91">
        <v>2017.0</v>
      </c>
      <c r="F1131" s="104">
        <v>1.0</v>
      </c>
      <c r="G1131" s="93"/>
      <c r="H1131" s="93"/>
      <c r="I1131" s="93"/>
      <c r="J1131" s="93"/>
      <c r="K1131" s="93"/>
      <c r="L1131" s="93"/>
      <c r="M1131" s="93"/>
      <c r="N1131" s="93"/>
      <c r="O1131" s="93"/>
      <c r="P1131" s="93"/>
      <c r="Q1131" s="93"/>
      <c r="R1131" s="93"/>
      <c r="S1131" s="93"/>
      <c r="T1131" s="93"/>
      <c r="U1131" s="93"/>
      <c r="V1131" s="93"/>
      <c r="W1131" s="93"/>
      <c r="X1131" s="93"/>
      <c r="Y1131" s="93"/>
      <c r="Z1131" s="93"/>
      <c r="AA1131" s="93"/>
      <c r="AB1131" s="93"/>
      <c r="AC1131" s="93"/>
      <c r="AD1131" s="93"/>
      <c r="AE1131" s="93"/>
      <c r="AF1131" s="93"/>
      <c r="AG1131" s="93"/>
      <c r="AH1131" s="93"/>
      <c r="AI1131" s="93"/>
      <c r="AJ1131" s="93"/>
      <c r="AK1131" s="93"/>
      <c r="AL1131" s="93"/>
      <c r="AM1131" s="93"/>
      <c r="AN1131" s="93"/>
      <c r="AO1131" s="93"/>
      <c r="AP1131" s="93"/>
      <c r="AQ1131" s="93"/>
      <c r="AR1131" s="93"/>
      <c r="AS1131" s="93"/>
      <c r="AT1131" s="93"/>
      <c r="AU1131" s="93"/>
      <c r="AV1131" s="93"/>
      <c r="AW1131" s="93"/>
      <c r="AX1131" s="93"/>
      <c r="AY1131" s="93"/>
      <c r="AZ1131" s="93"/>
      <c r="BA1131" s="93"/>
      <c r="BB1131" s="93"/>
      <c r="BC1131" s="93"/>
      <c r="BD1131" s="93"/>
      <c r="BE1131" s="93"/>
      <c r="BF1131" s="93"/>
      <c r="BG1131" s="93"/>
      <c r="BH1131" s="93"/>
      <c r="BI1131" s="93"/>
      <c r="BJ1131" s="93"/>
      <c r="BK1131" s="93"/>
      <c r="BL1131" s="93"/>
      <c r="BM1131" s="93"/>
      <c r="BN1131" s="93"/>
      <c r="BO1131" s="93"/>
      <c r="BP1131" s="93"/>
      <c r="BQ1131" s="93"/>
      <c r="BR1131" s="93"/>
      <c r="BS1131" s="93"/>
      <c r="BT1131" s="93"/>
      <c r="BU1131" s="93"/>
      <c r="BV1131" s="93"/>
      <c r="BW1131" s="93"/>
      <c r="BX1131" s="93"/>
      <c r="BY1131" s="93"/>
      <c r="BZ1131" s="93"/>
    </row>
    <row r="1132">
      <c r="B1132" t="s">
        <v>4000</v>
      </c>
      <c r="C1132" s="89" t="s">
        <v>4001</v>
      </c>
      <c r="D1132" s="90" t="s">
        <v>4002</v>
      </c>
      <c r="E1132" s="91">
        <v>2020.0</v>
      </c>
      <c r="F1132" s="104">
        <v>1.0</v>
      </c>
      <c r="G1132" s="93"/>
      <c r="H1132" s="93"/>
      <c r="I1132" s="93"/>
      <c r="J1132" s="93"/>
      <c r="K1132" s="93"/>
      <c r="L1132" s="93"/>
      <c r="M1132" s="93"/>
      <c r="N1132" s="93"/>
      <c r="O1132" s="93"/>
      <c r="P1132" s="93"/>
      <c r="Q1132" s="93"/>
      <c r="R1132" s="93"/>
      <c r="S1132" s="93"/>
      <c r="T1132" s="93"/>
      <c r="U1132" s="93"/>
      <c r="V1132" s="93"/>
      <c r="W1132" s="93"/>
      <c r="X1132" s="93"/>
      <c r="Y1132" s="93"/>
      <c r="Z1132" s="93"/>
      <c r="AA1132" s="93"/>
      <c r="AB1132" s="93"/>
      <c r="AC1132" s="93"/>
      <c r="AD1132" s="93"/>
      <c r="AE1132" s="93"/>
      <c r="AF1132" s="93"/>
      <c r="AG1132" s="93"/>
      <c r="AH1132" s="93"/>
      <c r="AI1132" s="93"/>
      <c r="AJ1132" s="93"/>
      <c r="AK1132" s="93"/>
      <c r="AL1132" s="93"/>
      <c r="AM1132" s="93"/>
      <c r="AN1132" s="93"/>
      <c r="AO1132" s="93"/>
      <c r="AP1132" s="93"/>
      <c r="AQ1132" s="93"/>
      <c r="AR1132" s="93"/>
      <c r="AS1132" s="93"/>
      <c r="AT1132" s="93"/>
      <c r="AU1132" s="93"/>
      <c r="AV1132" s="93"/>
      <c r="AW1132" s="93"/>
      <c r="AX1132" s="93"/>
      <c r="AY1132" s="93"/>
      <c r="AZ1132" s="93"/>
      <c r="BA1132" s="93"/>
      <c r="BB1132" s="93"/>
      <c r="BC1132" s="93"/>
      <c r="BD1132" s="93"/>
      <c r="BE1132" s="93"/>
      <c r="BF1132" s="93"/>
      <c r="BG1132" s="93"/>
      <c r="BH1132" s="93"/>
      <c r="BI1132" s="93"/>
      <c r="BJ1132" s="93"/>
      <c r="BK1132" s="93"/>
      <c r="BL1132" s="93"/>
      <c r="BM1132" s="93"/>
      <c r="BN1132" s="93"/>
      <c r="BO1132" s="93"/>
      <c r="BP1132" s="93"/>
      <c r="BQ1132" s="93"/>
      <c r="BR1132" s="93"/>
      <c r="BS1132" s="93"/>
      <c r="BT1132" s="93"/>
      <c r="BU1132" s="93"/>
      <c r="BV1132" s="93"/>
      <c r="BW1132" s="93"/>
      <c r="BX1132" s="93"/>
      <c r="BY1132" s="93"/>
      <c r="BZ1132" s="93"/>
    </row>
    <row r="1133">
      <c r="B1133" t="s">
        <v>4003</v>
      </c>
      <c r="C1133" s="89" t="s">
        <v>4004</v>
      </c>
      <c r="D1133" s="90" t="s">
        <v>2874</v>
      </c>
      <c r="E1133" s="91">
        <v>2017.0</v>
      </c>
      <c r="F1133" s="104">
        <v>1.0</v>
      </c>
      <c r="G1133" s="93"/>
      <c r="H1133" s="93"/>
      <c r="I1133" s="93"/>
      <c r="J1133" s="93"/>
      <c r="K1133" s="93"/>
      <c r="L1133" s="93"/>
      <c r="M1133" s="93"/>
      <c r="N1133" s="93"/>
      <c r="O1133" s="93"/>
      <c r="P1133" s="93"/>
      <c r="Q1133" s="93"/>
      <c r="R1133" s="93"/>
      <c r="S1133" s="93"/>
      <c r="T1133" s="93"/>
      <c r="U1133" s="93"/>
      <c r="V1133" s="93"/>
      <c r="W1133" s="93"/>
      <c r="X1133" s="93"/>
      <c r="Y1133" s="93"/>
      <c r="Z1133" s="93"/>
      <c r="AA1133" s="93"/>
      <c r="AB1133" s="93"/>
      <c r="AC1133" s="93"/>
      <c r="AD1133" s="93"/>
      <c r="AE1133" s="93"/>
      <c r="AF1133" s="93"/>
      <c r="AG1133" s="93"/>
      <c r="AH1133" s="93"/>
      <c r="AI1133" s="93"/>
      <c r="AJ1133" s="93"/>
      <c r="AK1133" s="93"/>
      <c r="AL1133" s="93"/>
      <c r="AM1133" s="93"/>
      <c r="AN1133" s="93"/>
      <c r="AO1133" s="93"/>
      <c r="AP1133" s="93"/>
      <c r="AQ1133" s="93"/>
      <c r="AR1133" s="93"/>
      <c r="AS1133" s="93"/>
      <c r="AT1133" s="93"/>
      <c r="AU1133" s="93"/>
      <c r="AV1133" s="93"/>
      <c r="AW1133" s="93"/>
      <c r="AX1133" s="93"/>
      <c r="AY1133" s="93"/>
      <c r="AZ1133" s="93"/>
      <c r="BA1133" s="93"/>
      <c r="BB1133" s="93"/>
      <c r="BC1133" s="93"/>
      <c r="BD1133" s="93"/>
      <c r="BE1133" s="93"/>
      <c r="BF1133" s="93"/>
      <c r="BG1133" s="93"/>
      <c r="BH1133" s="93"/>
      <c r="BI1133" s="93"/>
      <c r="BJ1133" s="93"/>
      <c r="BK1133" s="93"/>
      <c r="BL1133" s="93"/>
      <c r="BM1133" s="93"/>
      <c r="BN1133" s="93"/>
      <c r="BO1133" s="93"/>
      <c r="BP1133" s="93"/>
      <c r="BQ1133" s="93"/>
      <c r="BR1133" s="93"/>
      <c r="BS1133" s="93"/>
      <c r="BT1133" s="93"/>
      <c r="BU1133" s="93"/>
      <c r="BV1133" s="93"/>
      <c r="BW1133" s="93"/>
      <c r="BX1133" s="93"/>
      <c r="BY1133" s="93"/>
      <c r="BZ1133" s="93"/>
    </row>
    <row r="1134">
      <c r="B1134" t="s">
        <v>4005</v>
      </c>
      <c r="C1134" s="89" t="s">
        <v>4006</v>
      </c>
      <c r="D1134" s="90" t="s">
        <v>2856</v>
      </c>
      <c r="E1134" s="91">
        <v>2019.0</v>
      </c>
      <c r="F1134" s="104">
        <v>1.0</v>
      </c>
      <c r="G1134" s="93"/>
      <c r="H1134" s="93"/>
      <c r="I1134" s="93"/>
      <c r="J1134" s="93"/>
      <c r="K1134" s="93"/>
      <c r="L1134" s="93"/>
      <c r="M1134" s="93"/>
      <c r="N1134" s="93"/>
      <c r="O1134" s="93"/>
      <c r="P1134" s="93"/>
      <c r="Q1134" s="93"/>
      <c r="R1134" s="93"/>
      <c r="S1134" s="93"/>
      <c r="T1134" s="93"/>
      <c r="U1134" s="93"/>
      <c r="V1134" s="93"/>
      <c r="W1134" s="93"/>
      <c r="X1134" s="93"/>
      <c r="Y1134" s="93"/>
      <c r="Z1134" s="93"/>
      <c r="AA1134" s="93"/>
      <c r="AB1134" s="93"/>
      <c r="AC1134" s="93"/>
      <c r="AD1134" s="93"/>
      <c r="AE1134" s="93"/>
      <c r="AF1134" s="93"/>
      <c r="AG1134" s="93"/>
      <c r="AH1134" s="93"/>
      <c r="AI1134" s="93"/>
      <c r="AJ1134" s="93"/>
      <c r="AK1134" s="93"/>
      <c r="AL1134" s="93"/>
      <c r="AM1134" s="93"/>
      <c r="AN1134" s="93"/>
      <c r="AO1134" s="93"/>
      <c r="AP1134" s="93"/>
      <c r="AQ1134" s="93"/>
      <c r="AR1134" s="93"/>
      <c r="AS1134" s="93"/>
      <c r="AT1134" s="93"/>
      <c r="AU1134" s="93"/>
      <c r="AV1134" s="93"/>
      <c r="AW1134" s="93"/>
      <c r="AX1134" s="93"/>
      <c r="AY1134" s="93"/>
      <c r="AZ1134" s="93"/>
      <c r="BA1134" s="93"/>
      <c r="BB1134" s="93"/>
      <c r="BC1134" s="93"/>
      <c r="BD1134" s="93"/>
      <c r="BE1134" s="93"/>
      <c r="BF1134" s="93"/>
      <c r="BG1134" s="93"/>
      <c r="BH1134" s="93"/>
      <c r="BI1134" s="93"/>
      <c r="BJ1134" s="93"/>
      <c r="BK1134" s="93"/>
      <c r="BL1134" s="93"/>
      <c r="BM1134" s="93"/>
      <c r="BN1134" s="93"/>
      <c r="BO1134" s="93"/>
      <c r="BP1134" s="93"/>
      <c r="BQ1134" s="93"/>
      <c r="BR1134" s="93"/>
      <c r="BS1134" s="93"/>
      <c r="BT1134" s="93"/>
      <c r="BU1134" s="93"/>
      <c r="BV1134" s="93"/>
      <c r="BW1134" s="93"/>
      <c r="BX1134" s="93"/>
      <c r="BY1134" s="93"/>
      <c r="BZ1134" s="93"/>
    </row>
    <row r="1135">
      <c r="B1135" t="s">
        <v>4007</v>
      </c>
      <c r="C1135" s="89" t="s">
        <v>4008</v>
      </c>
      <c r="D1135" s="90" t="s">
        <v>2885</v>
      </c>
      <c r="E1135" s="91">
        <v>2019.0</v>
      </c>
      <c r="F1135" s="104">
        <v>1.0</v>
      </c>
      <c r="G1135" s="93"/>
      <c r="H1135" s="93"/>
      <c r="I1135" s="93"/>
      <c r="J1135" s="93"/>
      <c r="K1135" s="93"/>
      <c r="L1135" s="93"/>
      <c r="M1135" s="93"/>
      <c r="N1135" s="93"/>
      <c r="O1135" s="93"/>
      <c r="P1135" s="93"/>
      <c r="Q1135" s="93"/>
      <c r="R1135" s="93"/>
      <c r="S1135" s="93"/>
      <c r="T1135" s="93"/>
      <c r="U1135" s="93"/>
      <c r="V1135" s="93"/>
      <c r="W1135" s="93"/>
      <c r="X1135" s="93"/>
      <c r="Y1135" s="93"/>
      <c r="Z1135" s="93"/>
      <c r="AA1135" s="93"/>
      <c r="AB1135" s="93"/>
      <c r="AC1135" s="93"/>
      <c r="AD1135" s="93"/>
      <c r="AE1135" s="93"/>
      <c r="AF1135" s="93"/>
      <c r="AG1135" s="93"/>
      <c r="AH1135" s="93"/>
      <c r="AI1135" s="93"/>
      <c r="AJ1135" s="93"/>
      <c r="AK1135" s="93"/>
      <c r="AL1135" s="93"/>
      <c r="AM1135" s="93"/>
      <c r="AN1135" s="93"/>
      <c r="AO1135" s="93"/>
      <c r="AP1135" s="93"/>
      <c r="AQ1135" s="93"/>
      <c r="AR1135" s="93"/>
      <c r="AS1135" s="93"/>
      <c r="AT1135" s="93"/>
      <c r="AU1135" s="93"/>
      <c r="AV1135" s="93"/>
      <c r="AW1135" s="93"/>
      <c r="AX1135" s="93"/>
      <c r="AY1135" s="93"/>
      <c r="AZ1135" s="93"/>
      <c r="BA1135" s="93"/>
      <c r="BB1135" s="93"/>
      <c r="BC1135" s="93"/>
      <c r="BD1135" s="93"/>
      <c r="BE1135" s="93"/>
      <c r="BF1135" s="93"/>
      <c r="BG1135" s="93"/>
      <c r="BH1135" s="93"/>
      <c r="BI1135" s="93"/>
      <c r="BJ1135" s="93"/>
      <c r="BK1135" s="93"/>
      <c r="BL1135" s="93"/>
      <c r="BM1135" s="93"/>
      <c r="BN1135" s="93"/>
      <c r="BO1135" s="93"/>
      <c r="BP1135" s="93"/>
      <c r="BQ1135" s="93"/>
      <c r="BR1135" s="93"/>
      <c r="BS1135" s="93"/>
      <c r="BT1135" s="93"/>
      <c r="BU1135" s="93"/>
      <c r="BV1135" s="93"/>
      <c r="BW1135" s="93"/>
      <c r="BX1135" s="93"/>
      <c r="BY1135" s="93"/>
      <c r="BZ1135" s="93"/>
    </row>
    <row r="1136">
      <c r="B1136" t="s">
        <v>4009</v>
      </c>
      <c r="C1136" s="89" t="s">
        <v>4010</v>
      </c>
      <c r="D1136" s="90" t="s">
        <v>2874</v>
      </c>
      <c r="E1136" s="91">
        <v>2017.0</v>
      </c>
      <c r="F1136" s="104">
        <v>1.0</v>
      </c>
      <c r="G1136" s="93"/>
      <c r="H1136" s="93"/>
      <c r="I1136" s="93"/>
      <c r="J1136" s="93"/>
      <c r="K1136" s="93"/>
      <c r="L1136" s="93"/>
      <c r="M1136" s="93"/>
      <c r="N1136" s="93"/>
      <c r="O1136" s="93"/>
      <c r="P1136" s="93"/>
      <c r="Q1136" s="93"/>
      <c r="R1136" s="93"/>
      <c r="S1136" s="93"/>
      <c r="T1136" s="93"/>
      <c r="U1136" s="93"/>
      <c r="V1136" s="93"/>
      <c r="W1136" s="93"/>
      <c r="X1136" s="93"/>
      <c r="Y1136" s="93"/>
      <c r="Z1136" s="93"/>
      <c r="AA1136" s="93"/>
      <c r="AB1136" s="93"/>
      <c r="AC1136" s="93"/>
      <c r="AD1136" s="93"/>
      <c r="AE1136" s="93"/>
      <c r="AF1136" s="93"/>
      <c r="AG1136" s="93"/>
      <c r="AH1136" s="93"/>
      <c r="AI1136" s="93"/>
      <c r="AJ1136" s="93"/>
      <c r="AK1136" s="93"/>
      <c r="AL1136" s="93"/>
      <c r="AM1136" s="93"/>
      <c r="AN1136" s="93"/>
      <c r="AO1136" s="93"/>
      <c r="AP1136" s="93"/>
      <c r="AQ1136" s="93"/>
      <c r="AR1136" s="93"/>
      <c r="AS1136" s="93"/>
      <c r="AT1136" s="93"/>
      <c r="AU1136" s="93"/>
      <c r="AV1136" s="93"/>
      <c r="AW1136" s="93"/>
      <c r="AX1136" s="93"/>
      <c r="AY1136" s="93"/>
      <c r="AZ1136" s="93"/>
      <c r="BA1136" s="93"/>
      <c r="BB1136" s="93"/>
      <c r="BC1136" s="93"/>
      <c r="BD1136" s="93"/>
      <c r="BE1136" s="93"/>
      <c r="BF1136" s="93"/>
      <c r="BG1136" s="93"/>
      <c r="BH1136" s="93"/>
      <c r="BI1136" s="93"/>
      <c r="BJ1136" s="93"/>
      <c r="BK1136" s="93"/>
      <c r="BL1136" s="93"/>
      <c r="BM1136" s="93"/>
      <c r="BN1136" s="93"/>
      <c r="BO1136" s="93"/>
      <c r="BP1136" s="93"/>
      <c r="BQ1136" s="93"/>
      <c r="BR1136" s="93"/>
      <c r="BS1136" s="93"/>
      <c r="BT1136" s="93"/>
      <c r="BU1136" s="93"/>
      <c r="BV1136" s="93"/>
      <c r="BW1136" s="93"/>
      <c r="BX1136" s="93"/>
      <c r="BY1136" s="93"/>
      <c r="BZ1136" s="93"/>
    </row>
    <row r="1137">
      <c r="B1137" t="s">
        <v>4011</v>
      </c>
      <c r="C1137" s="89" t="s">
        <v>4012</v>
      </c>
      <c r="D1137" s="90" t="s">
        <v>3575</v>
      </c>
      <c r="E1137" s="91">
        <v>2016.0</v>
      </c>
      <c r="F1137" s="104">
        <v>1.0</v>
      </c>
      <c r="G1137" s="93"/>
      <c r="H1137" s="93"/>
      <c r="I1137" s="93"/>
      <c r="J1137" s="93"/>
      <c r="K1137" s="93"/>
      <c r="L1137" s="93"/>
      <c r="M1137" s="93"/>
      <c r="N1137" s="93"/>
      <c r="O1137" s="93"/>
      <c r="P1137" s="93"/>
      <c r="Q1137" s="93"/>
      <c r="R1137" s="93"/>
      <c r="S1137" s="93"/>
      <c r="T1137" s="93"/>
      <c r="U1137" s="93"/>
      <c r="V1137" s="93"/>
      <c r="W1137" s="93"/>
      <c r="X1137" s="93"/>
      <c r="Y1137" s="93"/>
      <c r="Z1137" s="93"/>
      <c r="AA1137" s="93"/>
      <c r="AB1137" s="93"/>
      <c r="AC1137" s="93"/>
      <c r="AD1137" s="93"/>
      <c r="AE1137" s="93"/>
      <c r="AF1137" s="93"/>
      <c r="AG1137" s="93"/>
      <c r="AH1137" s="93"/>
      <c r="AI1137" s="93"/>
      <c r="AJ1137" s="93"/>
      <c r="AK1137" s="93"/>
      <c r="AL1137" s="93"/>
      <c r="AM1137" s="93"/>
      <c r="AN1137" s="93"/>
      <c r="AO1137" s="93"/>
      <c r="AP1137" s="93"/>
      <c r="AQ1137" s="93"/>
      <c r="AR1137" s="93"/>
      <c r="AS1137" s="93"/>
      <c r="AT1137" s="93"/>
      <c r="AU1137" s="93"/>
      <c r="AV1137" s="93"/>
      <c r="AW1137" s="93"/>
      <c r="AX1137" s="93"/>
      <c r="AY1137" s="93"/>
      <c r="AZ1137" s="93"/>
      <c r="BA1137" s="93"/>
      <c r="BB1137" s="93"/>
      <c r="BC1137" s="93"/>
      <c r="BD1137" s="93"/>
      <c r="BE1137" s="93"/>
      <c r="BF1137" s="93"/>
      <c r="BG1137" s="93"/>
      <c r="BH1137" s="93"/>
      <c r="BI1137" s="93"/>
      <c r="BJ1137" s="93"/>
      <c r="BK1137" s="93"/>
      <c r="BL1137" s="93"/>
      <c r="BM1137" s="93"/>
      <c r="BN1137" s="93"/>
      <c r="BO1137" s="93"/>
      <c r="BP1137" s="93"/>
      <c r="BQ1137" s="93"/>
      <c r="BR1137" s="93"/>
      <c r="BS1137" s="93"/>
      <c r="BT1137" s="93"/>
      <c r="BU1137" s="93"/>
      <c r="BV1137" s="93"/>
      <c r="BW1137" s="93"/>
      <c r="BX1137" s="93"/>
      <c r="BY1137" s="93"/>
      <c r="BZ1137" s="93"/>
    </row>
    <row r="1138">
      <c r="B1138" t="s">
        <v>4013</v>
      </c>
      <c r="C1138" s="89" t="s">
        <v>4014</v>
      </c>
      <c r="D1138" s="90" t="s">
        <v>2810</v>
      </c>
      <c r="E1138" s="91">
        <v>2018.0</v>
      </c>
      <c r="F1138" s="104">
        <v>1.0</v>
      </c>
      <c r="G1138" s="93"/>
      <c r="H1138" s="93"/>
      <c r="I1138" s="93"/>
      <c r="J1138" s="93"/>
      <c r="K1138" s="93"/>
      <c r="L1138" s="93"/>
      <c r="M1138" s="93"/>
      <c r="N1138" s="93"/>
      <c r="O1138" s="93"/>
      <c r="P1138" s="93"/>
      <c r="Q1138" s="93"/>
      <c r="R1138" s="93"/>
      <c r="S1138" s="93"/>
      <c r="T1138" s="93"/>
      <c r="U1138" s="93"/>
      <c r="V1138" s="93"/>
      <c r="W1138" s="93"/>
      <c r="X1138" s="93"/>
      <c r="Y1138" s="93"/>
      <c r="Z1138" s="93"/>
      <c r="AA1138" s="93"/>
      <c r="AB1138" s="93"/>
      <c r="AC1138" s="93"/>
      <c r="AD1138" s="93"/>
      <c r="AE1138" s="93"/>
      <c r="AF1138" s="93"/>
      <c r="AG1138" s="93"/>
      <c r="AH1138" s="93"/>
      <c r="AI1138" s="93"/>
      <c r="AJ1138" s="93"/>
      <c r="AK1138" s="93"/>
      <c r="AL1138" s="93"/>
      <c r="AM1138" s="93"/>
      <c r="AN1138" s="93"/>
      <c r="AO1138" s="93"/>
      <c r="AP1138" s="93"/>
      <c r="AQ1138" s="93"/>
      <c r="AR1138" s="93"/>
      <c r="AS1138" s="93"/>
      <c r="AT1138" s="93"/>
      <c r="AU1138" s="93"/>
      <c r="AV1138" s="93"/>
      <c r="AW1138" s="93"/>
      <c r="AX1138" s="93"/>
      <c r="AY1138" s="93"/>
      <c r="AZ1138" s="93"/>
      <c r="BA1138" s="93"/>
      <c r="BB1138" s="93"/>
      <c r="BC1138" s="93"/>
      <c r="BD1138" s="93"/>
      <c r="BE1138" s="93"/>
      <c r="BF1138" s="93"/>
      <c r="BG1138" s="93"/>
      <c r="BH1138" s="93"/>
      <c r="BI1138" s="93"/>
      <c r="BJ1138" s="93"/>
      <c r="BK1138" s="93"/>
      <c r="BL1138" s="93"/>
      <c r="BM1138" s="93"/>
      <c r="BN1138" s="93"/>
      <c r="BO1138" s="93"/>
      <c r="BP1138" s="93"/>
      <c r="BQ1138" s="93"/>
      <c r="BR1138" s="93"/>
      <c r="BS1138" s="93"/>
      <c r="BT1138" s="93"/>
      <c r="BU1138" s="93"/>
      <c r="BV1138" s="93"/>
      <c r="BW1138" s="93"/>
      <c r="BX1138" s="93"/>
      <c r="BY1138" s="93"/>
      <c r="BZ1138" s="93"/>
    </row>
    <row r="1139">
      <c r="A1139" t="s">
        <v>1331</v>
      </c>
      <c r="B1139" t="s">
        <v>4015</v>
      </c>
      <c r="C1139" s="89" t="s">
        <v>4016</v>
      </c>
      <c r="D1139" s="90" t="s">
        <v>3548</v>
      </c>
      <c r="E1139" s="91">
        <v>2016.0</v>
      </c>
      <c r="F1139" s="104">
        <v>1.0</v>
      </c>
      <c r="G1139" s="93"/>
      <c r="H1139" s="93"/>
      <c r="I1139" s="93"/>
      <c r="J1139" s="93"/>
      <c r="K1139" s="93"/>
      <c r="L1139" s="93"/>
      <c r="M1139" s="93"/>
      <c r="N1139" s="93"/>
      <c r="O1139" s="93"/>
      <c r="P1139" s="93"/>
      <c r="Q1139" s="93"/>
      <c r="R1139" s="93"/>
      <c r="S1139" s="93"/>
      <c r="T1139" s="93"/>
      <c r="U1139" s="93"/>
      <c r="V1139" s="93"/>
      <c r="W1139" s="93"/>
      <c r="X1139" s="93"/>
      <c r="Y1139" s="93"/>
      <c r="Z1139" s="93"/>
      <c r="AA1139" s="93"/>
      <c r="AB1139" s="93"/>
      <c r="AC1139" s="93"/>
      <c r="AD1139" s="93"/>
      <c r="AE1139" s="93"/>
      <c r="AF1139" s="93"/>
      <c r="AG1139" s="93"/>
      <c r="AH1139" s="93"/>
      <c r="AI1139" s="93"/>
      <c r="AJ1139" s="93"/>
      <c r="AK1139" s="93"/>
      <c r="AL1139" s="93"/>
      <c r="AM1139" s="93"/>
      <c r="AN1139" s="93"/>
      <c r="AO1139" s="93"/>
      <c r="AP1139" s="93"/>
      <c r="AQ1139" s="93"/>
      <c r="AR1139" s="93"/>
      <c r="AS1139" s="93"/>
      <c r="AT1139" s="93"/>
      <c r="AU1139" s="93"/>
      <c r="AV1139" s="93"/>
      <c r="AW1139" s="93"/>
      <c r="AX1139" s="93"/>
      <c r="AY1139" s="93"/>
      <c r="AZ1139" s="93"/>
      <c r="BA1139" s="93"/>
      <c r="BB1139" s="93"/>
      <c r="BC1139" s="93"/>
      <c r="BD1139" s="93"/>
      <c r="BE1139" s="93"/>
      <c r="BF1139" s="93"/>
      <c r="BG1139" s="93"/>
      <c r="BH1139" s="93"/>
      <c r="BI1139" s="93"/>
      <c r="BJ1139" s="93"/>
      <c r="BK1139" s="93"/>
      <c r="BL1139" s="93"/>
      <c r="BM1139" s="93"/>
      <c r="BN1139" s="93"/>
      <c r="BO1139" s="93"/>
      <c r="BP1139" s="93"/>
      <c r="BQ1139" s="93"/>
      <c r="BR1139" s="93"/>
      <c r="BS1139" s="93"/>
      <c r="BT1139" s="93"/>
      <c r="BU1139" s="93"/>
      <c r="BV1139" s="93"/>
      <c r="BW1139" s="93"/>
      <c r="BX1139" s="93"/>
      <c r="BY1139" s="93"/>
      <c r="BZ1139" s="93"/>
    </row>
    <row r="1140">
      <c r="B1140" t="s">
        <v>4017</v>
      </c>
      <c r="C1140" s="89" t="s">
        <v>4018</v>
      </c>
      <c r="D1140" s="90" t="s">
        <v>2874</v>
      </c>
      <c r="E1140" s="91">
        <v>2018.0</v>
      </c>
      <c r="F1140" s="104">
        <v>1.0</v>
      </c>
      <c r="G1140" s="93"/>
      <c r="H1140" s="93"/>
      <c r="I1140" s="93"/>
      <c r="J1140" s="93"/>
      <c r="K1140" s="93"/>
      <c r="L1140" s="93"/>
      <c r="M1140" s="93"/>
      <c r="N1140" s="93"/>
      <c r="O1140" s="93"/>
      <c r="P1140" s="93"/>
      <c r="Q1140" s="93"/>
      <c r="R1140" s="93"/>
      <c r="S1140" s="93"/>
      <c r="T1140" s="93"/>
      <c r="U1140" s="93"/>
      <c r="V1140" s="93"/>
      <c r="W1140" s="93"/>
      <c r="X1140" s="93"/>
      <c r="Y1140" s="93"/>
      <c r="Z1140" s="93"/>
      <c r="AA1140" s="93"/>
      <c r="AB1140" s="93"/>
      <c r="AC1140" s="93"/>
      <c r="AD1140" s="93"/>
      <c r="AE1140" s="93"/>
      <c r="AF1140" s="93"/>
      <c r="AG1140" s="93"/>
      <c r="AH1140" s="93"/>
      <c r="AI1140" s="93"/>
      <c r="AJ1140" s="93"/>
      <c r="AK1140" s="93"/>
      <c r="AL1140" s="93"/>
      <c r="AM1140" s="93"/>
      <c r="AN1140" s="93"/>
      <c r="AO1140" s="93"/>
      <c r="AP1140" s="93"/>
      <c r="AQ1140" s="93"/>
      <c r="AR1140" s="93"/>
      <c r="AS1140" s="93"/>
      <c r="AT1140" s="93"/>
      <c r="AU1140" s="93"/>
      <c r="AV1140" s="93"/>
      <c r="AW1140" s="93"/>
      <c r="AX1140" s="93"/>
      <c r="AY1140" s="93"/>
      <c r="AZ1140" s="93"/>
      <c r="BA1140" s="93"/>
      <c r="BB1140" s="93"/>
      <c r="BC1140" s="93"/>
      <c r="BD1140" s="93"/>
      <c r="BE1140" s="93"/>
      <c r="BF1140" s="93"/>
      <c r="BG1140" s="93"/>
      <c r="BH1140" s="93"/>
      <c r="BI1140" s="93"/>
      <c r="BJ1140" s="93"/>
      <c r="BK1140" s="93"/>
      <c r="BL1140" s="93"/>
      <c r="BM1140" s="93"/>
      <c r="BN1140" s="93"/>
      <c r="BO1140" s="93"/>
      <c r="BP1140" s="93"/>
      <c r="BQ1140" s="93"/>
      <c r="BR1140" s="93"/>
      <c r="BS1140" s="93"/>
      <c r="BT1140" s="93"/>
      <c r="BU1140" s="93"/>
      <c r="BV1140" s="93"/>
      <c r="BW1140" s="93"/>
      <c r="BX1140" s="93"/>
      <c r="BY1140" s="93"/>
      <c r="BZ1140" s="93"/>
    </row>
    <row r="1141">
      <c r="B1141" t="s">
        <v>4019</v>
      </c>
      <c r="C1141" s="89" t="s">
        <v>4020</v>
      </c>
      <c r="D1141" s="90" t="s">
        <v>2874</v>
      </c>
      <c r="E1141" s="91">
        <v>2017.0</v>
      </c>
      <c r="F1141" s="104">
        <v>1.0</v>
      </c>
      <c r="G1141" s="93"/>
      <c r="H1141" s="93"/>
      <c r="I1141" s="93"/>
      <c r="J1141" s="93"/>
      <c r="K1141" s="93"/>
      <c r="L1141" s="93"/>
      <c r="M1141" s="93"/>
      <c r="N1141" s="93"/>
      <c r="O1141" s="93"/>
      <c r="P1141" s="93"/>
      <c r="Q1141" s="93"/>
      <c r="R1141" s="93"/>
      <c r="S1141" s="93"/>
      <c r="T1141" s="93"/>
      <c r="U1141" s="93"/>
      <c r="V1141" s="93"/>
      <c r="W1141" s="93"/>
      <c r="X1141" s="93"/>
      <c r="Y1141" s="93"/>
      <c r="Z1141" s="93"/>
      <c r="AA1141" s="93"/>
      <c r="AB1141" s="93"/>
      <c r="AC1141" s="93"/>
      <c r="AD1141" s="93"/>
      <c r="AE1141" s="93"/>
      <c r="AF1141" s="93"/>
      <c r="AG1141" s="93"/>
      <c r="AH1141" s="93"/>
      <c r="AI1141" s="93"/>
      <c r="AJ1141" s="93"/>
      <c r="AK1141" s="93"/>
      <c r="AL1141" s="93"/>
      <c r="AM1141" s="93"/>
      <c r="AN1141" s="93"/>
      <c r="AO1141" s="93"/>
      <c r="AP1141" s="93"/>
      <c r="AQ1141" s="93"/>
      <c r="AR1141" s="93"/>
      <c r="AS1141" s="93"/>
      <c r="AT1141" s="93"/>
      <c r="AU1141" s="93"/>
      <c r="AV1141" s="93"/>
      <c r="AW1141" s="93"/>
      <c r="AX1141" s="93"/>
      <c r="AY1141" s="93"/>
      <c r="AZ1141" s="93"/>
      <c r="BA1141" s="93"/>
      <c r="BB1141" s="93"/>
      <c r="BC1141" s="93"/>
      <c r="BD1141" s="93"/>
      <c r="BE1141" s="93"/>
      <c r="BF1141" s="93"/>
      <c r="BG1141" s="93"/>
      <c r="BH1141" s="93"/>
      <c r="BI1141" s="93"/>
      <c r="BJ1141" s="93"/>
      <c r="BK1141" s="93"/>
      <c r="BL1141" s="93"/>
      <c r="BM1141" s="93"/>
      <c r="BN1141" s="93"/>
      <c r="BO1141" s="93"/>
      <c r="BP1141" s="93"/>
      <c r="BQ1141" s="93"/>
      <c r="BR1141" s="93"/>
      <c r="BS1141" s="93"/>
      <c r="BT1141" s="93"/>
      <c r="BU1141" s="93"/>
      <c r="BV1141" s="93"/>
      <c r="BW1141" s="93"/>
      <c r="BX1141" s="93"/>
      <c r="BY1141" s="93"/>
      <c r="BZ1141" s="93"/>
    </row>
    <row r="1142">
      <c r="B1142" t="s">
        <v>4021</v>
      </c>
      <c r="C1142" s="89" t="s">
        <v>4022</v>
      </c>
      <c r="D1142" s="90" t="s">
        <v>2874</v>
      </c>
      <c r="E1142" s="91">
        <v>2018.0</v>
      </c>
      <c r="F1142" s="104">
        <v>1.0</v>
      </c>
      <c r="G1142" s="93"/>
      <c r="H1142" s="93"/>
      <c r="I1142" s="93"/>
      <c r="J1142" s="93"/>
      <c r="K1142" s="93"/>
      <c r="L1142" s="93"/>
      <c r="M1142" s="93"/>
      <c r="N1142" s="93"/>
      <c r="O1142" s="93"/>
      <c r="P1142" s="93"/>
      <c r="Q1142" s="93"/>
      <c r="R1142" s="93"/>
      <c r="S1142" s="93"/>
      <c r="T1142" s="93"/>
      <c r="U1142" s="93"/>
      <c r="V1142" s="93"/>
      <c r="W1142" s="93"/>
      <c r="X1142" s="93"/>
      <c r="Y1142" s="93"/>
      <c r="Z1142" s="93"/>
      <c r="AA1142" s="93"/>
      <c r="AB1142" s="93"/>
      <c r="AC1142" s="93"/>
      <c r="AD1142" s="93"/>
      <c r="AE1142" s="93"/>
      <c r="AF1142" s="93"/>
      <c r="AG1142" s="93"/>
      <c r="AH1142" s="93"/>
      <c r="AI1142" s="93"/>
      <c r="AJ1142" s="93"/>
      <c r="AK1142" s="93"/>
      <c r="AL1142" s="93"/>
      <c r="AM1142" s="93"/>
      <c r="AN1142" s="93"/>
      <c r="AO1142" s="93"/>
      <c r="AP1142" s="93"/>
      <c r="AQ1142" s="93"/>
      <c r="AR1142" s="93"/>
      <c r="AS1142" s="93"/>
      <c r="AT1142" s="93"/>
      <c r="AU1142" s="93"/>
      <c r="AV1142" s="93"/>
      <c r="AW1142" s="93"/>
      <c r="AX1142" s="93"/>
      <c r="AY1142" s="93"/>
      <c r="AZ1142" s="93"/>
      <c r="BA1142" s="93"/>
      <c r="BB1142" s="93"/>
      <c r="BC1142" s="93"/>
      <c r="BD1142" s="93"/>
      <c r="BE1142" s="93"/>
      <c r="BF1142" s="93"/>
      <c r="BG1142" s="93"/>
      <c r="BH1142" s="93"/>
      <c r="BI1142" s="93"/>
      <c r="BJ1142" s="93"/>
      <c r="BK1142" s="93"/>
      <c r="BL1142" s="93"/>
      <c r="BM1142" s="93"/>
      <c r="BN1142" s="93"/>
      <c r="BO1142" s="93"/>
      <c r="BP1142" s="93"/>
      <c r="BQ1142" s="93"/>
      <c r="BR1142" s="93"/>
      <c r="BS1142" s="93"/>
      <c r="BT1142" s="93"/>
      <c r="BU1142" s="93"/>
      <c r="BV1142" s="93"/>
      <c r="BW1142" s="93"/>
      <c r="BX1142" s="93"/>
      <c r="BY1142" s="93"/>
      <c r="BZ1142" s="93"/>
    </row>
    <row r="1143">
      <c r="B1143" t="s">
        <v>4023</v>
      </c>
      <c r="C1143" s="89" t="s">
        <v>4024</v>
      </c>
      <c r="D1143" s="90" t="s">
        <v>2874</v>
      </c>
      <c r="E1143" s="91">
        <v>2020.0</v>
      </c>
      <c r="F1143" s="104">
        <v>1.0</v>
      </c>
      <c r="G1143" s="93"/>
      <c r="H1143" s="93"/>
      <c r="I1143" s="93"/>
      <c r="J1143" s="93"/>
      <c r="K1143" s="93"/>
      <c r="L1143" s="93"/>
      <c r="M1143" s="93"/>
      <c r="N1143" s="93"/>
      <c r="O1143" s="93"/>
      <c r="P1143" s="93"/>
      <c r="Q1143" s="93"/>
      <c r="R1143" s="93"/>
      <c r="S1143" s="93"/>
      <c r="T1143" s="93"/>
      <c r="U1143" s="93"/>
      <c r="V1143" s="93"/>
      <c r="W1143" s="93"/>
      <c r="X1143" s="93"/>
      <c r="Y1143" s="93"/>
      <c r="Z1143" s="93"/>
      <c r="AA1143" s="93"/>
      <c r="AB1143" s="93"/>
      <c r="AC1143" s="93"/>
      <c r="AD1143" s="93"/>
      <c r="AE1143" s="93"/>
      <c r="AF1143" s="93"/>
      <c r="AG1143" s="93"/>
      <c r="AH1143" s="93"/>
      <c r="AI1143" s="93"/>
      <c r="AJ1143" s="93"/>
      <c r="AK1143" s="93"/>
      <c r="AL1143" s="93"/>
      <c r="AM1143" s="93"/>
      <c r="AN1143" s="93"/>
      <c r="AO1143" s="93"/>
      <c r="AP1143" s="93"/>
      <c r="AQ1143" s="93"/>
      <c r="AR1143" s="93"/>
      <c r="AS1143" s="93"/>
      <c r="AT1143" s="93"/>
      <c r="AU1143" s="93"/>
      <c r="AV1143" s="93"/>
      <c r="AW1143" s="93"/>
      <c r="AX1143" s="93"/>
      <c r="AY1143" s="93"/>
      <c r="AZ1143" s="93"/>
      <c r="BA1143" s="93"/>
      <c r="BB1143" s="93"/>
      <c r="BC1143" s="93"/>
      <c r="BD1143" s="93"/>
      <c r="BE1143" s="93"/>
      <c r="BF1143" s="93"/>
      <c r="BG1143" s="93"/>
      <c r="BH1143" s="93"/>
      <c r="BI1143" s="93"/>
      <c r="BJ1143" s="93"/>
      <c r="BK1143" s="93"/>
      <c r="BL1143" s="93"/>
      <c r="BM1143" s="93"/>
      <c r="BN1143" s="93"/>
      <c r="BO1143" s="93"/>
      <c r="BP1143" s="93"/>
      <c r="BQ1143" s="93"/>
      <c r="BR1143" s="93"/>
      <c r="BS1143" s="93"/>
      <c r="BT1143" s="93"/>
      <c r="BU1143" s="93"/>
      <c r="BV1143" s="93"/>
      <c r="BW1143" s="93"/>
      <c r="BX1143" s="93"/>
      <c r="BY1143" s="93"/>
      <c r="BZ1143" s="93"/>
    </row>
    <row r="1144">
      <c r="B1144" t="s">
        <v>4025</v>
      </c>
      <c r="C1144" s="89" t="s">
        <v>4026</v>
      </c>
      <c r="D1144" s="90" t="s">
        <v>2874</v>
      </c>
      <c r="E1144" s="91">
        <v>2017.0</v>
      </c>
      <c r="F1144" s="104">
        <v>1.0</v>
      </c>
      <c r="G1144" s="93"/>
      <c r="H1144" s="93"/>
      <c r="I1144" s="93"/>
      <c r="J1144" s="93"/>
      <c r="K1144" s="93"/>
      <c r="L1144" s="93"/>
      <c r="M1144" s="93"/>
      <c r="N1144" s="93"/>
      <c r="O1144" s="93"/>
      <c r="P1144" s="93"/>
      <c r="Q1144" s="93"/>
      <c r="R1144" s="93"/>
      <c r="S1144" s="93"/>
      <c r="T1144" s="93"/>
      <c r="U1144" s="93"/>
      <c r="V1144" s="93"/>
      <c r="W1144" s="93"/>
      <c r="X1144" s="93"/>
      <c r="Y1144" s="93"/>
      <c r="Z1144" s="93"/>
      <c r="AA1144" s="93"/>
      <c r="AB1144" s="93"/>
      <c r="AC1144" s="93"/>
      <c r="AD1144" s="93"/>
      <c r="AE1144" s="93"/>
      <c r="AF1144" s="93"/>
      <c r="AG1144" s="93"/>
      <c r="AH1144" s="93"/>
      <c r="AI1144" s="93"/>
      <c r="AJ1144" s="93"/>
      <c r="AK1144" s="93"/>
      <c r="AL1144" s="93"/>
      <c r="AM1144" s="93"/>
      <c r="AN1144" s="93"/>
      <c r="AO1144" s="93"/>
      <c r="AP1144" s="93"/>
      <c r="AQ1144" s="93"/>
      <c r="AR1144" s="93"/>
      <c r="AS1144" s="93"/>
      <c r="AT1144" s="93"/>
      <c r="AU1144" s="93"/>
      <c r="AV1144" s="93"/>
      <c r="AW1144" s="93"/>
      <c r="AX1144" s="93"/>
      <c r="AY1144" s="93"/>
      <c r="AZ1144" s="93"/>
      <c r="BA1144" s="93"/>
      <c r="BB1144" s="93"/>
      <c r="BC1144" s="93"/>
      <c r="BD1144" s="93"/>
      <c r="BE1144" s="93"/>
      <c r="BF1144" s="93"/>
      <c r="BG1144" s="93"/>
      <c r="BH1144" s="93"/>
      <c r="BI1144" s="93"/>
      <c r="BJ1144" s="93"/>
      <c r="BK1144" s="93"/>
      <c r="BL1144" s="93"/>
      <c r="BM1144" s="93"/>
      <c r="BN1144" s="93"/>
      <c r="BO1144" s="93"/>
      <c r="BP1144" s="93"/>
      <c r="BQ1144" s="93"/>
      <c r="BR1144" s="93"/>
      <c r="BS1144" s="93"/>
      <c r="BT1144" s="93"/>
      <c r="BU1144" s="93"/>
      <c r="BV1144" s="93"/>
      <c r="BW1144" s="93"/>
      <c r="BX1144" s="93"/>
      <c r="BY1144" s="93"/>
      <c r="BZ1144" s="93"/>
    </row>
    <row r="1145">
      <c r="B1145" t="s">
        <v>4027</v>
      </c>
      <c r="C1145" s="89" t="s">
        <v>4028</v>
      </c>
      <c r="D1145" s="90" t="s">
        <v>4029</v>
      </c>
      <c r="E1145" s="91">
        <v>2017.0</v>
      </c>
      <c r="F1145" s="104">
        <v>1.0</v>
      </c>
      <c r="G1145" s="93"/>
      <c r="H1145" s="93"/>
      <c r="I1145" s="93"/>
      <c r="J1145" s="93"/>
      <c r="K1145" s="93"/>
      <c r="L1145" s="93"/>
      <c r="M1145" s="93"/>
      <c r="N1145" s="93"/>
      <c r="O1145" s="93"/>
      <c r="P1145" s="93"/>
      <c r="Q1145" s="93"/>
      <c r="R1145" s="93"/>
      <c r="S1145" s="93"/>
      <c r="T1145" s="93"/>
      <c r="U1145" s="93"/>
      <c r="V1145" s="93"/>
      <c r="W1145" s="93"/>
      <c r="X1145" s="93"/>
      <c r="Y1145" s="93"/>
      <c r="Z1145" s="93"/>
      <c r="AA1145" s="93"/>
      <c r="AB1145" s="93"/>
      <c r="AC1145" s="93"/>
      <c r="AD1145" s="93"/>
      <c r="AE1145" s="93"/>
      <c r="AF1145" s="93"/>
      <c r="AG1145" s="93"/>
      <c r="AH1145" s="93"/>
      <c r="AI1145" s="93"/>
      <c r="AJ1145" s="93"/>
      <c r="AK1145" s="93"/>
      <c r="AL1145" s="93"/>
      <c r="AM1145" s="93"/>
      <c r="AN1145" s="93"/>
      <c r="AO1145" s="93"/>
      <c r="AP1145" s="93"/>
      <c r="AQ1145" s="93"/>
      <c r="AR1145" s="93"/>
      <c r="AS1145" s="93"/>
      <c r="AT1145" s="93"/>
      <c r="AU1145" s="93"/>
      <c r="AV1145" s="93"/>
      <c r="AW1145" s="93"/>
      <c r="AX1145" s="93"/>
      <c r="AY1145" s="93"/>
      <c r="AZ1145" s="93"/>
      <c r="BA1145" s="93"/>
      <c r="BB1145" s="93"/>
      <c r="BC1145" s="93"/>
      <c r="BD1145" s="93"/>
      <c r="BE1145" s="93"/>
      <c r="BF1145" s="93"/>
      <c r="BG1145" s="93"/>
      <c r="BH1145" s="93"/>
      <c r="BI1145" s="93"/>
      <c r="BJ1145" s="93"/>
      <c r="BK1145" s="93"/>
      <c r="BL1145" s="93"/>
      <c r="BM1145" s="93"/>
      <c r="BN1145" s="93"/>
      <c r="BO1145" s="93"/>
      <c r="BP1145" s="93"/>
      <c r="BQ1145" s="93"/>
      <c r="BR1145" s="93"/>
      <c r="BS1145" s="93"/>
      <c r="BT1145" s="93"/>
      <c r="BU1145" s="93"/>
      <c r="BV1145" s="93"/>
      <c r="BW1145" s="93"/>
      <c r="BX1145" s="93"/>
      <c r="BY1145" s="93"/>
      <c r="BZ1145" s="93"/>
    </row>
    <row r="1146">
      <c r="B1146" t="s">
        <v>4030</v>
      </c>
      <c r="C1146" s="89" t="s">
        <v>4031</v>
      </c>
      <c r="D1146" s="90" t="s">
        <v>4032</v>
      </c>
      <c r="E1146" s="91">
        <v>2018.0</v>
      </c>
      <c r="F1146" s="104">
        <v>1.0</v>
      </c>
      <c r="G1146" s="93"/>
      <c r="H1146" s="93"/>
      <c r="I1146" s="93"/>
      <c r="J1146" s="93"/>
      <c r="K1146" s="93"/>
      <c r="L1146" s="93"/>
      <c r="M1146" s="93"/>
      <c r="N1146" s="93"/>
      <c r="O1146" s="93"/>
      <c r="P1146" s="93"/>
      <c r="Q1146" s="93"/>
      <c r="R1146" s="93"/>
      <c r="S1146" s="93"/>
      <c r="T1146" s="93"/>
      <c r="U1146" s="93"/>
      <c r="V1146" s="93"/>
      <c r="W1146" s="93"/>
      <c r="X1146" s="93"/>
      <c r="Y1146" s="93"/>
      <c r="Z1146" s="93"/>
      <c r="AA1146" s="93"/>
      <c r="AB1146" s="93"/>
      <c r="AC1146" s="93"/>
      <c r="AD1146" s="93"/>
      <c r="AE1146" s="93"/>
      <c r="AF1146" s="93"/>
      <c r="AG1146" s="93"/>
      <c r="AH1146" s="93"/>
      <c r="AI1146" s="93"/>
      <c r="AJ1146" s="93"/>
      <c r="AK1146" s="93"/>
      <c r="AL1146" s="93"/>
      <c r="AM1146" s="93"/>
      <c r="AN1146" s="93"/>
      <c r="AO1146" s="93"/>
      <c r="AP1146" s="93"/>
      <c r="AQ1146" s="93"/>
      <c r="AR1146" s="93"/>
      <c r="AS1146" s="93"/>
      <c r="AT1146" s="93"/>
      <c r="AU1146" s="93"/>
      <c r="AV1146" s="93"/>
      <c r="AW1146" s="93"/>
      <c r="AX1146" s="93"/>
      <c r="AY1146" s="93"/>
      <c r="AZ1146" s="93"/>
      <c r="BA1146" s="93"/>
      <c r="BB1146" s="93"/>
      <c r="BC1146" s="93"/>
      <c r="BD1146" s="93"/>
      <c r="BE1146" s="93"/>
      <c r="BF1146" s="93"/>
      <c r="BG1146" s="93"/>
      <c r="BH1146" s="93"/>
      <c r="BI1146" s="93"/>
      <c r="BJ1146" s="93"/>
      <c r="BK1146" s="93"/>
      <c r="BL1146" s="93"/>
      <c r="BM1146" s="93"/>
      <c r="BN1146" s="93"/>
      <c r="BO1146" s="93"/>
      <c r="BP1146" s="93"/>
      <c r="BQ1146" s="93"/>
      <c r="BR1146" s="93"/>
      <c r="BS1146" s="93"/>
      <c r="BT1146" s="93"/>
      <c r="BU1146" s="93"/>
      <c r="BV1146" s="93"/>
      <c r="BW1146" s="93"/>
      <c r="BX1146" s="93"/>
      <c r="BY1146" s="93"/>
      <c r="BZ1146" s="93"/>
    </row>
    <row r="1147">
      <c r="B1147" t="s">
        <v>4033</v>
      </c>
      <c r="C1147" s="89" t="s">
        <v>4034</v>
      </c>
      <c r="D1147" s="90" t="s">
        <v>3144</v>
      </c>
      <c r="E1147" s="91">
        <v>2019.0</v>
      </c>
      <c r="F1147" s="104">
        <v>1.0</v>
      </c>
      <c r="G1147" s="93"/>
      <c r="H1147" s="93"/>
      <c r="I1147" s="93"/>
      <c r="J1147" s="93"/>
      <c r="K1147" s="93"/>
      <c r="L1147" s="93"/>
      <c r="M1147" s="93"/>
      <c r="N1147" s="93"/>
      <c r="O1147" s="93"/>
      <c r="P1147" s="93"/>
      <c r="Q1147" s="93"/>
      <c r="R1147" s="93"/>
      <c r="S1147" s="93"/>
      <c r="T1147" s="93"/>
      <c r="U1147" s="93"/>
      <c r="V1147" s="93"/>
      <c r="W1147" s="93"/>
      <c r="X1147" s="93"/>
      <c r="Y1147" s="93"/>
      <c r="Z1147" s="93"/>
      <c r="AA1147" s="93"/>
      <c r="AB1147" s="93"/>
      <c r="AC1147" s="93"/>
      <c r="AD1147" s="93"/>
      <c r="AE1147" s="93"/>
      <c r="AF1147" s="93"/>
      <c r="AG1147" s="93"/>
      <c r="AH1147" s="93"/>
      <c r="AI1147" s="93"/>
      <c r="AJ1147" s="93"/>
      <c r="AK1147" s="93"/>
      <c r="AL1147" s="93"/>
      <c r="AM1147" s="93"/>
      <c r="AN1147" s="93"/>
      <c r="AO1147" s="93"/>
      <c r="AP1147" s="93"/>
      <c r="AQ1147" s="93"/>
      <c r="AR1147" s="93"/>
      <c r="AS1147" s="93"/>
      <c r="AT1147" s="93"/>
      <c r="AU1147" s="93"/>
      <c r="AV1147" s="93"/>
      <c r="AW1147" s="93"/>
      <c r="AX1147" s="93"/>
      <c r="AY1147" s="93"/>
      <c r="AZ1147" s="93"/>
      <c r="BA1147" s="93"/>
      <c r="BB1147" s="93"/>
      <c r="BC1147" s="93"/>
      <c r="BD1147" s="93"/>
      <c r="BE1147" s="93"/>
      <c r="BF1147" s="93"/>
      <c r="BG1147" s="93"/>
      <c r="BH1147" s="93"/>
      <c r="BI1147" s="93"/>
      <c r="BJ1147" s="93"/>
      <c r="BK1147" s="93"/>
      <c r="BL1147" s="93"/>
      <c r="BM1147" s="93"/>
      <c r="BN1147" s="93"/>
      <c r="BO1147" s="93"/>
      <c r="BP1147" s="93"/>
      <c r="BQ1147" s="93"/>
      <c r="BR1147" s="93"/>
      <c r="BS1147" s="93"/>
      <c r="BT1147" s="93"/>
      <c r="BU1147" s="93"/>
      <c r="BV1147" s="93"/>
      <c r="BW1147" s="93"/>
      <c r="BX1147" s="93"/>
      <c r="BY1147" s="93"/>
      <c r="BZ1147" s="93"/>
    </row>
    <row r="1148">
      <c r="B1148" t="s">
        <v>4035</v>
      </c>
      <c r="C1148" s="89" t="s">
        <v>4036</v>
      </c>
      <c r="D1148" s="90" t="s">
        <v>4037</v>
      </c>
      <c r="E1148" s="91">
        <v>2018.0</v>
      </c>
      <c r="F1148" s="104">
        <v>1.0</v>
      </c>
      <c r="G1148" s="93"/>
      <c r="H1148" s="93"/>
      <c r="I1148" s="93"/>
      <c r="J1148" s="93"/>
      <c r="K1148" s="93"/>
      <c r="L1148" s="93"/>
      <c r="M1148" s="93"/>
      <c r="N1148" s="93"/>
      <c r="O1148" s="93"/>
      <c r="P1148" s="93"/>
      <c r="Q1148" s="93"/>
      <c r="R1148" s="93"/>
      <c r="S1148" s="93"/>
      <c r="T1148" s="93"/>
      <c r="U1148" s="93"/>
      <c r="V1148" s="93"/>
      <c r="W1148" s="93"/>
      <c r="X1148" s="93"/>
      <c r="Y1148" s="93"/>
      <c r="Z1148" s="93"/>
      <c r="AA1148" s="93"/>
      <c r="AB1148" s="93"/>
      <c r="AC1148" s="93"/>
      <c r="AD1148" s="93"/>
      <c r="AE1148" s="93"/>
      <c r="AF1148" s="93"/>
      <c r="AG1148" s="93"/>
      <c r="AH1148" s="93"/>
      <c r="AI1148" s="93"/>
      <c r="AJ1148" s="93"/>
      <c r="AK1148" s="93"/>
      <c r="AL1148" s="93"/>
      <c r="AM1148" s="93"/>
      <c r="AN1148" s="93"/>
      <c r="AO1148" s="93"/>
      <c r="AP1148" s="93"/>
      <c r="AQ1148" s="93"/>
      <c r="AR1148" s="93"/>
      <c r="AS1148" s="93"/>
      <c r="AT1148" s="93"/>
      <c r="AU1148" s="93"/>
      <c r="AV1148" s="93"/>
      <c r="AW1148" s="93"/>
      <c r="AX1148" s="93"/>
      <c r="AY1148" s="93"/>
      <c r="AZ1148" s="93"/>
      <c r="BA1148" s="93"/>
      <c r="BB1148" s="93"/>
      <c r="BC1148" s="93"/>
      <c r="BD1148" s="93"/>
      <c r="BE1148" s="93"/>
      <c r="BF1148" s="93"/>
      <c r="BG1148" s="93"/>
      <c r="BH1148" s="93"/>
      <c r="BI1148" s="93"/>
      <c r="BJ1148" s="93"/>
      <c r="BK1148" s="93"/>
      <c r="BL1148" s="93"/>
      <c r="BM1148" s="93"/>
      <c r="BN1148" s="93"/>
      <c r="BO1148" s="93"/>
      <c r="BP1148" s="93"/>
      <c r="BQ1148" s="93"/>
      <c r="BR1148" s="93"/>
      <c r="BS1148" s="93"/>
      <c r="BT1148" s="93"/>
      <c r="BU1148" s="93"/>
      <c r="BV1148" s="93"/>
      <c r="BW1148" s="93"/>
      <c r="BX1148" s="93"/>
      <c r="BY1148" s="93"/>
      <c r="BZ1148" s="93"/>
    </row>
    <row r="1149">
      <c r="B1149" t="s">
        <v>4038</v>
      </c>
      <c r="C1149" s="89" t="s">
        <v>4039</v>
      </c>
      <c r="D1149" s="90" t="s">
        <v>777</v>
      </c>
      <c r="E1149" s="91">
        <v>2014.0</v>
      </c>
      <c r="F1149" s="104">
        <v>1.0</v>
      </c>
      <c r="G1149" s="93"/>
      <c r="H1149" s="93"/>
      <c r="I1149" s="93"/>
      <c r="J1149" s="93"/>
      <c r="K1149" s="93"/>
      <c r="L1149" s="93"/>
      <c r="M1149" s="93"/>
      <c r="N1149" s="93"/>
      <c r="O1149" s="93"/>
      <c r="P1149" s="93"/>
      <c r="Q1149" s="93"/>
      <c r="R1149" s="93"/>
      <c r="S1149" s="93"/>
      <c r="T1149" s="93"/>
      <c r="U1149" s="93"/>
      <c r="V1149" s="93"/>
      <c r="W1149" s="93"/>
      <c r="X1149" s="93"/>
      <c r="Y1149" s="93"/>
      <c r="Z1149" s="93"/>
      <c r="AA1149" s="93"/>
      <c r="AB1149" s="93"/>
      <c r="AC1149" s="93"/>
      <c r="AD1149" s="93"/>
      <c r="AE1149" s="93"/>
      <c r="AF1149" s="93"/>
      <c r="AG1149" s="93"/>
      <c r="AH1149" s="93"/>
      <c r="AI1149" s="93"/>
      <c r="AJ1149" s="93"/>
      <c r="AK1149" s="93"/>
      <c r="AL1149" s="93"/>
      <c r="AM1149" s="93"/>
      <c r="AN1149" s="93"/>
      <c r="AO1149" s="93"/>
      <c r="AP1149" s="93"/>
      <c r="AQ1149" s="93"/>
      <c r="AR1149" s="93"/>
      <c r="AS1149" s="93"/>
      <c r="AT1149" s="93"/>
      <c r="AU1149" s="93"/>
      <c r="AV1149" s="93"/>
      <c r="AW1149" s="93"/>
      <c r="AX1149" s="93"/>
      <c r="AY1149" s="93"/>
      <c r="AZ1149" s="93"/>
      <c r="BA1149" s="93"/>
      <c r="BB1149" s="93"/>
      <c r="BC1149" s="93"/>
      <c r="BD1149" s="93"/>
      <c r="BE1149" s="93"/>
      <c r="BF1149" s="93"/>
      <c r="BG1149" s="93"/>
      <c r="BH1149" s="93"/>
      <c r="BI1149" s="93"/>
      <c r="BJ1149" s="93"/>
      <c r="BK1149" s="93"/>
      <c r="BL1149" s="93"/>
      <c r="BM1149" s="93"/>
      <c r="BN1149" s="93"/>
      <c r="BO1149" s="93"/>
      <c r="BP1149" s="93"/>
      <c r="BQ1149" s="93"/>
      <c r="BR1149" s="93"/>
      <c r="BS1149" s="93"/>
      <c r="BT1149" s="93"/>
      <c r="BU1149" s="93"/>
      <c r="BV1149" s="93"/>
      <c r="BW1149" s="93"/>
      <c r="BX1149" s="93"/>
      <c r="BY1149" s="93"/>
      <c r="BZ1149" s="93"/>
    </row>
    <row r="1150">
      <c r="B1150" t="s">
        <v>4040</v>
      </c>
      <c r="C1150" s="89" t="s">
        <v>4041</v>
      </c>
      <c r="D1150" s="90" t="s">
        <v>2856</v>
      </c>
      <c r="E1150" s="91">
        <v>2019.0</v>
      </c>
      <c r="F1150" s="104">
        <v>1.0</v>
      </c>
      <c r="G1150" s="93"/>
      <c r="H1150" s="93"/>
      <c r="I1150" s="93"/>
      <c r="J1150" s="93"/>
      <c r="K1150" s="93"/>
      <c r="L1150" s="93"/>
      <c r="M1150" s="93"/>
      <c r="N1150" s="93"/>
      <c r="O1150" s="93"/>
      <c r="P1150" s="93"/>
      <c r="Q1150" s="93"/>
      <c r="R1150" s="93"/>
      <c r="S1150" s="93"/>
      <c r="T1150" s="93"/>
      <c r="U1150" s="93"/>
      <c r="V1150" s="93"/>
      <c r="W1150" s="93"/>
      <c r="X1150" s="93"/>
      <c r="Y1150" s="93"/>
      <c r="Z1150" s="93"/>
      <c r="AA1150" s="93"/>
      <c r="AB1150" s="93"/>
      <c r="AC1150" s="93"/>
      <c r="AD1150" s="93"/>
      <c r="AE1150" s="93"/>
      <c r="AF1150" s="93"/>
      <c r="AG1150" s="93"/>
      <c r="AH1150" s="93"/>
      <c r="AI1150" s="93"/>
      <c r="AJ1150" s="93"/>
      <c r="AK1150" s="93"/>
      <c r="AL1150" s="93"/>
      <c r="AM1150" s="93"/>
      <c r="AN1150" s="93"/>
      <c r="AO1150" s="93"/>
      <c r="AP1150" s="93"/>
      <c r="AQ1150" s="93"/>
      <c r="AR1150" s="93"/>
      <c r="AS1150" s="93"/>
      <c r="AT1150" s="93"/>
      <c r="AU1150" s="93"/>
      <c r="AV1150" s="93"/>
      <c r="AW1150" s="93"/>
      <c r="AX1150" s="93"/>
      <c r="AY1150" s="93"/>
      <c r="AZ1150" s="93"/>
      <c r="BA1150" s="93"/>
      <c r="BB1150" s="93"/>
      <c r="BC1150" s="93"/>
      <c r="BD1150" s="93"/>
      <c r="BE1150" s="93"/>
      <c r="BF1150" s="93"/>
      <c r="BG1150" s="93"/>
      <c r="BH1150" s="93"/>
      <c r="BI1150" s="93"/>
      <c r="BJ1150" s="93"/>
      <c r="BK1150" s="93"/>
      <c r="BL1150" s="93"/>
      <c r="BM1150" s="93"/>
      <c r="BN1150" s="93"/>
      <c r="BO1150" s="93"/>
      <c r="BP1150" s="93"/>
      <c r="BQ1150" s="93"/>
      <c r="BR1150" s="93"/>
      <c r="BS1150" s="93"/>
      <c r="BT1150" s="93"/>
      <c r="BU1150" s="93"/>
      <c r="BV1150" s="93"/>
      <c r="BW1150" s="93"/>
      <c r="BX1150" s="93"/>
      <c r="BY1150" s="93"/>
      <c r="BZ1150" s="93"/>
    </row>
    <row r="1151">
      <c r="B1151" t="s">
        <v>4042</v>
      </c>
      <c r="C1151" s="89" t="s">
        <v>4043</v>
      </c>
      <c r="D1151" s="90" t="s">
        <v>2856</v>
      </c>
      <c r="E1151" s="91">
        <v>2018.0</v>
      </c>
      <c r="F1151" s="104">
        <v>1.0</v>
      </c>
      <c r="G1151" s="93"/>
      <c r="H1151" s="93"/>
      <c r="I1151" s="93"/>
      <c r="J1151" s="93"/>
      <c r="K1151" s="93"/>
      <c r="L1151" s="93"/>
      <c r="M1151" s="93"/>
      <c r="N1151" s="93"/>
      <c r="O1151" s="93"/>
      <c r="P1151" s="93"/>
      <c r="Q1151" s="93"/>
      <c r="R1151" s="93"/>
      <c r="S1151" s="93"/>
      <c r="T1151" s="93"/>
      <c r="U1151" s="93"/>
      <c r="V1151" s="93"/>
      <c r="W1151" s="93"/>
      <c r="X1151" s="93"/>
      <c r="Y1151" s="93"/>
      <c r="Z1151" s="93"/>
      <c r="AA1151" s="93"/>
      <c r="AB1151" s="93"/>
      <c r="AC1151" s="93"/>
      <c r="AD1151" s="93"/>
      <c r="AE1151" s="93"/>
      <c r="AF1151" s="93"/>
      <c r="AG1151" s="93"/>
      <c r="AH1151" s="93"/>
      <c r="AI1151" s="93"/>
      <c r="AJ1151" s="93"/>
      <c r="AK1151" s="93"/>
      <c r="AL1151" s="93"/>
      <c r="AM1151" s="93"/>
      <c r="AN1151" s="93"/>
      <c r="AO1151" s="93"/>
      <c r="AP1151" s="93"/>
      <c r="AQ1151" s="93"/>
      <c r="AR1151" s="93"/>
      <c r="AS1151" s="93"/>
      <c r="AT1151" s="93"/>
      <c r="AU1151" s="93"/>
      <c r="AV1151" s="93"/>
      <c r="AW1151" s="93"/>
      <c r="AX1151" s="93"/>
      <c r="AY1151" s="93"/>
      <c r="AZ1151" s="93"/>
      <c r="BA1151" s="93"/>
      <c r="BB1151" s="93"/>
      <c r="BC1151" s="93"/>
      <c r="BD1151" s="93"/>
      <c r="BE1151" s="93"/>
      <c r="BF1151" s="93"/>
      <c r="BG1151" s="93"/>
      <c r="BH1151" s="93"/>
      <c r="BI1151" s="93"/>
      <c r="BJ1151" s="93"/>
      <c r="BK1151" s="93"/>
      <c r="BL1151" s="93"/>
      <c r="BM1151" s="93"/>
      <c r="BN1151" s="93"/>
      <c r="BO1151" s="93"/>
      <c r="BP1151" s="93"/>
      <c r="BQ1151" s="93"/>
      <c r="BR1151" s="93"/>
      <c r="BS1151" s="93"/>
      <c r="BT1151" s="93"/>
      <c r="BU1151" s="93"/>
      <c r="BV1151" s="93"/>
      <c r="BW1151" s="93"/>
      <c r="BX1151" s="93"/>
      <c r="BY1151" s="93"/>
      <c r="BZ1151" s="93"/>
    </row>
    <row r="1152">
      <c r="B1152" t="s">
        <v>4044</v>
      </c>
      <c r="C1152" s="89" t="s">
        <v>4045</v>
      </c>
      <c r="D1152" s="90" t="s">
        <v>2090</v>
      </c>
      <c r="E1152" s="91">
        <v>2015.0</v>
      </c>
      <c r="F1152" s="104">
        <v>1.0</v>
      </c>
      <c r="G1152" s="93"/>
      <c r="H1152" s="93"/>
      <c r="I1152" s="93"/>
      <c r="J1152" s="93"/>
      <c r="K1152" s="93"/>
      <c r="L1152" s="93"/>
      <c r="M1152" s="93"/>
      <c r="N1152" s="93"/>
      <c r="O1152" s="93"/>
      <c r="P1152" s="93"/>
      <c r="Q1152" s="93"/>
      <c r="R1152" s="93"/>
      <c r="S1152" s="93"/>
      <c r="T1152" s="93"/>
      <c r="U1152" s="93"/>
      <c r="V1152" s="93"/>
      <c r="W1152" s="93"/>
      <c r="X1152" s="93"/>
      <c r="Y1152" s="93"/>
      <c r="Z1152" s="93"/>
      <c r="AA1152" s="93"/>
      <c r="AB1152" s="93"/>
      <c r="AC1152" s="93"/>
      <c r="AD1152" s="93"/>
      <c r="AE1152" s="93"/>
      <c r="AF1152" s="93"/>
      <c r="AG1152" s="93"/>
      <c r="AH1152" s="93"/>
      <c r="AI1152" s="93"/>
      <c r="AJ1152" s="93"/>
      <c r="AK1152" s="93"/>
      <c r="AL1152" s="93"/>
      <c r="AM1152" s="93"/>
      <c r="AN1152" s="93"/>
      <c r="AO1152" s="93"/>
      <c r="AP1152" s="93"/>
      <c r="AQ1152" s="93"/>
      <c r="AR1152" s="93"/>
      <c r="AS1152" s="93"/>
      <c r="AT1152" s="93"/>
      <c r="AU1152" s="93"/>
      <c r="AV1152" s="93"/>
      <c r="AW1152" s="93"/>
      <c r="AX1152" s="93"/>
      <c r="AY1152" s="93"/>
      <c r="AZ1152" s="93"/>
      <c r="BA1152" s="93"/>
      <c r="BB1152" s="93"/>
      <c r="BC1152" s="93"/>
      <c r="BD1152" s="93"/>
      <c r="BE1152" s="93"/>
      <c r="BF1152" s="93"/>
      <c r="BG1152" s="93"/>
      <c r="BH1152" s="93"/>
      <c r="BI1152" s="93"/>
      <c r="BJ1152" s="93"/>
      <c r="BK1152" s="93"/>
      <c r="BL1152" s="93"/>
      <c r="BM1152" s="93"/>
      <c r="BN1152" s="93"/>
      <c r="BO1152" s="93"/>
      <c r="BP1152" s="93"/>
      <c r="BQ1152" s="93"/>
      <c r="BR1152" s="93"/>
      <c r="BS1152" s="93"/>
      <c r="BT1152" s="93"/>
      <c r="BU1152" s="93"/>
      <c r="BV1152" s="93"/>
      <c r="BW1152" s="93"/>
      <c r="BX1152" s="93"/>
      <c r="BY1152" s="93"/>
      <c r="BZ1152" s="93"/>
    </row>
    <row r="1153">
      <c r="B1153" t="s">
        <v>4046</v>
      </c>
      <c r="C1153" s="89" t="s">
        <v>4047</v>
      </c>
      <c r="D1153" s="90" t="s">
        <v>3820</v>
      </c>
      <c r="E1153" s="91">
        <v>2018.0</v>
      </c>
      <c r="F1153" s="104">
        <v>1.0</v>
      </c>
      <c r="G1153" s="93"/>
      <c r="H1153" s="93"/>
      <c r="I1153" s="93"/>
      <c r="J1153" s="93"/>
      <c r="K1153" s="93"/>
      <c r="L1153" s="93"/>
      <c r="M1153" s="93"/>
      <c r="N1153" s="93"/>
      <c r="O1153" s="93"/>
      <c r="P1153" s="93"/>
      <c r="Q1153" s="93"/>
      <c r="R1153" s="93"/>
      <c r="S1153" s="93"/>
      <c r="T1153" s="93"/>
      <c r="U1153" s="93"/>
      <c r="V1153" s="93"/>
      <c r="W1153" s="93"/>
      <c r="X1153" s="93"/>
      <c r="Y1153" s="93"/>
      <c r="Z1153" s="93"/>
      <c r="AA1153" s="93"/>
      <c r="AB1153" s="93"/>
      <c r="AC1153" s="93"/>
      <c r="AD1153" s="93"/>
      <c r="AE1153" s="93"/>
      <c r="AF1153" s="93"/>
      <c r="AG1153" s="93"/>
      <c r="AH1153" s="93"/>
      <c r="AI1153" s="93"/>
      <c r="AJ1153" s="93"/>
      <c r="AK1153" s="93"/>
      <c r="AL1153" s="93"/>
      <c r="AM1153" s="93"/>
      <c r="AN1153" s="93"/>
      <c r="AO1153" s="93"/>
      <c r="AP1153" s="93"/>
      <c r="AQ1153" s="93"/>
      <c r="AR1153" s="93"/>
      <c r="AS1153" s="93"/>
      <c r="AT1153" s="93"/>
      <c r="AU1153" s="93"/>
      <c r="AV1153" s="93"/>
      <c r="AW1153" s="93"/>
      <c r="AX1153" s="93"/>
      <c r="AY1153" s="93"/>
      <c r="AZ1153" s="93"/>
      <c r="BA1153" s="93"/>
      <c r="BB1153" s="93"/>
      <c r="BC1153" s="93"/>
      <c r="BD1153" s="93"/>
      <c r="BE1153" s="93"/>
      <c r="BF1153" s="93"/>
      <c r="BG1153" s="93"/>
      <c r="BH1153" s="93"/>
      <c r="BI1153" s="93"/>
      <c r="BJ1153" s="93"/>
      <c r="BK1153" s="93"/>
      <c r="BL1153" s="93"/>
      <c r="BM1153" s="93"/>
      <c r="BN1153" s="93"/>
      <c r="BO1153" s="93"/>
      <c r="BP1153" s="93"/>
      <c r="BQ1153" s="93"/>
      <c r="BR1153" s="93"/>
      <c r="BS1153" s="93"/>
      <c r="BT1153" s="93"/>
      <c r="BU1153" s="93"/>
      <c r="BV1153" s="93"/>
      <c r="BW1153" s="93"/>
      <c r="BX1153" s="93"/>
      <c r="BY1153" s="93"/>
      <c r="BZ1153" s="93"/>
    </row>
    <row r="1154">
      <c r="B1154" t="s">
        <v>4048</v>
      </c>
      <c r="C1154" s="89" t="s">
        <v>4049</v>
      </c>
      <c r="D1154" s="90" t="s">
        <v>2795</v>
      </c>
      <c r="E1154" s="91">
        <v>2020.0</v>
      </c>
      <c r="F1154" s="104">
        <v>1.0</v>
      </c>
      <c r="G1154" s="93"/>
      <c r="H1154" s="93"/>
      <c r="I1154" s="93"/>
      <c r="J1154" s="93"/>
      <c r="K1154" s="93"/>
      <c r="L1154" s="93"/>
      <c r="M1154" s="93"/>
      <c r="N1154" s="93"/>
      <c r="O1154" s="93"/>
      <c r="P1154" s="93"/>
      <c r="Q1154" s="93"/>
      <c r="R1154" s="93"/>
      <c r="S1154" s="93"/>
      <c r="T1154" s="93"/>
      <c r="U1154" s="93"/>
      <c r="V1154" s="93"/>
      <c r="W1154" s="93"/>
      <c r="X1154" s="93"/>
      <c r="Y1154" s="93"/>
      <c r="Z1154" s="93"/>
      <c r="AA1154" s="93"/>
      <c r="AB1154" s="93"/>
      <c r="AC1154" s="93"/>
      <c r="AD1154" s="93"/>
      <c r="AE1154" s="93"/>
      <c r="AF1154" s="93"/>
      <c r="AG1154" s="93"/>
      <c r="AH1154" s="93"/>
      <c r="AI1154" s="93"/>
      <c r="AJ1154" s="93"/>
      <c r="AK1154" s="93"/>
      <c r="AL1154" s="93"/>
      <c r="AM1154" s="93"/>
      <c r="AN1154" s="93"/>
      <c r="AO1154" s="93"/>
      <c r="AP1154" s="93"/>
      <c r="AQ1154" s="93"/>
      <c r="AR1154" s="93"/>
      <c r="AS1154" s="93"/>
      <c r="AT1154" s="93"/>
      <c r="AU1154" s="93"/>
      <c r="AV1154" s="93"/>
      <c r="AW1154" s="93"/>
      <c r="AX1154" s="93"/>
      <c r="AY1154" s="93"/>
      <c r="AZ1154" s="93"/>
      <c r="BA1154" s="93"/>
      <c r="BB1154" s="93"/>
      <c r="BC1154" s="93"/>
      <c r="BD1154" s="93"/>
      <c r="BE1154" s="93"/>
      <c r="BF1154" s="93"/>
      <c r="BG1154" s="93"/>
      <c r="BH1154" s="93"/>
      <c r="BI1154" s="93"/>
      <c r="BJ1154" s="93"/>
      <c r="BK1154" s="93"/>
      <c r="BL1154" s="93"/>
      <c r="BM1154" s="93"/>
      <c r="BN1154" s="93"/>
      <c r="BO1154" s="93"/>
      <c r="BP1154" s="93"/>
      <c r="BQ1154" s="93"/>
      <c r="BR1154" s="93"/>
      <c r="BS1154" s="93"/>
      <c r="BT1154" s="93"/>
      <c r="BU1154" s="93"/>
      <c r="BV1154" s="93"/>
      <c r="BW1154" s="93"/>
      <c r="BX1154" s="93"/>
      <c r="BY1154" s="93"/>
      <c r="BZ1154" s="93"/>
    </row>
    <row r="1155">
      <c r="A1155" t="s">
        <v>1340</v>
      </c>
      <c r="B1155" t="s">
        <v>4050</v>
      </c>
      <c r="C1155" s="89" t="s">
        <v>4051</v>
      </c>
      <c r="D1155" s="90" t="s">
        <v>3555</v>
      </c>
      <c r="E1155" s="91">
        <v>2018.0</v>
      </c>
      <c r="F1155" s="104">
        <v>1.0</v>
      </c>
      <c r="G1155" s="93"/>
      <c r="H1155" s="93"/>
      <c r="I1155" s="93"/>
      <c r="J1155" s="93"/>
      <c r="K1155" s="93"/>
      <c r="L1155" s="93"/>
      <c r="M1155" s="93"/>
      <c r="N1155" s="93"/>
      <c r="O1155" s="93"/>
      <c r="P1155" s="93"/>
      <c r="Q1155" s="93"/>
      <c r="R1155" s="93"/>
      <c r="S1155" s="93"/>
      <c r="T1155" s="93"/>
      <c r="U1155" s="93"/>
      <c r="V1155" s="93"/>
      <c r="W1155" s="93"/>
      <c r="X1155" s="93"/>
      <c r="Y1155" s="93"/>
      <c r="Z1155" s="93"/>
      <c r="AA1155" s="93"/>
      <c r="AB1155" s="93"/>
      <c r="AC1155" s="93"/>
      <c r="AD1155" s="93"/>
      <c r="AE1155" s="93"/>
      <c r="AF1155" s="93"/>
      <c r="AG1155" s="93"/>
      <c r="AH1155" s="93"/>
      <c r="AI1155" s="93"/>
      <c r="AJ1155" s="93"/>
      <c r="AK1155" s="93"/>
      <c r="AL1155" s="93"/>
      <c r="AM1155" s="93"/>
      <c r="AN1155" s="93"/>
      <c r="AO1155" s="93"/>
      <c r="AP1155" s="93"/>
      <c r="AQ1155" s="93"/>
      <c r="AR1155" s="93"/>
      <c r="AS1155" s="93"/>
      <c r="AT1155" s="93"/>
      <c r="AU1155" s="93"/>
      <c r="AV1155" s="93"/>
      <c r="AW1155" s="93"/>
      <c r="AX1155" s="93"/>
      <c r="AY1155" s="93"/>
      <c r="AZ1155" s="93"/>
      <c r="BA1155" s="93"/>
      <c r="BB1155" s="93"/>
      <c r="BC1155" s="93"/>
      <c r="BD1155" s="93"/>
      <c r="BE1155" s="93"/>
      <c r="BF1155" s="93"/>
      <c r="BG1155" s="93"/>
      <c r="BH1155" s="93"/>
      <c r="BI1155" s="93"/>
      <c r="BJ1155" s="93"/>
      <c r="BK1155" s="93"/>
      <c r="BL1155" s="93"/>
      <c r="BM1155" s="93"/>
      <c r="BN1155" s="93"/>
      <c r="BO1155" s="93"/>
      <c r="BP1155" s="93"/>
      <c r="BQ1155" s="93"/>
      <c r="BR1155" s="93"/>
      <c r="BS1155" s="93"/>
      <c r="BT1155" s="93"/>
      <c r="BU1155" s="93"/>
      <c r="BV1155" s="93"/>
      <c r="BW1155" s="93"/>
      <c r="BX1155" s="93"/>
      <c r="BY1155" s="93"/>
      <c r="BZ1155" s="93"/>
    </row>
    <row r="1156">
      <c r="B1156" t="s">
        <v>4052</v>
      </c>
      <c r="C1156" s="89" t="s">
        <v>4053</v>
      </c>
      <c r="D1156" s="90" t="s">
        <v>3836</v>
      </c>
      <c r="E1156" s="91">
        <v>2018.0</v>
      </c>
      <c r="F1156" s="104">
        <v>1.0</v>
      </c>
      <c r="G1156" s="93"/>
      <c r="H1156" s="93"/>
      <c r="I1156" s="93"/>
      <c r="J1156" s="93"/>
      <c r="K1156" s="93"/>
      <c r="L1156" s="93"/>
      <c r="M1156" s="93"/>
      <c r="N1156" s="93"/>
      <c r="O1156" s="93"/>
      <c r="P1156" s="93"/>
      <c r="Q1156" s="93"/>
      <c r="R1156" s="93"/>
      <c r="S1156" s="93"/>
      <c r="T1156" s="93"/>
      <c r="U1156" s="93"/>
      <c r="V1156" s="93"/>
      <c r="W1156" s="93"/>
      <c r="X1156" s="93"/>
      <c r="Y1156" s="93"/>
      <c r="Z1156" s="93"/>
      <c r="AA1156" s="93"/>
      <c r="AB1156" s="93"/>
      <c r="AC1156" s="93"/>
      <c r="AD1156" s="93"/>
      <c r="AE1156" s="93"/>
      <c r="AF1156" s="93"/>
      <c r="AG1156" s="93"/>
      <c r="AH1156" s="93"/>
      <c r="AI1156" s="93"/>
      <c r="AJ1156" s="93"/>
      <c r="AK1156" s="93"/>
      <c r="AL1156" s="93"/>
      <c r="AM1156" s="93"/>
      <c r="AN1156" s="93"/>
      <c r="AO1156" s="93"/>
      <c r="AP1156" s="93"/>
      <c r="AQ1156" s="93"/>
      <c r="AR1156" s="93"/>
      <c r="AS1156" s="93"/>
      <c r="AT1156" s="93"/>
      <c r="AU1156" s="93"/>
      <c r="AV1156" s="93"/>
      <c r="AW1156" s="93"/>
      <c r="AX1156" s="93"/>
      <c r="AY1156" s="93"/>
      <c r="AZ1156" s="93"/>
      <c r="BA1156" s="93"/>
      <c r="BB1156" s="93"/>
      <c r="BC1156" s="93"/>
      <c r="BD1156" s="93"/>
      <c r="BE1156" s="93"/>
      <c r="BF1156" s="93"/>
      <c r="BG1156" s="93"/>
      <c r="BH1156" s="93"/>
      <c r="BI1156" s="93"/>
      <c r="BJ1156" s="93"/>
      <c r="BK1156" s="93"/>
      <c r="BL1156" s="93"/>
      <c r="BM1156" s="93"/>
      <c r="BN1156" s="93"/>
      <c r="BO1156" s="93"/>
      <c r="BP1156" s="93"/>
      <c r="BQ1156" s="93"/>
      <c r="BR1156" s="93"/>
      <c r="BS1156" s="93"/>
      <c r="BT1156" s="93"/>
      <c r="BU1156" s="93"/>
      <c r="BV1156" s="93"/>
      <c r="BW1156" s="93"/>
      <c r="BX1156" s="93"/>
      <c r="BY1156" s="93"/>
      <c r="BZ1156" s="93"/>
    </row>
    <row r="1157">
      <c r="B1157" t="s">
        <v>4054</v>
      </c>
      <c r="C1157" s="89" t="s">
        <v>4055</v>
      </c>
      <c r="D1157" s="90" t="s">
        <v>2885</v>
      </c>
      <c r="E1157" s="91">
        <v>2019.0</v>
      </c>
      <c r="F1157" s="104">
        <v>1.0</v>
      </c>
      <c r="G1157" s="93"/>
      <c r="H1157" s="93"/>
      <c r="I1157" s="93"/>
      <c r="J1157" s="93"/>
      <c r="K1157" s="93"/>
      <c r="L1157" s="93"/>
      <c r="M1157" s="93"/>
      <c r="N1157" s="93"/>
      <c r="O1157" s="93"/>
      <c r="P1157" s="93"/>
      <c r="Q1157" s="93"/>
      <c r="R1157" s="93"/>
      <c r="S1157" s="93"/>
      <c r="T1157" s="93"/>
      <c r="U1157" s="93"/>
      <c r="V1157" s="93"/>
      <c r="W1157" s="93"/>
      <c r="X1157" s="93"/>
      <c r="Y1157" s="93"/>
      <c r="Z1157" s="93"/>
      <c r="AA1157" s="93"/>
      <c r="AB1157" s="93"/>
      <c r="AC1157" s="93"/>
      <c r="AD1157" s="93"/>
      <c r="AE1157" s="93"/>
      <c r="AF1157" s="93"/>
      <c r="AG1157" s="93"/>
      <c r="AH1157" s="93"/>
      <c r="AI1157" s="93"/>
      <c r="AJ1157" s="93"/>
      <c r="AK1157" s="93"/>
      <c r="AL1157" s="93"/>
      <c r="AM1157" s="93"/>
      <c r="AN1157" s="93"/>
      <c r="AO1157" s="93"/>
      <c r="AP1157" s="93"/>
      <c r="AQ1157" s="93"/>
      <c r="AR1157" s="93"/>
      <c r="AS1157" s="93"/>
      <c r="AT1157" s="93"/>
      <c r="AU1157" s="93"/>
      <c r="AV1157" s="93"/>
      <c r="AW1157" s="93"/>
      <c r="AX1157" s="93"/>
      <c r="AY1157" s="93"/>
      <c r="AZ1157" s="93"/>
      <c r="BA1157" s="93"/>
      <c r="BB1157" s="93"/>
      <c r="BC1157" s="93"/>
      <c r="BD1157" s="93"/>
      <c r="BE1157" s="93"/>
      <c r="BF1157" s="93"/>
      <c r="BG1157" s="93"/>
      <c r="BH1157" s="93"/>
      <c r="BI1157" s="93"/>
      <c r="BJ1157" s="93"/>
      <c r="BK1157" s="93"/>
      <c r="BL1157" s="93"/>
      <c r="BM1157" s="93"/>
      <c r="BN1157" s="93"/>
      <c r="BO1157" s="93"/>
      <c r="BP1157" s="93"/>
      <c r="BQ1157" s="93"/>
      <c r="BR1157" s="93"/>
      <c r="BS1157" s="93"/>
      <c r="BT1157" s="93"/>
      <c r="BU1157" s="93"/>
      <c r="BV1157" s="93"/>
      <c r="BW1157" s="93"/>
      <c r="BX1157" s="93"/>
      <c r="BY1157" s="93"/>
      <c r="BZ1157" s="93"/>
    </row>
    <row r="1158">
      <c r="B1158" t="s">
        <v>4056</v>
      </c>
      <c r="C1158" s="89" t="s">
        <v>4057</v>
      </c>
      <c r="D1158" s="90" t="s">
        <v>4002</v>
      </c>
      <c r="E1158" s="91">
        <v>2019.0</v>
      </c>
      <c r="F1158" s="104">
        <v>1.0</v>
      </c>
      <c r="G1158" s="93"/>
      <c r="H1158" s="93"/>
      <c r="I1158" s="93"/>
      <c r="J1158" s="93"/>
      <c r="K1158" s="93"/>
      <c r="L1158" s="93"/>
      <c r="M1158" s="93"/>
      <c r="N1158" s="93"/>
      <c r="O1158" s="93"/>
      <c r="P1158" s="93"/>
      <c r="Q1158" s="93"/>
      <c r="R1158" s="93"/>
      <c r="S1158" s="93"/>
      <c r="T1158" s="93"/>
      <c r="U1158" s="93"/>
      <c r="V1158" s="93"/>
      <c r="W1158" s="93"/>
      <c r="X1158" s="93"/>
      <c r="Y1158" s="93"/>
      <c r="Z1158" s="93"/>
      <c r="AA1158" s="93"/>
      <c r="AB1158" s="93"/>
      <c r="AC1158" s="93"/>
      <c r="AD1158" s="93"/>
      <c r="AE1158" s="93"/>
      <c r="AF1158" s="93"/>
      <c r="AG1158" s="93"/>
      <c r="AH1158" s="93"/>
      <c r="AI1158" s="93"/>
      <c r="AJ1158" s="93"/>
      <c r="AK1158" s="93"/>
      <c r="AL1158" s="93"/>
      <c r="AM1158" s="93"/>
      <c r="AN1158" s="93"/>
      <c r="AO1158" s="93"/>
      <c r="AP1158" s="93"/>
      <c r="AQ1158" s="93"/>
      <c r="AR1158" s="93"/>
      <c r="AS1158" s="93"/>
      <c r="AT1158" s="93"/>
      <c r="AU1158" s="93"/>
      <c r="AV1158" s="93"/>
      <c r="AW1158" s="93"/>
      <c r="AX1158" s="93"/>
      <c r="AY1158" s="93"/>
      <c r="AZ1158" s="93"/>
      <c r="BA1158" s="93"/>
      <c r="BB1158" s="93"/>
      <c r="BC1158" s="93"/>
      <c r="BD1158" s="93"/>
      <c r="BE1158" s="93"/>
      <c r="BF1158" s="93"/>
      <c r="BG1158" s="93"/>
      <c r="BH1158" s="93"/>
      <c r="BI1158" s="93"/>
      <c r="BJ1158" s="93"/>
      <c r="BK1158" s="93"/>
      <c r="BL1158" s="93"/>
      <c r="BM1158" s="93"/>
      <c r="BN1158" s="93"/>
      <c r="BO1158" s="93"/>
      <c r="BP1158" s="93"/>
      <c r="BQ1158" s="93"/>
      <c r="BR1158" s="93"/>
      <c r="BS1158" s="93"/>
      <c r="BT1158" s="93"/>
      <c r="BU1158" s="93"/>
      <c r="BV1158" s="93"/>
      <c r="BW1158" s="93"/>
      <c r="BX1158" s="93"/>
      <c r="BY1158" s="93"/>
      <c r="BZ1158" s="93"/>
    </row>
    <row r="1159">
      <c r="B1159" t="s">
        <v>4058</v>
      </c>
      <c r="C1159" s="89" t="s">
        <v>4059</v>
      </c>
      <c r="D1159" s="90" t="s">
        <v>4060</v>
      </c>
      <c r="E1159" s="91">
        <v>2018.0</v>
      </c>
      <c r="F1159" s="104">
        <v>1.0</v>
      </c>
      <c r="G1159" s="93"/>
      <c r="H1159" s="93"/>
      <c r="I1159" s="93"/>
      <c r="J1159" s="93"/>
      <c r="K1159" s="93"/>
      <c r="L1159" s="93"/>
      <c r="M1159" s="93"/>
      <c r="N1159" s="93"/>
      <c r="O1159" s="93"/>
      <c r="P1159" s="93"/>
      <c r="Q1159" s="93"/>
      <c r="R1159" s="93"/>
      <c r="S1159" s="93"/>
      <c r="T1159" s="93"/>
      <c r="U1159" s="93"/>
      <c r="V1159" s="93"/>
      <c r="W1159" s="93"/>
      <c r="X1159" s="93"/>
      <c r="Y1159" s="93"/>
      <c r="Z1159" s="93"/>
      <c r="AA1159" s="93"/>
      <c r="AB1159" s="93"/>
      <c r="AC1159" s="93"/>
      <c r="AD1159" s="93"/>
      <c r="AE1159" s="93"/>
      <c r="AF1159" s="93"/>
      <c r="AG1159" s="93"/>
      <c r="AH1159" s="93"/>
      <c r="AI1159" s="93"/>
      <c r="AJ1159" s="93"/>
      <c r="AK1159" s="93"/>
      <c r="AL1159" s="93"/>
      <c r="AM1159" s="93"/>
      <c r="AN1159" s="93"/>
      <c r="AO1159" s="93"/>
      <c r="AP1159" s="93"/>
      <c r="AQ1159" s="93"/>
      <c r="AR1159" s="93"/>
      <c r="AS1159" s="93"/>
      <c r="AT1159" s="93"/>
      <c r="AU1159" s="93"/>
      <c r="AV1159" s="93"/>
      <c r="AW1159" s="93"/>
      <c r="AX1159" s="93"/>
      <c r="AY1159" s="93"/>
      <c r="AZ1159" s="93"/>
      <c r="BA1159" s="93"/>
      <c r="BB1159" s="93"/>
      <c r="BC1159" s="93"/>
      <c r="BD1159" s="93"/>
      <c r="BE1159" s="93"/>
      <c r="BF1159" s="93"/>
      <c r="BG1159" s="93"/>
      <c r="BH1159" s="93"/>
      <c r="BI1159" s="93"/>
      <c r="BJ1159" s="93"/>
      <c r="BK1159" s="93"/>
      <c r="BL1159" s="93"/>
      <c r="BM1159" s="93"/>
      <c r="BN1159" s="93"/>
      <c r="BO1159" s="93"/>
      <c r="BP1159" s="93"/>
      <c r="BQ1159" s="93"/>
      <c r="BR1159" s="93"/>
      <c r="BS1159" s="93"/>
      <c r="BT1159" s="93"/>
      <c r="BU1159" s="93"/>
      <c r="BV1159" s="93"/>
      <c r="BW1159" s="93"/>
      <c r="BX1159" s="93"/>
      <c r="BY1159" s="93"/>
      <c r="BZ1159" s="93"/>
    </row>
    <row r="1160">
      <c r="B1160" t="s">
        <v>4061</v>
      </c>
      <c r="C1160" s="89" t="s">
        <v>4062</v>
      </c>
      <c r="D1160" s="90" t="s">
        <v>3555</v>
      </c>
      <c r="E1160" s="91">
        <v>2015.0</v>
      </c>
      <c r="F1160" s="104">
        <v>1.0</v>
      </c>
      <c r="G1160" s="93"/>
      <c r="H1160" s="93"/>
      <c r="I1160" s="93"/>
      <c r="J1160" s="93"/>
      <c r="K1160" s="93"/>
      <c r="L1160" s="93"/>
      <c r="M1160" s="93"/>
      <c r="N1160" s="93"/>
      <c r="O1160" s="93"/>
      <c r="P1160" s="93"/>
      <c r="Q1160" s="93"/>
      <c r="R1160" s="93"/>
      <c r="S1160" s="93"/>
      <c r="T1160" s="93"/>
      <c r="U1160" s="93"/>
      <c r="V1160" s="93"/>
      <c r="W1160" s="93"/>
      <c r="X1160" s="93"/>
      <c r="Y1160" s="93"/>
      <c r="Z1160" s="93"/>
      <c r="AA1160" s="93"/>
      <c r="AB1160" s="93"/>
      <c r="AC1160" s="93"/>
      <c r="AD1160" s="93"/>
      <c r="AE1160" s="93"/>
      <c r="AF1160" s="93"/>
      <c r="AG1160" s="93"/>
      <c r="AH1160" s="93"/>
      <c r="AI1160" s="93"/>
      <c r="AJ1160" s="93"/>
      <c r="AK1160" s="93"/>
      <c r="AL1160" s="93"/>
      <c r="AM1160" s="93"/>
      <c r="AN1160" s="93"/>
      <c r="AO1160" s="93"/>
      <c r="AP1160" s="93"/>
      <c r="AQ1160" s="93"/>
      <c r="AR1160" s="93"/>
      <c r="AS1160" s="93"/>
      <c r="AT1160" s="93"/>
      <c r="AU1160" s="93"/>
      <c r="AV1160" s="93"/>
      <c r="AW1160" s="93"/>
      <c r="AX1160" s="93"/>
      <c r="AY1160" s="93"/>
      <c r="AZ1160" s="93"/>
      <c r="BA1160" s="93"/>
      <c r="BB1160" s="93"/>
      <c r="BC1160" s="93"/>
      <c r="BD1160" s="93"/>
      <c r="BE1160" s="93"/>
      <c r="BF1160" s="93"/>
      <c r="BG1160" s="93"/>
      <c r="BH1160" s="93"/>
      <c r="BI1160" s="93"/>
      <c r="BJ1160" s="93"/>
      <c r="BK1160" s="93"/>
      <c r="BL1160" s="93"/>
      <c r="BM1160" s="93"/>
      <c r="BN1160" s="93"/>
      <c r="BO1160" s="93"/>
      <c r="BP1160" s="93"/>
      <c r="BQ1160" s="93"/>
      <c r="BR1160" s="93"/>
      <c r="BS1160" s="93"/>
      <c r="BT1160" s="93"/>
      <c r="BU1160" s="93"/>
      <c r="BV1160" s="93"/>
      <c r="BW1160" s="93"/>
      <c r="BX1160" s="93"/>
      <c r="BY1160" s="93"/>
      <c r="BZ1160" s="93"/>
    </row>
    <row r="1161">
      <c r="B1161" t="s">
        <v>4063</v>
      </c>
      <c r="C1161" s="89" t="s">
        <v>4064</v>
      </c>
      <c r="D1161" s="90" t="s">
        <v>2909</v>
      </c>
      <c r="E1161" s="91">
        <v>2018.0</v>
      </c>
      <c r="F1161" s="104">
        <v>1.0</v>
      </c>
      <c r="G1161" s="93"/>
      <c r="H1161" s="93"/>
      <c r="I1161" s="93"/>
      <c r="J1161" s="93"/>
      <c r="K1161" s="93"/>
      <c r="L1161" s="93"/>
      <c r="M1161" s="93"/>
      <c r="N1161" s="93"/>
      <c r="O1161" s="93"/>
      <c r="P1161" s="93"/>
      <c r="Q1161" s="93"/>
      <c r="R1161" s="93"/>
      <c r="S1161" s="93"/>
      <c r="T1161" s="93"/>
      <c r="U1161" s="93"/>
      <c r="V1161" s="93"/>
      <c r="W1161" s="93"/>
      <c r="X1161" s="93"/>
      <c r="Y1161" s="93"/>
      <c r="Z1161" s="93"/>
      <c r="AA1161" s="93"/>
      <c r="AB1161" s="93"/>
      <c r="AC1161" s="93"/>
      <c r="AD1161" s="93"/>
      <c r="AE1161" s="93"/>
      <c r="AF1161" s="93"/>
      <c r="AG1161" s="93"/>
      <c r="AH1161" s="93"/>
      <c r="AI1161" s="93"/>
      <c r="AJ1161" s="93"/>
      <c r="AK1161" s="93"/>
      <c r="AL1161" s="93"/>
      <c r="AM1161" s="93"/>
      <c r="AN1161" s="93"/>
      <c r="AO1161" s="93"/>
      <c r="AP1161" s="93"/>
      <c r="AQ1161" s="93"/>
      <c r="AR1161" s="93"/>
      <c r="AS1161" s="93"/>
      <c r="AT1161" s="93"/>
      <c r="AU1161" s="93"/>
      <c r="AV1161" s="93"/>
      <c r="AW1161" s="93"/>
      <c r="AX1161" s="93"/>
      <c r="AY1161" s="93"/>
      <c r="AZ1161" s="93"/>
      <c r="BA1161" s="93"/>
      <c r="BB1161" s="93"/>
      <c r="BC1161" s="93"/>
      <c r="BD1161" s="93"/>
      <c r="BE1161" s="93"/>
      <c r="BF1161" s="93"/>
      <c r="BG1161" s="93"/>
      <c r="BH1161" s="93"/>
      <c r="BI1161" s="93"/>
      <c r="BJ1161" s="93"/>
      <c r="BK1161" s="93"/>
      <c r="BL1161" s="93"/>
      <c r="BM1161" s="93"/>
      <c r="BN1161" s="93"/>
      <c r="BO1161" s="93"/>
      <c r="BP1161" s="93"/>
      <c r="BQ1161" s="93"/>
      <c r="BR1161" s="93"/>
      <c r="BS1161" s="93"/>
      <c r="BT1161" s="93"/>
      <c r="BU1161" s="93"/>
      <c r="BV1161" s="93"/>
      <c r="BW1161" s="93"/>
      <c r="BX1161" s="93"/>
      <c r="BY1161" s="93"/>
      <c r="BZ1161" s="93"/>
    </row>
    <row r="1162">
      <c r="B1162" t="s">
        <v>4065</v>
      </c>
      <c r="C1162" s="89" t="s">
        <v>4066</v>
      </c>
      <c r="D1162" s="90" t="s">
        <v>3155</v>
      </c>
      <c r="E1162" s="91">
        <v>2017.0</v>
      </c>
      <c r="F1162" s="104">
        <v>1.0</v>
      </c>
      <c r="G1162" s="93"/>
      <c r="H1162" s="93"/>
      <c r="I1162" s="93"/>
      <c r="J1162" s="93"/>
      <c r="K1162" s="93"/>
      <c r="L1162" s="93"/>
      <c r="M1162" s="93"/>
      <c r="N1162" s="93"/>
      <c r="O1162" s="93"/>
      <c r="P1162" s="93"/>
      <c r="Q1162" s="93"/>
      <c r="R1162" s="93"/>
      <c r="S1162" s="93"/>
      <c r="T1162" s="93"/>
      <c r="U1162" s="93"/>
      <c r="V1162" s="93"/>
      <c r="W1162" s="93"/>
      <c r="X1162" s="93"/>
      <c r="Y1162" s="93"/>
      <c r="Z1162" s="93"/>
      <c r="AA1162" s="93"/>
      <c r="AB1162" s="93"/>
      <c r="AC1162" s="93"/>
      <c r="AD1162" s="93"/>
      <c r="AE1162" s="93"/>
      <c r="AF1162" s="93"/>
      <c r="AG1162" s="93"/>
      <c r="AH1162" s="93"/>
      <c r="AI1162" s="93"/>
      <c r="AJ1162" s="93"/>
      <c r="AK1162" s="93"/>
      <c r="AL1162" s="93"/>
      <c r="AM1162" s="93"/>
      <c r="AN1162" s="93"/>
      <c r="AO1162" s="93"/>
      <c r="AP1162" s="93"/>
      <c r="AQ1162" s="93"/>
      <c r="AR1162" s="93"/>
      <c r="AS1162" s="93"/>
      <c r="AT1162" s="93"/>
      <c r="AU1162" s="93"/>
      <c r="AV1162" s="93"/>
      <c r="AW1162" s="93"/>
      <c r="AX1162" s="93"/>
      <c r="AY1162" s="93"/>
      <c r="AZ1162" s="93"/>
      <c r="BA1162" s="93"/>
      <c r="BB1162" s="93"/>
      <c r="BC1162" s="93"/>
      <c r="BD1162" s="93"/>
      <c r="BE1162" s="93"/>
      <c r="BF1162" s="93"/>
      <c r="BG1162" s="93"/>
      <c r="BH1162" s="93"/>
      <c r="BI1162" s="93"/>
      <c r="BJ1162" s="93"/>
      <c r="BK1162" s="93"/>
      <c r="BL1162" s="93"/>
      <c r="BM1162" s="93"/>
      <c r="BN1162" s="93"/>
      <c r="BO1162" s="93"/>
      <c r="BP1162" s="93"/>
      <c r="BQ1162" s="93"/>
      <c r="BR1162" s="93"/>
      <c r="BS1162" s="93"/>
      <c r="BT1162" s="93"/>
      <c r="BU1162" s="93"/>
      <c r="BV1162" s="93"/>
      <c r="BW1162" s="93"/>
      <c r="BX1162" s="93"/>
      <c r="BY1162" s="93"/>
      <c r="BZ1162" s="93"/>
    </row>
    <row r="1163">
      <c r="B1163" t="s">
        <v>4067</v>
      </c>
      <c r="C1163" s="89" t="s">
        <v>4068</v>
      </c>
      <c r="D1163" s="90" t="s">
        <v>2954</v>
      </c>
      <c r="E1163" s="91">
        <v>2019.0</v>
      </c>
      <c r="F1163" s="104">
        <v>1.0</v>
      </c>
      <c r="G1163" s="93"/>
      <c r="H1163" s="93"/>
      <c r="I1163" s="93"/>
      <c r="J1163" s="93"/>
      <c r="K1163" s="93"/>
      <c r="L1163" s="93"/>
      <c r="M1163" s="93"/>
      <c r="N1163" s="93"/>
      <c r="O1163" s="93"/>
      <c r="P1163" s="93"/>
      <c r="Q1163" s="93"/>
      <c r="R1163" s="93"/>
      <c r="S1163" s="93"/>
      <c r="T1163" s="93"/>
      <c r="U1163" s="93"/>
      <c r="V1163" s="93"/>
      <c r="W1163" s="93"/>
      <c r="X1163" s="93"/>
      <c r="Y1163" s="93"/>
      <c r="Z1163" s="93"/>
      <c r="AA1163" s="93"/>
      <c r="AB1163" s="93"/>
      <c r="AC1163" s="93"/>
      <c r="AD1163" s="93"/>
      <c r="AE1163" s="93"/>
      <c r="AF1163" s="93"/>
      <c r="AG1163" s="93"/>
      <c r="AH1163" s="93"/>
      <c r="AI1163" s="93"/>
      <c r="AJ1163" s="93"/>
      <c r="AK1163" s="93"/>
      <c r="AL1163" s="93"/>
      <c r="AM1163" s="93"/>
      <c r="AN1163" s="93"/>
      <c r="AO1163" s="93"/>
      <c r="AP1163" s="93"/>
      <c r="AQ1163" s="93"/>
      <c r="AR1163" s="93"/>
      <c r="AS1163" s="93"/>
      <c r="AT1163" s="93"/>
      <c r="AU1163" s="93"/>
      <c r="AV1163" s="93"/>
      <c r="AW1163" s="93"/>
      <c r="AX1163" s="93"/>
      <c r="AY1163" s="93"/>
      <c r="AZ1163" s="93"/>
      <c r="BA1163" s="93"/>
      <c r="BB1163" s="93"/>
      <c r="BC1163" s="93"/>
      <c r="BD1163" s="93"/>
      <c r="BE1163" s="93"/>
      <c r="BF1163" s="93"/>
      <c r="BG1163" s="93"/>
      <c r="BH1163" s="93"/>
      <c r="BI1163" s="93"/>
      <c r="BJ1163" s="93"/>
      <c r="BK1163" s="93"/>
      <c r="BL1163" s="93"/>
      <c r="BM1163" s="93"/>
      <c r="BN1163" s="93"/>
      <c r="BO1163" s="93"/>
      <c r="BP1163" s="93"/>
      <c r="BQ1163" s="93"/>
      <c r="BR1163" s="93"/>
      <c r="BS1163" s="93"/>
      <c r="BT1163" s="93"/>
      <c r="BU1163" s="93"/>
      <c r="BV1163" s="93"/>
      <c r="BW1163" s="93"/>
      <c r="BX1163" s="93"/>
      <c r="BY1163" s="93"/>
      <c r="BZ1163" s="93"/>
    </row>
    <row r="1164">
      <c r="B1164" t="s">
        <v>4069</v>
      </c>
      <c r="C1164" s="89" t="s">
        <v>4070</v>
      </c>
      <c r="D1164" s="90" t="s">
        <v>2882</v>
      </c>
      <c r="E1164" s="91">
        <v>2019.0</v>
      </c>
      <c r="F1164" s="104">
        <v>1.0</v>
      </c>
      <c r="G1164" s="93"/>
      <c r="H1164" s="93"/>
      <c r="I1164" s="93"/>
      <c r="J1164" s="93"/>
      <c r="K1164" s="93"/>
      <c r="L1164" s="93"/>
      <c r="M1164" s="93"/>
      <c r="N1164" s="93"/>
      <c r="O1164" s="93"/>
      <c r="P1164" s="93"/>
      <c r="Q1164" s="93"/>
      <c r="R1164" s="93"/>
      <c r="S1164" s="93"/>
      <c r="T1164" s="93"/>
      <c r="U1164" s="93"/>
      <c r="V1164" s="93"/>
      <c r="W1164" s="93"/>
      <c r="X1164" s="93"/>
      <c r="Y1164" s="93"/>
      <c r="Z1164" s="93"/>
      <c r="AA1164" s="93"/>
      <c r="AB1164" s="93"/>
      <c r="AC1164" s="93"/>
      <c r="AD1164" s="93"/>
      <c r="AE1164" s="93"/>
      <c r="AF1164" s="93"/>
      <c r="AG1164" s="93"/>
      <c r="AH1164" s="93"/>
      <c r="AI1164" s="93"/>
      <c r="AJ1164" s="93"/>
      <c r="AK1164" s="93"/>
      <c r="AL1164" s="93"/>
      <c r="AM1164" s="93"/>
      <c r="AN1164" s="93"/>
      <c r="AO1164" s="93"/>
      <c r="AP1164" s="93"/>
      <c r="AQ1164" s="93"/>
      <c r="AR1164" s="93"/>
      <c r="AS1164" s="93"/>
      <c r="AT1164" s="93"/>
      <c r="AU1164" s="93"/>
      <c r="AV1164" s="93"/>
      <c r="AW1164" s="93"/>
      <c r="AX1164" s="93"/>
      <c r="AY1164" s="93"/>
      <c r="AZ1164" s="93"/>
      <c r="BA1164" s="93"/>
      <c r="BB1164" s="93"/>
      <c r="BC1164" s="93"/>
      <c r="BD1164" s="93"/>
      <c r="BE1164" s="93"/>
      <c r="BF1164" s="93"/>
      <c r="BG1164" s="93"/>
      <c r="BH1164" s="93"/>
      <c r="BI1164" s="93"/>
      <c r="BJ1164" s="93"/>
      <c r="BK1164" s="93"/>
      <c r="BL1164" s="93"/>
      <c r="BM1164" s="93"/>
      <c r="BN1164" s="93"/>
      <c r="BO1164" s="93"/>
      <c r="BP1164" s="93"/>
      <c r="BQ1164" s="93"/>
      <c r="BR1164" s="93"/>
      <c r="BS1164" s="93"/>
      <c r="BT1164" s="93"/>
      <c r="BU1164" s="93"/>
      <c r="BV1164" s="93"/>
      <c r="BW1164" s="93"/>
      <c r="BX1164" s="93"/>
      <c r="BY1164" s="93"/>
      <c r="BZ1164" s="93"/>
    </row>
    <row r="1165">
      <c r="B1165" t="s">
        <v>4071</v>
      </c>
      <c r="C1165" s="89" t="s">
        <v>4072</v>
      </c>
      <c r="D1165" s="90" t="s">
        <v>3229</v>
      </c>
      <c r="E1165" s="91">
        <v>2018.0</v>
      </c>
      <c r="F1165" s="104">
        <v>1.0</v>
      </c>
      <c r="G1165" s="93"/>
      <c r="H1165" s="93"/>
      <c r="I1165" s="93"/>
      <c r="J1165" s="93"/>
      <c r="K1165" s="93"/>
      <c r="L1165" s="93"/>
      <c r="M1165" s="93"/>
      <c r="N1165" s="93"/>
      <c r="O1165" s="93"/>
      <c r="P1165" s="93"/>
      <c r="Q1165" s="93"/>
      <c r="R1165" s="93"/>
      <c r="S1165" s="93"/>
      <c r="T1165" s="93"/>
      <c r="U1165" s="93"/>
      <c r="V1165" s="93"/>
      <c r="W1165" s="93"/>
      <c r="X1165" s="93"/>
      <c r="Y1165" s="93"/>
      <c r="Z1165" s="93"/>
      <c r="AA1165" s="93"/>
      <c r="AB1165" s="93"/>
      <c r="AC1165" s="93"/>
      <c r="AD1165" s="93"/>
      <c r="AE1165" s="93"/>
      <c r="AF1165" s="93"/>
      <c r="AG1165" s="93"/>
      <c r="AH1165" s="93"/>
      <c r="AI1165" s="93"/>
      <c r="AJ1165" s="93"/>
      <c r="AK1165" s="93"/>
      <c r="AL1165" s="93"/>
      <c r="AM1165" s="93"/>
      <c r="AN1165" s="93"/>
      <c r="AO1165" s="93"/>
      <c r="AP1165" s="93"/>
      <c r="AQ1165" s="93"/>
      <c r="AR1165" s="93"/>
      <c r="AS1165" s="93"/>
      <c r="AT1165" s="93"/>
      <c r="AU1165" s="93"/>
      <c r="AV1165" s="93"/>
      <c r="AW1165" s="93"/>
      <c r="AX1165" s="93"/>
      <c r="AY1165" s="93"/>
      <c r="AZ1165" s="93"/>
      <c r="BA1165" s="93"/>
      <c r="BB1165" s="93"/>
      <c r="BC1165" s="93"/>
      <c r="BD1165" s="93"/>
      <c r="BE1165" s="93"/>
      <c r="BF1165" s="93"/>
      <c r="BG1165" s="93"/>
      <c r="BH1165" s="93"/>
      <c r="BI1165" s="93"/>
      <c r="BJ1165" s="93"/>
      <c r="BK1165" s="93"/>
      <c r="BL1165" s="93"/>
      <c r="BM1165" s="93"/>
      <c r="BN1165" s="93"/>
      <c r="BO1165" s="93"/>
      <c r="BP1165" s="93"/>
      <c r="BQ1165" s="93"/>
      <c r="BR1165" s="93"/>
      <c r="BS1165" s="93"/>
      <c r="BT1165" s="93"/>
      <c r="BU1165" s="93"/>
      <c r="BV1165" s="93"/>
      <c r="BW1165" s="93"/>
      <c r="BX1165" s="93"/>
      <c r="BY1165" s="93"/>
      <c r="BZ1165" s="93"/>
    </row>
    <row r="1166">
      <c r="A1166" t="s">
        <v>1354</v>
      </c>
      <c r="B1166" t="s">
        <v>4073</v>
      </c>
      <c r="C1166" s="89" t="s">
        <v>4074</v>
      </c>
      <c r="D1166" s="90" t="s">
        <v>2837</v>
      </c>
      <c r="E1166" s="91">
        <v>2017.0</v>
      </c>
      <c r="F1166" s="104">
        <v>1.0</v>
      </c>
      <c r="G1166" s="93"/>
      <c r="H1166" s="93"/>
      <c r="I1166" s="93"/>
      <c r="J1166" s="93"/>
      <c r="K1166" s="93"/>
      <c r="L1166" s="93"/>
      <c r="M1166" s="93"/>
      <c r="N1166" s="93"/>
      <c r="O1166" s="93"/>
      <c r="P1166" s="93"/>
      <c r="Q1166" s="93"/>
      <c r="R1166" s="93"/>
      <c r="S1166" s="93"/>
      <c r="T1166" s="93"/>
      <c r="U1166" s="93"/>
      <c r="V1166" s="93"/>
      <c r="W1166" s="93"/>
      <c r="X1166" s="93"/>
      <c r="Y1166" s="93"/>
      <c r="Z1166" s="93"/>
      <c r="AA1166" s="93"/>
      <c r="AB1166" s="93"/>
      <c r="AC1166" s="93"/>
      <c r="AD1166" s="93"/>
      <c r="AE1166" s="93"/>
      <c r="AF1166" s="93"/>
      <c r="AG1166" s="93"/>
      <c r="AH1166" s="93"/>
      <c r="AI1166" s="93"/>
      <c r="AJ1166" s="93"/>
      <c r="AK1166" s="93"/>
      <c r="AL1166" s="93"/>
      <c r="AM1166" s="93"/>
      <c r="AN1166" s="93"/>
      <c r="AO1166" s="93"/>
      <c r="AP1166" s="93"/>
      <c r="AQ1166" s="93"/>
      <c r="AR1166" s="93"/>
      <c r="AS1166" s="93"/>
      <c r="AT1166" s="93"/>
      <c r="AU1166" s="93"/>
      <c r="AV1166" s="93"/>
      <c r="AW1166" s="93"/>
      <c r="AX1166" s="93"/>
      <c r="AY1166" s="93"/>
      <c r="AZ1166" s="93"/>
      <c r="BA1166" s="93"/>
      <c r="BB1166" s="93"/>
      <c r="BC1166" s="93"/>
      <c r="BD1166" s="93"/>
      <c r="BE1166" s="93"/>
      <c r="BF1166" s="93"/>
      <c r="BG1166" s="93"/>
      <c r="BH1166" s="93"/>
      <c r="BI1166" s="93"/>
      <c r="BJ1166" s="93"/>
      <c r="BK1166" s="93"/>
      <c r="BL1166" s="93"/>
      <c r="BM1166" s="93"/>
      <c r="BN1166" s="93"/>
      <c r="BO1166" s="93"/>
      <c r="BP1166" s="93"/>
      <c r="BQ1166" s="93"/>
      <c r="BR1166" s="93"/>
      <c r="BS1166" s="93"/>
      <c r="BT1166" s="93"/>
      <c r="BU1166" s="93"/>
      <c r="BV1166" s="93"/>
      <c r="BW1166" s="93"/>
      <c r="BX1166" s="93"/>
      <c r="BY1166" s="93"/>
      <c r="BZ1166" s="93"/>
    </row>
    <row r="1167">
      <c r="B1167" t="s">
        <v>4075</v>
      </c>
      <c r="C1167" s="89" t="s">
        <v>4076</v>
      </c>
      <c r="D1167" s="90" t="s">
        <v>2090</v>
      </c>
      <c r="E1167" s="91">
        <v>2019.0</v>
      </c>
      <c r="F1167" s="104">
        <v>1.0</v>
      </c>
      <c r="G1167" s="93"/>
      <c r="H1167" s="93"/>
      <c r="I1167" s="93"/>
      <c r="J1167" s="93"/>
      <c r="K1167" s="93"/>
      <c r="L1167" s="93"/>
      <c r="M1167" s="93"/>
      <c r="N1167" s="93"/>
      <c r="O1167" s="93"/>
      <c r="P1167" s="93"/>
      <c r="Q1167" s="93"/>
      <c r="R1167" s="93"/>
      <c r="S1167" s="93"/>
      <c r="T1167" s="93"/>
      <c r="U1167" s="93"/>
      <c r="V1167" s="93"/>
      <c r="W1167" s="93"/>
      <c r="X1167" s="93"/>
      <c r="Y1167" s="93"/>
      <c r="Z1167" s="93"/>
      <c r="AA1167" s="93"/>
      <c r="AB1167" s="93"/>
      <c r="AC1167" s="93"/>
      <c r="AD1167" s="93"/>
      <c r="AE1167" s="93"/>
      <c r="AF1167" s="93"/>
      <c r="AG1167" s="93"/>
      <c r="AH1167" s="93"/>
      <c r="AI1167" s="93"/>
      <c r="AJ1167" s="93"/>
      <c r="AK1167" s="93"/>
      <c r="AL1167" s="93"/>
      <c r="AM1167" s="93"/>
      <c r="AN1167" s="93"/>
      <c r="AO1167" s="93"/>
      <c r="AP1167" s="93"/>
      <c r="AQ1167" s="93"/>
      <c r="AR1167" s="93"/>
      <c r="AS1167" s="93"/>
      <c r="AT1167" s="93"/>
      <c r="AU1167" s="93"/>
      <c r="AV1167" s="93"/>
      <c r="AW1167" s="93"/>
      <c r="AX1167" s="93"/>
      <c r="AY1167" s="93"/>
      <c r="AZ1167" s="93"/>
      <c r="BA1167" s="93"/>
      <c r="BB1167" s="93"/>
      <c r="BC1167" s="93"/>
      <c r="BD1167" s="93"/>
      <c r="BE1167" s="93"/>
      <c r="BF1167" s="93"/>
      <c r="BG1167" s="93"/>
      <c r="BH1167" s="93"/>
      <c r="BI1167" s="93"/>
      <c r="BJ1167" s="93"/>
      <c r="BK1167" s="93"/>
      <c r="BL1167" s="93"/>
      <c r="BM1167" s="93"/>
      <c r="BN1167" s="93"/>
      <c r="BO1167" s="93"/>
      <c r="BP1167" s="93"/>
      <c r="BQ1167" s="93"/>
      <c r="BR1167" s="93"/>
      <c r="BS1167" s="93"/>
      <c r="BT1167" s="93"/>
      <c r="BU1167" s="93"/>
      <c r="BV1167" s="93"/>
      <c r="BW1167" s="93"/>
      <c r="BX1167" s="93"/>
      <c r="BY1167" s="93"/>
      <c r="BZ1167" s="93"/>
    </row>
    <row r="1168">
      <c r="B1168" t="s">
        <v>4077</v>
      </c>
      <c r="C1168" s="89" t="s">
        <v>4078</v>
      </c>
      <c r="D1168" s="90" t="s">
        <v>4079</v>
      </c>
      <c r="E1168" s="91">
        <v>2019.0</v>
      </c>
      <c r="F1168" s="104">
        <v>1.0</v>
      </c>
      <c r="G1168" s="93"/>
      <c r="H1168" s="93"/>
      <c r="I1168" s="93"/>
      <c r="J1168" s="93"/>
      <c r="K1168" s="93"/>
      <c r="L1168" s="93"/>
      <c r="M1168" s="93"/>
      <c r="N1168" s="93"/>
      <c r="O1168" s="93"/>
      <c r="P1168" s="93"/>
      <c r="Q1168" s="93"/>
      <c r="R1168" s="93"/>
      <c r="S1168" s="93"/>
      <c r="T1168" s="93"/>
      <c r="U1168" s="93"/>
      <c r="V1168" s="93"/>
      <c r="W1168" s="93"/>
      <c r="X1168" s="93"/>
      <c r="Y1168" s="93"/>
      <c r="Z1168" s="93"/>
      <c r="AA1168" s="93"/>
      <c r="AB1168" s="93"/>
      <c r="AC1168" s="93"/>
      <c r="AD1168" s="93"/>
      <c r="AE1168" s="93"/>
      <c r="AF1168" s="93"/>
      <c r="AG1168" s="93"/>
      <c r="AH1168" s="93"/>
      <c r="AI1168" s="93"/>
      <c r="AJ1168" s="93"/>
      <c r="AK1168" s="93"/>
      <c r="AL1168" s="93"/>
      <c r="AM1168" s="93"/>
      <c r="AN1168" s="93"/>
      <c r="AO1168" s="93"/>
      <c r="AP1168" s="93"/>
      <c r="AQ1168" s="93"/>
      <c r="AR1168" s="93"/>
      <c r="AS1168" s="93"/>
      <c r="AT1168" s="93"/>
      <c r="AU1168" s="93"/>
      <c r="AV1168" s="93"/>
      <c r="AW1168" s="93"/>
      <c r="AX1168" s="93"/>
      <c r="AY1168" s="93"/>
      <c r="AZ1168" s="93"/>
      <c r="BA1168" s="93"/>
      <c r="BB1168" s="93"/>
      <c r="BC1168" s="93"/>
      <c r="BD1168" s="93"/>
      <c r="BE1168" s="93"/>
      <c r="BF1168" s="93"/>
      <c r="BG1168" s="93"/>
      <c r="BH1168" s="93"/>
      <c r="BI1168" s="93"/>
      <c r="BJ1168" s="93"/>
      <c r="BK1168" s="93"/>
      <c r="BL1168" s="93"/>
      <c r="BM1168" s="93"/>
      <c r="BN1168" s="93"/>
      <c r="BO1168" s="93"/>
      <c r="BP1168" s="93"/>
      <c r="BQ1168" s="93"/>
      <c r="BR1168" s="93"/>
      <c r="BS1168" s="93"/>
      <c r="BT1168" s="93"/>
      <c r="BU1168" s="93"/>
      <c r="BV1168" s="93"/>
      <c r="BW1168" s="93"/>
      <c r="BX1168" s="93"/>
      <c r="BY1168" s="93"/>
      <c r="BZ1168" s="93"/>
    </row>
    <row r="1169">
      <c r="B1169" t="s">
        <v>4080</v>
      </c>
      <c r="C1169" s="89" t="s">
        <v>4081</v>
      </c>
      <c r="D1169" s="90" t="s">
        <v>4082</v>
      </c>
      <c r="E1169" s="91">
        <v>2017.0</v>
      </c>
      <c r="F1169" s="104">
        <v>1.0</v>
      </c>
      <c r="G1169" s="93"/>
      <c r="H1169" s="93"/>
      <c r="I1169" s="93"/>
      <c r="J1169" s="93"/>
      <c r="K1169" s="93"/>
      <c r="L1169" s="93"/>
      <c r="M1169" s="93"/>
      <c r="N1169" s="93"/>
      <c r="O1169" s="93"/>
      <c r="P1169" s="93"/>
      <c r="Q1169" s="93"/>
      <c r="R1169" s="93"/>
      <c r="S1169" s="93"/>
      <c r="T1169" s="93"/>
      <c r="U1169" s="93"/>
      <c r="V1169" s="93"/>
      <c r="W1169" s="93"/>
      <c r="X1169" s="93"/>
      <c r="Y1169" s="93"/>
      <c r="Z1169" s="93"/>
      <c r="AA1169" s="93"/>
      <c r="AB1169" s="93"/>
      <c r="AC1169" s="93"/>
      <c r="AD1169" s="93"/>
      <c r="AE1169" s="93"/>
      <c r="AF1169" s="93"/>
      <c r="AG1169" s="93"/>
      <c r="AH1169" s="93"/>
      <c r="AI1169" s="93"/>
      <c r="AJ1169" s="93"/>
      <c r="AK1169" s="93"/>
      <c r="AL1169" s="93"/>
      <c r="AM1169" s="93"/>
      <c r="AN1169" s="93"/>
      <c r="AO1169" s="93"/>
      <c r="AP1169" s="93"/>
      <c r="AQ1169" s="93"/>
      <c r="AR1169" s="93"/>
      <c r="AS1169" s="93"/>
      <c r="AT1169" s="93"/>
      <c r="AU1169" s="93"/>
      <c r="AV1169" s="93"/>
      <c r="AW1169" s="93"/>
      <c r="AX1169" s="93"/>
      <c r="AY1169" s="93"/>
      <c r="AZ1169" s="93"/>
      <c r="BA1169" s="93"/>
      <c r="BB1169" s="93"/>
      <c r="BC1169" s="93"/>
      <c r="BD1169" s="93"/>
      <c r="BE1169" s="93"/>
      <c r="BF1169" s="93"/>
      <c r="BG1169" s="93"/>
      <c r="BH1169" s="93"/>
      <c r="BI1169" s="93"/>
      <c r="BJ1169" s="93"/>
      <c r="BK1169" s="93"/>
      <c r="BL1169" s="93"/>
      <c r="BM1169" s="93"/>
      <c r="BN1169" s="93"/>
      <c r="BO1169" s="93"/>
      <c r="BP1169" s="93"/>
      <c r="BQ1169" s="93"/>
      <c r="BR1169" s="93"/>
      <c r="BS1169" s="93"/>
      <c r="BT1169" s="93"/>
      <c r="BU1169" s="93"/>
      <c r="BV1169" s="93"/>
      <c r="BW1169" s="93"/>
      <c r="BX1169" s="93"/>
      <c r="BY1169" s="93"/>
      <c r="BZ1169" s="93"/>
    </row>
    <row r="1170">
      <c r="B1170" t="s">
        <v>4083</v>
      </c>
      <c r="C1170" s="89" t="s">
        <v>4084</v>
      </c>
      <c r="D1170" s="90" t="s">
        <v>4085</v>
      </c>
      <c r="E1170" s="91">
        <v>2018.0</v>
      </c>
      <c r="F1170" s="104">
        <v>1.0</v>
      </c>
      <c r="G1170" s="93"/>
      <c r="H1170" s="93"/>
      <c r="I1170" s="93"/>
      <c r="J1170" s="93"/>
      <c r="K1170" s="93"/>
      <c r="L1170" s="93"/>
      <c r="M1170" s="93"/>
      <c r="N1170" s="93"/>
      <c r="O1170" s="93"/>
      <c r="P1170" s="93"/>
      <c r="Q1170" s="93"/>
      <c r="R1170" s="93"/>
      <c r="S1170" s="93"/>
      <c r="T1170" s="93"/>
      <c r="U1170" s="93"/>
      <c r="V1170" s="93"/>
      <c r="W1170" s="93"/>
      <c r="X1170" s="93"/>
      <c r="Y1170" s="93"/>
      <c r="Z1170" s="93"/>
      <c r="AA1170" s="93"/>
      <c r="AB1170" s="93"/>
      <c r="AC1170" s="93"/>
      <c r="AD1170" s="93"/>
      <c r="AE1170" s="93"/>
      <c r="AF1170" s="93"/>
      <c r="AG1170" s="93"/>
      <c r="AH1170" s="93"/>
      <c r="AI1170" s="93"/>
      <c r="AJ1170" s="93"/>
      <c r="AK1170" s="93"/>
      <c r="AL1170" s="93"/>
      <c r="AM1170" s="93"/>
      <c r="AN1170" s="93"/>
      <c r="AO1170" s="93"/>
      <c r="AP1170" s="93"/>
      <c r="AQ1170" s="93"/>
      <c r="AR1170" s="93"/>
      <c r="AS1170" s="93"/>
      <c r="AT1170" s="93"/>
      <c r="AU1170" s="93"/>
      <c r="AV1170" s="93"/>
      <c r="AW1170" s="93"/>
      <c r="AX1170" s="93"/>
      <c r="AY1170" s="93"/>
      <c r="AZ1170" s="93"/>
      <c r="BA1170" s="93"/>
      <c r="BB1170" s="93"/>
      <c r="BC1170" s="93"/>
      <c r="BD1170" s="93"/>
      <c r="BE1170" s="93"/>
      <c r="BF1170" s="93"/>
      <c r="BG1170" s="93"/>
      <c r="BH1170" s="93"/>
      <c r="BI1170" s="93"/>
      <c r="BJ1170" s="93"/>
      <c r="BK1170" s="93"/>
      <c r="BL1170" s="93"/>
      <c r="BM1170" s="93"/>
      <c r="BN1170" s="93"/>
      <c r="BO1170" s="93"/>
      <c r="BP1170" s="93"/>
      <c r="BQ1170" s="93"/>
      <c r="BR1170" s="93"/>
      <c r="BS1170" s="93"/>
      <c r="BT1170" s="93"/>
      <c r="BU1170" s="93"/>
      <c r="BV1170" s="93"/>
      <c r="BW1170" s="93"/>
      <c r="BX1170" s="93"/>
      <c r="BY1170" s="93"/>
      <c r="BZ1170" s="93"/>
    </row>
    <row r="1171">
      <c r="B1171" t="s">
        <v>4086</v>
      </c>
      <c r="C1171" s="89" t="s">
        <v>4087</v>
      </c>
      <c r="D1171" s="90" t="s">
        <v>4088</v>
      </c>
      <c r="E1171" s="91">
        <v>2020.0</v>
      </c>
      <c r="F1171" s="104">
        <v>1.0</v>
      </c>
      <c r="G1171" s="93"/>
      <c r="H1171" s="93"/>
      <c r="I1171" s="93"/>
      <c r="J1171" s="93"/>
      <c r="K1171" s="93"/>
      <c r="L1171" s="93"/>
      <c r="M1171" s="93"/>
      <c r="N1171" s="93"/>
      <c r="O1171" s="93"/>
      <c r="P1171" s="93"/>
      <c r="Q1171" s="93"/>
      <c r="R1171" s="93"/>
      <c r="S1171" s="93"/>
      <c r="T1171" s="93"/>
      <c r="U1171" s="93"/>
      <c r="V1171" s="93"/>
      <c r="W1171" s="93"/>
      <c r="X1171" s="93"/>
      <c r="Y1171" s="93"/>
      <c r="Z1171" s="93"/>
      <c r="AA1171" s="93"/>
      <c r="AB1171" s="93"/>
      <c r="AC1171" s="93"/>
      <c r="AD1171" s="93"/>
      <c r="AE1171" s="93"/>
      <c r="AF1171" s="93"/>
      <c r="AG1171" s="93"/>
      <c r="AH1171" s="93"/>
      <c r="AI1171" s="93"/>
      <c r="AJ1171" s="93"/>
      <c r="AK1171" s="93"/>
      <c r="AL1171" s="93"/>
      <c r="AM1171" s="93"/>
      <c r="AN1171" s="93"/>
      <c r="AO1171" s="93"/>
      <c r="AP1171" s="93"/>
      <c r="AQ1171" s="93"/>
      <c r="AR1171" s="93"/>
      <c r="AS1171" s="93"/>
      <c r="AT1171" s="93"/>
      <c r="AU1171" s="93"/>
      <c r="AV1171" s="93"/>
      <c r="AW1171" s="93"/>
      <c r="AX1171" s="93"/>
      <c r="AY1171" s="93"/>
      <c r="AZ1171" s="93"/>
      <c r="BA1171" s="93"/>
      <c r="BB1171" s="93"/>
      <c r="BC1171" s="93"/>
      <c r="BD1171" s="93"/>
      <c r="BE1171" s="93"/>
      <c r="BF1171" s="93"/>
      <c r="BG1171" s="93"/>
      <c r="BH1171" s="93"/>
      <c r="BI1171" s="93"/>
      <c r="BJ1171" s="93"/>
      <c r="BK1171" s="93"/>
      <c r="BL1171" s="93"/>
      <c r="BM1171" s="93"/>
      <c r="BN1171" s="93"/>
      <c r="BO1171" s="93"/>
      <c r="BP1171" s="93"/>
      <c r="BQ1171" s="93"/>
      <c r="BR1171" s="93"/>
      <c r="BS1171" s="93"/>
      <c r="BT1171" s="93"/>
      <c r="BU1171" s="93"/>
      <c r="BV1171" s="93"/>
      <c r="BW1171" s="93"/>
      <c r="BX1171" s="93"/>
      <c r="BY1171" s="93"/>
      <c r="BZ1171" s="93"/>
    </row>
    <row r="1172">
      <c r="B1172" t="s">
        <v>4089</v>
      </c>
      <c r="C1172" s="89" t="s">
        <v>4090</v>
      </c>
      <c r="D1172" s="90" t="s">
        <v>3056</v>
      </c>
      <c r="E1172" s="91">
        <v>2019.0</v>
      </c>
      <c r="F1172" s="104">
        <v>1.0</v>
      </c>
      <c r="G1172" s="93"/>
      <c r="H1172" s="93"/>
      <c r="I1172" s="93"/>
      <c r="J1172" s="93"/>
      <c r="K1172" s="93"/>
      <c r="L1172" s="93"/>
      <c r="M1172" s="93"/>
      <c r="N1172" s="93"/>
      <c r="O1172" s="93"/>
      <c r="P1172" s="93"/>
      <c r="Q1172" s="93"/>
      <c r="R1172" s="93"/>
      <c r="S1172" s="93"/>
      <c r="T1172" s="93"/>
      <c r="U1172" s="93"/>
      <c r="V1172" s="93"/>
      <c r="W1172" s="93"/>
      <c r="X1172" s="93"/>
      <c r="Y1172" s="93"/>
      <c r="Z1172" s="93"/>
      <c r="AA1172" s="93"/>
      <c r="AB1172" s="93"/>
      <c r="AC1172" s="93"/>
      <c r="AD1172" s="93"/>
      <c r="AE1172" s="93"/>
      <c r="AF1172" s="93"/>
      <c r="AG1172" s="93"/>
      <c r="AH1172" s="93"/>
      <c r="AI1172" s="93"/>
      <c r="AJ1172" s="93"/>
      <c r="AK1172" s="93"/>
      <c r="AL1172" s="93"/>
      <c r="AM1172" s="93"/>
      <c r="AN1172" s="93"/>
      <c r="AO1172" s="93"/>
      <c r="AP1172" s="93"/>
      <c r="AQ1172" s="93"/>
      <c r="AR1172" s="93"/>
      <c r="AS1172" s="93"/>
      <c r="AT1172" s="93"/>
      <c r="AU1172" s="93"/>
      <c r="AV1172" s="93"/>
      <c r="AW1172" s="93"/>
      <c r="AX1172" s="93"/>
      <c r="AY1172" s="93"/>
      <c r="AZ1172" s="93"/>
      <c r="BA1172" s="93"/>
      <c r="BB1172" s="93"/>
      <c r="BC1172" s="93"/>
      <c r="BD1172" s="93"/>
      <c r="BE1172" s="93"/>
      <c r="BF1172" s="93"/>
      <c r="BG1172" s="93"/>
      <c r="BH1172" s="93"/>
      <c r="BI1172" s="93"/>
      <c r="BJ1172" s="93"/>
      <c r="BK1172" s="93"/>
      <c r="BL1172" s="93"/>
      <c r="BM1172" s="93"/>
      <c r="BN1172" s="93"/>
      <c r="BO1172" s="93"/>
      <c r="BP1172" s="93"/>
      <c r="BQ1172" s="93"/>
      <c r="BR1172" s="93"/>
      <c r="BS1172" s="93"/>
      <c r="BT1172" s="93"/>
      <c r="BU1172" s="93"/>
      <c r="BV1172" s="93"/>
      <c r="BW1172" s="93"/>
      <c r="BX1172" s="93"/>
      <c r="BY1172" s="93"/>
      <c r="BZ1172" s="93"/>
    </row>
    <row r="1173">
      <c r="B1173" t="s">
        <v>4091</v>
      </c>
      <c r="C1173" s="89" t="s">
        <v>4092</v>
      </c>
      <c r="D1173" s="90" t="s">
        <v>4093</v>
      </c>
      <c r="E1173" s="91">
        <v>2017.0</v>
      </c>
      <c r="F1173" s="104">
        <v>1.0</v>
      </c>
      <c r="G1173" s="93"/>
      <c r="H1173" s="93"/>
      <c r="I1173" s="93"/>
      <c r="J1173" s="93"/>
      <c r="K1173" s="93"/>
      <c r="L1173" s="93"/>
      <c r="M1173" s="93"/>
      <c r="N1173" s="93"/>
      <c r="O1173" s="93"/>
      <c r="P1173" s="93"/>
      <c r="Q1173" s="93"/>
      <c r="R1173" s="93"/>
      <c r="S1173" s="93"/>
      <c r="T1173" s="93"/>
      <c r="U1173" s="93"/>
      <c r="V1173" s="93"/>
      <c r="W1173" s="93"/>
      <c r="X1173" s="93"/>
      <c r="Y1173" s="93"/>
      <c r="Z1173" s="93"/>
      <c r="AA1173" s="93"/>
      <c r="AB1173" s="93"/>
      <c r="AC1173" s="93"/>
      <c r="AD1173" s="93"/>
      <c r="AE1173" s="93"/>
      <c r="AF1173" s="93"/>
      <c r="AG1173" s="93"/>
      <c r="AH1173" s="93"/>
      <c r="AI1173" s="93"/>
      <c r="AJ1173" s="93"/>
      <c r="AK1173" s="93"/>
      <c r="AL1173" s="93"/>
      <c r="AM1173" s="93"/>
      <c r="AN1173" s="93"/>
      <c r="AO1173" s="93"/>
      <c r="AP1173" s="93"/>
      <c r="AQ1173" s="93"/>
      <c r="AR1173" s="93"/>
      <c r="AS1173" s="93"/>
      <c r="AT1173" s="93"/>
      <c r="AU1173" s="93"/>
      <c r="AV1173" s="93"/>
      <c r="AW1173" s="93"/>
      <c r="AX1173" s="93"/>
      <c r="AY1173" s="93"/>
      <c r="AZ1173" s="93"/>
      <c r="BA1173" s="93"/>
      <c r="BB1173" s="93"/>
      <c r="BC1173" s="93"/>
      <c r="BD1173" s="93"/>
      <c r="BE1173" s="93"/>
      <c r="BF1173" s="93"/>
      <c r="BG1173" s="93"/>
      <c r="BH1173" s="93"/>
      <c r="BI1173" s="93"/>
      <c r="BJ1173" s="93"/>
      <c r="BK1173" s="93"/>
      <c r="BL1173" s="93"/>
      <c r="BM1173" s="93"/>
      <c r="BN1173" s="93"/>
      <c r="BO1173" s="93"/>
      <c r="BP1173" s="93"/>
      <c r="BQ1173" s="93"/>
      <c r="BR1173" s="93"/>
      <c r="BS1173" s="93"/>
      <c r="BT1173" s="93"/>
      <c r="BU1173" s="93"/>
      <c r="BV1173" s="93"/>
      <c r="BW1173" s="93"/>
      <c r="BX1173" s="93"/>
      <c r="BY1173" s="93"/>
      <c r="BZ1173" s="93"/>
    </row>
    <row r="1174">
      <c r="B1174" t="s">
        <v>4094</v>
      </c>
      <c r="C1174" s="89" t="s">
        <v>4095</v>
      </c>
      <c r="D1174" s="90" t="s">
        <v>4096</v>
      </c>
      <c r="E1174" s="91">
        <v>2018.0</v>
      </c>
      <c r="F1174" s="104">
        <v>1.0</v>
      </c>
      <c r="G1174" s="93"/>
      <c r="H1174" s="93"/>
      <c r="I1174" s="93"/>
      <c r="J1174" s="93"/>
      <c r="K1174" s="93"/>
      <c r="L1174" s="93"/>
      <c r="M1174" s="93"/>
      <c r="N1174" s="93"/>
      <c r="O1174" s="93"/>
      <c r="P1174" s="93"/>
      <c r="Q1174" s="93"/>
      <c r="R1174" s="93"/>
      <c r="S1174" s="93"/>
      <c r="T1174" s="93"/>
      <c r="U1174" s="93"/>
      <c r="V1174" s="93"/>
      <c r="W1174" s="93"/>
      <c r="X1174" s="93"/>
      <c r="Y1174" s="93"/>
      <c r="Z1174" s="93"/>
      <c r="AA1174" s="93"/>
      <c r="AB1174" s="93"/>
      <c r="AC1174" s="93"/>
      <c r="AD1174" s="93"/>
      <c r="AE1174" s="93"/>
      <c r="AF1174" s="93"/>
      <c r="AG1174" s="93"/>
      <c r="AH1174" s="93"/>
      <c r="AI1174" s="93"/>
      <c r="AJ1174" s="93"/>
      <c r="AK1174" s="93"/>
      <c r="AL1174" s="93"/>
      <c r="AM1174" s="93"/>
      <c r="AN1174" s="93"/>
      <c r="AO1174" s="93"/>
      <c r="AP1174" s="93"/>
      <c r="AQ1174" s="93"/>
      <c r="AR1174" s="93"/>
      <c r="AS1174" s="93"/>
      <c r="AT1174" s="93"/>
      <c r="AU1174" s="93"/>
      <c r="AV1174" s="93"/>
      <c r="AW1174" s="93"/>
      <c r="AX1174" s="93"/>
      <c r="AY1174" s="93"/>
      <c r="AZ1174" s="93"/>
      <c r="BA1174" s="93"/>
      <c r="BB1174" s="93"/>
      <c r="BC1174" s="93"/>
      <c r="BD1174" s="93"/>
      <c r="BE1174" s="93"/>
      <c r="BF1174" s="93"/>
      <c r="BG1174" s="93"/>
      <c r="BH1174" s="93"/>
      <c r="BI1174" s="93"/>
      <c r="BJ1174" s="93"/>
      <c r="BK1174" s="93"/>
      <c r="BL1174" s="93"/>
      <c r="BM1174" s="93"/>
      <c r="BN1174" s="93"/>
      <c r="BO1174" s="93"/>
      <c r="BP1174" s="93"/>
      <c r="BQ1174" s="93"/>
      <c r="BR1174" s="93"/>
      <c r="BS1174" s="93"/>
      <c r="BT1174" s="93"/>
      <c r="BU1174" s="93"/>
      <c r="BV1174" s="93"/>
      <c r="BW1174" s="93"/>
      <c r="BX1174" s="93"/>
      <c r="BY1174" s="93"/>
      <c r="BZ1174" s="93"/>
    </row>
    <row r="1175">
      <c r="B1175" t="s">
        <v>4097</v>
      </c>
      <c r="C1175" s="89" t="s">
        <v>4098</v>
      </c>
      <c r="D1175" s="90" t="s">
        <v>4099</v>
      </c>
      <c r="E1175" s="91">
        <v>2020.0</v>
      </c>
      <c r="F1175" s="104">
        <v>1.0</v>
      </c>
      <c r="G1175" s="93"/>
      <c r="H1175" s="93"/>
      <c r="I1175" s="93"/>
      <c r="J1175" s="93"/>
      <c r="K1175" s="93"/>
      <c r="L1175" s="93"/>
      <c r="M1175" s="93"/>
      <c r="N1175" s="93"/>
      <c r="O1175" s="93"/>
      <c r="P1175" s="93"/>
      <c r="Q1175" s="93"/>
      <c r="R1175" s="93"/>
      <c r="S1175" s="93"/>
      <c r="T1175" s="93"/>
      <c r="U1175" s="93"/>
      <c r="V1175" s="93"/>
      <c r="W1175" s="93"/>
      <c r="X1175" s="93"/>
      <c r="Y1175" s="93"/>
      <c r="Z1175" s="93"/>
      <c r="AA1175" s="93"/>
      <c r="AB1175" s="93"/>
      <c r="AC1175" s="93"/>
      <c r="AD1175" s="93"/>
      <c r="AE1175" s="93"/>
      <c r="AF1175" s="93"/>
      <c r="AG1175" s="93"/>
      <c r="AH1175" s="93"/>
      <c r="AI1175" s="93"/>
      <c r="AJ1175" s="93"/>
      <c r="AK1175" s="93"/>
      <c r="AL1175" s="93"/>
      <c r="AM1175" s="93"/>
      <c r="AN1175" s="93"/>
      <c r="AO1175" s="93"/>
      <c r="AP1175" s="93"/>
      <c r="AQ1175" s="93"/>
      <c r="AR1175" s="93"/>
      <c r="AS1175" s="93"/>
      <c r="AT1175" s="93"/>
      <c r="AU1175" s="93"/>
      <c r="AV1175" s="93"/>
      <c r="AW1175" s="93"/>
      <c r="AX1175" s="93"/>
      <c r="AY1175" s="93"/>
      <c r="AZ1175" s="93"/>
      <c r="BA1175" s="93"/>
      <c r="BB1175" s="93"/>
      <c r="BC1175" s="93"/>
      <c r="BD1175" s="93"/>
      <c r="BE1175" s="93"/>
      <c r="BF1175" s="93"/>
      <c r="BG1175" s="93"/>
      <c r="BH1175" s="93"/>
      <c r="BI1175" s="93"/>
      <c r="BJ1175" s="93"/>
      <c r="BK1175" s="93"/>
      <c r="BL1175" s="93"/>
      <c r="BM1175" s="93"/>
      <c r="BN1175" s="93"/>
      <c r="BO1175" s="93"/>
      <c r="BP1175" s="93"/>
      <c r="BQ1175" s="93"/>
      <c r="BR1175" s="93"/>
      <c r="BS1175" s="93"/>
      <c r="BT1175" s="93"/>
      <c r="BU1175" s="93"/>
      <c r="BV1175" s="93"/>
      <c r="BW1175" s="93"/>
      <c r="BX1175" s="93"/>
      <c r="BY1175" s="93"/>
      <c r="BZ1175" s="93"/>
    </row>
    <row r="1176">
      <c r="B1176" t="s">
        <v>4100</v>
      </c>
      <c r="C1176" s="89" t="s">
        <v>4101</v>
      </c>
      <c r="D1176" s="90" t="s">
        <v>4102</v>
      </c>
      <c r="E1176" s="91">
        <v>2018.0</v>
      </c>
      <c r="F1176" s="104">
        <v>1.0</v>
      </c>
      <c r="G1176" s="93"/>
      <c r="H1176" s="93"/>
      <c r="I1176" s="93"/>
      <c r="J1176" s="93"/>
      <c r="K1176" s="93"/>
      <c r="L1176" s="93"/>
      <c r="M1176" s="93"/>
      <c r="N1176" s="93"/>
      <c r="O1176" s="93"/>
      <c r="P1176" s="93"/>
      <c r="Q1176" s="93"/>
      <c r="R1176" s="93"/>
      <c r="S1176" s="93"/>
      <c r="T1176" s="93"/>
      <c r="U1176" s="93"/>
      <c r="V1176" s="93"/>
      <c r="W1176" s="93"/>
      <c r="X1176" s="93"/>
      <c r="Y1176" s="93"/>
      <c r="Z1176" s="93"/>
      <c r="AA1176" s="93"/>
      <c r="AB1176" s="93"/>
      <c r="AC1176" s="93"/>
      <c r="AD1176" s="93"/>
      <c r="AE1176" s="93"/>
      <c r="AF1176" s="93"/>
      <c r="AG1176" s="93"/>
      <c r="AH1176" s="93"/>
      <c r="AI1176" s="93"/>
      <c r="AJ1176" s="93"/>
      <c r="AK1176" s="93"/>
      <c r="AL1176" s="93"/>
      <c r="AM1176" s="93"/>
      <c r="AN1176" s="93"/>
      <c r="AO1176" s="93"/>
      <c r="AP1176" s="93"/>
      <c r="AQ1176" s="93"/>
      <c r="AR1176" s="93"/>
      <c r="AS1176" s="93"/>
      <c r="AT1176" s="93"/>
      <c r="AU1176" s="93"/>
      <c r="AV1176" s="93"/>
      <c r="AW1176" s="93"/>
      <c r="AX1176" s="93"/>
      <c r="AY1176" s="93"/>
      <c r="AZ1176" s="93"/>
      <c r="BA1176" s="93"/>
      <c r="BB1176" s="93"/>
      <c r="BC1176" s="93"/>
      <c r="BD1176" s="93"/>
      <c r="BE1176" s="93"/>
      <c r="BF1176" s="93"/>
      <c r="BG1176" s="93"/>
      <c r="BH1176" s="93"/>
      <c r="BI1176" s="93"/>
      <c r="BJ1176" s="93"/>
      <c r="BK1176" s="93"/>
      <c r="BL1176" s="93"/>
      <c r="BM1176" s="93"/>
      <c r="BN1176" s="93"/>
      <c r="BO1176" s="93"/>
      <c r="BP1176" s="93"/>
      <c r="BQ1176" s="93"/>
      <c r="BR1176" s="93"/>
      <c r="BS1176" s="93"/>
      <c r="BT1176" s="93"/>
      <c r="BU1176" s="93"/>
      <c r="BV1176" s="93"/>
      <c r="BW1176" s="93"/>
      <c r="BX1176" s="93"/>
      <c r="BY1176" s="93"/>
      <c r="BZ1176" s="93"/>
    </row>
    <row r="1177">
      <c r="B1177" t="s">
        <v>4103</v>
      </c>
      <c r="C1177" s="89" t="s">
        <v>4104</v>
      </c>
      <c r="D1177" s="90" t="s">
        <v>4105</v>
      </c>
      <c r="E1177" s="91">
        <v>2016.0</v>
      </c>
      <c r="F1177" s="104">
        <v>1.0</v>
      </c>
      <c r="G1177" s="93"/>
      <c r="H1177" s="93"/>
      <c r="I1177" s="93"/>
      <c r="J1177" s="93"/>
      <c r="K1177" s="93"/>
      <c r="L1177" s="93"/>
      <c r="M1177" s="93"/>
      <c r="N1177" s="93"/>
      <c r="O1177" s="93"/>
      <c r="P1177" s="93"/>
      <c r="Q1177" s="93"/>
      <c r="R1177" s="93"/>
      <c r="S1177" s="93"/>
      <c r="T1177" s="93"/>
      <c r="U1177" s="93"/>
      <c r="V1177" s="93"/>
      <c r="W1177" s="93"/>
      <c r="X1177" s="93"/>
      <c r="Y1177" s="93"/>
      <c r="Z1177" s="93"/>
      <c r="AA1177" s="93"/>
      <c r="AB1177" s="93"/>
      <c r="AC1177" s="93"/>
      <c r="AD1177" s="93"/>
      <c r="AE1177" s="93"/>
      <c r="AF1177" s="93"/>
      <c r="AG1177" s="93"/>
      <c r="AH1177" s="93"/>
      <c r="AI1177" s="93"/>
      <c r="AJ1177" s="93"/>
      <c r="AK1177" s="93"/>
      <c r="AL1177" s="93"/>
      <c r="AM1177" s="93"/>
      <c r="AN1177" s="93"/>
      <c r="AO1177" s="93"/>
      <c r="AP1177" s="93"/>
      <c r="AQ1177" s="93"/>
      <c r="AR1177" s="93"/>
      <c r="AS1177" s="93"/>
      <c r="AT1177" s="93"/>
      <c r="AU1177" s="93"/>
      <c r="AV1177" s="93"/>
      <c r="AW1177" s="93"/>
      <c r="AX1177" s="93"/>
      <c r="AY1177" s="93"/>
      <c r="AZ1177" s="93"/>
      <c r="BA1177" s="93"/>
      <c r="BB1177" s="93"/>
      <c r="BC1177" s="93"/>
      <c r="BD1177" s="93"/>
      <c r="BE1177" s="93"/>
      <c r="BF1177" s="93"/>
      <c r="BG1177" s="93"/>
      <c r="BH1177" s="93"/>
      <c r="BI1177" s="93"/>
      <c r="BJ1177" s="93"/>
      <c r="BK1177" s="93"/>
      <c r="BL1177" s="93"/>
      <c r="BM1177" s="93"/>
      <c r="BN1177" s="93"/>
      <c r="BO1177" s="93"/>
      <c r="BP1177" s="93"/>
      <c r="BQ1177" s="93"/>
      <c r="BR1177" s="93"/>
      <c r="BS1177" s="93"/>
      <c r="BT1177" s="93"/>
      <c r="BU1177" s="93"/>
      <c r="BV1177" s="93"/>
      <c r="BW1177" s="93"/>
      <c r="BX1177" s="93"/>
      <c r="BY1177" s="93"/>
      <c r="BZ1177" s="93"/>
    </row>
    <row r="1178">
      <c r="B1178" t="s">
        <v>4106</v>
      </c>
      <c r="C1178" s="89" t="s">
        <v>4107</v>
      </c>
      <c r="D1178" s="90" t="s">
        <v>4108</v>
      </c>
      <c r="E1178" s="91">
        <v>2017.0</v>
      </c>
      <c r="F1178" s="104">
        <v>1.0</v>
      </c>
      <c r="G1178" s="93"/>
      <c r="H1178" s="93"/>
      <c r="I1178" s="93"/>
      <c r="J1178" s="93"/>
      <c r="K1178" s="93"/>
      <c r="L1178" s="93"/>
      <c r="M1178" s="93"/>
      <c r="N1178" s="93"/>
      <c r="O1178" s="93"/>
      <c r="P1178" s="93"/>
      <c r="Q1178" s="93"/>
      <c r="R1178" s="93"/>
      <c r="S1178" s="93"/>
      <c r="T1178" s="93"/>
      <c r="U1178" s="93"/>
      <c r="V1178" s="93"/>
      <c r="W1178" s="93"/>
      <c r="X1178" s="93"/>
      <c r="Y1178" s="93"/>
      <c r="Z1178" s="93"/>
      <c r="AA1178" s="93"/>
      <c r="AB1178" s="93"/>
      <c r="AC1178" s="93"/>
      <c r="AD1178" s="93"/>
      <c r="AE1178" s="93"/>
      <c r="AF1178" s="93"/>
      <c r="AG1178" s="93"/>
      <c r="AH1178" s="93"/>
      <c r="AI1178" s="93"/>
      <c r="AJ1178" s="93"/>
      <c r="AK1178" s="93"/>
      <c r="AL1178" s="93"/>
      <c r="AM1178" s="93"/>
      <c r="AN1178" s="93"/>
      <c r="AO1178" s="93"/>
      <c r="AP1178" s="93"/>
      <c r="AQ1178" s="93"/>
      <c r="AR1178" s="93"/>
      <c r="AS1178" s="93"/>
      <c r="AT1178" s="93"/>
      <c r="AU1178" s="93"/>
      <c r="AV1178" s="93"/>
      <c r="AW1178" s="93"/>
      <c r="AX1178" s="93"/>
      <c r="AY1178" s="93"/>
      <c r="AZ1178" s="93"/>
      <c r="BA1178" s="93"/>
      <c r="BB1178" s="93"/>
      <c r="BC1178" s="93"/>
      <c r="BD1178" s="93"/>
      <c r="BE1178" s="93"/>
      <c r="BF1178" s="93"/>
      <c r="BG1178" s="93"/>
      <c r="BH1178" s="93"/>
      <c r="BI1178" s="93"/>
      <c r="BJ1178" s="93"/>
      <c r="BK1178" s="93"/>
      <c r="BL1178" s="93"/>
      <c r="BM1178" s="93"/>
      <c r="BN1178" s="93"/>
      <c r="BO1178" s="93"/>
      <c r="BP1178" s="93"/>
      <c r="BQ1178" s="93"/>
      <c r="BR1178" s="93"/>
      <c r="BS1178" s="93"/>
      <c r="BT1178" s="93"/>
      <c r="BU1178" s="93"/>
      <c r="BV1178" s="93"/>
      <c r="BW1178" s="93"/>
      <c r="BX1178" s="93"/>
      <c r="BY1178" s="93"/>
      <c r="BZ1178" s="93"/>
    </row>
    <row r="1179">
      <c r="A1179" t="s">
        <v>116</v>
      </c>
      <c r="B1179" t="s">
        <v>4109</v>
      </c>
      <c r="C1179" s="89" t="s">
        <v>4110</v>
      </c>
      <c r="D1179" s="90" t="s">
        <v>2960</v>
      </c>
      <c r="E1179" s="91">
        <v>2017.0</v>
      </c>
      <c r="F1179" s="104">
        <v>1.0</v>
      </c>
      <c r="G1179" s="93"/>
      <c r="H1179" s="93"/>
      <c r="I1179" s="93"/>
      <c r="J1179" s="93"/>
      <c r="K1179" s="93"/>
      <c r="L1179" s="93"/>
      <c r="M1179" s="93"/>
      <c r="N1179" s="93"/>
      <c r="O1179" s="93"/>
      <c r="P1179" s="93"/>
      <c r="Q1179" s="93"/>
      <c r="R1179" s="93"/>
      <c r="S1179" s="93"/>
      <c r="T1179" s="93"/>
      <c r="U1179" s="93"/>
      <c r="V1179" s="93"/>
      <c r="W1179" s="93"/>
      <c r="X1179" s="93"/>
      <c r="Y1179" s="93"/>
      <c r="Z1179" s="93"/>
      <c r="AA1179" s="93"/>
      <c r="AB1179" s="93"/>
      <c r="AC1179" s="93"/>
      <c r="AD1179" s="93"/>
      <c r="AE1179" s="93"/>
      <c r="AF1179" s="93"/>
      <c r="AG1179" s="93"/>
      <c r="AH1179" s="93"/>
      <c r="AI1179" s="93"/>
      <c r="AJ1179" s="93"/>
      <c r="AK1179" s="93"/>
      <c r="AL1179" s="93"/>
      <c r="AM1179" s="93"/>
      <c r="AN1179" s="93"/>
      <c r="AO1179" s="93"/>
      <c r="AP1179" s="93"/>
      <c r="AQ1179" s="93"/>
      <c r="AR1179" s="93"/>
      <c r="AS1179" s="93"/>
      <c r="AT1179" s="93"/>
      <c r="AU1179" s="93"/>
      <c r="AV1179" s="93"/>
      <c r="AW1179" s="93"/>
      <c r="AX1179" s="93"/>
      <c r="AY1179" s="93"/>
      <c r="AZ1179" s="93"/>
      <c r="BA1179" s="93"/>
      <c r="BB1179" s="93"/>
      <c r="BC1179" s="93"/>
      <c r="BD1179" s="93"/>
      <c r="BE1179" s="93"/>
      <c r="BF1179" s="93"/>
      <c r="BG1179" s="93"/>
      <c r="BH1179" s="93"/>
      <c r="BI1179" s="93"/>
      <c r="BJ1179" s="93"/>
      <c r="BK1179" s="93"/>
      <c r="BL1179" s="93"/>
      <c r="BM1179" s="93"/>
      <c r="BN1179" s="93"/>
      <c r="BO1179" s="93"/>
      <c r="BP1179" s="93"/>
      <c r="BQ1179" s="93"/>
      <c r="BR1179" s="93"/>
      <c r="BS1179" s="93"/>
      <c r="BT1179" s="93"/>
      <c r="BU1179" s="93"/>
      <c r="BV1179" s="93"/>
      <c r="BW1179" s="93"/>
      <c r="BX1179" s="93"/>
      <c r="BY1179" s="93"/>
      <c r="BZ1179" s="93"/>
    </row>
    <row r="1180">
      <c r="B1180" t="s">
        <v>4111</v>
      </c>
      <c r="C1180" s="89" t="s">
        <v>4112</v>
      </c>
      <c r="D1180" s="90" t="s">
        <v>3022</v>
      </c>
      <c r="E1180" s="91">
        <v>2016.0</v>
      </c>
      <c r="F1180" s="104">
        <v>1.0</v>
      </c>
      <c r="G1180" s="93"/>
      <c r="H1180" s="93"/>
      <c r="I1180" s="93"/>
      <c r="J1180" s="93"/>
      <c r="K1180" s="93"/>
      <c r="L1180" s="93"/>
      <c r="M1180" s="93"/>
      <c r="N1180" s="93"/>
      <c r="O1180" s="93"/>
      <c r="P1180" s="93"/>
      <c r="Q1180" s="93"/>
      <c r="R1180" s="93"/>
      <c r="S1180" s="93"/>
      <c r="T1180" s="93"/>
      <c r="U1180" s="93"/>
      <c r="V1180" s="93"/>
      <c r="W1180" s="93"/>
      <c r="X1180" s="93"/>
      <c r="Y1180" s="93"/>
      <c r="Z1180" s="93"/>
      <c r="AA1180" s="93"/>
      <c r="AB1180" s="93"/>
      <c r="AC1180" s="93"/>
      <c r="AD1180" s="93"/>
      <c r="AE1180" s="93"/>
      <c r="AF1180" s="93"/>
      <c r="AG1180" s="93"/>
      <c r="AH1180" s="93"/>
      <c r="AI1180" s="93"/>
      <c r="AJ1180" s="93"/>
      <c r="AK1180" s="93"/>
      <c r="AL1180" s="93"/>
      <c r="AM1180" s="93"/>
      <c r="AN1180" s="93"/>
      <c r="AO1180" s="93"/>
      <c r="AP1180" s="93"/>
      <c r="AQ1180" s="93"/>
      <c r="AR1180" s="93"/>
      <c r="AS1180" s="93"/>
      <c r="AT1180" s="93"/>
      <c r="AU1180" s="93"/>
      <c r="AV1180" s="93"/>
      <c r="AW1180" s="93"/>
      <c r="AX1180" s="93"/>
      <c r="AY1180" s="93"/>
      <c r="AZ1180" s="93"/>
      <c r="BA1180" s="93"/>
      <c r="BB1180" s="93"/>
      <c r="BC1180" s="93"/>
      <c r="BD1180" s="93"/>
      <c r="BE1180" s="93"/>
      <c r="BF1180" s="93"/>
      <c r="BG1180" s="93"/>
      <c r="BH1180" s="93"/>
      <c r="BI1180" s="93"/>
      <c r="BJ1180" s="93"/>
      <c r="BK1180" s="93"/>
      <c r="BL1180" s="93"/>
      <c r="BM1180" s="93"/>
      <c r="BN1180" s="93"/>
      <c r="BO1180" s="93"/>
      <c r="BP1180" s="93"/>
      <c r="BQ1180" s="93"/>
      <c r="BR1180" s="93"/>
      <c r="BS1180" s="93"/>
      <c r="BT1180" s="93"/>
      <c r="BU1180" s="93"/>
      <c r="BV1180" s="93"/>
      <c r="BW1180" s="93"/>
      <c r="BX1180" s="93"/>
      <c r="BY1180" s="93"/>
      <c r="BZ1180" s="93"/>
    </row>
    <row r="1181">
      <c r="B1181" t="s">
        <v>4113</v>
      </c>
      <c r="C1181" s="89" t="s">
        <v>4114</v>
      </c>
      <c r="D1181" s="90" t="s">
        <v>4115</v>
      </c>
      <c r="E1181" s="91">
        <v>2020.0</v>
      </c>
      <c r="F1181" s="104">
        <v>1.0</v>
      </c>
      <c r="G1181" s="93"/>
      <c r="H1181" s="93"/>
      <c r="I1181" s="93"/>
      <c r="J1181" s="93"/>
      <c r="K1181" s="93"/>
      <c r="L1181" s="93"/>
      <c r="M1181" s="93"/>
      <c r="N1181" s="93"/>
      <c r="O1181" s="93"/>
      <c r="P1181" s="93"/>
      <c r="Q1181" s="93"/>
      <c r="R1181" s="93"/>
      <c r="S1181" s="93"/>
      <c r="T1181" s="93"/>
      <c r="U1181" s="93"/>
      <c r="V1181" s="93"/>
      <c r="W1181" s="93"/>
      <c r="X1181" s="93"/>
      <c r="Y1181" s="93"/>
      <c r="Z1181" s="93"/>
      <c r="AA1181" s="93"/>
      <c r="AB1181" s="93"/>
      <c r="AC1181" s="93"/>
      <c r="AD1181" s="93"/>
      <c r="AE1181" s="93"/>
      <c r="AF1181" s="93"/>
      <c r="AG1181" s="93"/>
      <c r="AH1181" s="93"/>
      <c r="AI1181" s="93"/>
      <c r="AJ1181" s="93"/>
      <c r="AK1181" s="93"/>
      <c r="AL1181" s="93"/>
      <c r="AM1181" s="93"/>
      <c r="AN1181" s="93"/>
      <c r="AO1181" s="93"/>
      <c r="AP1181" s="93"/>
      <c r="AQ1181" s="93"/>
      <c r="AR1181" s="93"/>
      <c r="AS1181" s="93"/>
      <c r="AT1181" s="93"/>
      <c r="AU1181" s="93"/>
      <c r="AV1181" s="93"/>
      <c r="AW1181" s="93"/>
      <c r="AX1181" s="93"/>
      <c r="AY1181" s="93"/>
      <c r="AZ1181" s="93"/>
      <c r="BA1181" s="93"/>
      <c r="BB1181" s="93"/>
      <c r="BC1181" s="93"/>
      <c r="BD1181" s="93"/>
      <c r="BE1181" s="93"/>
      <c r="BF1181" s="93"/>
      <c r="BG1181" s="93"/>
      <c r="BH1181" s="93"/>
      <c r="BI1181" s="93"/>
      <c r="BJ1181" s="93"/>
      <c r="BK1181" s="93"/>
      <c r="BL1181" s="93"/>
      <c r="BM1181" s="93"/>
      <c r="BN1181" s="93"/>
      <c r="BO1181" s="93"/>
      <c r="BP1181" s="93"/>
      <c r="BQ1181" s="93"/>
      <c r="BR1181" s="93"/>
      <c r="BS1181" s="93"/>
      <c r="BT1181" s="93"/>
      <c r="BU1181" s="93"/>
      <c r="BV1181" s="93"/>
      <c r="BW1181" s="93"/>
      <c r="BX1181" s="93"/>
      <c r="BY1181" s="93"/>
      <c r="BZ1181" s="93"/>
    </row>
    <row r="1182">
      <c r="B1182" t="s">
        <v>4116</v>
      </c>
      <c r="C1182" s="89" t="s">
        <v>4117</v>
      </c>
      <c r="D1182" s="90" t="s">
        <v>2874</v>
      </c>
      <c r="E1182" s="91">
        <v>2017.0</v>
      </c>
      <c r="F1182" s="104">
        <v>1.0</v>
      </c>
      <c r="G1182" s="93"/>
      <c r="H1182" s="93"/>
      <c r="I1182" s="93"/>
      <c r="J1182" s="93"/>
      <c r="K1182" s="93"/>
      <c r="L1182" s="93"/>
      <c r="M1182" s="93"/>
      <c r="N1182" s="93"/>
      <c r="O1182" s="93"/>
      <c r="P1182" s="93"/>
      <c r="Q1182" s="93"/>
      <c r="R1182" s="93"/>
      <c r="S1182" s="93"/>
      <c r="T1182" s="93"/>
      <c r="U1182" s="93"/>
      <c r="V1182" s="93"/>
      <c r="W1182" s="93"/>
      <c r="X1182" s="93"/>
      <c r="Y1182" s="93"/>
      <c r="Z1182" s="93"/>
      <c r="AA1182" s="93"/>
      <c r="AB1182" s="93"/>
      <c r="AC1182" s="93"/>
      <c r="AD1182" s="93"/>
      <c r="AE1182" s="93"/>
      <c r="AF1182" s="93"/>
      <c r="AG1182" s="93"/>
      <c r="AH1182" s="93"/>
      <c r="AI1182" s="93"/>
      <c r="AJ1182" s="93"/>
      <c r="AK1182" s="93"/>
      <c r="AL1182" s="93"/>
      <c r="AM1182" s="93"/>
      <c r="AN1182" s="93"/>
      <c r="AO1182" s="93"/>
      <c r="AP1182" s="93"/>
      <c r="AQ1182" s="93"/>
      <c r="AR1182" s="93"/>
      <c r="AS1182" s="93"/>
      <c r="AT1182" s="93"/>
      <c r="AU1182" s="93"/>
      <c r="AV1182" s="93"/>
      <c r="AW1182" s="93"/>
      <c r="AX1182" s="93"/>
      <c r="AY1182" s="93"/>
      <c r="AZ1182" s="93"/>
      <c r="BA1182" s="93"/>
      <c r="BB1182" s="93"/>
      <c r="BC1182" s="93"/>
      <c r="BD1182" s="93"/>
      <c r="BE1182" s="93"/>
      <c r="BF1182" s="93"/>
      <c r="BG1182" s="93"/>
      <c r="BH1182" s="93"/>
      <c r="BI1182" s="93"/>
      <c r="BJ1182" s="93"/>
      <c r="BK1182" s="93"/>
      <c r="BL1182" s="93"/>
      <c r="BM1182" s="93"/>
      <c r="BN1182" s="93"/>
      <c r="BO1182" s="93"/>
      <c r="BP1182" s="93"/>
      <c r="BQ1182" s="93"/>
      <c r="BR1182" s="93"/>
      <c r="BS1182" s="93"/>
      <c r="BT1182" s="93"/>
      <c r="BU1182" s="93"/>
      <c r="BV1182" s="93"/>
      <c r="BW1182" s="93"/>
      <c r="BX1182" s="93"/>
      <c r="BY1182" s="93"/>
      <c r="BZ1182" s="93"/>
    </row>
    <row r="1183">
      <c r="B1183" t="s">
        <v>4118</v>
      </c>
      <c r="C1183" s="89" t="s">
        <v>4119</v>
      </c>
      <c r="D1183" s="90" t="s">
        <v>3555</v>
      </c>
      <c r="E1183" s="91">
        <v>2020.0</v>
      </c>
      <c r="F1183" s="104">
        <v>1.0</v>
      </c>
      <c r="G1183" s="93"/>
      <c r="H1183" s="93"/>
      <c r="I1183" s="93"/>
      <c r="J1183" s="93"/>
      <c r="K1183" s="93"/>
      <c r="L1183" s="93"/>
      <c r="M1183" s="93"/>
      <c r="N1183" s="93"/>
      <c r="O1183" s="93"/>
      <c r="P1183" s="93"/>
      <c r="Q1183" s="93"/>
      <c r="R1183" s="93"/>
      <c r="S1183" s="93"/>
      <c r="T1183" s="93"/>
      <c r="U1183" s="93"/>
      <c r="V1183" s="93"/>
      <c r="W1183" s="93"/>
      <c r="X1183" s="93"/>
      <c r="Y1183" s="93"/>
      <c r="Z1183" s="93"/>
      <c r="AA1183" s="93"/>
      <c r="AB1183" s="93"/>
      <c r="AC1183" s="93"/>
      <c r="AD1183" s="93"/>
      <c r="AE1183" s="93"/>
      <c r="AF1183" s="93"/>
      <c r="AG1183" s="93"/>
      <c r="AH1183" s="93"/>
      <c r="AI1183" s="93"/>
      <c r="AJ1183" s="93"/>
      <c r="AK1183" s="93"/>
      <c r="AL1183" s="93"/>
      <c r="AM1183" s="93"/>
      <c r="AN1183" s="93"/>
      <c r="AO1183" s="93"/>
      <c r="AP1183" s="93"/>
      <c r="AQ1183" s="93"/>
      <c r="AR1183" s="93"/>
      <c r="AS1183" s="93"/>
      <c r="AT1183" s="93"/>
      <c r="AU1183" s="93"/>
      <c r="AV1183" s="93"/>
      <c r="AW1183" s="93"/>
      <c r="AX1183" s="93"/>
      <c r="AY1183" s="93"/>
      <c r="AZ1183" s="93"/>
      <c r="BA1183" s="93"/>
      <c r="BB1183" s="93"/>
      <c r="BC1183" s="93"/>
      <c r="BD1183" s="93"/>
      <c r="BE1183" s="93"/>
      <c r="BF1183" s="93"/>
      <c r="BG1183" s="93"/>
      <c r="BH1183" s="93"/>
      <c r="BI1183" s="93"/>
      <c r="BJ1183" s="93"/>
      <c r="BK1183" s="93"/>
      <c r="BL1183" s="93"/>
      <c r="BM1183" s="93"/>
      <c r="BN1183" s="93"/>
      <c r="BO1183" s="93"/>
      <c r="BP1183" s="93"/>
      <c r="BQ1183" s="93"/>
      <c r="BR1183" s="93"/>
      <c r="BS1183" s="93"/>
      <c r="BT1183" s="93"/>
      <c r="BU1183" s="93"/>
      <c r="BV1183" s="93"/>
      <c r="BW1183" s="93"/>
      <c r="BX1183" s="93"/>
      <c r="BY1183" s="93"/>
      <c r="BZ1183" s="93"/>
    </row>
    <row r="1184">
      <c r="B1184" t="s">
        <v>4120</v>
      </c>
      <c r="C1184" s="89" t="s">
        <v>4121</v>
      </c>
      <c r="D1184" s="90" t="s">
        <v>4122</v>
      </c>
      <c r="E1184" s="91">
        <v>2019.0</v>
      </c>
      <c r="F1184" s="104">
        <v>1.0</v>
      </c>
      <c r="G1184" s="93"/>
      <c r="H1184" s="93"/>
      <c r="I1184" s="93"/>
      <c r="J1184" s="93"/>
      <c r="K1184" s="93"/>
      <c r="L1184" s="93"/>
      <c r="M1184" s="93"/>
      <c r="N1184" s="93"/>
      <c r="O1184" s="93"/>
      <c r="P1184" s="93"/>
      <c r="Q1184" s="93"/>
      <c r="R1184" s="93"/>
      <c r="S1184" s="93"/>
      <c r="T1184" s="93"/>
      <c r="U1184" s="93"/>
      <c r="V1184" s="93"/>
      <c r="W1184" s="93"/>
      <c r="X1184" s="93"/>
      <c r="Y1184" s="93"/>
      <c r="Z1184" s="93"/>
      <c r="AA1184" s="93"/>
      <c r="AB1184" s="93"/>
      <c r="AC1184" s="93"/>
      <c r="AD1184" s="93"/>
      <c r="AE1184" s="93"/>
      <c r="AF1184" s="93"/>
      <c r="AG1184" s="93"/>
      <c r="AH1184" s="93"/>
      <c r="AI1184" s="93"/>
      <c r="AJ1184" s="93"/>
      <c r="AK1184" s="93"/>
      <c r="AL1184" s="93"/>
      <c r="AM1184" s="93"/>
      <c r="AN1184" s="93"/>
      <c r="AO1184" s="93"/>
      <c r="AP1184" s="93"/>
      <c r="AQ1184" s="93"/>
      <c r="AR1184" s="93"/>
      <c r="AS1184" s="93"/>
      <c r="AT1184" s="93"/>
      <c r="AU1184" s="93"/>
      <c r="AV1184" s="93"/>
      <c r="AW1184" s="93"/>
      <c r="AX1184" s="93"/>
      <c r="AY1184" s="93"/>
      <c r="AZ1184" s="93"/>
      <c r="BA1184" s="93"/>
      <c r="BB1184" s="93"/>
      <c r="BC1184" s="93"/>
      <c r="BD1184" s="93"/>
      <c r="BE1184" s="93"/>
      <c r="BF1184" s="93"/>
      <c r="BG1184" s="93"/>
      <c r="BH1184" s="93"/>
      <c r="BI1184" s="93"/>
      <c r="BJ1184" s="93"/>
      <c r="BK1184" s="93"/>
      <c r="BL1184" s="93"/>
      <c r="BM1184" s="93"/>
      <c r="BN1184" s="93"/>
      <c r="BO1184" s="93"/>
      <c r="BP1184" s="93"/>
      <c r="BQ1184" s="93"/>
      <c r="BR1184" s="93"/>
      <c r="BS1184" s="93"/>
      <c r="BT1184" s="93"/>
      <c r="BU1184" s="93"/>
      <c r="BV1184" s="93"/>
      <c r="BW1184" s="93"/>
      <c r="BX1184" s="93"/>
      <c r="BY1184" s="93"/>
      <c r="BZ1184" s="93"/>
    </row>
    <row r="1185">
      <c r="B1185" t="s">
        <v>4123</v>
      </c>
      <c r="C1185" s="89" t="s">
        <v>4124</v>
      </c>
      <c r="D1185" s="90" t="s">
        <v>4125</v>
      </c>
      <c r="E1185" s="91">
        <v>2019.0</v>
      </c>
      <c r="F1185" s="104">
        <v>1.0</v>
      </c>
      <c r="G1185" s="93"/>
      <c r="H1185" s="93"/>
      <c r="I1185" s="93"/>
      <c r="J1185" s="93"/>
      <c r="K1185" s="93"/>
      <c r="L1185" s="93"/>
      <c r="M1185" s="93"/>
      <c r="N1185" s="93"/>
      <c r="O1185" s="93"/>
      <c r="P1185" s="93"/>
      <c r="Q1185" s="93"/>
      <c r="R1185" s="93"/>
      <c r="S1185" s="93"/>
      <c r="T1185" s="93"/>
      <c r="U1185" s="93"/>
      <c r="V1185" s="93"/>
      <c r="W1185" s="93"/>
      <c r="X1185" s="93"/>
      <c r="Y1185" s="93"/>
      <c r="Z1185" s="93"/>
      <c r="AA1185" s="93"/>
      <c r="AB1185" s="93"/>
      <c r="AC1185" s="93"/>
      <c r="AD1185" s="93"/>
      <c r="AE1185" s="93"/>
      <c r="AF1185" s="93"/>
      <c r="AG1185" s="93"/>
      <c r="AH1185" s="93"/>
      <c r="AI1185" s="93"/>
      <c r="AJ1185" s="93"/>
      <c r="AK1185" s="93"/>
      <c r="AL1185" s="93"/>
      <c r="AM1185" s="93"/>
      <c r="AN1185" s="93"/>
      <c r="AO1185" s="93"/>
      <c r="AP1185" s="93"/>
      <c r="AQ1185" s="93"/>
      <c r="AR1185" s="93"/>
      <c r="AS1185" s="93"/>
      <c r="AT1185" s="93"/>
      <c r="AU1185" s="93"/>
      <c r="AV1185" s="93"/>
      <c r="AW1185" s="93"/>
      <c r="AX1185" s="93"/>
      <c r="AY1185" s="93"/>
      <c r="AZ1185" s="93"/>
      <c r="BA1185" s="93"/>
      <c r="BB1185" s="93"/>
      <c r="BC1185" s="93"/>
      <c r="BD1185" s="93"/>
      <c r="BE1185" s="93"/>
      <c r="BF1185" s="93"/>
      <c r="BG1185" s="93"/>
      <c r="BH1185" s="93"/>
      <c r="BI1185" s="93"/>
      <c r="BJ1185" s="93"/>
      <c r="BK1185" s="93"/>
      <c r="BL1185" s="93"/>
      <c r="BM1185" s="93"/>
      <c r="BN1185" s="93"/>
      <c r="BO1185" s="93"/>
      <c r="BP1185" s="93"/>
      <c r="BQ1185" s="93"/>
      <c r="BR1185" s="93"/>
      <c r="BS1185" s="93"/>
      <c r="BT1185" s="93"/>
      <c r="BU1185" s="93"/>
      <c r="BV1185" s="93"/>
      <c r="BW1185" s="93"/>
      <c r="BX1185" s="93"/>
      <c r="BY1185" s="93"/>
      <c r="BZ1185" s="93"/>
    </row>
    <row r="1186">
      <c r="B1186" t="s">
        <v>4126</v>
      </c>
      <c r="C1186" s="89" t="s">
        <v>696</v>
      </c>
      <c r="D1186" s="90" t="s">
        <v>697</v>
      </c>
      <c r="E1186" s="91">
        <v>2008.0</v>
      </c>
      <c r="F1186" s="105" t="s">
        <v>1777</v>
      </c>
      <c r="G1186" s="93"/>
      <c r="H1186" s="93"/>
      <c r="I1186" s="93"/>
      <c r="J1186" s="93"/>
      <c r="K1186" s="93"/>
      <c r="L1186" s="93"/>
      <c r="M1186" s="93"/>
      <c r="N1186" s="93"/>
      <c r="O1186" s="93"/>
      <c r="P1186" s="93"/>
      <c r="Q1186" s="93"/>
      <c r="R1186" s="93"/>
      <c r="S1186" s="93"/>
      <c r="T1186" s="93"/>
      <c r="U1186" s="93"/>
      <c r="V1186" s="93"/>
      <c r="W1186" s="93"/>
      <c r="X1186" s="93"/>
      <c r="Y1186" s="93"/>
      <c r="Z1186" s="93"/>
      <c r="AA1186" s="93"/>
      <c r="AB1186" s="93"/>
      <c r="AC1186" s="93"/>
      <c r="AD1186" s="93"/>
      <c r="AE1186" s="93"/>
      <c r="AF1186" s="93"/>
      <c r="AG1186" s="93"/>
      <c r="AH1186" s="93"/>
      <c r="AI1186" s="93"/>
      <c r="AJ1186" s="93"/>
      <c r="AK1186" s="93"/>
      <c r="AL1186" s="93"/>
      <c r="AM1186" s="93"/>
      <c r="AN1186" s="93"/>
      <c r="AO1186" s="93"/>
      <c r="AP1186" s="93"/>
      <c r="AQ1186" s="93"/>
      <c r="AR1186" s="93"/>
      <c r="AS1186" s="93"/>
      <c r="AT1186" s="93"/>
      <c r="AU1186" s="93"/>
      <c r="AV1186" s="93"/>
      <c r="AW1186" s="93"/>
      <c r="AX1186" s="93"/>
      <c r="AY1186" s="93"/>
      <c r="AZ1186" s="93"/>
      <c r="BA1186" s="93"/>
      <c r="BB1186" s="93"/>
      <c r="BC1186" s="93"/>
      <c r="BD1186" s="93"/>
      <c r="BE1186" s="93"/>
      <c r="BF1186" s="93"/>
      <c r="BG1186" s="93"/>
      <c r="BH1186" s="93"/>
      <c r="BI1186" s="93"/>
      <c r="BJ1186" s="93"/>
      <c r="BK1186" s="93"/>
      <c r="BL1186" s="93"/>
      <c r="BM1186" s="93"/>
      <c r="BN1186" s="93"/>
      <c r="BO1186" s="93"/>
      <c r="BP1186" s="93"/>
      <c r="BQ1186" s="93"/>
      <c r="BR1186" s="93"/>
      <c r="BS1186" s="93"/>
      <c r="BT1186" s="93"/>
      <c r="BU1186" s="93"/>
      <c r="BV1186" s="93"/>
      <c r="BW1186" s="93"/>
      <c r="BX1186" s="93"/>
      <c r="BY1186" s="93"/>
      <c r="BZ1186" s="93"/>
    </row>
    <row r="1187">
      <c r="B1187" t="s">
        <v>4127</v>
      </c>
      <c r="C1187" s="89" t="s">
        <v>4128</v>
      </c>
      <c r="D1187" s="90" t="s">
        <v>4129</v>
      </c>
      <c r="E1187" s="91">
        <v>2020.0</v>
      </c>
      <c r="F1187" s="104">
        <v>1.0</v>
      </c>
      <c r="G1187" s="93"/>
      <c r="H1187" s="93"/>
      <c r="I1187" s="93"/>
      <c r="J1187" s="93"/>
      <c r="K1187" s="93"/>
      <c r="L1187" s="93"/>
      <c r="M1187" s="93"/>
      <c r="N1187" s="93"/>
      <c r="O1187" s="93"/>
      <c r="P1187" s="93"/>
      <c r="Q1187" s="93"/>
      <c r="R1187" s="93"/>
      <c r="S1187" s="93"/>
      <c r="T1187" s="93"/>
      <c r="U1187" s="93"/>
      <c r="V1187" s="93"/>
      <c r="W1187" s="93"/>
      <c r="X1187" s="93"/>
      <c r="Y1187" s="93"/>
      <c r="Z1187" s="93"/>
      <c r="AA1187" s="93"/>
      <c r="AB1187" s="93"/>
      <c r="AC1187" s="93"/>
      <c r="AD1187" s="93"/>
      <c r="AE1187" s="93"/>
      <c r="AF1187" s="93"/>
      <c r="AG1187" s="93"/>
      <c r="AH1187" s="93"/>
      <c r="AI1187" s="93"/>
      <c r="AJ1187" s="93"/>
      <c r="AK1187" s="93"/>
      <c r="AL1187" s="93"/>
      <c r="AM1187" s="93"/>
      <c r="AN1187" s="93"/>
      <c r="AO1187" s="93"/>
      <c r="AP1187" s="93"/>
      <c r="AQ1187" s="93"/>
      <c r="AR1187" s="93"/>
      <c r="AS1187" s="93"/>
      <c r="AT1187" s="93"/>
      <c r="AU1187" s="93"/>
      <c r="AV1187" s="93"/>
      <c r="AW1187" s="93"/>
      <c r="AX1187" s="93"/>
      <c r="AY1187" s="93"/>
      <c r="AZ1187" s="93"/>
      <c r="BA1187" s="93"/>
      <c r="BB1187" s="93"/>
      <c r="BC1187" s="93"/>
      <c r="BD1187" s="93"/>
      <c r="BE1187" s="93"/>
      <c r="BF1187" s="93"/>
      <c r="BG1187" s="93"/>
      <c r="BH1187" s="93"/>
      <c r="BI1187" s="93"/>
      <c r="BJ1187" s="93"/>
      <c r="BK1187" s="93"/>
      <c r="BL1187" s="93"/>
      <c r="BM1187" s="93"/>
      <c r="BN1187" s="93"/>
      <c r="BO1187" s="93"/>
      <c r="BP1187" s="93"/>
      <c r="BQ1187" s="93"/>
      <c r="BR1187" s="93"/>
      <c r="BS1187" s="93"/>
      <c r="BT1187" s="93"/>
      <c r="BU1187" s="93"/>
      <c r="BV1187" s="93"/>
      <c r="BW1187" s="93"/>
      <c r="BX1187" s="93"/>
      <c r="BY1187" s="93"/>
      <c r="BZ1187" s="93"/>
    </row>
    <row r="1188">
      <c r="B1188" t="s">
        <v>4130</v>
      </c>
      <c r="C1188" s="89" t="s">
        <v>4131</v>
      </c>
      <c r="D1188" s="90" t="s">
        <v>4129</v>
      </c>
      <c r="E1188" s="91">
        <v>2020.0</v>
      </c>
      <c r="F1188" s="104">
        <v>1.0</v>
      </c>
      <c r="G1188" s="93"/>
      <c r="H1188" s="93"/>
      <c r="I1188" s="93"/>
      <c r="J1188" s="93"/>
      <c r="K1188" s="93"/>
      <c r="L1188" s="93"/>
      <c r="M1188" s="93"/>
      <c r="N1188" s="93"/>
      <c r="O1188" s="93"/>
      <c r="P1188" s="93"/>
      <c r="Q1188" s="93"/>
      <c r="R1188" s="93"/>
      <c r="S1188" s="93"/>
      <c r="T1188" s="93"/>
      <c r="U1188" s="93"/>
      <c r="V1188" s="93"/>
      <c r="W1188" s="93"/>
      <c r="X1188" s="93"/>
      <c r="Y1188" s="93"/>
      <c r="Z1188" s="93"/>
      <c r="AA1188" s="93"/>
      <c r="AB1188" s="93"/>
      <c r="AC1188" s="93"/>
      <c r="AD1188" s="93"/>
      <c r="AE1188" s="93"/>
      <c r="AF1188" s="93"/>
      <c r="AG1188" s="93"/>
      <c r="AH1188" s="93"/>
      <c r="AI1188" s="93"/>
      <c r="AJ1188" s="93"/>
      <c r="AK1188" s="93"/>
      <c r="AL1188" s="93"/>
      <c r="AM1188" s="93"/>
      <c r="AN1188" s="93"/>
      <c r="AO1188" s="93"/>
      <c r="AP1188" s="93"/>
      <c r="AQ1188" s="93"/>
      <c r="AR1188" s="93"/>
      <c r="AS1188" s="93"/>
      <c r="AT1188" s="93"/>
      <c r="AU1188" s="93"/>
      <c r="AV1188" s="93"/>
      <c r="AW1188" s="93"/>
      <c r="AX1188" s="93"/>
      <c r="AY1188" s="93"/>
      <c r="AZ1188" s="93"/>
      <c r="BA1188" s="93"/>
      <c r="BB1188" s="93"/>
      <c r="BC1188" s="93"/>
      <c r="BD1188" s="93"/>
      <c r="BE1188" s="93"/>
      <c r="BF1188" s="93"/>
      <c r="BG1188" s="93"/>
      <c r="BH1188" s="93"/>
      <c r="BI1188" s="93"/>
      <c r="BJ1188" s="93"/>
      <c r="BK1188" s="93"/>
      <c r="BL1188" s="93"/>
      <c r="BM1188" s="93"/>
      <c r="BN1188" s="93"/>
      <c r="BO1188" s="93"/>
      <c r="BP1188" s="93"/>
      <c r="BQ1188" s="93"/>
      <c r="BR1188" s="93"/>
      <c r="BS1188" s="93"/>
      <c r="BT1188" s="93"/>
      <c r="BU1188" s="93"/>
      <c r="BV1188" s="93"/>
      <c r="BW1188" s="93"/>
      <c r="BX1188" s="93"/>
      <c r="BY1188" s="93"/>
      <c r="BZ1188" s="93"/>
    </row>
    <row r="1189">
      <c r="B1189" t="s">
        <v>4132</v>
      </c>
      <c r="C1189" s="89" t="s">
        <v>4133</v>
      </c>
      <c r="D1189" s="90" t="s">
        <v>4129</v>
      </c>
      <c r="E1189" s="91">
        <v>2020.0</v>
      </c>
      <c r="F1189" s="104">
        <v>1.0</v>
      </c>
      <c r="G1189" s="93"/>
      <c r="H1189" s="93"/>
      <c r="I1189" s="93"/>
      <c r="J1189" s="93"/>
      <c r="K1189" s="93"/>
      <c r="L1189" s="93"/>
      <c r="M1189" s="93"/>
      <c r="N1189" s="93"/>
      <c r="O1189" s="93"/>
      <c r="P1189" s="93"/>
      <c r="Q1189" s="93"/>
      <c r="R1189" s="93"/>
      <c r="S1189" s="93"/>
      <c r="T1189" s="93"/>
      <c r="U1189" s="93"/>
      <c r="V1189" s="93"/>
      <c r="W1189" s="93"/>
      <c r="X1189" s="93"/>
      <c r="Y1189" s="93"/>
      <c r="Z1189" s="93"/>
      <c r="AA1189" s="93"/>
      <c r="AB1189" s="93"/>
      <c r="AC1189" s="93"/>
      <c r="AD1189" s="93"/>
      <c r="AE1189" s="93"/>
      <c r="AF1189" s="93"/>
      <c r="AG1189" s="93"/>
      <c r="AH1189" s="93"/>
      <c r="AI1189" s="93"/>
      <c r="AJ1189" s="93"/>
      <c r="AK1189" s="93"/>
      <c r="AL1189" s="93"/>
      <c r="AM1189" s="93"/>
      <c r="AN1189" s="93"/>
      <c r="AO1189" s="93"/>
      <c r="AP1189" s="93"/>
      <c r="AQ1189" s="93"/>
      <c r="AR1189" s="93"/>
      <c r="AS1189" s="93"/>
      <c r="AT1189" s="93"/>
      <c r="AU1189" s="93"/>
      <c r="AV1189" s="93"/>
      <c r="AW1189" s="93"/>
      <c r="AX1189" s="93"/>
      <c r="AY1189" s="93"/>
      <c r="AZ1189" s="93"/>
      <c r="BA1189" s="93"/>
      <c r="BB1189" s="93"/>
      <c r="BC1189" s="93"/>
      <c r="BD1189" s="93"/>
      <c r="BE1189" s="93"/>
      <c r="BF1189" s="93"/>
      <c r="BG1189" s="93"/>
      <c r="BH1189" s="93"/>
      <c r="BI1189" s="93"/>
      <c r="BJ1189" s="93"/>
      <c r="BK1189" s="93"/>
      <c r="BL1189" s="93"/>
      <c r="BM1189" s="93"/>
      <c r="BN1189" s="93"/>
      <c r="BO1189" s="93"/>
      <c r="BP1189" s="93"/>
      <c r="BQ1189" s="93"/>
      <c r="BR1189" s="93"/>
      <c r="BS1189" s="93"/>
      <c r="BT1189" s="93"/>
      <c r="BU1189" s="93"/>
      <c r="BV1189" s="93"/>
      <c r="BW1189" s="93"/>
      <c r="BX1189" s="93"/>
      <c r="BY1189" s="93"/>
      <c r="BZ1189" s="93"/>
    </row>
    <row r="1190">
      <c r="B1190" t="s">
        <v>4134</v>
      </c>
      <c r="C1190" s="89" t="s">
        <v>4135</v>
      </c>
      <c r="D1190" s="90" t="s">
        <v>4136</v>
      </c>
      <c r="E1190" s="91">
        <v>2020.0</v>
      </c>
      <c r="F1190" s="104">
        <v>1.0</v>
      </c>
      <c r="G1190" s="93"/>
      <c r="H1190" s="93"/>
      <c r="I1190" s="93"/>
      <c r="J1190" s="93"/>
      <c r="K1190" s="93"/>
      <c r="L1190" s="93"/>
      <c r="M1190" s="93"/>
      <c r="N1190" s="93"/>
      <c r="O1190" s="93"/>
      <c r="P1190" s="93"/>
      <c r="Q1190" s="93"/>
      <c r="R1190" s="93"/>
      <c r="S1190" s="93"/>
      <c r="T1190" s="93"/>
      <c r="U1190" s="93"/>
      <c r="V1190" s="93"/>
      <c r="W1190" s="93"/>
      <c r="X1190" s="93"/>
      <c r="Y1190" s="93"/>
      <c r="Z1190" s="93"/>
      <c r="AA1190" s="93"/>
      <c r="AB1190" s="93"/>
      <c r="AC1190" s="93"/>
      <c r="AD1190" s="93"/>
      <c r="AE1190" s="93"/>
      <c r="AF1190" s="93"/>
      <c r="AG1190" s="93"/>
      <c r="AH1190" s="93"/>
      <c r="AI1190" s="93"/>
      <c r="AJ1190" s="93"/>
      <c r="AK1190" s="93"/>
      <c r="AL1190" s="93"/>
      <c r="AM1190" s="93"/>
      <c r="AN1190" s="93"/>
      <c r="AO1190" s="93"/>
      <c r="AP1190" s="93"/>
      <c r="AQ1190" s="93"/>
      <c r="AR1190" s="93"/>
      <c r="AS1190" s="93"/>
      <c r="AT1190" s="93"/>
      <c r="AU1190" s="93"/>
      <c r="AV1190" s="93"/>
      <c r="AW1190" s="93"/>
      <c r="AX1190" s="93"/>
      <c r="AY1190" s="93"/>
      <c r="AZ1190" s="93"/>
      <c r="BA1190" s="93"/>
      <c r="BB1190" s="93"/>
      <c r="BC1190" s="93"/>
      <c r="BD1190" s="93"/>
      <c r="BE1190" s="93"/>
      <c r="BF1190" s="93"/>
      <c r="BG1190" s="93"/>
      <c r="BH1190" s="93"/>
      <c r="BI1190" s="93"/>
      <c r="BJ1190" s="93"/>
      <c r="BK1190" s="93"/>
      <c r="BL1190" s="93"/>
      <c r="BM1190" s="93"/>
      <c r="BN1190" s="93"/>
      <c r="BO1190" s="93"/>
      <c r="BP1190" s="93"/>
      <c r="BQ1190" s="93"/>
      <c r="BR1190" s="93"/>
      <c r="BS1190" s="93"/>
      <c r="BT1190" s="93"/>
      <c r="BU1190" s="93"/>
      <c r="BV1190" s="93"/>
      <c r="BW1190" s="93"/>
      <c r="BX1190" s="93"/>
      <c r="BY1190" s="93"/>
      <c r="BZ1190" s="93"/>
    </row>
    <row r="1191">
      <c r="B1191" t="s">
        <v>4137</v>
      </c>
      <c r="C1191" s="89" t="s">
        <v>4138</v>
      </c>
      <c r="D1191" s="90" t="s">
        <v>4129</v>
      </c>
      <c r="E1191" s="91">
        <v>2020.0</v>
      </c>
      <c r="F1191" s="104">
        <v>1.0</v>
      </c>
      <c r="G1191" s="93"/>
      <c r="H1191" s="93"/>
      <c r="I1191" s="93"/>
      <c r="J1191" s="93"/>
      <c r="K1191" s="93"/>
      <c r="L1191" s="93"/>
      <c r="M1191" s="93"/>
      <c r="N1191" s="93"/>
      <c r="O1191" s="93"/>
      <c r="P1191" s="93"/>
      <c r="Q1191" s="93"/>
      <c r="R1191" s="93"/>
      <c r="S1191" s="93"/>
      <c r="T1191" s="93"/>
      <c r="U1191" s="93"/>
      <c r="V1191" s="93"/>
      <c r="W1191" s="93"/>
      <c r="X1191" s="93"/>
      <c r="Y1191" s="93"/>
      <c r="Z1191" s="93"/>
      <c r="AA1191" s="93"/>
      <c r="AB1191" s="93"/>
      <c r="AC1191" s="93"/>
      <c r="AD1191" s="93"/>
      <c r="AE1191" s="93"/>
      <c r="AF1191" s="93"/>
      <c r="AG1191" s="93"/>
      <c r="AH1191" s="93"/>
      <c r="AI1191" s="93"/>
      <c r="AJ1191" s="93"/>
      <c r="AK1191" s="93"/>
      <c r="AL1191" s="93"/>
      <c r="AM1191" s="93"/>
      <c r="AN1191" s="93"/>
      <c r="AO1191" s="93"/>
      <c r="AP1191" s="93"/>
      <c r="AQ1191" s="93"/>
      <c r="AR1191" s="93"/>
      <c r="AS1191" s="93"/>
      <c r="AT1191" s="93"/>
      <c r="AU1191" s="93"/>
      <c r="AV1191" s="93"/>
      <c r="AW1191" s="93"/>
      <c r="AX1191" s="93"/>
      <c r="AY1191" s="93"/>
      <c r="AZ1191" s="93"/>
      <c r="BA1191" s="93"/>
      <c r="BB1191" s="93"/>
      <c r="BC1191" s="93"/>
      <c r="BD1191" s="93"/>
      <c r="BE1191" s="93"/>
      <c r="BF1191" s="93"/>
      <c r="BG1191" s="93"/>
      <c r="BH1191" s="93"/>
      <c r="BI1191" s="93"/>
      <c r="BJ1191" s="93"/>
      <c r="BK1191" s="93"/>
      <c r="BL1191" s="93"/>
      <c r="BM1191" s="93"/>
      <c r="BN1191" s="93"/>
      <c r="BO1191" s="93"/>
      <c r="BP1191" s="93"/>
      <c r="BQ1191" s="93"/>
      <c r="BR1191" s="93"/>
      <c r="BS1191" s="93"/>
      <c r="BT1191" s="93"/>
      <c r="BU1191" s="93"/>
      <c r="BV1191" s="93"/>
      <c r="BW1191" s="93"/>
      <c r="BX1191" s="93"/>
      <c r="BY1191" s="93"/>
      <c r="BZ1191" s="93"/>
    </row>
    <row r="1192">
      <c r="B1192" t="s">
        <v>4139</v>
      </c>
      <c r="C1192" s="89" t="s">
        <v>4140</v>
      </c>
      <c r="D1192" s="90" t="s">
        <v>1128</v>
      </c>
      <c r="E1192" s="91">
        <v>2020.0</v>
      </c>
      <c r="F1192" s="104">
        <v>1.0</v>
      </c>
      <c r="G1192" s="93"/>
      <c r="H1192" s="93"/>
      <c r="I1192" s="93"/>
      <c r="J1192" s="93"/>
      <c r="K1192" s="93"/>
      <c r="L1192" s="93"/>
      <c r="M1192" s="93"/>
      <c r="N1192" s="93"/>
      <c r="O1192" s="93"/>
      <c r="P1192" s="93"/>
      <c r="Q1192" s="93"/>
      <c r="R1192" s="93"/>
      <c r="S1192" s="93"/>
      <c r="T1192" s="93"/>
      <c r="U1192" s="93"/>
      <c r="V1192" s="93"/>
      <c r="W1192" s="93"/>
      <c r="X1192" s="93"/>
      <c r="Y1192" s="93"/>
      <c r="Z1192" s="93"/>
      <c r="AA1192" s="93"/>
      <c r="AB1192" s="93"/>
      <c r="AC1192" s="93"/>
      <c r="AD1192" s="93"/>
      <c r="AE1192" s="93"/>
      <c r="AF1192" s="93"/>
      <c r="AG1192" s="93"/>
      <c r="AH1192" s="93"/>
      <c r="AI1192" s="93"/>
      <c r="AJ1192" s="93"/>
      <c r="AK1192" s="93"/>
      <c r="AL1192" s="93"/>
      <c r="AM1192" s="93"/>
      <c r="AN1192" s="93"/>
      <c r="AO1192" s="93"/>
      <c r="AP1192" s="93"/>
      <c r="AQ1192" s="93"/>
      <c r="AR1192" s="93"/>
      <c r="AS1192" s="93"/>
      <c r="AT1192" s="93"/>
      <c r="AU1192" s="93"/>
      <c r="AV1192" s="93"/>
      <c r="AW1192" s="93"/>
      <c r="AX1192" s="93"/>
      <c r="AY1192" s="93"/>
      <c r="AZ1192" s="93"/>
      <c r="BA1192" s="93"/>
      <c r="BB1192" s="93"/>
      <c r="BC1192" s="93"/>
      <c r="BD1192" s="93"/>
      <c r="BE1192" s="93"/>
      <c r="BF1192" s="93"/>
      <c r="BG1192" s="93"/>
      <c r="BH1192" s="93"/>
      <c r="BI1192" s="93"/>
      <c r="BJ1192" s="93"/>
      <c r="BK1192" s="93"/>
      <c r="BL1192" s="93"/>
      <c r="BM1192" s="93"/>
      <c r="BN1192" s="93"/>
      <c r="BO1192" s="93"/>
      <c r="BP1192" s="93"/>
      <c r="BQ1192" s="93"/>
      <c r="BR1192" s="93"/>
      <c r="BS1192" s="93"/>
      <c r="BT1192" s="93"/>
      <c r="BU1192" s="93"/>
      <c r="BV1192" s="93"/>
      <c r="BW1192" s="93"/>
      <c r="BX1192" s="93"/>
      <c r="BY1192" s="93"/>
      <c r="BZ1192" s="93"/>
    </row>
    <row r="1193">
      <c r="B1193" t="s">
        <v>4141</v>
      </c>
      <c r="C1193" s="89" t="s">
        <v>4142</v>
      </c>
      <c r="D1193" s="90" t="s">
        <v>4136</v>
      </c>
      <c r="E1193" s="91">
        <v>2019.0</v>
      </c>
      <c r="F1193" s="104">
        <v>1.0</v>
      </c>
      <c r="G1193" s="93"/>
      <c r="H1193" s="93"/>
      <c r="I1193" s="93"/>
      <c r="J1193" s="93"/>
      <c r="K1193" s="93"/>
      <c r="L1193" s="93"/>
      <c r="M1193" s="93"/>
      <c r="N1193" s="93"/>
      <c r="O1193" s="93"/>
      <c r="P1193" s="93"/>
      <c r="Q1193" s="93"/>
      <c r="R1193" s="93"/>
      <c r="S1193" s="93"/>
      <c r="T1193" s="93"/>
      <c r="U1193" s="93"/>
      <c r="V1193" s="93"/>
      <c r="W1193" s="93"/>
      <c r="X1193" s="93"/>
      <c r="Y1193" s="93"/>
      <c r="Z1193" s="93"/>
      <c r="AA1193" s="93"/>
      <c r="AB1193" s="93"/>
      <c r="AC1193" s="93"/>
      <c r="AD1193" s="93"/>
      <c r="AE1193" s="93"/>
      <c r="AF1193" s="93"/>
      <c r="AG1193" s="93"/>
      <c r="AH1193" s="93"/>
      <c r="AI1193" s="93"/>
      <c r="AJ1193" s="93"/>
      <c r="AK1193" s="93"/>
      <c r="AL1193" s="93"/>
      <c r="AM1193" s="93"/>
      <c r="AN1193" s="93"/>
      <c r="AO1193" s="93"/>
      <c r="AP1193" s="93"/>
      <c r="AQ1193" s="93"/>
      <c r="AR1193" s="93"/>
      <c r="AS1193" s="93"/>
      <c r="AT1193" s="93"/>
      <c r="AU1193" s="93"/>
      <c r="AV1193" s="93"/>
      <c r="AW1193" s="93"/>
      <c r="AX1193" s="93"/>
      <c r="AY1193" s="93"/>
      <c r="AZ1193" s="93"/>
      <c r="BA1193" s="93"/>
      <c r="BB1193" s="93"/>
      <c r="BC1193" s="93"/>
      <c r="BD1193" s="93"/>
      <c r="BE1193" s="93"/>
      <c r="BF1193" s="93"/>
      <c r="BG1193" s="93"/>
      <c r="BH1193" s="93"/>
      <c r="BI1193" s="93"/>
      <c r="BJ1193" s="93"/>
      <c r="BK1193" s="93"/>
      <c r="BL1193" s="93"/>
      <c r="BM1193" s="93"/>
      <c r="BN1193" s="93"/>
      <c r="BO1193" s="93"/>
      <c r="BP1193" s="93"/>
      <c r="BQ1193" s="93"/>
      <c r="BR1193" s="93"/>
      <c r="BS1193" s="93"/>
      <c r="BT1193" s="93"/>
      <c r="BU1193" s="93"/>
      <c r="BV1193" s="93"/>
      <c r="BW1193" s="93"/>
      <c r="BX1193" s="93"/>
      <c r="BY1193" s="93"/>
      <c r="BZ1193" s="93"/>
    </row>
    <row r="1194">
      <c r="A1194" t="s">
        <v>1331</v>
      </c>
      <c r="B1194" t="s">
        <v>4143</v>
      </c>
      <c r="C1194" s="89" t="s">
        <v>4144</v>
      </c>
      <c r="D1194" s="90" t="s">
        <v>1128</v>
      </c>
      <c r="E1194" s="91">
        <v>2019.0</v>
      </c>
      <c r="F1194" s="104">
        <v>1.0</v>
      </c>
      <c r="G1194" s="93"/>
      <c r="H1194" s="93"/>
      <c r="I1194" s="93"/>
      <c r="J1194" s="93"/>
      <c r="K1194" s="93"/>
      <c r="L1194" s="93"/>
      <c r="M1194" s="93"/>
      <c r="N1194" s="93"/>
      <c r="O1194" s="93"/>
      <c r="P1194" s="93"/>
      <c r="Q1194" s="93"/>
      <c r="R1194" s="93"/>
      <c r="S1194" s="93"/>
      <c r="T1194" s="93"/>
      <c r="U1194" s="93"/>
      <c r="V1194" s="93"/>
      <c r="W1194" s="93"/>
      <c r="X1194" s="93"/>
      <c r="Y1194" s="93"/>
      <c r="Z1194" s="93"/>
      <c r="AA1194" s="93"/>
      <c r="AB1194" s="93"/>
      <c r="AC1194" s="93"/>
      <c r="AD1194" s="93"/>
      <c r="AE1194" s="93"/>
      <c r="AF1194" s="93"/>
      <c r="AG1194" s="93"/>
      <c r="AH1194" s="93"/>
      <c r="AI1194" s="93"/>
      <c r="AJ1194" s="93"/>
      <c r="AK1194" s="93"/>
      <c r="AL1194" s="93"/>
      <c r="AM1194" s="93"/>
      <c r="AN1194" s="93"/>
      <c r="AO1194" s="93"/>
      <c r="AP1194" s="93"/>
      <c r="AQ1194" s="93"/>
      <c r="AR1194" s="93"/>
      <c r="AS1194" s="93"/>
      <c r="AT1194" s="93"/>
      <c r="AU1194" s="93"/>
      <c r="AV1194" s="93"/>
      <c r="AW1194" s="93"/>
      <c r="AX1194" s="93"/>
      <c r="AY1194" s="93"/>
      <c r="AZ1194" s="93"/>
      <c r="BA1194" s="93"/>
      <c r="BB1194" s="93"/>
      <c r="BC1194" s="93"/>
      <c r="BD1194" s="93"/>
      <c r="BE1194" s="93"/>
      <c r="BF1194" s="93"/>
      <c r="BG1194" s="93"/>
      <c r="BH1194" s="93"/>
      <c r="BI1194" s="93"/>
      <c r="BJ1194" s="93"/>
      <c r="BK1194" s="93"/>
      <c r="BL1194" s="93"/>
      <c r="BM1194" s="93"/>
      <c r="BN1194" s="93"/>
      <c r="BO1194" s="93"/>
      <c r="BP1194" s="93"/>
      <c r="BQ1194" s="93"/>
      <c r="BR1194" s="93"/>
      <c r="BS1194" s="93"/>
      <c r="BT1194" s="93"/>
      <c r="BU1194" s="93"/>
      <c r="BV1194" s="93"/>
      <c r="BW1194" s="93"/>
      <c r="BX1194" s="93"/>
      <c r="BY1194" s="93"/>
      <c r="BZ1194" s="93"/>
    </row>
    <row r="1195">
      <c r="B1195" t="s">
        <v>4145</v>
      </c>
      <c r="C1195" s="89" t="s">
        <v>4146</v>
      </c>
      <c r="D1195" s="90" t="s">
        <v>4147</v>
      </c>
      <c r="E1195" s="91">
        <v>2019.0</v>
      </c>
      <c r="F1195" s="104">
        <v>1.0</v>
      </c>
      <c r="G1195" s="93"/>
      <c r="H1195" s="93"/>
      <c r="I1195" s="93"/>
      <c r="J1195" s="93"/>
      <c r="K1195" s="93"/>
      <c r="L1195" s="93"/>
      <c r="M1195" s="93"/>
      <c r="N1195" s="93"/>
      <c r="O1195" s="93"/>
      <c r="P1195" s="93"/>
      <c r="Q1195" s="93"/>
      <c r="R1195" s="93"/>
      <c r="S1195" s="93"/>
      <c r="T1195" s="93"/>
      <c r="U1195" s="93"/>
      <c r="V1195" s="93"/>
      <c r="W1195" s="93"/>
      <c r="X1195" s="93"/>
      <c r="Y1195" s="93"/>
      <c r="Z1195" s="93"/>
      <c r="AA1195" s="93"/>
      <c r="AB1195" s="93"/>
      <c r="AC1195" s="93"/>
      <c r="AD1195" s="93"/>
      <c r="AE1195" s="93"/>
      <c r="AF1195" s="93"/>
      <c r="AG1195" s="93"/>
      <c r="AH1195" s="93"/>
      <c r="AI1195" s="93"/>
      <c r="AJ1195" s="93"/>
      <c r="AK1195" s="93"/>
      <c r="AL1195" s="93"/>
      <c r="AM1195" s="93"/>
      <c r="AN1195" s="93"/>
      <c r="AO1195" s="93"/>
      <c r="AP1195" s="93"/>
      <c r="AQ1195" s="93"/>
      <c r="AR1195" s="93"/>
      <c r="AS1195" s="93"/>
      <c r="AT1195" s="93"/>
      <c r="AU1195" s="93"/>
      <c r="AV1195" s="93"/>
      <c r="AW1195" s="93"/>
      <c r="AX1195" s="93"/>
      <c r="AY1195" s="93"/>
      <c r="AZ1195" s="93"/>
      <c r="BA1195" s="93"/>
      <c r="BB1195" s="93"/>
      <c r="BC1195" s="93"/>
      <c r="BD1195" s="93"/>
      <c r="BE1195" s="93"/>
      <c r="BF1195" s="93"/>
      <c r="BG1195" s="93"/>
      <c r="BH1195" s="93"/>
      <c r="BI1195" s="93"/>
      <c r="BJ1195" s="93"/>
      <c r="BK1195" s="93"/>
      <c r="BL1195" s="93"/>
      <c r="BM1195" s="93"/>
      <c r="BN1195" s="93"/>
      <c r="BO1195" s="93"/>
      <c r="BP1195" s="93"/>
      <c r="BQ1195" s="93"/>
      <c r="BR1195" s="93"/>
      <c r="BS1195" s="93"/>
      <c r="BT1195" s="93"/>
      <c r="BU1195" s="93"/>
      <c r="BV1195" s="93"/>
      <c r="BW1195" s="93"/>
      <c r="BX1195" s="93"/>
      <c r="BY1195" s="93"/>
      <c r="BZ1195" s="93"/>
    </row>
    <row r="1196">
      <c r="B1196" t="s">
        <v>4148</v>
      </c>
      <c r="C1196" s="89" t="s">
        <v>4149</v>
      </c>
      <c r="D1196" s="90" t="s">
        <v>4129</v>
      </c>
      <c r="E1196" s="91">
        <v>2020.0</v>
      </c>
      <c r="F1196" s="104">
        <v>1.0</v>
      </c>
      <c r="G1196" s="93"/>
      <c r="H1196" s="93"/>
      <c r="I1196" s="93"/>
      <c r="J1196" s="93"/>
      <c r="K1196" s="93"/>
      <c r="L1196" s="93"/>
      <c r="M1196" s="93"/>
      <c r="N1196" s="93"/>
      <c r="O1196" s="93"/>
      <c r="P1196" s="93"/>
      <c r="Q1196" s="93"/>
      <c r="R1196" s="93"/>
      <c r="S1196" s="93"/>
      <c r="T1196" s="93"/>
      <c r="U1196" s="93"/>
      <c r="V1196" s="93"/>
      <c r="W1196" s="93"/>
      <c r="X1196" s="93"/>
      <c r="Y1196" s="93"/>
      <c r="Z1196" s="93"/>
      <c r="AA1196" s="93"/>
      <c r="AB1196" s="93"/>
      <c r="AC1196" s="93"/>
      <c r="AD1196" s="93"/>
      <c r="AE1196" s="93"/>
      <c r="AF1196" s="93"/>
      <c r="AG1196" s="93"/>
      <c r="AH1196" s="93"/>
      <c r="AI1196" s="93"/>
      <c r="AJ1196" s="93"/>
      <c r="AK1196" s="93"/>
      <c r="AL1196" s="93"/>
      <c r="AM1196" s="93"/>
      <c r="AN1196" s="93"/>
      <c r="AO1196" s="93"/>
      <c r="AP1196" s="93"/>
      <c r="AQ1196" s="93"/>
      <c r="AR1196" s="93"/>
      <c r="AS1196" s="93"/>
      <c r="AT1196" s="93"/>
      <c r="AU1196" s="93"/>
      <c r="AV1196" s="93"/>
      <c r="AW1196" s="93"/>
      <c r="AX1196" s="93"/>
      <c r="AY1196" s="93"/>
      <c r="AZ1196" s="93"/>
      <c r="BA1196" s="93"/>
      <c r="BB1196" s="93"/>
      <c r="BC1196" s="93"/>
      <c r="BD1196" s="93"/>
      <c r="BE1196" s="93"/>
      <c r="BF1196" s="93"/>
      <c r="BG1196" s="93"/>
      <c r="BH1196" s="93"/>
      <c r="BI1196" s="93"/>
      <c r="BJ1196" s="93"/>
      <c r="BK1196" s="93"/>
      <c r="BL1196" s="93"/>
      <c r="BM1196" s="93"/>
      <c r="BN1196" s="93"/>
      <c r="BO1196" s="93"/>
      <c r="BP1196" s="93"/>
      <c r="BQ1196" s="93"/>
      <c r="BR1196" s="93"/>
      <c r="BS1196" s="93"/>
      <c r="BT1196" s="93"/>
      <c r="BU1196" s="93"/>
      <c r="BV1196" s="93"/>
      <c r="BW1196" s="93"/>
      <c r="BX1196" s="93"/>
      <c r="BY1196" s="93"/>
      <c r="BZ1196" s="93"/>
    </row>
    <row r="1197">
      <c r="B1197" t="s">
        <v>4150</v>
      </c>
      <c r="C1197" s="89" t="s">
        <v>4151</v>
      </c>
      <c r="D1197" s="90" t="s">
        <v>1128</v>
      </c>
      <c r="E1197" s="91">
        <v>2020.0</v>
      </c>
      <c r="F1197" s="104">
        <v>1.0</v>
      </c>
      <c r="G1197" s="93"/>
      <c r="H1197" s="93"/>
      <c r="I1197" s="93"/>
      <c r="J1197" s="93"/>
      <c r="K1197" s="93"/>
      <c r="L1197" s="93"/>
      <c r="M1197" s="93"/>
      <c r="N1197" s="93"/>
      <c r="O1197" s="93"/>
      <c r="P1197" s="93"/>
      <c r="Q1197" s="93"/>
      <c r="R1197" s="93"/>
      <c r="S1197" s="93"/>
      <c r="T1197" s="93"/>
      <c r="U1197" s="93"/>
      <c r="V1197" s="93"/>
      <c r="W1197" s="93"/>
      <c r="X1197" s="93"/>
      <c r="Y1197" s="93"/>
      <c r="Z1197" s="93"/>
      <c r="AA1197" s="93"/>
      <c r="AB1197" s="93"/>
      <c r="AC1197" s="93"/>
      <c r="AD1197" s="93"/>
      <c r="AE1197" s="93"/>
      <c r="AF1197" s="93"/>
      <c r="AG1197" s="93"/>
      <c r="AH1197" s="93"/>
      <c r="AI1197" s="93"/>
      <c r="AJ1197" s="93"/>
      <c r="AK1197" s="93"/>
      <c r="AL1197" s="93"/>
      <c r="AM1197" s="93"/>
      <c r="AN1197" s="93"/>
      <c r="AO1197" s="93"/>
      <c r="AP1197" s="93"/>
      <c r="AQ1197" s="93"/>
      <c r="AR1197" s="93"/>
      <c r="AS1197" s="93"/>
      <c r="AT1197" s="93"/>
      <c r="AU1197" s="93"/>
      <c r="AV1197" s="93"/>
      <c r="AW1197" s="93"/>
      <c r="AX1197" s="93"/>
      <c r="AY1197" s="93"/>
      <c r="AZ1197" s="93"/>
      <c r="BA1197" s="93"/>
      <c r="BB1197" s="93"/>
      <c r="BC1197" s="93"/>
      <c r="BD1197" s="93"/>
      <c r="BE1197" s="93"/>
      <c r="BF1197" s="93"/>
      <c r="BG1197" s="93"/>
      <c r="BH1197" s="93"/>
      <c r="BI1197" s="93"/>
      <c r="BJ1197" s="93"/>
      <c r="BK1197" s="93"/>
      <c r="BL1197" s="93"/>
      <c r="BM1197" s="93"/>
      <c r="BN1197" s="93"/>
      <c r="BO1197" s="93"/>
      <c r="BP1197" s="93"/>
      <c r="BQ1197" s="93"/>
      <c r="BR1197" s="93"/>
      <c r="BS1197" s="93"/>
      <c r="BT1197" s="93"/>
      <c r="BU1197" s="93"/>
      <c r="BV1197" s="93"/>
      <c r="BW1197" s="93"/>
      <c r="BX1197" s="93"/>
      <c r="BY1197" s="93"/>
      <c r="BZ1197" s="93"/>
    </row>
    <row r="1198">
      <c r="B1198" t="s">
        <v>4152</v>
      </c>
      <c r="C1198" s="89" t="s">
        <v>4153</v>
      </c>
      <c r="D1198" s="90" t="s">
        <v>4154</v>
      </c>
      <c r="E1198" s="91">
        <v>2017.0</v>
      </c>
      <c r="F1198" s="104">
        <v>1.0</v>
      </c>
      <c r="G1198" s="93"/>
      <c r="H1198" s="93"/>
      <c r="I1198" s="93"/>
      <c r="J1198" s="93"/>
      <c r="K1198" s="93"/>
      <c r="L1198" s="93"/>
      <c r="M1198" s="93"/>
      <c r="N1198" s="93"/>
      <c r="O1198" s="93"/>
      <c r="P1198" s="93"/>
      <c r="Q1198" s="93"/>
      <c r="R1198" s="93"/>
      <c r="S1198" s="93"/>
      <c r="T1198" s="93"/>
      <c r="U1198" s="93"/>
      <c r="V1198" s="93"/>
      <c r="W1198" s="93"/>
      <c r="X1198" s="93"/>
      <c r="Y1198" s="93"/>
      <c r="Z1198" s="93"/>
      <c r="AA1198" s="93"/>
      <c r="AB1198" s="93"/>
      <c r="AC1198" s="93"/>
      <c r="AD1198" s="93"/>
      <c r="AE1198" s="93"/>
      <c r="AF1198" s="93"/>
      <c r="AG1198" s="93"/>
      <c r="AH1198" s="93"/>
      <c r="AI1198" s="93"/>
      <c r="AJ1198" s="93"/>
      <c r="AK1198" s="93"/>
      <c r="AL1198" s="93"/>
      <c r="AM1198" s="93"/>
      <c r="AN1198" s="93"/>
      <c r="AO1198" s="93"/>
      <c r="AP1198" s="93"/>
      <c r="AQ1198" s="93"/>
      <c r="AR1198" s="93"/>
      <c r="AS1198" s="93"/>
      <c r="AT1198" s="93"/>
      <c r="AU1198" s="93"/>
      <c r="AV1198" s="93"/>
      <c r="AW1198" s="93"/>
      <c r="AX1198" s="93"/>
      <c r="AY1198" s="93"/>
      <c r="AZ1198" s="93"/>
      <c r="BA1198" s="93"/>
      <c r="BB1198" s="93"/>
      <c r="BC1198" s="93"/>
      <c r="BD1198" s="93"/>
      <c r="BE1198" s="93"/>
      <c r="BF1198" s="93"/>
      <c r="BG1198" s="93"/>
      <c r="BH1198" s="93"/>
      <c r="BI1198" s="93"/>
      <c r="BJ1198" s="93"/>
      <c r="BK1198" s="93"/>
      <c r="BL1198" s="93"/>
      <c r="BM1198" s="93"/>
      <c r="BN1198" s="93"/>
      <c r="BO1198" s="93"/>
      <c r="BP1198" s="93"/>
      <c r="BQ1198" s="93"/>
      <c r="BR1198" s="93"/>
      <c r="BS1198" s="93"/>
      <c r="BT1198" s="93"/>
      <c r="BU1198" s="93"/>
      <c r="BV1198" s="93"/>
      <c r="BW1198" s="93"/>
      <c r="BX1198" s="93"/>
      <c r="BY1198" s="93"/>
      <c r="BZ1198" s="93"/>
    </row>
    <row r="1199">
      <c r="B1199" t="s">
        <v>4155</v>
      </c>
      <c r="C1199" s="89" t="s">
        <v>4156</v>
      </c>
      <c r="D1199" s="90" t="s">
        <v>4129</v>
      </c>
      <c r="E1199" s="91">
        <v>2018.0</v>
      </c>
      <c r="F1199" s="104">
        <v>1.0</v>
      </c>
      <c r="G1199" s="93"/>
      <c r="H1199" s="93"/>
      <c r="I1199" s="93"/>
      <c r="J1199" s="93"/>
      <c r="K1199" s="93"/>
      <c r="L1199" s="93"/>
      <c r="M1199" s="93"/>
      <c r="N1199" s="93"/>
      <c r="O1199" s="93"/>
      <c r="P1199" s="93"/>
      <c r="Q1199" s="93"/>
      <c r="R1199" s="93"/>
      <c r="S1199" s="93"/>
      <c r="T1199" s="93"/>
      <c r="U1199" s="93"/>
      <c r="V1199" s="93"/>
      <c r="W1199" s="93"/>
      <c r="X1199" s="93"/>
      <c r="Y1199" s="93"/>
      <c r="Z1199" s="93"/>
      <c r="AA1199" s="93"/>
      <c r="AB1199" s="93"/>
      <c r="AC1199" s="93"/>
      <c r="AD1199" s="93"/>
      <c r="AE1199" s="93"/>
      <c r="AF1199" s="93"/>
      <c r="AG1199" s="93"/>
      <c r="AH1199" s="93"/>
      <c r="AI1199" s="93"/>
      <c r="AJ1199" s="93"/>
      <c r="AK1199" s="93"/>
      <c r="AL1199" s="93"/>
      <c r="AM1199" s="93"/>
      <c r="AN1199" s="93"/>
      <c r="AO1199" s="93"/>
      <c r="AP1199" s="93"/>
      <c r="AQ1199" s="93"/>
      <c r="AR1199" s="93"/>
      <c r="AS1199" s="93"/>
      <c r="AT1199" s="93"/>
      <c r="AU1199" s="93"/>
      <c r="AV1199" s="93"/>
      <c r="AW1199" s="93"/>
      <c r="AX1199" s="93"/>
      <c r="AY1199" s="93"/>
      <c r="AZ1199" s="93"/>
      <c r="BA1199" s="93"/>
      <c r="BB1199" s="93"/>
      <c r="BC1199" s="93"/>
      <c r="BD1199" s="93"/>
      <c r="BE1199" s="93"/>
      <c r="BF1199" s="93"/>
      <c r="BG1199" s="93"/>
      <c r="BH1199" s="93"/>
      <c r="BI1199" s="93"/>
      <c r="BJ1199" s="93"/>
      <c r="BK1199" s="93"/>
      <c r="BL1199" s="93"/>
      <c r="BM1199" s="93"/>
      <c r="BN1199" s="93"/>
      <c r="BO1199" s="93"/>
      <c r="BP1199" s="93"/>
      <c r="BQ1199" s="93"/>
      <c r="BR1199" s="93"/>
      <c r="BS1199" s="93"/>
      <c r="BT1199" s="93"/>
      <c r="BU1199" s="93"/>
      <c r="BV1199" s="93"/>
      <c r="BW1199" s="93"/>
      <c r="BX1199" s="93"/>
      <c r="BY1199" s="93"/>
      <c r="BZ1199" s="93"/>
    </row>
    <row r="1200">
      <c r="B1200" t="s">
        <v>4157</v>
      </c>
      <c r="C1200" s="89" t="s">
        <v>4158</v>
      </c>
      <c r="D1200" s="90" t="s">
        <v>4159</v>
      </c>
      <c r="E1200" s="91">
        <v>2017.0</v>
      </c>
      <c r="F1200" s="104">
        <v>1.0</v>
      </c>
      <c r="G1200" s="93"/>
      <c r="H1200" s="93"/>
      <c r="I1200" s="93"/>
      <c r="J1200" s="93"/>
      <c r="K1200" s="93"/>
      <c r="L1200" s="93"/>
      <c r="M1200" s="93"/>
      <c r="N1200" s="93"/>
      <c r="O1200" s="93"/>
      <c r="P1200" s="93"/>
      <c r="Q1200" s="93"/>
      <c r="R1200" s="93"/>
      <c r="S1200" s="93"/>
      <c r="T1200" s="93"/>
      <c r="U1200" s="93"/>
      <c r="V1200" s="93"/>
      <c r="W1200" s="93"/>
      <c r="X1200" s="93"/>
      <c r="Y1200" s="93"/>
      <c r="Z1200" s="93"/>
      <c r="AA1200" s="93"/>
      <c r="AB1200" s="93"/>
      <c r="AC1200" s="93"/>
      <c r="AD1200" s="93"/>
      <c r="AE1200" s="93"/>
      <c r="AF1200" s="93"/>
      <c r="AG1200" s="93"/>
      <c r="AH1200" s="93"/>
      <c r="AI1200" s="93"/>
      <c r="AJ1200" s="93"/>
      <c r="AK1200" s="93"/>
      <c r="AL1200" s="93"/>
      <c r="AM1200" s="93"/>
      <c r="AN1200" s="93"/>
      <c r="AO1200" s="93"/>
      <c r="AP1200" s="93"/>
      <c r="AQ1200" s="93"/>
      <c r="AR1200" s="93"/>
      <c r="AS1200" s="93"/>
      <c r="AT1200" s="93"/>
      <c r="AU1200" s="93"/>
      <c r="AV1200" s="93"/>
      <c r="AW1200" s="93"/>
      <c r="AX1200" s="93"/>
      <c r="AY1200" s="93"/>
      <c r="AZ1200" s="93"/>
      <c r="BA1200" s="93"/>
      <c r="BB1200" s="93"/>
      <c r="BC1200" s="93"/>
      <c r="BD1200" s="93"/>
      <c r="BE1200" s="93"/>
      <c r="BF1200" s="93"/>
      <c r="BG1200" s="93"/>
      <c r="BH1200" s="93"/>
      <c r="BI1200" s="93"/>
      <c r="BJ1200" s="93"/>
      <c r="BK1200" s="93"/>
      <c r="BL1200" s="93"/>
      <c r="BM1200" s="93"/>
      <c r="BN1200" s="93"/>
      <c r="BO1200" s="93"/>
      <c r="BP1200" s="93"/>
      <c r="BQ1200" s="93"/>
      <c r="BR1200" s="93"/>
      <c r="BS1200" s="93"/>
      <c r="BT1200" s="93"/>
      <c r="BU1200" s="93"/>
      <c r="BV1200" s="93"/>
      <c r="BW1200" s="93"/>
      <c r="BX1200" s="93"/>
      <c r="BY1200" s="93"/>
      <c r="BZ1200" s="93"/>
    </row>
    <row r="1201">
      <c r="B1201" t="s">
        <v>4160</v>
      </c>
      <c r="C1201" s="89" t="s">
        <v>4161</v>
      </c>
      <c r="D1201" s="90" t="s">
        <v>4162</v>
      </c>
      <c r="E1201" s="91">
        <v>2018.0</v>
      </c>
      <c r="F1201" s="104">
        <v>1.0</v>
      </c>
      <c r="G1201" s="93"/>
      <c r="H1201" s="93"/>
      <c r="I1201" s="93"/>
      <c r="J1201" s="93"/>
      <c r="K1201" s="93"/>
      <c r="L1201" s="93"/>
      <c r="M1201" s="93"/>
      <c r="N1201" s="93"/>
      <c r="O1201" s="93"/>
      <c r="P1201" s="93"/>
      <c r="Q1201" s="93"/>
      <c r="R1201" s="93"/>
      <c r="S1201" s="93"/>
      <c r="T1201" s="93"/>
      <c r="U1201" s="93"/>
      <c r="V1201" s="93"/>
      <c r="W1201" s="93"/>
      <c r="X1201" s="93"/>
      <c r="Y1201" s="93"/>
      <c r="Z1201" s="93"/>
      <c r="AA1201" s="93"/>
      <c r="AB1201" s="93"/>
      <c r="AC1201" s="93"/>
      <c r="AD1201" s="93"/>
      <c r="AE1201" s="93"/>
      <c r="AF1201" s="93"/>
      <c r="AG1201" s="93"/>
      <c r="AH1201" s="93"/>
      <c r="AI1201" s="93"/>
      <c r="AJ1201" s="93"/>
      <c r="AK1201" s="93"/>
      <c r="AL1201" s="93"/>
      <c r="AM1201" s="93"/>
      <c r="AN1201" s="93"/>
      <c r="AO1201" s="93"/>
      <c r="AP1201" s="93"/>
      <c r="AQ1201" s="93"/>
      <c r="AR1201" s="93"/>
      <c r="AS1201" s="93"/>
      <c r="AT1201" s="93"/>
      <c r="AU1201" s="93"/>
      <c r="AV1201" s="93"/>
      <c r="AW1201" s="93"/>
      <c r="AX1201" s="93"/>
      <c r="AY1201" s="93"/>
      <c r="AZ1201" s="93"/>
      <c r="BA1201" s="93"/>
      <c r="BB1201" s="93"/>
      <c r="BC1201" s="93"/>
      <c r="BD1201" s="93"/>
      <c r="BE1201" s="93"/>
      <c r="BF1201" s="93"/>
      <c r="BG1201" s="93"/>
      <c r="BH1201" s="93"/>
      <c r="BI1201" s="93"/>
      <c r="BJ1201" s="93"/>
      <c r="BK1201" s="93"/>
      <c r="BL1201" s="93"/>
      <c r="BM1201" s="93"/>
      <c r="BN1201" s="93"/>
      <c r="BO1201" s="93"/>
      <c r="BP1201" s="93"/>
      <c r="BQ1201" s="93"/>
      <c r="BR1201" s="93"/>
      <c r="BS1201" s="93"/>
      <c r="BT1201" s="93"/>
      <c r="BU1201" s="93"/>
      <c r="BV1201" s="93"/>
      <c r="BW1201" s="93"/>
      <c r="BX1201" s="93"/>
      <c r="BY1201" s="93"/>
      <c r="BZ1201" s="93"/>
    </row>
    <row r="1202">
      <c r="A1202" t="s">
        <v>1340</v>
      </c>
      <c r="B1202" t="s">
        <v>4163</v>
      </c>
      <c r="C1202" s="89" t="s">
        <v>4164</v>
      </c>
      <c r="D1202" s="90" t="s">
        <v>4129</v>
      </c>
      <c r="E1202" s="91">
        <v>2018.0</v>
      </c>
      <c r="F1202" s="104">
        <v>1.0</v>
      </c>
      <c r="G1202" s="93"/>
      <c r="H1202" s="93"/>
      <c r="I1202" s="93"/>
      <c r="J1202" s="93"/>
      <c r="K1202" s="93"/>
      <c r="L1202" s="93"/>
      <c r="M1202" s="93"/>
      <c r="N1202" s="93"/>
      <c r="O1202" s="93"/>
      <c r="P1202" s="93"/>
      <c r="Q1202" s="93"/>
      <c r="R1202" s="93"/>
      <c r="S1202" s="93"/>
      <c r="T1202" s="93"/>
      <c r="U1202" s="93"/>
      <c r="V1202" s="93"/>
      <c r="W1202" s="93"/>
      <c r="X1202" s="93"/>
      <c r="Y1202" s="93"/>
      <c r="Z1202" s="93"/>
      <c r="AA1202" s="93"/>
      <c r="AB1202" s="93"/>
      <c r="AC1202" s="93"/>
      <c r="AD1202" s="93"/>
      <c r="AE1202" s="93"/>
      <c r="AF1202" s="93"/>
      <c r="AG1202" s="93"/>
      <c r="AH1202" s="93"/>
      <c r="AI1202" s="93"/>
      <c r="AJ1202" s="93"/>
      <c r="AK1202" s="93"/>
      <c r="AL1202" s="93"/>
      <c r="AM1202" s="93"/>
      <c r="AN1202" s="93"/>
      <c r="AO1202" s="93"/>
      <c r="AP1202" s="93"/>
      <c r="AQ1202" s="93"/>
      <c r="AR1202" s="93"/>
      <c r="AS1202" s="93"/>
      <c r="AT1202" s="93"/>
      <c r="AU1202" s="93"/>
      <c r="AV1202" s="93"/>
      <c r="AW1202" s="93"/>
      <c r="AX1202" s="93"/>
      <c r="AY1202" s="93"/>
      <c r="AZ1202" s="93"/>
      <c r="BA1202" s="93"/>
      <c r="BB1202" s="93"/>
      <c r="BC1202" s="93"/>
      <c r="BD1202" s="93"/>
      <c r="BE1202" s="93"/>
      <c r="BF1202" s="93"/>
      <c r="BG1202" s="93"/>
      <c r="BH1202" s="93"/>
      <c r="BI1202" s="93"/>
      <c r="BJ1202" s="93"/>
      <c r="BK1202" s="93"/>
      <c r="BL1202" s="93"/>
      <c r="BM1202" s="93"/>
      <c r="BN1202" s="93"/>
      <c r="BO1202" s="93"/>
      <c r="BP1202" s="93"/>
      <c r="BQ1202" s="93"/>
      <c r="BR1202" s="93"/>
      <c r="BS1202" s="93"/>
      <c r="BT1202" s="93"/>
      <c r="BU1202" s="93"/>
      <c r="BV1202" s="93"/>
      <c r="BW1202" s="93"/>
      <c r="BX1202" s="93"/>
      <c r="BY1202" s="93"/>
      <c r="BZ1202" s="93"/>
    </row>
    <row r="1203">
      <c r="B1203" t="s">
        <v>4165</v>
      </c>
      <c r="C1203" s="89" t="s">
        <v>4166</v>
      </c>
      <c r="D1203" s="90" t="s">
        <v>4129</v>
      </c>
      <c r="E1203" s="91">
        <v>2019.0</v>
      </c>
      <c r="F1203" s="104">
        <v>1.0</v>
      </c>
      <c r="G1203" s="93"/>
      <c r="H1203" s="93"/>
      <c r="I1203" s="93"/>
      <c r="J1203" s="93"/>
      <c r="K1203" s="93"/>
      <c r="L1203" s="93"/>
      <c r="M1203" s="93"/>
      <c r="N1203" s="93"/>
      <c r="O1203" s="93"/>
      <c r="P1203" s="93"/>
      <c r="Q1203" s="93"/>
      <c r="R1203" s="93"/>
      <c r="S1203" s="93"/>
      <c r="T1203" s="93"/>
      <c r="U1203" s="93"/>
      <c r="V1203" s="93"/>
      <c r="W1203" s="93"/>
      <c r="X1203" s="93"/>
      <c r="Y1203" s="93"/>
      <c r="Z1203" s="93"/>
      <c r="AA1203" s="93"/>
      <c r="AB1203" s="93"/>
      <c r="AC1203" s="93"/>
      <c r="AD1203" s="93"/>
      <c r="AE1203" s="93"/>
      <c r="AF1203" s="93"/>
      <c r="AG1203" s="93"/>
      <c r="AH1203" s="93"/>
      <c r="AI1203" s="93"/>
      <c r="AJ1203" s="93"/>
      <c r="AK1203" s="93"/>
      <c r="AL1203" s="93"/>
      <c r="AM1203" s="93"/>
      <c r="AN1203" s="93"/>
      <c r="AO1203" s="93"/>
      <c r="AP1203" s="93"/>
      <c r="AQ1203" s="93"/>
      <c r="AR1203" s="93"/>
      <c r="AS1203" s="93"/>
      <c r="AT1203" s="93"/>
      <c r="AU1203" s="93"/>
      <c r="AV1203" s="93"/>
      <c r="AW1203" s="93"/>
      <c r="AX1203" s="93"/>
      <c r="AY1203" s="93"/>
      <c r="AZ1203" s="93"/>
      <c r="BA1203" s="93"/>
      <c r="BB1203" s="93"/>
      <c r="BC1203" s="93"/>
      <c r="BD1203" s="93"/>
      <c r="BE1203" s="93"/>
      <c r="BF1203" s="93"/>
      <c r="BG1203" s="93"/>
      <c r="BH1203" s="93"/>
      <c r="BI1203" s="93"/>
      <c r="BJ1203" s="93"/>
      <c r="BK1203" s="93"/>
      <c r="BL1203" s="93"/>
      <c r="BM1203" s="93"/>
      <c r="BN1203" s="93"/>
      <c r="BO1203" s="93"/>
      <c r="BP1203" s="93"/>
      <c r="BQ1203" s="93"/>
      <c r="BR1203" s="93"/>
      <c r="BS1203" s="93"/>
      <c r="BT1203" s="93"/>
      <c r="BU1203" s="93"/>
      <c r="BV1203" s="93"/>
      <c r="BW1203" s="93"/>
      <c r="BX1203" s="93"/>
      <c r="BY1203" s="93"/>
      <c r="BZ1203" s="93"/>
    </row>
    <row r="1204">
      <c r="B1204" t="s">
        <v>4167</v>
      </c>
      <c r="C1204" s="89" t="s">
        <v>4168</v>
      </c>
      <c r="D1204" s="90" t="s">
        <v>1128</v>
      </c>
      <c r="E1204" s="91">
        <v>2017.0</v>
      </c>
      <c r="F1204" s="104">
        <v>1.0</v>
      </c>
      <c r="G1204" s="93"/>
      <c r="H1204" s="93"/>
      <c r="I1204" s="93"/>
      <c r="J1204" s="93"/>
      <c r="K1204" s="93"/>
      <c r="L1204" s="93"/>
      <c r="M1204" s="93"/>
      <c r="N1204" s="93"/>
      <c r="O1204" s="93"/>
      <c r="P1204" s="93"/>
      <c r="Q1204" s="93"/>
      <c r="R1204" s="93"/>
      <c r="S1204" s="93"/>
      <c r="T1204" s="93"/>
      <c r="U1204" s="93"/>
      <c r="V1204" s="93"/>
      <c r="W1204" s="93"/>
      <c r="X1204" s="93"/>
      <c r="Y1204" s="93"/>
      <c r="Z1204" s="93"/>
      <c r="AA1204" s="93"/>
      <c r="AB1204" s="93"/>
      <c r="AC1204" s="93"/>
      <c r="AD1204" s="93"/>
      <c r="AE1204" s="93"/>
      <c r="AF1204" s="93"/>
      <c r="AG1204" s="93"/>
      <c r="AH1204" s="93"/>
      <c r="AI1204" s="93"/>
      <c r="AJ1204" s="93"/>
      <c r="AK1204" s="93"/>
      <c r="AL1204" s="93"/>
      <c r="AM1204" s="93"/>
      <c r="AN1204" s="93"/>
      <c r="AO1204" s="93"/>
      <c r="AP1204" s="93"/>
      <c r="AQ1204" s="93"/>
      <c r="AR1204" s="93"/>
      <c r="AS1204" s="93"/>
      <c r="AT1204" s="93"/>
      <c r="AU1204" s="93"/>
      <c r="AV1204" s="93"/>
      <c r="AW1204" s="93"/>
      <c r="AX1204" s="93"/>
      <c r="AY1204" s="93"/>
      <c r="AZ1204" s="93"/>
      <c r="BA1204" s="93"/>
      <c r="BB1204" s="93"/>
      <c r="BC1204" s="93"/>
      <c r="BD1204" s="93"/>
      <c r="BE1204" s="93"/>
      <c r="BF1204" s="93"/>
      <c r="BG1204" s="93"/>
      <c r="BH1204" s="93"/>
      <c r="BI1204" s="93"/>
      <c r="BJ1204" s="93"/>
      <c r="BK1204" s="93"/>
      <c r="BL1204" s="93"/>
      <c r="BM1204" s="93"/>
      <c r="BN1204" s="93"/>
      <c r="BO1204" s="93"/>
      <c r="BP1204" s="93"/>
      <c r="BQ1204" s="93"/>
      <c r="BR1204" s="93"/>
      <c r="BS1204" s="93"/>
      <c r="BT1204" s="93"/>
      <c r="BU1204" s="93"/>
      <c r="BV1204" s="93"/>
      <c r="BW1204" s="93"/>
      <c r="BX1204" s="93"/>
      <c r="BY1204" s="93"/>
      <c r="BZ1204" s="93"/>
    </row>
    <row r="1205">
      <c r="B1205" t="s">
        <v>4169</v>
      </c>
      <c r="C1205" s="89" t="s">
        <v>4170</v>
      </c>
      <c r="D1205" s="90" t="s">
        <v>4154</v>
      </c>
      <c r="E1205" s="91">
        <v>2016.0</v>
      </c>
      <c r="F1205" s="104">
        <v>1.0</v>
      </c>
      <c r="G1205" s="93"/>
      <c r="H1205" s="93"/>
      <c r="I1205" s="93"/>
      <c r="J1205" s="93"/>
      <c r="K1205" s="93"/>
      <c r="L1205" s="93"/>
      <c r="M1205" s="93"/>
      <c r="N1205" s="93"/>
      <c r="O1205" s="93"/>
      <c r="P1205" s="93"/>
      <c r="Q1205" s="93"/>
      <c r="R1205" s="93"/>
      <c r="S1205" s="93"/>
      <c r="T1205" s="93"/>
      <c r="U1205" s="93"/>
      <c r="V1205" s="93"/>
      <c r="W1205" s="93"/>
      <c r="X1205" s="93"/>
      <c r="Y1205" s="93"/>
      <c r="Z1205" s="93"/>
      <c r="AA1205" s="93"/>
      <c r="AB1205" s="93"/>
      <c r="AC1205" s="93"/>
      <c r="AD1205" s="93"/>
      <c r="AE1205" s="93"/>
      <c r="AF1205" s="93"/>
      <c r="AG1205" s="93"/>
      <c r="AH1205" s="93"/>
      <c r="AI1205" s="93"/>
      <c r="AJ1205" s="93"/>
      <c r="AK1205" s="93"/>
      <c r="AL1205" s="93"/>
      <c r="AM1205" s="93"/>
      <c r="AN1205" s="93"/>
      <c r="AO1205" s="93"/>
      <c r="AP1205" s="93"/>
      <c r="AQ1205" s="93"/>
      <c r="AR1205" s="93"/>
      <c r="AS1205" s="93"/>
      <c r="AT1205" s="93"/>
      <c r="AU1205" s="93"/>
      <c r="AV1205" s="93"/>
      <c r="AW1205" s="93"/>
      <c r="AX1205" s="93"/>
      <c r="AY1205" s="93"/>
      <c r="AZ1205" s="93"/>
      <c r="BA1205" s="93"/>
      <c r="BB1205" s="93"/>
      <c r="BC1205" s="93"/>
      <c r="BD1205" s="93"/>
      <c r="BE1205" s="93"/>
      <c r="BF1205" s="93"/>
      <c r="BG1205" s="93"/>
      <c r="BH1205" s="93"/>
      <c r="BI1205" s="93"/>
      <c r="BJ1205" s="93"/>
      <c r="BK1205" s="93"/>
      <c r="BL1205" s="93"/>
      <c r="BM1205" s="93"/>
      <c r="BN1205" s="93"/>
      <c r="BO1205" s="93"/>
      <c r="BP1205" s="93"/>
      <c r="BQ1205" s="93"/>
      <c r="BR1205" s="93"/>
      <c r="BS1205" s="93"/>
      <c r="BT1205" s="93"/>
      <c r="BU1205" s="93"/>
      <c r="BV1205" s="93"/>
      <c r="BW1205" s="93"/>
      <c r="BX1205" s="93"/>
      <c r="BY1205" s="93"/>
      <c r="BZ1205" s="93"/>
    </row>
    <row r="1206">
      <c r="B1206" t="s">
        <v>4171</v>
      </c>
      <c r="C1206" s="89" t="s">
        <v>4172</v>
      </c>
      <c r="D1206" s="90" t="s">
        <v>4173</v>
      </c>
      <c r="E1206" s="91">
        <v>2015.0</v>
      </c>
      <c r="F1206" s="104">
        <v>1.0</v>
      </c>
      <c r="G1206" s="93"/>
      <c r="H1206" s="93"/>
      <c r="I1206" s="93"/>
      <c r="J1206" s="93"/>
      <c r="K1206" s="93"/>
      <c r="L1206" s="93"/>
      <c r="M1206" s="93"/>
      <c r="N1206" s="93"/>
      <c r="O1206" s="93"/>
      <c r="P1206" s="93"/>
      <c r="Q1206" s="93"/>
      <c r="R1206" s="93"/>
      <c r="S1206" s="93"/>
      <c r="T1206" s="93"/>
      <c r="U1206" s="93"/>
      <c r="V1206" s="93"/>
      <c r="W1206" s="93"/>
      <c r="X1206" s="93"/>
      <c r="Y1206" s="93"/>
      <c r="Z1206" s="93"/>
      <c r="AA1206" s="93"/>
      <c r="AB1206" s="93"/>
      <c r="AC1206" s="93"/>
      <c r="AD1206" s="93"/>
      <c r="AE1206" s="93"/>
      <c r="AF1206" s="93"/>
      <c r="AG1206" s="93"/>
      <c r="AH1206" s="93"/>
      <c r="AI1206" s="93"/>
      <c r="AJ1206" s="93"/>
      <c r="AK1206" s="93"/>
      <c r="AL1206" s="93"/>
      <c r="AM1206" s="93"/>
      <c r="AN1206" s="93"/>
      <c r="AO1206" s="93"/>
      <c r="AP1206" s="93"/>
      <c r="AQ1206" s="93"/>
      <c r="AR1206" s="93"/>
      <c r="AS1206" s="93"/>
      <c r="AT1206" s="93"/>
      <c r="AU1206" s="93"/>
      <c r="AV1206" s="93"/>
      <c r="AW1206" s="93"/>
      <c r="AX1206" s="93"/>
      <c r="AY1206" s="93"/>
      <c r="AZ1206" s="93"/>
      <c r="BA1206" s="93"/>
      <c r="BB1206" s="93"/>
      <c r="BC1206" s="93"/>
      <c r="BD1206" s="93"/>
      <c r="BE1206" s="93"/>
      <c r="BF1206" s="93"/>
      <c r="BG1206" s="93"/>
      <c r="BH1206" s="93"/>
      <c r="BI1206" s="93"/>
      <c r="BJ1206" s="93"/>
      <c r="BK1206" s="93"/>
      <c r="BL1206" s="93"/>
      <c r="BM1206" s="93"/>
      <c r="BN1206" s="93"/>
      <c r="BO1206" s="93"/>
      <c r="BP1206" s="93"/>
      <c r="BQ1206" s="93"/>
      <c r="BR1206" s="93"/>
      <c r="BS1206" s="93"/>
      <c r="BT1206" s="93"/>
      <c r="BU1206" s="93"/>
      <c r="BV1206" s="93"/>
      <c r="BW1206" s="93"/>
      <c r="BX1206" s="93"/>
      <c r="BY1206" s="93"/>
      <c r="BZ1206" s="93"/>
    </row>
    <row r="1207">
      <c r="B1207" t="s">
        <v>4174</v>
      </c>
      <c r="C1207" s="89" t="s">
        <v>4175</v>
      </c>
      <c r="D1207" s="90" t="s">
        <v>4136</v>
      </c>
      <c r="E1207" s="91">
        <v>2012.0</v>
      </c>
      <c r="F1207" s="104">
        <v>1.0</v>
      </c>
      <c r="G1207" s="93"/>
      <c r="H1207" s="93"/>
      <c r="I1207" s="93"/>
      <c r="J1207" s="93"/>
      <c r="K1207" s="93"/>
      <c r="L1207" s="93"/>
      <c r="M1207" s="93"/>
      <c r="N1207" s="93"/>
      <c r="O1207" s="93"/>
      <c r="P1207" s="93"/>
      <c r="Q1207" s="93"/>
      <c r="R1207" s="93"/>
      <c r="S1207" s="93"/>
      <c r="T1207" s="93"/>
      <c r="U1207" s="93"/>
      <c r="V1207" s="93"/>
      <c r="W1207" s="93"/>
      <c r="X1207" s="93"/>
      <c r="Y1207" s="93"/>
      <c r="Z1207" s="93"/>
      <c r="AA1207" s="93"/>
      <c r="AB1207" s="93"/>
      <c r="AC1207" s="93"/>
      <c r="AD1207" s="93"/>
      <c r="AE1207" s="93"/>
      <c r="AF1207" s="93"/>
      <c r="AG1207" s="93"/>
      <c r="AH1207" s="93"/>
      <c r="AI1207" s="93"/>
      <c r="AJ1207" s="93"/>
      <c r="AK1207" s="93"/>
      <c r="AL1207" s="93"/>
      <c r="AM1207" s="93"/>
      <c r="AN1207" s="93"/>
      <c r="AO1207" s="93"/>
      <c r="AP1207" s="93"/>
      <c r="AQ1207" s="93"/>
      <c r="AR1207" s="93"/>
      <c r="AS1207" s="93"/>
      <c r="AT1207" s="93"/>
      <c r="AU1207" s="93"/>
      <c r="AV1207" s="93"/>
      <c r="AW1207" s="93"/>
      <c r="AX1207" s="93"/>
      <c r="AY1207" s="93"/>
      <c r="AZ1207" s="93"/>
      <c r="BA1207" s="93"/>
      <c r="BB1207" s="93"/>
      <c r="BC1207" s="93"/>
      <c r="BD1207" s="93"/>
      <c r="BE1207" s="93"/>
      <c r="BF1207" s="93"/>
      <c r="BG1207" s="93"/>
      <c r="BH1207" s="93"/>
      <c r="BI1207" s="93"/>
      <c r="BJ1207" s="93"/>
      <c r="BK1207" s="93"/>
      <c r="BL1207" s="93"/>
      <c r="BM1207" s="93"/>
      <c r="BN1207" s="93"/>
      <c r="BO1207" s="93"/>
      <c r="BP1207" s="93"/>
      <c r="BQ1207" s="93"/>
      <c r="BR1207" s="93"/>
      <c r="BS1207" s="93"/>
      <c r="BT1207" s="93"/>
      <c r="BU1207" s="93"/>
      <c r="BV1207" s="93"/>
      <c r="BW1207" s="93"/>
      <c r="BX1207" s="93"/>
      <c r="BY1207" s="93"/>
      <c r="BZ1207" s="93"/>
    </row>
    <row r="1208">
      <c r="B1208" t="s">
        <v>4176</v>
      </c>
      <c r="C1208" s="89" t="s">
        <v>4177</v>
      </c>
      <c r="D1208" s="90" t="s">
        <v>4129</v>
      </c>
      <c r="E1208" s="91">
        <v>2012.0</v>
      </c>
      <c r="F1208" s="104">
        <v>1.0</v>
      </c>
      <c r="G1208" s="93"/>
      <c r="H1208" s="93"/>
      <c r="I1208" s="93"/>
      <c r="J1208" s="93"/>
      <c r="K1208" s="93"/>
      <c r="L1208" s="93"/>
      <c r="M1208" s="93"/>
      <c r="N1208" s="93"/>
      <c r="O1208" s="93"/>
      <c r="P1208" s="93"/>
      <c r="Q1208" s="93"/>
      <c r="R1208" s="93"/>
      <c r="S1208" s="93"/>
      <c r="T1208" s="93"/>
      <c r="U1208" s="93"/>
      <c r="V1208" s="93"/>
      <c r="W1208" s="93"/>
      <c r="X1208" s="93"/>
      <c r="Y1208" s="93"/>
      <c r="Z1208" s="93"/>
      <c r="AA1208" s="93"/>
      <c r="AB1208" s="93"/>
      <c r="AC1208" s="93"/>
      <c r="AD1208" s="93"/>
      <c r="AE1208" s="93"/>
      <c r="AF1208" s="93"/>
      <c r="AG1208" s="93"/>
      <c r="AH1208" s="93"/>
      <c r="AI1208" s="93"/>
      <c r="AJ1208" s="93"/>
      <c r="AK1208" s="93"/>
      <c r="AL1208" s="93"/>
      <c r="AM1208" s="93"/>
      <c r="AN1208" s="93"/>
      <c r="AO1208" s="93"/>
      <c r="AP1208" s="93"/>
      <c r="AQ1208" s="93"/>
      <c r="AR1208" s="93"/>
      <c r="AS1208" s="93"/>
      <c r="AT1208" s="93"/>
      <c r="AU1208" s="93"/>
      <c r="AV1208" s="93"/>
      <c r="AW1208" s="93"/>
      <c r="AX1208" s="93"/>
      <c r="AY1208" s="93"/>
      <c r="AZ1208" s="93"/>
      <c r="BA1208" s="93"/>
      <c r="BB1208" s="93"/>
      <c r="BC1208" s="93"/>
      <c r="BD1208" s="93"/>
      <c r="BE1208" s="93"/>
      <c r="BF1208" s="93"/>
      <c r="BG1208" s="93"/>
      <c r="BH1208" s="93"/>
      <c r="BI1208" s="93"/>
      <c r="BJ1208" s="93"/>
      <c r="BK1208" s="93"/>
      <c r="BL1208" s="93"/>
      <c r="BM1208" s="93"/>
      <c r="BN1208" s="93"/>
      <c r="BO1208" s="93"/>
      <c r="BP1208" s="93"/>
      <c r="BQ1208" s="93"/>
      <c r="BR1208" s="93"/>
      <c r="BS1208" s="93"/>
      <c r="BT1208" s="93"/>
      <c r="BU1208" s="93"/>
      <c r="BV1208" s="93"/>
      <c r="BW1208" s="93"/>
      <c r="BX1208" s="93"/>
      <c r="BY1208" s="93"/>
      <c r="BZ1208" s="93"/>
    </row>
    <row r="1209">
      <c r="B1209" t="s">
        <v>4178</v>
      </c>
      <c r="C1209" s="89" t="s">
        <v>4179</v>
      </c>
      <c r="D1209" s="90" t="s">
        <v>4136</v>
      </c>
      <c r="E1209" s="91">
        <v>2014.0</v>
      </c>
      <c r="F1209" s="104">
        <v>1.0</v>
      </c>
      <c r="G1209" s="93"/>
      <c r="H1209" s="93"/>
      <c r="I1209" s="93"/>
      <c r="J1209" s="93"/>
      <c r="K1209" s="93"/>
      <c r="L1209" s="93"/>
      <c r="M1209" s="93"/>
      <c r="N1209" s="93"/>
      <c r="O1209" s="93"/>
      <c r="P1209" s="93"/>
      <c r="Q1209" s="93"/>
      <c r="R1209" s="93"/>
      <c r="S1209" s="93"/>
      <c r="T1209" s="93"/>
      <c r="U1209" s="93"/>
      <c r="V1209" s="93"/>
      <c r="W1209" s="93"/>
      <c r="X1209" s="93"/>
      <c r="Y1209" s="93"/>
      <c r="Z1209" s="93"/>
      <c r="AA1209" s="93"/>
      <c r="AB1209" s="93"/>
      <c r="AC1209" s="93"/>
      <c r="AD1209" s="93"/>
      <c r="AE1209" s="93"/>
      <c r="AF1209" s="93"/>
      <c r="AG1209" s="93"/>
      <c r="AH1209" s="93"/>
      <c r="AI1209" s="93"/>
      <c r="AJ1209" s="93"/>
      <c r="AK1209" s="93"/>
      <c r="AL1209" s="93"/>
      <c r="AM1209" s="93"/>
      <c r="AN1209" s="93"/>
      <c r="AO1209" s="93"/>
      <c r="AP1209" s="93"/>
      <c r="AQ1209" s="93"/>
      <c r="AR1209" s="93"/>
      <c r="AS1209" s="93"/>
      <c r="AT1209" s="93"/>
      <c r="AU1209" s="93"/>
      <c r="AV1209" s="93"/>
      <c r="AW1209" s="93"/>
      <c r="AX1209" s="93"/>
      <c r="AY1209" s="93"/>
      <c r="AZ1209" s="93"/>
      <c r="BA1209" s="93"/>
      <c r="BB1209" s="93"/>
      <c r="BC1209" s="93"/>
      <c r="BD1209" s="93"/>
      <c r="BE1209" s="93"/>
      <c r="BF1209" s="93"/>
      <c r="BG1209" s="93"/>
      <c r="BH1209" s="93"/>
      <c r="BI1209" s="93"/>
      <c r="BJ1209" s="93"/>
      <c r="BK1209" s="93"/>
      <c r="BL1209" s="93"/>
      <c r="BM1209" s="93"/>
      <c r="BN1209" s="93"/>
      <c r="BO1209" s="93"/>
      <c r="BP1209" s="93"/>
      <c r="BQ1209" s="93"/>
      <c r="BR1209" s="93"/>
      <c r="BS1209" s="93"/>
      <c r="BT1209" s="93"/>
      <c r="BU1209" s="93"/>
      <c r="BV1209" s="93"/>
      <c r="BW1209" s="93"/>
      <c r="BX1209" s="93"/>
      <c r="BY1209" s="93"/>
      <c r="BZ1209" s="93"/>
    </row>
    <row r="1210">
      <c r="B1210" t="s">
        <v>4180</v>
      </c>
      <c r="C1210" s="89" t="s">
        <v>4181</v>
      </c>
      <c r="D1210" s="90" t="s">
        <v>4136</v>
      </c>
      <c r="E1210" s="91">
        <v>2014.0</v>
      </c>
      <c r="F1210" s="104">
        <v>1.0</v>
      </c>
      <c r="G1210" s="93"/>
      <c r="H1210" s="93"/>
      <c r="I1210" s="93"/>
      <c r="J1210" s="93"/>
      <c r="K1210" s="93"/>
      <c r="L1210" s="93"/>
      <c r="M1210" s="93"/>
      <c r="N1210" s="93"/>
      <c r="O1210" s="93"/>
      <c r="P1210" s="93"/>
      <c r="Q1210" s="93"/>
      <c r="R1210" s="93"/>
      <c r="S1210" s="93"/>
      <c r="T1210" s="93"/>
      <c r="U1210" s="93"/>
      <c r="V1210" s="93"/>
      <c r="W1210" s="93"/>
      <c r="X1210" s="93"/>
      <c r="Y1210" s="93"/>
      <c r="Z1210" s="93"/>
      <c r="AA1210" s="93"/>
      <c r="AB1210" s="93"/>
      <c r="AC1210" s="93"/>
      <c r="AD1210" s="93"/>
      <c r="AE1210" s="93"/>
      <c r="AF1210" s="93"/>
      <c r="AG1210" s="93"/>
      <c r="AH1210" s="93"/>
      <c r="AI1210" s="93"/>
      <c r="AJ1210" s="93"/>
      <c r="AK1210" s="93"/>
      <c r="AL1210" s="93"/>
      <c r="AM1210" s="93"/>
      <c r="AN1210" s="93"/>
      <c r="AO1210" s="93"/>
      <c r="AP1210" s="93"/>
      <c r="AQ1210" s="93"/>
      <c r="AR1210" s="93"/>
      <c r="AS1210" s="93"/>
      <c r="AT1210" s="93"/>
      <c r="AU1210" s="93"/>
      <c r="AV1210" s="93"/>
      <c r="AW1210" s="93"/>
      <c r="AX1210" s="93"/>
      <c r="AY1210" s="93"/>
      <c r="AZ1210" s="93"/>
      <c r="BA1210" s="93"/>
      <c r="BB1210" s="93"/>
      <c r="BC1210" s="93"/>
      <c r="BD1210" s="93"/>
      <c r="BE1210" s="93"/>
      <c r="BF1210" s="93"/>
      <c r="BG1210" s="93"/>
      <c r="BH1210" s="93"/>
      <c r="BI1210" s="93"/>
      <c r="BJ1210" s="93"/>
      <c r="BK1210" s="93"/>
      <c r="BL1210" s="93"/>
      <c r="BM1210" s="93"/>
      <c r="BN1210" s="93"/>
      <c r="BO1210" s="93"/>
      <c r="BP1210" s="93"/>
      <c r="BQ1210" s="93"/>
      <c r="BR1210" s="93"/>
      <c r="BS1210" s="93"/>
      <c r="BT1210" s="93"/>
      <c r="BU1210" s="93"/>
      <c r="BV1210" s="93"/>
      <c r="BW1210" s="93"/>
      <c r="BX1210" s="93"/>
      <c r="BY1210" s="93"/>
      <c r="BZ1210" s="93"/>
    </row>
    <row r="1211">
      <c r="B1211" t="s">
        <v>4182</v>
      </c>
      <c r="C1211" s="89" t="s">
        <v>1142</v>
      </c>
      <c r="D1211" s="90" t="s">
        <v>1058</v>
      </c>
      <c r="E1211" s="91">
        <v>2010.0</v>
      </c>
      <c r="F1211" s="105" t="s">
        <v>1777</v>
      </c>
      <c r="G1211" s="93"/>
      <c r="H1211" s="93"/>
      <c r="I1211" s="93"/>
      <c r="J1211" s="93"/>
      <c r="K1211" s="93"/>
      <c r="L1211" s="93"/>
      <c r="M1211" s="93"/>
      <c r="N1211" s="93"/>
      <c r="O1211" s="93"/>
      <c r="P1211" s="93"/>
      <c r="Q1211" s="93"/>
      <c r="R1211" s="93"/>
      <c r="S1211" s="93"/>
      <c r="T1211" s="93"/>
      <c r="U1211" s="93"/>
      <c r="V1211" s="93"/>
      <c r="W1211" s="93"/>
      <c r="X1211" s="93"/>
      <c r="Y1211" s="93"/>
      <c r="Z1211" s="93"/>
      <c r="AA1211" s="93"/>
      <c r="AB1211" s="93"/>
      <c r="AC1211" s="93"/>
      <c r="AD1211" s="93"/>
      <c r="AE1211" s="93"/>
      <c r="AF1211" s="93"/>
      <c r="AG1211" s="93"/>
      <c r="AH1211" s="93"/>
      <c r="AI1211" s="93"/>
      <c r="AJ1211" s="93"/>
      <c r="AK1211" s="93"/>
      <c r="AL1211" s="93"/>
      <c r="AM1211" s="93"/>
      <c r="AN1211" s="93"/>
      <c r="AO1211" s="93"/>
      <c r="AP1211" s="93"/>
      <c r="AQ1211" s="93"/>
      <c r="AR1211" s="93"/>
      <c r="AS1211" s="93"/>
      <c r="AT1211" s="93"/>
      <c r="AU1211" s="93"/>
      <c r="AV1211" s="93"/>
      <c r="AW1211" s="93"/>
      <c r="AX1211" s="93"/>
      <c r="AY1211" s="93"/>
      <c r="AZ1211" s="93"/>
      <c r="BA1211" s="93"/>
      <c r="BB1211" s="93"/>
      <c r="BC1211" s="93"/>
      <c r="BD1211" s="93"/>
      <c r="BE1211" s="93"/>
      <c r="BF1211" s="93"/>
      <c r="BG1211" s="93"/>
      <c r="BH1211" s="93"/>
      <c r="BI1211" s="93"/>
      <c r="BJ1211" s="93"/>
      <c r="BK1211" s="93"/>
      <c r="BL1211" s="93"/>
      <c r="BM1211" s="93"/>
      <c r="BN1211" s="93"/>
      <c r="BO1211" s="93"/>
      <c r="BP1211" s="93"/>
      <c r="BQ1211" s="93"/>
      <c r="BR1211" s="93"/>
      <c r="BS1211" s="93"/>
      <c r="BT1211" s="93"/>
      <c r="BU1211" s="93"/>
      <c r="BV1211" s="93"/>
      <c r="BW1211" s="93"/>
      <c r="BX1211" s="93"/>
      <c r="BY1211" s="93"/>
      <c r="BZ1211" s="93"/>
    </row>
    <row r="1212">
      <c r="B1212" t="s">
        <v>4183</v>
      </c>
      <c r="C1212" s="89" t="s">
        <v>4184</v>
      </c>
      <c r="D1212" s="90" t="s">
        <v>181</v>
      </c>
      <c r="E1212" s="91">
        <v>2011.0</v>
      </c>
      <c r="F1212" s="104">
        <v>1.0</v>
      </c>
      <c r="G1212" s="93"/>
      <c r="H1212" s="93"/>
      <c r="I1212" s="93"/>
      <c r="J1212" s="93"/>
      <c r="K1212" s="93"/>
      <c r="L1212" s="93"/>
      <c r="M1212" s="93"/>
      <c r="N1212" s="93"/>
      <c r="O1212" s="93"/>
      <c r="P1212" s="93"/>
      <c r="Q1212" s="93"/>
      <c r="R1212" s="93"/>
      <c r="S1212" s="93"/>
      <c r="T1212" s="93"/>
      <c r="U1212" s="93"/>
      <c r="V1212" s="93"/>
      <c r="W1212" s="93"/>
      <c r="X1212" s="93"/>
      <c r="Y1212" s="93"/>
      <c r="Z1212" s="93"/>
      <c r="AA1212" s="93"/>
      <c r="AB1212" s="93"/>
      <c r="AC1212" s="93"/>
      <c r="AD1212" s="93"/>
      <c r="AE1212" s="93"/>
      <c r="AF1212" s="93"/>
      <c r="AG1212" s="93"/>
      <c r="AH1212" s="93"/>
      <c r="AI1212" s="93"/>
      <c r="AJ1212" s="93"/>
      <c r="AK1212" s="93"/>
      <c r="AL1212" s="93"/>
      <c r="AM1212" s="93"/>
      <c r="AN1212" s="93"/>
      <c r="AO1212" s="93"/>
      <c r="AP1212" s="93"/>
      <c r="AQ1212" s="93"/>
      <c r="AR1212" s="93"/>
      <c r="AS1212" s="93"/>
      <c r="AT1212" s="93"/>
      <c r="AU1212" s="93"/>
      <c r="AV1212" s="93"/>
      <c r="AW1212" s="93"/>
      <c r="AX1212" s="93"/>
      <c r="AY1212" s="93"/>
      <c r="AZ1212" s="93"/>
      <c r="BA1212" s="93"/>
      <c r="BB1212" s="93"/>
      <c r="BC1212" s="93"/>
      <c r="BD1212" s="93"/>
      <c r="BE1212" s="93"/>
      <c r="BF1212" s="93"/>
      <c r="BG1212" s="93"/>
      <c r="BH1212" s="93"/>
      <c r="BI1212" s="93"/>
      <c r="BJ1212" s="93"/>
      <c r="BK1212" s="93"/>
      <c r="BL1212" s="93"/>
      <c r="BM1212" s="93"/>
      <c r="BN1212" s="93"/>
      <c r="BO1212" s="93"/>
      <c r="BP1212" s="93"/>
      <c r="BQ1212" s="93"/>
      <c r="BR1212" s="93"/>
      <c r="BS1212" s="93"/>
      <c r="BT1212" s="93"/>
      <c r="BU1212" s="93"/>
      <c r="BV1212" s="93"/>
      <c r="BW1212" s="93"/>
      <c r="BX1212" s="93"/>
      <c r="BY1212" s="93"/>
      <c r="BZ1212" s="93"/>
    </row>
    <row r="1213">
      <c r="A1213" t="s">
        <v>1354</v>
      </c>
      <c r="B1213" t="s">
        <v>4185</v>
      </c>
      <c r="C1213" s="89" t="s">
        <v>4186</v>
      </c>
      <c r="D1213" s="90" t="s">
        <v>4187</v>
      </c>
      <c r="E1213" s="91">
        <v>2011.0</v>
      </c>
      <c r="F1213" s="104">
        <v>1.0</v>
      </c>
      <c r="G1213" s="93"/>
      <c r="H1213" s="93"/>
      <c r="I1213" s="93"/>
      <c r="J1213" s="93"/>
      <c r="K1213" s="93"/>
      <c r="L1213" s="93"/>
      <c r="M1213" s="93"/>
      <c r="N1213" s="93"/>
      <c r="O1213" s="93"/>
      <c r="P1213" s="93"/>
      <c r="Q1213" s="93"/>
      <c r="R1213" s="93"/>
      <c r="S1213" s="93"/>
      <c r="T1213" s="93"/>
      <c r="U1213" s="93"/>
      <c r="V1213" s="93"/>
      <c r="W1213" s="93"/>
      <c r="X1213" s="93"/>
      <c r="Y1213" s="93"/>
      <c r="Z1213" s="93"/>
      <c r="AA1213" s="93"/>
      <c r="AB1213" s="93"/>
      <c r="AC1213" s="93"/>
      <c r="AD1213" s="93"/>
      <c r="AE1213" s="93"/>
      <c r="AF1213" s="93"/>
      <c r="AG1213" s="93"/>
      <c r="AH1213" s="93"/>
      <c r="AI1213" s="93"/>
      <c r="AJ1213" s="93"/>
      <c r="AK1213" s="93"/>
      <c r="AL1213" s="93"/>
      <c r="AM1213" s="93"/>
      <c r="AN1213" s="93"/>
      <c r="AO1213" s="93"/>
      <c r="AP1213" s="93"/>
      <c r="AQ1213" s="93"/>
      <c r="AR1213" s="93"/>
      <c r="AS1213" s="93"/>
      <c r="AT1213" s="93"/>
      <c r="AU1213" s="93"/>
      <c r="AV1213" s="93"/>
      <c r="AW1213" s="93"/>
      <c r="AX1213" s="93"/>
      <c r="AY1213" s="93"/>
      <c r="AZ1213" s="93"/>
      <c r="BA1213" s="93"/>
      <c r="BB1213" s="93"/>
      <c r="BC1213" s="93"/>
      <c r="BD1213" s="93"/>
      <c r="BE1213" s="93"/>
      <c r="BF1213" s="93"/>
      <c r="BG1213" s="93"/>
      <c r="BH1213" s="93"/>
      <c r="BI1213" s="93"/>
      <c r="BJ1213" s="93"/>
      <c r="BK1213" s="93"/>
      <c r="BL1213" s="93"/>
      <c r="BM1213" s="93"/>
      <c r="BN1213" s="93"/>
      <c r="BO1213" s="93"/>
      <c r="BP1213" s="93"/>
      <c r="BQ1213" s="93"/>
      <c r="BR1213" s="93"/>
      <c r="BS1213" s="93"/>
      <c r="BT1213" s="93"/>
      <c r="BU1213" s="93"/>
      <c r="BV1213" s="93"/>
      <c r="BW1213" s="93"/>
      <c r="BX1213" s="93"/>
      <c r="BY1213" s="93"/>
      <c r="BZ1213" s="93"/>
    </row>
    <row r="1214">
      <c r="A1214" t="s">
        <v>116</v>
      </c>
      <c r="B1214" t="s">
        <v>4188</v>
      </c>
      <c r="C1214" s="89" t="s">
        <v>4189</v>
      </c>
      <c r="D1214" s="90" t="s">
        <v>4190</v>
      </c>
      <c r="E1214" s="91">
        <v>2005.0</v>
      </c>
      <c r="F1214" s="104">
        <v>1.0</v>
      </c>
      <c r="G1214" s="93"/>
      <c r="H1214" s="93"/>
      <c r="I1214" s="93"/>
      <c r="J1214" s="93"/>
      <c r="K1214" s="93"/>
      <c r="L1214" s="93"/>
      <c r="M1214" s="93"/>
      <c r="N1214" s="93"/>
      <c r="O1214" s="93"/>
      <c r="P1214" s="93"/>
      <c r="Q1214" s="93"/>
      <c r="R1214" s="93"/>
      <c r="S1214" s="93"/>
      <c r="T1214" s="93"/>
      <c r="U1214" s="93"/>
      <c r="V1214" s="93"/>
      <c r="W1214" s="93"/>
      <c r="X1214" s="93"/>
      <c r="Y1214" s="93"/>
      <c r="Z1214" s="93"/>
      <c r="AA1214" s="93"/>
      <c r="AB1214" s="93"/>
      <c r="AC1214" s="93"/>
      <c r="AD1214" s="93"/>
      <c r="AE1214" s="93"/>
      <c r="AF1214" s="93"/>
      <c r="AG1214" s="93"/>
      <c r="AH1214" s="93"/>
      <c r="AI1214" s="93"/>
      <c r="AJ1214" s="93"/>
      <c r="AK1214" s="93"/>
      <c r="AL1214" s="93"/>
      <c r="AM1214" s="93"/>
      <c r="AN1214" s="93"/>
      <c r="AO1214" s="93"/>
      <c r="AP1214" s="93"/>
      <c r="AQ1214" s="93"/>
      <c r="AR1214" s="93"/>
      <c r="AS1214" s="93"/>
      <c r="AT1214" s="93"/>
      <c r="AU1214" s="93"/>
      <c r="AV1214" s="93"/>
      <c r="AW1214" s="93"/>
      <c r="AX1214" s="93"/>
      <c r="AY1214" s="93"/>
      <c r="AZ1214" s="93"/>
      <c r="BA1214" s="93"/>
      <c r="BB1214" s="93"/>
      <c r="BC1214" s="93"/>
      <c r="BD1214" s="93"/>
      <c r="BE1214" s="93"/>
      <c r="BF1214" s="93"/>
      <c r="BG1214" s="93"/>
      <c r="BH1214" s="93"/>
      <c r="BI1214" s="93"/>
      <c r="BJ1214" s="93"/>
      <c r="BK1214" s="93"/>
      <c r="BL1214" s="93"/>
      <c r="BM1214" s="93"/>
      <c r="BN1214" s="93"/>
      <c r="BO1214" s="93"/>
      <c r="BP1214" s="93"/>
      <c r="BQ1214" s="93"/>
      <c r="BR1214" s="93"/>
      <c r="BS1214" s="93"/>
      <c r="BT1214" s="93"/>
      <c r="BU1214" s="93"/>
      <c r="BV1214" s="93"/>
      <c r="BW1214" s="93"/>
      <c r="BX1214" s="93"/>
      <c r="BY1214" s="93"/>
      <c r="BZ1214" s="93"/>
    </row>
    <row r="1215">
      <c r="B1215" t="s">
        <v>4191</v>
      </c>
      <c r="C1215" s="89" t="s">
        <v>4192</v>
      </c>
      <c r="D1215" s="90" t="s">
        <v>4136</v>
      </c>
      <c r="E1215" s="91">
        <v>2004.0</v>
      </c>
      <c r="F1215" s="104">
        <v>1.0</v>
      </c>
      <c r="G1215" s="93"/>
      <c r="H1215" s="93"/>
      <c r="I1215" s="93"/>
      <c r="J1215" s="93"/>
      <c r="K1215" s="93"/>
      <c r="L1215" s="93"/>
      <c r="M1215" s="93"/>
      <c r="N1215" s="93"/>
      <c r="O1215" s="93"/>
      <c r="P1215" s="93"/>
      <c r="Q1215" s="93"/>
      <c r="R1215" s="93"/>
      <c r="S1215" s="93"/>
      <c r="T1215" s="93"/>
      <c r="U1215" s="93"/>
      <c r="V1215" s="93"/>
      <c r="W1215" s="93"/>
      <c r="X1215" s="93"/>
      <c r="Y1215" s="93"/>
      <c r="Z1215" s="93"/>
      <c r="AA1215" s="93"/>
      <c r="AB1215" s="93"/>
      <c r="AC1215" s="93"/>
      <c r="AD1215" s="93"/>
      <c r="AE1215" s="93"/>
      <c r="AF1215" s="93"/>
      <c r="AG1215" s="93"/>
      <c r="AH1215" s="93"/>
      <c r="AI1215" s="93"/>
      <c r="AJ1215" s="93"/>
      <c r="AK1215" s="93"/>
      <c r="AL1215" s="93"/>
      <c r="AM1215" s="93"/>
      <c r="AN1215" s="93"/>
      <c r="AO1215" s="93"/>
      <c r="AP1215" s="93"/>
      <c r="AQ1215" s="93"/>
      <c r="AR1215" s="93"/>
      <c r="AS1215" s="93"/>
      <c r="AT1215" s="93"/>
      <c r="AU1215" s="93"/>
      <c r="AV1215" s="93"/>
      <c r="AW1215" s="93"/>
      <c r="AX1215" s="93"/>
      <c r="AY1215" s="93"/>
      <c r="AZ1215" s="93"/>
      <c r="BA1215" s="93"/>
      <c r="BB1215" s="93"/>
      <c r="BC1215" s="93"/>
      <c r="BD1215" s="93"/>
      <c r="BE1215" s="93"/>
      <c r="BF1215" s="93"/>
      <c r="BG1215" s="93"/>
      <c r="BH1215" s="93"/>
      <c r="BI1215" s="93"/>
      <c r="BJ1215" s="93"/>
      <c r="BK1215" s="93"/>
      <c r="BL1215" s="93"/>
      <c r="BM1215" s="93"/>
      <c r="BN1215" s="93"/>
      <c r="BO1215" s="93"/>
      <c r="BP1215" s="93"/>
      <c r="BQ1215" s="93"/>
      <c r="BR1215" s="93"/>
      <c r="BS1215" s="93"/>
      <c r="BT1215" s="93"/>
      <c r="BU1215" s="93"/>
      <c r="BV1215" s="93"/>
      <c r="BW1215" s="93"/>
      <c r="BX1215" s="93"/>
      <c r="BY1215" s="93"/>
      <c r="BZ1215" s="93"/>
    </row>
    <row r="1216">
      <c r="B1216" t="s">
        <v>4193</v>
      </c>
      <c r="C1216" s="89" t="s">
        <v>668</v>
      </c>
      <c r="D1216" s="90" t="s">
        <v>669</v>
      </c>
      <c r="E1216" s="91">
        <v>2003.0</v>
      </c>
      <c r="F1216" s="105" t="s">
        <v>1777</v>
      </c>
      <c r="G1216" s="93"/>
      <c r="H1216" s="93"/>
      <c r="I1216" s="93"/>
      <c r="J1216" s="93"/>
      <c r="K1216" s="93"/>
      <c r="L1216" s="93"/>
      <c r="M1216" s="93"/>
      <c r="N1216" s="93"/>
      <c r="O1216" s="93"/>
      <c r="P1216" s="93"/>
      <c r="Q1216" s="93"/>
      <c r="R1216" s="93"/>
      <c r="S1216" s="93"/>
      <c r="T1216" s="93"/>
      <c r="U1216" s="93"/>
      <c r="V1216" s="93"/>
      <c r="W1216" s="93"/>
      <c r="X1216" s="93"/>
      <c r="Y1216" s="93"/>
      <c r="Z1216" s="93"/>
      <c r="AA1216" s="93"/>
      <c r="AB1216" s="93"/>
      <c r="AC1216" s="93"/>
      <c r="AD1216" s="93"/>
      <c r="AE1216" s="93"/>
      <c r="AF1216" s="93"/>
      <c r="AG1216" s="93"/>
      <c r="AH1216" s="93"/>
      <c r="AI1216" s="93"/>
      <c r="AJ1216" s="93"/>
      <c r="AK1216" s="93"/>
      <c r="AL1216" s="93"/>
      <c r="AM1216" s="93"/>
      <c r="AN1216" s="93"/>
      <c r="AO1216" s="93"/>
      <c r="AP1216" s="93"/>
      <c r="AQ1216" s="93"/>
      <c r="AR1216" s="93"/>
      <c r="AS1216" s="93"/>
      <c r="AT1216" s="93"/>
      <c r="AU1216" s="93"/>
      <c r="AV1216" s="93"/>
      <c r="AW1216" s="93"/>
      <c r="AX1216" s="93"/>
      <c r="AY1216" s="93"/>
      <c r="AZ1216" s="93"/>
      <c r="BA1216" s="93"/>
      <c r="BB1216" s="93"/>
      <c r="BC1216" s="93"/>
      <c r="BD1216" s="93"/>
      <c r="BE1216" s="93"/>
      <c r="BF1216" s="93"/>
      <c r="BG1216" s="93"/>
      <c r="BH1216" s="93"/>
      <c r="BI1216" s="93"/>
      <c r="BJ1216" s="93"/>
      <c r="BK1216" s="93"/>
      <c r="BL1216" s="93"/>
      <c r="BM1216" s="93"/>
      <c r="BN1216" s="93"/>
      <c r="BO1216" s="93"/>
      <c r="BP1216" s="93"/>
      <c r="BQ1216" s="93"/>
      <c r="BR1216" s="93"/>
      <c r="BS1216" s="93"/>
      <c r="BT1216" s="93"/>
      <c r="BU1216" s="93"/>
      <c r="BV1216" s="93"/>
      <c r="BW1216" s="93"/>
      <c r="BX1216" s="93"/>
      <c r="BY1216" s="93"/>
      <c r="BZ1216" s="93"/>
    </row>
    <row r="1217">
      <c r="A1217" t="s">
        <v>1331</v>
      </c>
      <c r="B1217" t="s">
        <v>4194</v>
      </c>
      <c r="C1217" s="89" t="s">
        <v>4195</v>
      </c>
      <c r="D1217" s="90" t="s">
        <v>4196</v>
      </c>
      <c r="E1217" s="91">
        <v>2002.0</v>
      </c>
      <c r="F1217" s="104">
        <v>1.0</v>
      </c>
      <c r="G1217" s="93"/>
      <c r="H1217" s="93"/>
      <c r="I1217" s="93"/>
      <c r="J1217" s="93"/>
      <c r="K1217" s="93"/>
      <c r="L1217" s="93"/>
      <c r="M1217" s="93"/>
      <c r="N1217" s="93"/>
      <c r="O1217" s="93"/>
      <c r="P1217" s="93"/>
      <c r="Q1217" s="93"/>
      <c r="R1217" s="93"/>
      <c r="S1217" s="93"/>
      <c r="T1217" s="93"/>
      <c r="U1217" s="93"/>
      <c r="V1217" s="93"/>
      <c r="W1217" s="93"/>
      <c r="X1217" s="93"/>
      <c r="Y1217" s="93"/>
      <c r="Z1217" s="93"/>
      <c r="AA1217" s="93"/>
      <c r="AB1217" s="93"/>
      <c r="AC1217" s="93"/>
      <c r="AD1217" s="93"/>
      <c r="AE1217" s="93"/>
      <c r="AF1217" s="93"/>
      <c r="AG1217" s="93"/>
      <c r="AH1217" s="93"/>
      <c r="AI1217" s="93"/>
      <c r="AJ1217" s="93"/>
      <c r="AK1217" s="93"/>
      <c r="AL1217" s="93"/>
      <c r="AM1217" s="93"/>
      <c r="AN1217" s="93"/>
      <c r="AO1217" s="93"/>
      <c r="AP1217" s="93"/>
      <c r="AQ1217" s="93"/>
      <c r="AR1217" s="93"/>
      <c r="AS1217" s="93"/>
      <c r="AT1217" s="93"/>
      <c r="AU1217" s="93"/>
      <c r="AV1217" s="93"/>
      <c r="AW1217" s="93"/>
      <c r="AX1217" s="93"/>
      <c r="AY1217" s="93"/>
      <c r="AZ1217" s="93"/>
      <c r="BA1217" s="93"/>
      <c r="BB1217" s="93"/>
      <c r="BC1217" s="93"/>
      <c r="BD1217" s="93"/>
      <c r="BE1217" s="93"/>
      <c r="BF1217" s="93"/>
      <c r="BG1217" s="93"/>
      <c r="BH1217" s="93"/>
      <c r="BI1217" s="93"/>
      <c r="BJ1217" s="93"/>
      <c r="BK1217" s="93"/>
      <c r="BL1217" s="93"/>
      <c r="BM1217" s="93"/>
      <c r="BN1217" s="93"/>
      <c r="BO1217" s="93"/>
      <c r="BP1217" s="93"/>
      <c r="BQ1217" s="93"/>
      <c r="BR1217" s="93"/>
      <c r="BS1217" s="93"/>
      <c r="BT1217" s="93"/>
      <c r="BU1217" s="93"/>
      <c r="BV1217" s="93"/>
      <c r="BW1217" s="93"/>
      <c r="BX1217" s="93"/>
      <c r="BY1217" s="93"/>
      <c r="BZ1217" s="93"/>
    </row>
    <row r="1218">
      <c r="A1218" t="s">
        <v>1340</v>
      </c>
      <c r="B1218" t="s">
        <v>4197</v>
      </c>
      <c r="C1218" s="89" t="s">
        <v>4198</v>
      </c>
      <c r="D1218" s="90" t="s">
        <v>1128</v>
      </c>
      <c r="E1218" s="91">
        <v>1998.0</v>
      </c>
      <c r="F1218" s="104">
        <v>1.0</v>
      </c>
      <c r="G1218" s="93"/>
      <c r="H1218" s="93"/>
      <c r="I1218" s="93"/>
      <c r="J1218" s="93"/>
      <c r="K1218" s="93"/>
      <c r="L1218" s="93"/>
      <c r="M1218" s="93"/>
      <c r="N1218" s="93"/>
      <c r="O1218" s="93"/>
      <c r="P1218" s="93"/>
      <c r="Q1218" s="93"/>
      <c r="R1218" s="93"/>
      <c r="S1218" s="93"/>
      <c r="T1218" s="93"/>
      <c r="U1218" s="93"/>
      <c r="V1218" s="93"/>
      <c r="W1218" s="93"/>
      <c r="X1218" s="93"/>
      <c r="Y1218" s="93"/>
      <c r="Z1218" s="93"/>
      <c r="AA1218" s="93"/>
      <c r="AB1218" s="93"/>
      <c r="AC1218" s="93"/>
      <c r="AD1218" s="93"/>
      <c r="AE1218" s="93"/>
      <c r="AF1218" s="93"/>
      <c r="AG1218" s="93"/>
      <c r="AH1218" s="93"/>
      <c r="AI1218" s="93"/>
      <c r="AJ1218" s="93"/>
      <c r="AK1218" s="93"/>
      <c r="AL1218" s="93"/>
      <c r="AM1218" s="93"/>
      <c r="AN1218" s="93"/>
      <c r="AO1218" s="93"/>
      <c r="AP1218" s="93"/>
      <c r="AQ1218" s="93"/>
      <c r="AR1218" s="93"/>
      <c r="AS1218" s="93"/>
      <c r="AT1218" s="93"/>
      <c r="AU1218" s="93"/>
      <c r="AV1218" s="93"/>
      <c r="AW1218" s="93"/>
      <c r="AX1218" s="93"/>
      <c r="AY1218" s="93"/>
      <c r="AZ1218" s="93"/>
      <c r="BA1218" s="93"/>
      <c r="BB1218" s="93"/>
      <c r="BC1218" s="93"/>
      <c r="BD1218" s="93"/>
      <c r="BE1218" s="93"/>
      <c r="BF1218" s="93"/>
      <c r="BG1218" s="93"/>
      <c r="BH1218" s="93"/>
      <c r="BI1218" s="93"/>
      <c r="BJ1218" s="93"/>
      <c r="BK1218" s="93"/>
      <c r="BL1218" s="93"/>
      <c r="BM1218" s="93"/>
      <c r="BN1218" s="93"/>
      <c r="BO1218" s="93"/>
      <c r="BP1218" s="93"/>
      <c r="BQ1218" s="93"/>
      <c r="BR1218" s="93"/>
      <c r="BS1218" s="93"/>
      <c r="BT1218" s="93"/>
      <c r="BU1218" s="93"/>
      <c r="BV1218" s="93"/>
      <c r="BW1218" s="93"/>
      <c r="BX1218" s="93"/>
      <c r="BY1218" s="93"/>
      <c r="BZ1218" s="93"/>
    </row>
    <row r="1219">
      <c r="A1219" t="s">
        <v>1354</v>
      </c>
      <c r="B1219" t="s">
        <v>4199</v>
      </c>
      <c r="C1219" s="89" t="s">
        <v>4200</v>
      </c>
      <c r="D1219" s="90" t="s">
        <v>1128</v>
      </c>
      <c r="E1219" s="91">
        <v>1998.0</v>
      </c>
      <c r="F1219" s="104">
        <v>1.0</v>
      </c>
      <c r="G1219" s="93"/>
      <c r="H1219" s="93"/>
      <c r="I1219" s="93"/>
      <c r="J1219" s="93"/>
      <c r="K1219" s="93"/>
      <c r="L1219" s="93"/>
      <c r="M1219" s="93"/>
      <c r="N1219" s="93"/>
      <c r="O1219" s="93"/>
      <c r="P1219" s="93"/>
      <c r="Q1219" s="93"/>
      <c r="R1219" s="93"/>
      <c r="S1219" s="93"/>
      <c r="T1219" s="93"/>
      <c r="U1219" s="93"/>
      <c r="V1219" s="93"/>
      <c r="W1219" s="93"/>
      <c r="X1219" s="93"/>
      <c r="Y1219" s="93"/>
      <c r="Z1219" s="93"/>
      <c r="AA1219" s="93"/>
      <c r="AB1219" s="93"/>
      <c r="AC1219" s="93"/>
      <c r="AD1219" s="93"/>
      <c r="AE1219" s="93"/>
      <c r="AF1219" s="93"/>
      <c r="AG1219" s="93"/>
      <c r="AH1219" s="93"/>
      <c r="AI1219" s="93"/>
      <c r="AJ1219" s="93"/>
      <c r="AK1219" s="93"/>
      <c r="AL1219" s="93"/>
      <c r="AM1219" s="93"/>
      <c r="AN1219" s="93"/>
      <c r="AO1219" s="93"/>
      <c r="AP1219" s="93"/>
      <c r="AQ1219" s="93"/>
      <c r="AR1219" s="93"/>
      <c r="AS1219" s="93"/>
      <c r="AT1219" s="93"/>
      <c r="AU1219" s="93"/>
      <c r="AV1219" s="93"/>
      <c r="AW1219" s="93"/>
      <c r="AX1219" s="93"/>
      <c r="AY1219" s="93"/>
      <c r="AZ1219" s="93"/>
      <c r="BA1219" s="93"/>
      <c r="BB1219" s="93"/>
      <c r="BC1219" s="93"/>
      <c r="BD1219" s="93"/>
      <c r="BE1219" s="93"/>
      <c r="BF1219" s="93"/>
      <c r="BG1219" s="93"/>
      <c r="BH1219" s="93"/>
      <c r="BI1219" s="93"/>
      <c r="BJ1219" s="93"/>
      <c r="BK1219" s="93"/>
      <c r="BL1219" s="93"/>
      <c r="BM1219" s="93"/>
      <c r="BN1219" s="93"/>
      <c r="BO1219" s="93"/>
      <c r="BP1219" s="93"/>
      <c r="BQ1219" s="93"/>
      <c r="BR1219" s="93"/>
      <c r="BS1219" s="93"/>
      <c r="BT1219" s="93"/>
      <c r="BU1219" s="93"/>
      <c r="BV1219" s="93"/>
      <c r="BW1219" s="93"/>
      <c r="BX1219" s="93"/>
      <c r="BY1219" s="93"/>
      <c r="BZ1219" s="93"/>
    </row>
    <row r="1220">
      <c r="A1220" t="s">
        <v>116</v>
      </c>
      <c r="B1220" t="s">
        <v>4201</v>
      </c>
      <c r="C1220" s="89" t="s">
        <v>4202</v>
      </c>
      <c r="D1220" s="90" t="s">
        <v>1179</v>
      </c>
      <c r="E1220" s="91">
        <v>1998.0</v>
      </c>
      <c r="F1220" s="93"/>
      <c r="G1220" s="93"/>
      <c r="H1220" s="93"/>
      <c r="I1220" s="93"/>
      <c r="J1220" s="93"/>
      <c r="K1220" s="104">
        <v>1.0</v>
      </c>
      <c r="L1220" s="93"/>
      <c r="M1220" s="93"/>
      <c r="N1220" s="93"/>
      <c r="O1220" s="93"/>
      <c r="P1220" s="93"/>
      <c r="Q1220" s="93"/>
      <c r="R1220" s="93"/>
      <c r="S1220" s="93"/>
      <c r="T1220" s="93"/>
      <c r="U1220" s="93"/>
      <c r="V1220" s="93"/>
      <c r="W1220" s="93" t="s">
        <v>4203</v>
      </c>
      <c r="X1220" s="93" t="s">
        <v>4203</v>
      </c>
      <c r="Y1220" s="93" t="s">
        <v>336</v>
      </c>
      <c r="Z1220" s="105" t="s">
        <v>4204</v>
      </c>
      <c r="AA1220" s="93"/>
      <c r="AB1220" s="104">
        <v>1.0</v>
      </c>
      <c r="AC1220" s="93"/>
      <c r="AD1220" s="104">
        <v>1.0</v>
      </c>
      <c r="AE1220" s="93"/>
      <c r="AF1220" s="93"/>
      <c r="AG1220" s="93"/>
      <c r="AH1220" s="90" t="s">
        <v>4205</v>
      </c>
      <c r="AI1220" s="104">
        <v>1.0</v>
      </c>
      <c r="AJ1220" s="93"/>
      <c r="AK1220" s="93"/>
      <c r="AL1220" s="93"/>
      <c r="AM1220" s="93"/>
      <c r="AN1220" s="93"/>
      <c r="AO1220" s="93"/>
      <c r="AP1220" s="93"/>
      <c r="AQ1220" s="93"/>
      <c r="AR1220" s="93"/>
      <c r="AS1220" s="93"/>
      <c r="AT1220" s="93"/>
      <c r="AU1220" s="93"/>
      <c r="AV1220" s="93"/>
      <c r="AW1220" s="93"/>
      <c r="AX1220" s="93"/>
      <c r="AY1220" s="93"/>
      <c r="AZ1220" s="93"/>
      <c r="BA1220" s="93"/>
      <c r="BB1220" s="93"/>
      <c r="BC1220" s="93"/>
      <c r="BD1220" s="93"/>
      <c r="BE1220" s="93"/>
      <c r="BF1220" s="93"/>
      <c r="BG1220" s="93"/>
      <c r="BH1220" s="93"/>
      <c r="BI1220" s="93"/>
      <c r="BJ1220" s="93"/>
      <c r="BK1220" s="93"/>
      <c r="BL1220" s="93"/>
      <c r="BM1220" s="93"/>
      <c r="BN1220" s="104">
        <v>1.0</v>
      </c>
      <c r="BO1220" s="93"/>
      <c r="BP1220" s="93"/>
      <c r="BQ1220" s="93"/>
      <c r="BR1220" s="93"/>
      <c r="BS1220" s="93"/>
      <c r="BT1220" s="93"/>
      <c r="BU1220" s="93"/>
      <c r="BV1220" s="104">
        <v>1.0</v>
      </c>
      <c r="BW1220" s="93"/>
      <c r="BX1220" s="93"/>
      <c r="BY1220" s="104">
        <v>1.0</v>
      </c>
      <c r="BZ1220" s="93"/>
    </row>
    <row r="1221">
      <c r="B1221" t="s">
        <v>4206</v>
      </c>
      <c r="C1221" s="89" t="s">
        <v>4207</v>
      </c>
      <c r="D1221" s="90" t="s">
        <v>4208</v>
      </c>
      <c r="E1221" s="91">
        <v>1973.0</v>
      </c>
      <c r="F1221" s="104">
        <v>1.0</v>
      </c>
      <c r="G1221" s="93"/>
      <c r="H1221" s="93"/>
      <c r="I1221" s="93"/>
      <c r="J1221" s="93"/>
      <c r="K1221" s="93"/>
      <c r="L1221" s="93"/>
      <c r="M1221" s="93"/>
      <c r="N1221" s="93"/>
      <c r="O1221" s="93"/>
      <c r="P1221" s="93"/>
      <c r="Q1221" s="93"/>
      <c r="R1221" s="93"/>
      <c r="S1221" s="93"/>
      <c r="T1221" s="93"/>
      <c r="U1221" s="93"/>
      <c r="V1221" s="93"/>
      <c r="W1221" s="93"/>
      <c r="X1221" s="93"/>
      <c r="Y1221" s="93"/>
      <c r="Z1221" s="93"/>
      <c r="AA1221" s="93"/>
      <c r="AB1221" s="93"/>
      <c r="AC1221" s="93"/>
      <c r="AD1221" s="93"/>
      <c r="AE1221" s="93"/>
      <c r="AF1221" s="93"/>
      <c r="AG1221" s="93"/>
      <c r="AH1221" s="93"/>
      <c r="AI1221" s="93"/>
      <c r="AJ1221" s="93"/>
      <c r="AK1221" s="93"/>
      <c r="AL1221" s="93"/>
      <c r="AM1221" s="93"/>
      <c r="AN1221" s="93"/>
      <c r="AO1221" s="93"/>
      <c r="AP1221" s="93"/>
      <c r="AQ1221" s="93"/>
      <c r="AR1221" s="93"/>
      <c r="AS1221" s="93"/>
      <c r="AT1221" s="93"/>
      <c r="AU1221" s="93"/>
      <c r="AV1221" s="93"/>
      <c r="AW1221" s="93"/>
      <c r="AX1221" s="93"/>
      <c r="AY1221" s="93"/>
      <c r="AZ1221" s="93"/>
      <c r="BA1221" s="93"/>
      <c r="BB1221" s="93"/>
      <c r="BC1221" s="93"/>
      <c r="BD1221" s="93"/>
      <c r="BE1221" s="93"/>
      <c r="BF1221" s="93"/>
      <c r="BG1221" s="93"/>
      <c r="BH1221" s="93"/>
      <c r="BI1221" s="93"/>
      <c r="BJ1221" s="93"/>
      <c r="BK1221" s="93"/>
      <c r="BL1221" s="93"/>
      <c r="BM1221" s="93"/>
      <c r="BN1221" s="93"/>
      <c r="BO1221" s="93"/>
      <c r="BP1221" s="93"/>
      <c r="BQ1221" s="93"/>
      <c r="BR1221" s="93"/>
      <c r="BS1221" s="93"/>
      <c r="BT1221" s="93"/>
      <c r="BU1221" s="93"/>
      <c r="BV1221" s="93"/>
      <c r="BW1221" s="93"/>
      <c r="BX1221" s="93"/>
      <c r="BY1221" s="93"/>
      <c r="BZ1221" s="93"/>
    </row>
    <row r="1222">
      <c r="B1222" t="s">
        <v>4209</v>
      </c>
      <c r="C1222" s="89" t="s">
        <v>4210</v>
      </c>
      <c r="D1222" s="90" t="s">
        <v>4211</v>
      </c>
      <c r="E1222" s="91">
        <v>2014.0</v>
      </c>
      <c r="F1222" s="105" t="s">
        <v>1777</v>
      </c>
      <c r="G1222" s="93"/>
      <c r="H1222" s="93"/>
      <c r="I1222" s="93"/>
      <c r="J1222" s="93"/>
      <c r="K1222" s="93"/>
      <c r="L1222" s="93"/>
      <c r="M1222" s="93"/>
      <c r="N1222" s="93"/>
      <c r="O1222" s="93"/>
      <c r="P1222" s="93"/>
      <c r="Q1222" s="93"/>
      <c r="R1222" s="93"/>
      <c r="S1222" s="93"/>
      <c r="T1222" s="93"/>
      <c r="U1222" s="93"/>
      <c r="V1222" s="93"/>
      <c r="W1222" s="93"/>
      <c r="X1222" s="93"/>
      <c r="Y1222" s="93"/>
      <c r="Z1222" s="93"/>
      <c r="AA1222" s="93"/>
      <c r="AB1222" s="93"/>
      <c r="AC1222" s="93"/>
      <c r="AD1222" s="93"/>
      <c r="AE1222" s="93"/>
      <c r="AF1222" s="93"/>
      <c r="AG1222" s="93"/>
      <c r="AH1222" s="93"/>
      <c r="AI1222" s="93"/>
      <c r="AJ1222" s="93"/>
      <c r="AK1222" s="93"/>
      <c r="AL1222" s="93"/>
      <c r="AM1222" s="93"/>
      <c r="AN1222" s="93"/>
      <c r="AO1222" s="93"/>
      <c r="AP1222" s="93"/>
      <c r="AQ1222" s="93"/>
      <c r="AR1222" s="93"/>
      <c r="AS1222" s="93"/>
      <c r="AT1222" s="93"/>
      <c r="AU1222" s="93"/>
      <c r="AV1222" s="93"/>
      <c r="AW1222" s="93"/>
      <c r="AX1222" s="93"/>
      <c r="AY1222" s="93"/>
      <c r="AZ1222" s="93"/>
      <c r="BA1222" s="93"/>
      <c r="BB1222" s="93"/>
      <c r="BC1222" s="93"/>
      <c r="BD1222" s="93"/>
      <c r="BE1222" s="93"/>
      <c r="BF1222" s="93"/>
      <c r="BG1222" s="93"/>
      <c r="BH1222" s="93"/>
      <c r="BI1222" s="93"/>
      <c r="BJ1222" s="93"/>
      <c r="BK1222" s="93"/>
      <c r="BL1222" s="93"/>
      <c r="BM1222" s="93"/>
      <c r="BN1222" s="93"/>
      <c r="BO1222" s="93"/>
      <c r="BP1222" s="93"/>
      <c r="BQ1222" s="93"/>
      <c r="BR1222" s="93"/>
      <c r="BS1222" s="93"/>
      <c r="BT1222" s="93"/>
      <c r="BU1222" s="93"/>
      <c r="BV1222" s="93"/>
      <c r="BW1222" s="93"/>
      <c r="BX1222" s="93"/>
      <c r="BY1222" s="93"/>
      <c r="BZ1222" s="93"/>
    </row>
    <row r="1223">
      <c r="A1223" t="s">
        <v>1331</v>
      </c>
      <c r="B1223" t="s">
        <v>4212</v>
      </c>
      <c r="C1223" s="89" t="s">
        <v>4213</v>
      </c>
      <c r="D1223" s="90" t="s">
        <v>4214</v>
      </c>
      <c r="E1223" s="91">
        <v>2015.0</v>
      </c>
      <c r="F1223" s="104">
        <v>1.0</v>
      </c>
      <c r="G1223" s="93"/>
      <c r="H1223" s="93"/>
      <c r="I1223" s="93"/>
      <c r="J1223" s="93"/>
      <c r="K1223" s="93"/>
      <c r="L1223" s="93"/>
      <c r="M1223" s="93"/>
      <c r="N1223" s="93"/>
      <c r="O1223" s="93"/>
      <c r="P1223" s="93"/>
      <c r="Q1223" s="93"/>
      <c r="R1223" s="93"/>
      <c r="S1223" s="93"/>
      <c r="T1223" s="93"/>
      <c r="U1223" s="93"/>
      <c r="V1223" s="93"/>
      <c r="W1223" s="93"/>
      <c r="X1223" s="93"/>
      <c r="Y1223" s="93"/>
      <c r="Z1223" s="93"/>
      <c r="AA1223" s="93"/>
      <c r="AB1223" s="93"/>
      <c r="AC1223" s="93"/>
      <c r="AD1223" s="93"/>
      <c r="AE1223" s="93"/>
      <c r="AF1223" s="93"/>
      <c r="AG1223" s="93"/>
      <c r="AH1223" s="93"/>
      <c r="AI1223" s="93"/>
      <c r="AJ1223" s="93"/>
      <c r="AK1223" s="93"/>
      <c r="AL1223" s="93"/>
      <c r="AM1223" s="93"/>
      <c r="AN1223" s="93"/>
      <c r="AO1223" s="93"/>
      <c r="AP1223" s="93"/>
      <c r="AQ1223" s="93"/>
      <c r="AR1223" s="93"/>
      <c r="AS1223" s="93"/>
      <c r="AT1223" s="93"/>
      <c r="AU1223" s="93"/>
      <c r="AV1223" s="93"/>
      <c r="AW1223" s="93"/>
      <c r="AX1223" s="93"/>
      <c r="AY1223" s="93"/>
      <c r="AZ1223" s="93"/>
      <c r="BA1223" s="93"/>
      <c r="BB1223" s="93"/>
      <c r="BC1223" s="93"/>
      <c r="BD1223" s="93"/>
      <c r="BE1223" s="93"/>
      <c r="BF1223" s="93"/>
      <c r="BG1223" s="93"/>
      <c r="BH1223" s="93"/>
      <c r="BI1223" s="93"/>
      <c r="BJ1223" s="93"/>
      <c r="BK1223" s="93"/>
      <c r="BL1223" s="93"/>
      <c r="BM1223" s="93"/>
      <c r="BN1223" s="93"/>
      <c r="BO1223" s="93"/>
      <c r="BP1223" s="93"/>
      <c r="BQ1223" s="93"/>
      <c r="BR1223" s="93"/>
      <c r="BS1223" s="93"/>
      <c r="BT1223" s="93"/>
      <c r="BU1223" s="93"/>
      <c r="BV1223" s="93"/>
      <c r="BW1223" s="93"/>
      <c r="BX1223" s="93"/>
      <c r="BY1223" s="93"/>
      <c r="BZ1223" s="93"/>
    </row>
    <row r="1224">
      <c r="B1224" t="s">
        <v>4215</v>
      </c>
      <c r="C1224" s="89" t="s">
        <v>4216</v>
      </c>
      <c r="D1224" s="90" t="s">
        <v>4217</v>
      </c>
      <c r="E1224" s="91">
        <v>2010.0</v>
      </c>
      <c r="F1224" s="105" t="s">
        <v>1777</v>
      </c>
      <c r="G1224" s="93"/>
      <c r="H1224" s="93"/>
      <c r="I1224" s="93"/>
      <c r="J1224" s="93"/>
      <c r="K1224" s="93"/>
      <c r="L1224" s="93"/>
      <c r="M1224" s="93"/>
      <c r="N1224" s="93"/>
      <c r="O1224" s="93"/>
      <c r="P1224" s="93"/>
      <c r="Q1224" s="93"/>
      <c r="R1224" s="93"/>
      <c r="S1224" s="93"/>
      <c r="T1224" s="93"/>
      <c r="U1224" s="93"/>
      <c r="V1224" s="93"/>
      <c r="W1224" s="93"/>
      <c r="X1224" s="93"/>
      <c r="Y1224" s="93"/>
      <c r="Z1224" s="93"/>
      <c r="AA1224" s="93"/>
      <c r="AB1224" s="93"/>
      <c r="AC1224" s="93"/>
      <c r="AD1224" s="93"/>
      <c r="AE1224" s="93"/>
      <c r="AF1224" s="93"/>
      <c r="AG1224" s="93"/>
      <c r="AH1224" s="93"/>
      <c r="AI1224" s="93"/>
      <c r="AJ1224" s="93"/>
      <c r="AK1224" s="93"/>
      <c r="AL1224" s="93"/>
      <c r="AM1224" s="93"/>
      <c r="AN1224" s="93"/>
      <c r="AO1224" s="93"/>
      <c r="AP1224" s="93"/>
      <c r="AQ1224" s="93"/>
      <c r="AR1224" s="93"/>
      <c r="AS1224" s="93"/>
      <c r="AT1224" s="93"/>
      <c r="AU1224" s="93"/>
      <c r="AV1224" s="93"/>
      <c r="AW1224" s="93"/>
      <c r="AX1224" s="93"/>
      <c r="AY1224" s="93"/>
      <c r="AZ1224" s="93"/>
      <c r="BA1224" s="93"/>
      <c r="BB1224" s="93"/>
      <c r="BC1224" s="93"/>
      <c r="BD1224" s="93"/>
      <c r="BE1224" s="93"/>
      <c r="BF1224" s="93"/>
      <c r="BG1224" s="93"/>
      <c r="BH1224" s="93"/>
      <c r="BI1224" s="93"/>
      <c r="BJ1224" s="93"/>
      <c r="BK1224" s="93"/>
      <c r="BL1224" s="93"/>
      <c r="BM1224" s="93"/>
      <c r="BN1224" s="93"/>
      <c r="BO1224" s="93"/>
      <c r="BP1224" s="93"/>
      <c r="BQ1224" s="93"/>
      <c r="BR1224" s="93"/>
      <c r="BS1224" s="93"/>
      <c r="BT1224" s="93"/>
      <c r="BU1224" s="93"/>
      <c r="BV1224" s="93"/>
      <c r="BW1224" s="93"/>
      <c r="BX1224" s="93"/>
      <c r="BY1224" s="93"/>
      <c r="BZ1224" s="93"/>
    </row>
    <row r="1225">
      <c r="A1225" t="s">
        <v>1340</v>
      </c>
      <c r="B1225" t="s">
        <v>4218</v>
      </c>
      <c r="C1225" s="89" t="s">
        <v>4219</v>
      </c>
      <c r="D1225" s="90" t="s">
        <v>4220</v>
      </c>
      <c r="E1225" s="91">
        <v>2011.0</v>
      </c>
      <c r="F1225" s="104">
        <v>1.0</v>
      </c>
      <c r="G1225" s="93"/>
      <c r="H1225" s="93"/>
      <c r="I1225" s="93"/>
      <c r="J1225" s="93"/>
      <c r="K1225" s="93"/>
      <c r="L1225" s="93"/>
      <c r="M1225" s="93"/>
      <c r="N1225" s="93"/>
      <c r="O1225" s="93"/>
      <c r="P1225" s="93"/>
      <c r="Q1225" s="93"/>
      <c r="R1225" s="93"/>
      <c r="S1225" s="93"/>
      <c r="T1225" s="93"/>
      <c r="U1225" s="93"/>
      <c r="V1225" s="93"/>
      <c r="W1225" s="93"/>
      <c r="X1225" s="93"/>
      <c r="Y1225" s="93"/>
      <c r="Z1225" s="93"/>
      <c r="AA1225" s="93"/>
      <c r="AB1225" s="93"/>
      <c r="AC1225" s="93"/>
      <c r="AD1225" s="93"/>
      <c r="AE1225" s="93"/>
      <c r="AF1225" s="93"/>
      <c r="AG1225" s="93"/>
      <c r="AH1225" s="93"/>
      <c r="AI1225" s="93"/>
      <c r="AJ1225" s="93"/>
      <c r="AK1225" s="93"/>
      <c r="AL1225" s="93"/>
      <c r="AM1225" s="93"/>
      <c r="AN1225" s="93"/>
      <c r="AO1225" s="93"/>
      <c r="AP1225" s="93"/>
      <c r="AQ1225" s="93"/>
      <c r="AR1225" s="93"/>
      <c r="AS1225" s="93"/>
      <c r="AT1225" s="93"/>
      <c r="AU1225" s="93"/>
      <c r="AV1225" s="93"/>
      <c r="AW1225" s="93"/>
      <c r="AX1225" s="93"/>
      <c r="AY1225" s="93"/>
      <c r="AZ1225" s="93"/>
      <c r="BA1225" s="93"/>
      <c r="BB1225" s="93"/>
      <c r="BC1225" s="93"/>
      <c r="BD1225" s="93"/>
      <c r="BE1225" s="93"/>
      <c r="BF1225" s="93"/>
      <c r="BG1225" s="93"/>
      <c r="BH1225" s="93"/>
      <c r="BI1225" s="93"/>
      <c r="BJ1225" s="93"/>
      <c r="BK1225" s="93"/>
      <c r="BL1225" s="93"/>
      <c r="BM1225" s="93"/>
      <c r="BN1225" s="93"/>
      <c r="BO1225" s="93"/>
      <c r="BP1225" s="93"/>
      <c r="BQ1225" s="93"/>
      <c r="BR1225" s="93"/>
      <c r="BS1225" s="93"/>
      <c r="BT1225" s="93"/>
      <c r="BU1225" s="93"/>
      <c r="BV1225" s="93"/>
      <c r="BW1225" s="93"/>
      <c r="BX1225" s="93"/>
      <c r="BY1225" s="93"/>
      <c r="BZ1225" s="93"/>
    </row>
    <row r="1226">
      <c r="A1226" t="s">
        <v>1354</v>
      </c>
      <c r="B1226" t="s">
        <v>4221</v>
      </c>
      <c r="C1226" s="89" t="s">
        <v>4222</v>
      </c>
      <c r="D1226" s="90" t="s">
        <v>4223</v>
      </c>
      <c r="E1226" s="91">
        <v>2009.0</v>
      </c>
      <c r="F1226" s="104">
        <v>1.0</v>
      </c>
      <c r="G1226" s="93"/>
      <c r="H1226" s="93"/>
      <c r="I1226" s="93"/>
      <c r="J1226" s="93"/>
      <c r="K1226" s="93"/>
      <c r="L1226" s="93"/>
      <c r="M1226" s="93"/>
      <c r="N1226" s="93"/>
      <c r="O1226" s="93"/>
      <c r="P1226" s="93"/>
      <c r="Q1226" s="93"/>
      <c r="R1226" s="93"/>
      <c r="S1226" s="93"/>
      <c r="T1226" s="93"/>
      <c r="U1226" s="93"/>
      <c r="V1226" s="93"/>
      <c r="W1226" s="93"/>
      <c r="X1226" s="93"/>
      <c r="Y1226" s="93"/>
      <c r="Z1226" s="93"/>
      <c r="AA1226" s="93"/>
      <c r="AB1226" s="93"/>
      <c r="AC1226" s="93"/>
      <c r="AD1226" s="93"/>
      <c r="AE1226" s="93"/>
      <c r="AF1226" s="93"/>
      <c r="AG1226" s="93"/>
      <c r="AH1226" s="93"/>
      <c r="AI1226" s="93"/>
      <c r="AJ1226" s="93"/>
      <c r="AK1226" s="93"/>
      <c r="AL1226" s="93"/>
      <c r="AM1226" s="93"/>
      <c r="AN1226" s="93"/>
      <c r="AO1226" s="93"/>
      <c r="AP1226" s="93"/>
      <c r="AQ1226" s="93"/>
      <c r="AR1226" s="93"/>
      <c r="AS1226" s="93"/>
      <c r="AT1226" s="93"/>
      <c r="AU1226" s="93"/>
      <c r="AV1226" s="93"/>
      <c r="AW1226" s="93"/>
      <c r="AX1226" s="93"/>
      <c r="AY1226" s="93"/>
      <c r="AZ1226" s="93"/>
      <c r="BA1226" s="93"/>
      <c r="BB1226" s="93"/>
      <c r="BC1226" s="93"/>
      <c r="BD1226" s="93"/>
      <c r="BE1226" s="93"/>
      <c r="BF1226" s="93"/>
      <c r="BG1226" s="93"/>
      <c r="BH1226" s="93"/>
      <c r="BI1226" s="93"/>
      <c r="BJ1226" s="93"/>
      <c r="BK1226" s="93"/>
      <c r="BL1226" s="93"/>
      <c r="BM1226" s="93"/>
      <c r="BN1226" s="93"/>
      <c r="BO1226" s="93"/>
      <c r="BP1226" s="93"/>
      <c r="BQ1226" s="93"/>
      <c r="BR1226" s="93"/>
      <c r="BS1226" s="93"/>
      <c r="BT1226" s="93"/>
      <c r="BU1226" s="93"/>
      <c r="BV1226" s="93"/>
      <c r="BW1226" s="93"/>
      <c r="BX1226" s="93"/>
      <c r="BY1226" s="93"/>
      <c r="BZ1226" s="93"/>
    </row>
    <row r="1227">
      <c r="B1227" t="s">
        <v>4224</v>
      </c>
      <c r="C1227" s="89" t="s">
        <v>4225</v>
      </c>
      <c r="D1227" s="90" t="s">
        <v>4226</v>
      </c>
      <c r="E1227" s="91">
        <v>2014.0</v>
      </c>
      <c r="F1227" s="105" t="s">
        <v>1777</v>
      </c>
      <c r="G1227" s="93"/>
      <c r="H1227" s="93"/>
      <c r="I1227" s="93"/>
      <c r="J1227" s="93"/>
      <c r="K1227" s="93"/>
      <c r="L1227" s="93"/>
      <c r="M1227" s="93"/>
      <c r="N1227" s="93"/>
      <c r="O1227" s="93"/>
      <c r="P1227" s="93"/>
      <c r="Q1227" s="93"/>
      <c r="R1227" s="93"/>
      <c r="S1227" s="93"/>
      <c r="T1227" s="93"/>
      <c r="U1227" s="93"/>
      <c r="V1227" s="93"/>
      <c r="W1227" s="93"/>
      <c r="X1227" s="93"/>
      <c r="Y1227" s="93"/>
      <c r="Z1227" s="93"/>
      <c r="AA1227" s="93"/>
      <c r="AB1227" s="93"/>
      <c r="AC1227" s="93"/>
      <c r="AD1227" s="93"/>
      <c r="AE1227" s="93"/>
      <c r="AF1227" s="93"/>
      <c r="AG1227" s="93"/>
      <c r="AH1227" s="93"/>
      <c r="AI1227" s="93"/>
      <c r="AJ1227" s="93"/>
      <c r="AK1227" s="93"/>
      <c r="AL1227" s="93"/>
      <c r="AM1227" s="93"/>
      <c r="AN1227" s="93"/>
      <c r="AO1227" s="93"/>
      <c r="AP1227" s="93"/>
      <c r="AQ1227" s="93"/>
      <c r="AR1227" s="93"/>
      <c r="AS1227" s="93"/>
      <c r="AT1227" s="93"/>
      <c r="AU1227" s="93"/>
      <c r="AV1227" s="93"/>
      <c r="AW1227" s="93"/>
      <c r="AX1227" s="93"/>
      <c r="AY1227" s="93"/>
      <c r="AZ1227" s="93"/>
      <c r="BA1227" s="93"/>
      <c r="BB1227" s="93"/>
      <c r="BC1227" s="93"/>
      <c r="BD1227" s="93"/>
      <c r="BE1227" s="93"/>
      <c r="BF1227" s="93"/>
      <c r="BG1227" s="93"/>
      <c r="BH1227" s="93"/>
      <c r="BI1227" s="93"/>
      <c r="BJ1227" s="93"/>
      <c r="BK1227" s="93"/>
      <c r="BL1227" s="93"/>
      <c r="BM1227" s="93"/>
      <c r="BN1227" s="93"/>
      <c r="BO1227" s="93"/>
      <c r="BP1227" s="93"/>
      <c r="BQ1227" s="93"/>
      <c r="BR1227" s="93"/>
      <c r="BS1227" s="93"/>
      <c r="BT1227" s="93"/>
      <c r="BU1227" s="93"/>
      <c r="BV1227" s="93"/>
      <c r="BW1227" s="93"/>
      <c r="BX1227" s="93"/>
      <c r="BY1227" s="93"/>
      <c r="BZ1227" s="93"/>
    </row>
    <row r="1228">
      <c r="A1228" t="s">
        <v>116</v>
      </c>
      <c r="B1228" t="s">
        <v>4227</v>
      </c>
      <c r="C1228" s="89" t="s">
        <v>4228</v>
      </c>
      <c r="D1228" s="90" t="s">
        <v>4229</v>
      </c>
      <c r="E1228" s="91">
        <v>2011.0</v>
      </c>
      <c r="F1228" s="104">
        <v>1.0</v>
      </c>
      <c r="G1228" s="93"/>
      <c r="H1228" s="93"/>
      <c r="I1228" s="93"/>
      <c r="J1228" s="93"/>
      <c r="K1228" s="93"/>
      <c r="L1228" s="93"/>
      <c r="M1228" s="93"/>
      <c r="N1228" s="93"/>
      <c r="O1228" s="93"/>
      <c r="P1228" s="93"/>
      <c r="Q1228" s="93"/>
      <c r="R1228" s="93"/>
      <c r="S1228" s="93"/>
      <c r="T1228" s="93"/>
      <c r="U1228" s="93"/>
      <c r="V1228" s="93"/>
      <c r="W1228" s="93"/>
      <c r="X1228" s="93"/>
      <c r="Y1228" s="93"/>
      <c r="Z1228" s="93"/>
      <c r="AA1228" s="93"/>
      <c r="AB1228" s="93"/>
      <c r="AC1228" s="93"/>
      <c r="AD1228" s="93"/>
      <c r="AE1228" s="93"/>
      <c r="AF1228" s="93"/>
      <c r="AG1228" s="93"/>
      <c r="AH1228" s="93"/>
      <c r="AI1228" s="93"/>
      <c r="AJ1228" s="93"/>
      <c r="AK1228" s="93"/>
      <c r="AL1228" s="93"/>
      <c r="AM1228" s="93"/>
      <c r="AN1228" s="93"/>
      <c r="AO1228" s="93"/>
      <c r="AP1228" s="93"/>
      <c r="AQ1228" s="93"/>
      <c r="AR1228" s="93"/>
      <c r="AS1228" s="93"/>
      <c r="AT1228" s="93"/>
      <c r="AU1228" s="93"/>
      <c r="AV1228" s="93"/>
      <c r="AW1228" s="93"/>
      <c r="AX1228" s="93"/>
      <c r="AY1228" s="93"/>
      <c r="AZ1228" s="93"/>
      <c r="BA1228" s="93"/>
      <c r="BB1228" s="93"/>
      <c r="BC1228" s="93"/>
      <c r="BD1228" s="93"/>
      <c r="BE1228" s="93"/>
      <c r="BF1228" s="93"/>
      <c r="BG1228" s="93"/>
      <c r="BH1228" s="93"/>
      <c r="BI1228" s="93"/>
      <c r="BJ1228" s="93"/>
      <c r="BK1228" s="93"/>
      <c r="BL1228" s="93"/>
      <c r="BM1228" s="93"/>
      <c r="BN1228" s="93"/>
      <c r="BO1228" s="93"/>
      <c r="BP1228" s="93"/>
      <c r="BQ1228" s="93"/>
      <c r="BR1228" s="93"/>
      <c r="BS1228" s="93"/>
      <c r="BT1228" s="93"/>
      <c r="BU1228" s="93"/>
      <c r="BV1228" s="93"/>
      <c r="BW1228" s="93"/>
      <c r="BX1228" s="93"/>
      <c r="BY1228" s="93"/>
      <c r="BZ1228" s="93"/>
    </row>
    <row r="1229">
      <c r="A1229" t="s">
        <v>1331</v>
      </c>
      <c r="B1229" t="s">
        <v>4230</v>
      </c>
      <c r="C1229" s="89" t="s">
        <v>4231</v>
      </c>
      <c r="D1229" s="90" t="s">
        <v>4232</v>
      </c>
      <c r="E1229" s="91">
        <v>2009.0</v>
      </c>
      <c r="F1229" s="93"/>
      <c r="G1229" s="93"/>
      <c r="H1229" s="104">
        <v>1.0</v>
      </c>
      <c r="I1229" s="93"/>
      <c r="J1229" s="93"/>
      <c r="K1229" s="93"/>
      <c r="L1229" s="93"/>
      <c r="M1229" s="93"/>
      <c r="N1229" s="93"/>
      <c r="O1229" s="93"/>
      <c r="P1229" s="93"/>
      <c r="Q1229" s="93"/>
      <c r="R1229" s="93"/>
      <c r="S1229" s="93"/>
      <c r="T1229" s="93"/>
      <c r="U1229" s="93"/>
      <c r="V1229" s="93" t="s">
        <v>4233</v>
      </c>
      <c r="W1229" s="105" t="s">
        <v>4234</v>
      </c>
      <c r="X1229" s="93"/>
      <c r="Y1229" s="93"/>
      <c r="Z1229" s="93" t="s">
        <v>1385</v>
      </c>
      <c r="AA1229" s="93"/>
      <c r="AB1229" s="93"/>
      <c r="AC1229" s="104">
        <v>1.0</v>
      </c>
      <c r="AD1229" s="93"/>
      <c r="AE1229" s="93"/>
      <c r="AF1229" s="93"/>
      <c r="AG1229" s="93"/>
      <c r="AH1229" s="90" t="s">
        <v>4235</v>
      </c>
      <c r="AI1229" s="104">
        <v>1.0</v>
      </c>
      <c r="AJ1229" s="93"/>
      <c r="AK1229" s="93"/>
      <c r="AL1229" s="93"/>
      <c r="AM1229" s="93"/>
      <c r="AN1229" s="93"/>
      <c r="AO1229" s="93"/>
      <c r="AP1229" s="104">
        <v>1.0</v>
      </c>
      <c r="AQ1229" s="104">
        <v>1.0</v>
      </c>
      <c r="AR1229" s="104">
        <v>1.0</v>
      </c>
      <c r="AS1229" s="93"/>
      <c r="AT1229" s="93"/>
      <c r="AU1229" s="93"/>
      <c r="AV1229" s="93"/>
      <c r="AW1229" s="93"/>
      <c r="AX1229" s="93"/>
      <c r="AY1229" s="93"/>
      <c r="AZ1229" s="93"/>
      <c r="BA1229" s="93"/>
      <c r="BB1229" s="93"/>
      <c r="BC1229" s="93"/>
      <c r="BD1229" s="93"/>
      <c r="BE1229" s="93"/>
      <c r="BF1229" s="104">
        <v>1.0</v>
      </c>
      <c r="BG1229" s="93"/>
      <c r="BH1229" s="93"/>
      <c r="BI1229" s="104">
        <v>1.0</v>
      </c>
      <c r="BJ1229" s="93"/>
      <c r="BK1229" s="93"/>
      <c r="BL1229" s="93"/>
      <c r="BM1229" s="93"/>
      <c r="BN1229" s="93"/>
      <c r="BO1229" s="93"/>
      <c r="BP1229" s="93"/>
      <c r="BQ1229" s="93"/>
      <c r="BR1229" s="93"/>
      <c r="BS1229" s="93"/>
      <c r="BT1229" s="93"/>
      <c r="BU1229" s="93"/>
      <c r="BV1229" s="93"/>
      <c r="BW1229" s="93"/>
      <c r="BX1229" s="93"/>
      <c r="BY1229" s="93"/>
      <c r="BZ1229" s="93"/>
    </row>
    <row r="1230">
      <c r="A1230" t="s">
        <v>1340</v>
      </c>
      <c r="B1230" t="s">
        <v>4236</v>
      </c>
      <c r="C1230" s="89" t="s">
        <v>4237</v>
      </c>
      <c r="D1230" s="90" t="s">
        <v>4238</v>
      </c>
      <c r="E1230" s="91">
        <v>2019.0</v>
      </c>
      <c r="F1230" s="104">
        <v>1.0</v>
      </c>
      <c r="G1230" s="93"/>
      <c r="H1230" s="93"/>
      <c r="I1230" s="93"/>
      <c r="J1230" s="93"/>
      <c r="K1230" s="93"/>
      <c r="L1230" s="93"/>
      <c r="M1230" s="93"/>
      <c r="N1230" s="93"/>
      <c r="O1230" s="93"/>
      <c r="P1230" s="93"/>
      <c r="Q1230" s="93"/>
      <c r="R1230" s="93"/>
      <c r="S1230" s="93"/>
      <c r="T1230" s="93"/>
      <c r="U1230" s="93"/>
      <c r="V1230" s="93"/>
      <c r="W1230" s="93"/>
      <c r="X1230" s="93"/>
      <c r="Y1230" s="93"/>
      <c r="Z1230" s="93"/>
      <c r="AA1230" s="93"/>
      <c r="AB1230" s="93"/>
      <c r="AC1230" s="93"/>
      <c r="AD1230" s="93"/>
      <c r="AE1230" s="93"/>
      <c r="AF1230" s="93"/>
      <c r="AG1230" s="93"/>
      <c r="AH1230" s="93"/>
      <c r="AI1230" s="93"/>
      <c r="AJ1230" s="93"/>
      <c r="AK1230" s="93"/>
      <c r="AL1230" s="93"/>
      <c r="AM1230" s="93"/>
      <c r="AN1230" s="93"/>
      <c r="AO1230" s="93"/>
      <c r="AP1230" s="93"/>
      <c r="AQ1230" s="93"/>
      <c r="AR1230" s="93"/>
      <c r="AS1230" s="93"/>
      <c r="AT1230" s="93"/>
      <c r="AU1230" s="93"/>
      <c r="AV1230" s="93"/>
      <c r="AW1230" s="93"/>
      <c r="AX1230" s="93"/>
      <c r="AY1230" s="93"/>
      <c r="AZ1230" s="93"/>
      <c r="BA1230" s="93"/>
      <c r="BB1230" s="93"/>
      <c r="BC1230" s="93"/>
      <c r="BD1230" s="93"/>
      <c r="BE1230" s="93"/>
      <c r="BF1230" s="93"/>
      <c r="BG1230" s="93"/>
      <c r="BH1230" s="93"/>
      <c r="BI1230" s="93"/>
      <c r="BJ1230" s="93"/>
      <c r="BK1230" s="93"/>
      <c r="BL1230" s="93"/>
      <c r="BM1230" s="93"/>
      <c r="BN1230" s="93"/>
      <c r="BO1230" s="93"/>
      <c r="BP1230" s="93"/>
      <c r="BQ1230" s="93"/>
      <c r="BR1230" s="93"/>
      <c r="BS1230" s="93"/>
      <c r="BT1230" s="93"/>
      <c r="BU1230" s="93"/>
      <c r="BV1230" s="93"/>
      <c r="BW1230" s="93"/>
      <c r="BX1230" s="93"/>
      <c r="BY1230" s="93"/>
      <c r="BZ1230" s="93"/>
    </row>
    <row r="1231">
      <c r="A1231" t="s">
        <v>1354</v>
      </c>
      <c r="B1231" t="s">
        <v>4239</v>
      </c>
      <c r="C1231" s="89" t="s">
        <v>4240</v>
      </c>
      <c r="D1231" s="90" t="s">
        <v>4241</v>
      </c>
      <c r="E1231" s="91">
        <v>2014.0</v>
      </c>
      <c r="F1231" s="104">
        <v>1.0</v>
      </c>
      <c r="G1231" s="93"/>
      <c r="H1231" s="93"/>
      <c r="I1231" s="93"/>
      <c r="J1231" s="93"/>
      <c r="K1231" s="93"/>
      <c r="L1231" s="93"/>
      <c r="M1231" s="93"/>
      <c r="N1231" s="93"/>
      <c r="O1231" s="93"/>
      <c r="P1231" s="93"/>
      <c r="Q1231" s="93"/>
      <c r="R1231" s="93"/>
      <c r="S1231" s="93"/>
      <c r="T1231" s="93"/>
      <c r="U1231" s="93"/>
      <c r="V1231" s="93"/>
      <c r="W1231" s="93"/>
      <c r="X1231" s="93"/>
      <c r="Y1231" s="93"/>
      <c r="Z1231" s="93"/>
      <c r="AA1231" s="93"/>
      <c r="AB1231" s="93"/>
      <c r="AC1231" s="93"/>
      <c r="AD1231" s="93"/>
      <c r="AE1231" s="93"/>
      <c r="AF1231" s="93"/>
      <c r="AG1231" s="93"/>
      <c r="AH1231" s="93"/>
      <c r="AI1231" s="93"/>
      <c r="AJ1231" s="93"/>
      <c r="AK1231" s="93"/>
      <c r="AL1231" s="93"/>
      <c r="AM1231" s="93"/>
      <c r="AN1231" s="93"/>
      <c r="AO1231" s="93"/>
      <c r="AP1231" s="93"/>
      <c r="AQ1231" s="93"/>
      <c r="AR1231" s="93"/>
      <c r="AS1231" s="93"/>
      <c r="AT1231" s="93"/>
      <c r="AU1231" s="93"/>
      <c r="AV1231" s="93"/>
      <c r="AW1231" s="93"/>
      <c r="AX1231" s="93"/>
      <c r="AY1231" s="93"/>
      <c r="AZ1231" s="93"/>
      <c r="BA1231" s="93"/>
      <c r="BB1231" s="93"/>
      <c r="BC1231" s="93"/>
      <c r="BD1231" s="93"/>
      <c r="BE1231" s="93"/>
      <c r="BF1231" s="93"/>
      <c r="BG1231" s="93"/>
      <c r="BH1231" s="93"/>
      <c r="BI1231" s="93"/>
      <c r="BJ1231" s="93"/>
      <c r="BK1231" s="93"/>
      <c r="BL1231" s="93"/>
      <c r="BM1231" s="93"/>
      <c r="BN1231" s="93"/>
      <c r="BO1231" s="93"/>
      <c r="BP1231" s="93"/>
      <c r="BQ1231" s="93"/>
      <c r="BR1231" s="93"/>
      <c r="BS1231" s="93"/>
      <c r="BT1231" s="93"/>
      <c r="BU1231" s="93"/>
      <c r="BV1231" s="93"/>
      <c r="BW1231" s="93"/>
      <c r="BX1231" s="93"/>
      <c r="BY1231" s="93"/>
      <c r="BZ1231" s="93"/>
    </row>
    <row r="1232">
      <c r="B1232" t="s">
        <v>4242</v>
      </c>
      <c r="C1232" s="89" t="s">
        <v>4243</v>
      </c>
      <c r="D1232" s="90" t="s">
        <v>4244</v>
      </c>
      <c r="E1232" s="91">
        <v>2012.0</v>
      </c>
      <c r="F1232" s="104">
        <v>1.0</v>
      </c>
      <c r="G1232" s="93"/>
      <c r="H1232" s="93"/>
      <c r="I1232" s="93"/>
      <c r="J1232" s="93"/>
      <c r="K1232" s="93"/>
      <c r="L1232" s="93"/>
      <c r="M1232" s="93"/>
      <c r="N1232" s="93"/>
      <c r="O1232" s="93"/>
      <c r="P1232" s="93"/>
      <c r="Q1232" s="93"/>
      <c r="R1232" s="93"/>
      <c r="S1232" s="93"/>
      <c r="T1232" s="93"/>
      <c r="U1232" s="93"/>
      <c r="V1232" s="93"/>
      <c r="W1232" s="93"/>
      <c r="X1232" s="93"/>
      <c r="Y1232" s="93"/>
      <c r="Z1232" s="93"/>
      <c r="AA1232" s="93"/>
      <c r="AB1232" s="93"/>
      <c r="AC1232" s="93"/>
      <c r="AD1232" s="93"/>
      <c r="AE1232" s="93"/>
      <c r="AF1232" s="93"/>
      <c r="AG1232" s="93"/>
      <c r="AH1232" s="93"/>
      <c r="AI1232" s="93"/>
      <c r="AJ1232" s="93"/>
      <c r="AK1232" s="93"/>
      <c r="AL1232" s="93"/>
      <c r="AM1232" s="93"/>
      <c r="AN1232" s="93"/>
      <c r="AO1232" s="93"/>
      <c r="AP1232" s="93"/>
      <c r="AQ1232" s="93"/>
      <c r="AR1232" s="93"/>
      <c r="AS1232" s="93"/>
      <c r="AT1232" s="93"/>
      <c r="AU1232" s="93"/>
      <c r="AV1232" s="93"/>
      <c r="AW1232" s="93"/>
      <c r="AX1232" s="93"/>
      <c r="AY1232" s="93"/>
      <c r="AZ1232" s="93"/>
      <c r="BA1232" s="93"/>
      <c r="BB1232" s="93"/>
      <c r="BC1232" s="93"/>
      <c r="BD1232" s="93"/>
      <c r="BE1232" s="93"/>
      <c r="BF1232" s="93"/>
      <c r="BG1232" s="93"/>
      <c r="BH1232" s="93"/>
      <c r="BI1232" s="93"/>
      <c r="BJ1232" s="93"/>
      <c r="BK1232" s="93"/>
      <c r="BL1232" s="93"/>
      <c r="BM1232" s="93"/>
      <c r="BN1232" s="93"/>
      <c r="BO1232" s="93"/>
      <c r="BP1232" s="93"/>
      <c r="BQ1232" s="93"/>
      <c r="BR1232" s="93"/>
      <c r="BS1232" s="93"/>
      <c r="BT1232" s="93"/>
      <c r="BU1232" s="93"/>
      <c r="BV1232" s="93"/>
      <c r="BW1232" s="93"/>
      <c r="BX1232" s="93"/>
      <c r="BY1232" s="93"/>
      <c r="BZ1232" s="93"/>
    </row>
    <row r="1233">
      <c r="B1233" t="s">
        <v>4245</v>
      </c>
      <c r="C1233" s="89" t="s">
        <v>4246</v>
      </c>
      <c r="D1233" s="90" t="s">
        <v>4247</v>
      </c>
      <c r="E1233" s="91">
        <v>2011.0</v>
      </c>
      <c r="F1233" s="105" t="s">
        <v>1777</v>
      </c>
      <c r="G1233" s="93"/>
      <c r="H1233" s="93"/>
      <c r="I1233" s="93"/>
      <c r="J1233" s="93"/>
      <c r="K1233" s="93"/>
      <c r="L1233" s="93"/>
      <c r="M1233" s="93"/>
      <c r="N1233" s="93"/>
      <c r="O1233" s="93"/>
      <c r="P1233" s="93"/>
      <c r="Q1233" s="93"/>
      <c r="R1233" s="93"/>
      <c r="S1233" s="93"/>
      <c r="T1233" s="93"/>
      <c r="U1233" s="93"/>
      <c r="V1233" s="93"/>
      <c r="W1233" s="93"/>
      <c r="X1233" s="93"/>
      <c r="Y1233" s="93"/>
      <c r="Z1233" s="93"/>
      <c r="AA1233" s="93"/>
      <c r="AB1233" s="93"/>
      <c r="AC1233" s="93"/>
      <c r="AD1233" s="93"/>
      <c r="AE1233" s="93"/>
      <c r="AF1233" s="93"/>
      <c r="AG1233" s="93"/>
      <c r="AH1233" s="93"/>
      <c r="AI1233" s="93"/>
      <c r="AJ1233" s="93"/>
      <c r="AK1233" s="93"/>
      <c r="AL1233" s="93"/>
      <c r="AM1233" s="93"/>
      <c r="AN1233" s="93"/>
      <c r="AO1233" s="93"/>
      <c r="AP1233" s="93"/>
      <c r="AQ1233" s="93"/>
      <c r="AR1233" s="93"/>
      <c r="AS1233" s="93"/>
      <c r="AT1233" s="93"/>
      <c r="AU1233" s="93"/>
      <c r="AV1233" s="93"/>
      <c r="AW1233" s="93"/>
      <c r="AX1233" s="93"/>
      <c r="AY1233" s="93"/>
      <c r="AZ1233" s="93"/>
      <c r="BA1233" s="93"/>
      <c r="BB1233" s="93"/>
      <c r="BC1233" s="93"/>
      <c r="BD1233" s="93"/>
      <c r="BE1233" s="93"/>
      <c r="BF1233" s="93"/>
      <c r="BG1233" s="93"/>
      <c r="BH1233" s="93"/>
      <c r="BI1233" s="93"/>
      <c r="BJ1233" s="93"/>
      <c r="BK1233" s="93"/>
      <c r="BL1233" s="93"/>
      <c r="BM1233" s="93"/>
      <c r="BN1233" s="93"/>
      <c r="BO1233" s="93"/>
      <c r="BP1233" s="93"/>
      <c r="BQ1233" s="93"/>
      <c r="BR1233" s="93"/>
      <c r="BS1233" s="93"/>
      <c r="BT1233" s="93"/>
      <c r="BU1233" s="93"/>
      <c r="BV1233" s="93"/>
      <c r="BW1233" s="93"/>
      <c r="BX1233" s="93"/>
      <c r="BY1233" s="93"/>
      <c r="BZ1233" s="93"/>
    </row>
    <row r="1234">
      <c r="B1234" t="s">
        <v>4248</v>
      </c>
      <c r="C1234" s="89" t="s">
        <v>4249</v>
      </c>
      <c r="D1234" s="90" t="s">
        <v>4250</v>
      </c>
      <c r="E1234" s="91">
        <v>2011.0</v>
      </c>
      <c r="F1234" s="105" t="s">
        <v>1777</v>
      </c>
      <c r="G1234" s="93"/>
      <c r="H1234" s="93"/>
      <c r="I1234" s="93"/>
      <c r="J1234" s="93"/>
      <c r="K1234" s="93"/>
      <c r="L1234" s="93"/>
      <c r="M1234" s="93"/>
      <c r="N1234" s="93"/>
      <c r="O1234" s="93"/>
      <c r="P1234" s="93"/>
      <c r="Q1234" s="93"/>
      <c r="R1234" s="93"/>
      <c r="S1234" s="93"/>
      <c r="T1234" s="93"/>
      <c r="U1234" s="93"/>
      <c r="V1234" s="93"/>
      <c r="W1234" s="93"/>
      <c r="X1234" s="93"/>
      <c r="Y1234" s="93"/>
      <c r="Z1234" s="93"/>
      <c r="AA1234" s="93"/>
      <c r="AB1234" s="93"/>
      <c r="AC1234" s="93"/>
      <c r="AD1234" s="93"/>
      <c r="AE1234" s="93"/>
      <c r="AF1234" s="93"/>
      <c r="AG1234" s="93"/>
      <c r="AH1234" s="93"/>
      <c r="AI1234" s="93"/>
      <c r="AJ1234" s="93"/>
      <c r="AK1234" s="93"/>
      <c r="AL1234" s="93"/>
      <c r="AM1234" s="93"/>
      <c r="AN1234" s="93"/>
      <c r="AO1234" s="93"/>
      <c r="AP1234" s="93"/>
      <c r="AQ1234" s="93"/>
      <c r="AR1234" s="93"/>
      <c r="AS1234" s="93"/>
      <c r="AT1234" s="93"/>
      <c r="AU1234" s="93"/>
      <c r="AV1234" s="93"/>
      <c r="AW1234" s="93"/>
      <c r="AX1234" s="93"/>
      <c r="AY1234" s="93"/>
      <c r="AZ1234" s="93"/>
      <c r="BA1234" s="93"/>
      <c r="BB1234" s="93"/>
      <c r="BC1234" s="93"/>
      <c r="BD1234" s="93"/>
      <c r="BE1234" s="93"/>
      <c r="BF1234" s="93"/>
      <c r="BG1234" s="93"/>
      <c r="BH1234" s="93"/>
      <c r="BI1234" s="93"/>
      <c r="BJ1234" s="93"/>
      <c r="BK1234" s="93"/>
      <c r="BL1234" s="93"/>
      <c r="BM1234" s="93"/>
      <c r="BN1234" s="93"/>
      <c r="BO1234" s="93"/>
      <c r="BP1234" s="93"/>
      <c r="BQ1234" s="93"/>
      <c r="BR1234" s="93"/>
      <c r="BS1234" s="93"/>
      <c r="BT1234" s="93"/>
      <c r="BU1234" s="93"/>
      <c r="BV1234" s="93"/>
      <c r="BW1234" s="93"/>
      <c r="BX1234" s="93"/>
      <c r="BY1234" s="93"/>
      <c r="BZ1234" s="93"/>
    </row>
    <row r="1235">
      <c r="B1235" t="s">
        <v>4251</v>
      </c>
      <c r="C1235" s="89" t="s">
        <v>4252</v>
      </c>
      <c r="D1235" s="90" t="s">
        <v>4253</v>
      </c>
      <c r="E1235" s="91">
        <v>2010.0</v>
      </c>
      <c r="F1235" s="105" t="s">
        <v>1777</v>
      </c>
      <c r="G1235" s="93"/>
      <c r="H1235" s="93"/>
      <c r="I1235" s="93"/>
      <c r="J1235" s="93"/>
      <c r="K1235" s="93"/>
      <c r="L1235" s="93"/>
      <c r="M1235" s="93"/>
      <c r="N1235" s="93"/>
      <c r="O1235" s="93"/>
      <c r="P1235" s="93"/>
      <c r="Q1235" s="93"/>
      <c r="R1235" s="93"/>
      <c r="S1235" s="93"/>
      <c r="T1235" s="93"/>
      <c r="U1235" s="93"/>
      <c r="V1235" s="93"/>
      <c r="W1235" s="93"/>
      <c r="X1235" s="93"/>
      <c r="Y1235" s="93"/>
      <c r="Z1235" s="93"/>
      <c r="AA1235" s="93"/>
      <c r="AB1235" s="93"/>
      <c r="AC1235" s="93"/>
      <c r="AD1235" s="93"/>
      <c r="AE1235" s="93"/>
      <c r="AF1235" s="93"/>
      <c r="AG1235" s="93"/>
      <c r="AH1235" s="93"/>
      <c r="AI1235" s="93"/>
      <c r="AJ1235" s="93"/>
      <c r="AK1235" s="93"/>
      <c r="AL1235" s="93"/>
      <c r="AM1235" s="93"/>
      <c r="AN1235" s="93"/>
      <c r="AO1235" s="93"/>
      <c r="AP1235" s="93"/>
      <c r="AQ1235" s="93"/>
      <c r="AR1235" s="93"/>
      <c r="AS1235" s="93"/>
      <c r="AT1235" s="93"/>
      <c r="AU1235" s="93"/>
      <c r="AV1235" s="93"/>
      <c r="AW1235" s="93"/>
      <c r="AX1235" s="93"/>
      <c r="AY1235" s="93"/>
      <c r="AZ1235" s="93"/>
      <c r="BA1235" s="93"/>
      <c r="BB1235" s="93"/>
      <c r="BC1235" s="93"/>
      <c r="BD1235" s="93"/>
      <c r="BE1235" s="93"/>
      <c r="BF1235" s="93"/>
      <c r="BG1235" s="93"/>
      <c r="BH1235" s="93"/>
      <c r="BI1235" s="93"/>
      <c r="BJ1235" s="93"/>
      <c r="BK1235" s="93"/>
      <c r="BL1235" s="93"/>
      <c r="BM1235" s="93"/>
      <c r="BN1235" s="93"/>
      <c r="BO1235" s="93"/>
      <c r="BP1235" s="93"/>
      <c r="BQ1235" s="93"/>
      <c r="BR1235" s="93"/>
      <c r="BS1235" s="93"/>
      <c r="BT1235" s="93"/>
      <c r="BU1235" s="93"/>
      <c r="BV1235" s="93"/>
      <c r="BW1235" s="93"/>
      <c r="BX1235" s="93"/>
      <c r="BY1235" s="93"/>
      <c r="BZ1235" s="93"/>
    </row>
    <row r="1236">
      <c r="B1236" t="s">
        <v>4254</v>
      </c>
      <c r="C1236" s="89" t="s">
        <v>4255</v>
      </c>
      <c r="D1236" s="90" t="s">
        <v>4256</v>
      </c>
      <c r="E1236" s="91">
        <v>2017.0</v>
      </c>
      <c r="F1236" s="104">
        <v>1.0</v>
      </c>
      <c r="G1236" s="93"/>
      <c r="H1236" s="93"/>
      <c r="I1236" s="93"/>
      <c r="J1236" s="93"/>
      <c r="K1236" s="93"/>
      <c r="L1236" s="93"/>
      <c r="M1236" s="93"/>
      <c r="N1236" s="93"/>
      <c r="O1236" s="93"/>
      <c r="P1236" s="93"/>
      <c r="Q1236" s="93"/>
      <c r="R1236" s="93"/>
      <c r="S1236" s="93"/>
      <c r="T1236" s="93"/>
      <c r="U1236" s="93"/>
      <c r="V1236" s="93"/>
      <c r="W1236" s="93"/>
      <c r="X1236" s="93"/>
      <c r="Y1236" s="93"/>
      <c r="Z1236" s="93"/>
      <c r="AA1236" s="93"/>
      <c r="AB1236" s="93"/>
      <c r="AC1236" s="93"/>
      <c r="AD1236" s="93"/>
      <c r="AE1236" s="93"/>
      <c r="AF1236" s="93"/>
      <c r="AG1236" s="93"/>
      <c r="AH1236" s="93"/>
      <c r="AI1236" s="93"/>
      <c r="AJ1236" s="93"/>
      <c r="AK1236" s="93"/>
      <c r="AL1236" s="93"/>
      <c r="AM1236" s="93"/>
      <c r="AN1236" s="93"/>
      <c r="AO1236" s="93"/>
      <c r="AP1236" s="93"/>
      <c r="AQ1236" s="93"/>
      <c r="AR1236" s="93"/>
      <c r="AS1236" s="93"/>
      <c r="AT1236" s="93"/>
      <c r="AU1236" s="93"/>
      <c r="AV1236" s="93"/>
      <c r="AW1236" s="93"/>
      <c r="AX1236" s="93"/>
      <c r="AY1236" s="93"/>
      <c r="AZ1236" s="93"/>
      <c r="BA1236" s="93"/>
      <c r="BB1236" s="93"/>
      <c r="BC1236" s="93"/>
      <c r="BD1236" s="93"/>
      <c r="BE1236" s="93"/>
      <c r="BF1236" s="93"/>
      <c r="BG1236" s="93"/>
      <c r="BH1236" s="93"/>
      <c r="BI1236" s="93"/>
      <c r="BJ1236" s="93"/>
      <c r="BK1236" s="93"/>
      <c r="BL1236" s="93"/>
      <c r="BM1236" s="93"/>
      <c r="BN1236" s="93"/>
      <c r="BO1236" s="93"/>
      <c r="BP1236" s="93"/>
      <c r="BQ1236" s="93"/>
      <c r="BR1236" s="93"/>
      <c r="BS1236" s="93"/>
      <c r="BT1236" s="93"/>
      <c r="BU1236" s="93"/>
      <c r="BV1236" s="93"/>
      <c r="BW1236" s="93"/>
      <c r="BX1236" s="93"/>
      <c r="BY1236" s="93"/>
      <c r="BZ1236" s="93"/>
    </row>
    <row r="1237">
      <c r="B1237" t="s">
        <v>4257</v>
      </c>
      <c r="C1237" s="89" t="s">
        <v>4258</v>
      </c>
      <c r="D1237" s="90" t="s">
        <v>4259</v>
      </c>
      <c r="E1237" s="91">
        <v>2010.0</v>
      </c>
      <c r="F1237" s="105" t="s">
        <v>1777</v>
      </c>
      <c r="G1237" s="93"/>
      <c r="H1237" s="93"/>
      <c r="I1237" s="93"/>
      <c r="J1237" s="93"/>
      <c r="K1237" s="93"/>
      <c r="L1237" s="93"/>
      <c r="M1237" s="93"/>
      <c r="N1237" s="93"/>
      <c r="O1237" s="93"/>
      <c r="P1237" s="93"/>
      <c r="Q1237" s="93"/>
      <c r="R1237" s="93"/>
      <c r="S1237" s="93"/>
      <c r="T1237" s="93"/>
      <c r="U1237" s="93"/>
      <c r="V1237" s="93"/>
      <c r="W1237" s="93"/>
      <c r="X1237" s="93"/>
      <c r="Y1237" s="93"/>
      <c r="Z1237" s="93"/>
      <c r="AA1237" s="93"/>
      <c r="AB1237" s="93"/>
      <c r="AC1237" s="93"/>
      <c r="AD1237" s="93"/>
      <c r="AE1237" s="93"/>
      <c r="AF1237" s="93"/>
      <c r="AG1237" s="93"/>
      <c r="AH1237" s="93"/>
      <c r="AI1237" s="93"/>
      <c r="AJ1237" s="93"/>
      <c r="AK1237" s="93"/>
      <c r="AL1237" s="93"/>
      <c r="AM1237" s="93"/>
      <c r="AN1237" s="93"/>
      <c r="AO1237" s="93"/>
      <c r="AP1237" s="93"/>
      <c r="AQ1237" s="93"/>
      <c r="AR1237" s="93"/>
      <c r="AS1237" s="93"/>
      <c r="AT1237" s="93"/>
      <c r="AU1237" s="93"/>
      <c r="AV1237" s="93"/>
      <c r="AW1237" s="93"/>
      <c r="AX1237" s="93"/>
      <c r="AY1237" s="93"/>
      <c r="AZ1237" s="93"/>
      <c r="BA1237" s="93"/>
      <c r="BB1237" s="93"/>
      <c r="BC1237" s="93"/>
      <c r="BD1237" s="93"/>
      <c r="BE1237" s="93"/>
      <c r="BF1237" s="93"/>
      <c r="BG1237" s="93"/>
      <c r="BH1237" s="93"/>
      <c r="BI1237" s="93"/>
      <c r="BJ1237" s="93"/>
      <c r="BK1237" s="93"/>
      <c r="BL1237" s="93"/>
      <c r="BM1237" s="93"/>
      <c r="BN1237" s="93"/>
      <c r="BO1237" s="93"/>
      <c r="BP1237" s="93"/>
      <c r="BQ1237" s="93"/>
      <c r="BR1237" s="93"/>
      <c r="BS1237" s="93"/>
      <c r="BT1237" s="93"/>
      <c r="BU1237" s="93"/>
      <c r="BV1237" s="93"/>
      <c r="BW1237" s="93"/>
      <c r="BX1237" s="93"/>
      <c r="BY1237" s="93"/>
      <c r="BZ1237" s="93"/>
    </row>
    <row r="1238">
      <c r="B1238" t="s">
        <v>4260</v>
      </c>
      <c r="C1238" s="89" t="s">
        <v>4261</v>
      </c>
      <c r="D1238" s="90" t="s">
        <v>4262</v>
      </c>
      <c r="E1238" s="91">
        <v>2014.0</v>
      </c>
      <c r="F1238" s="104">
        <v>1.0</v>
      </c>
      <c r="G1238" s="93"/>
      <c r="H1238" s="93"/>
      <c r="I1238" s="93"/>
      <c r="J1238" s="93"/>
      <c r="K1238" s="93"/>
      <c r="L1238" s="93"/>
      <c r="M1238" s="93"/>
      <c r="N1238" s="93"/>
      <c r="O1238" s="93"/>
      <c r="P1238" s="93"/>
      <c r="Q1238" s="93"/>
      <c r="R1238" s="93"/>
      <c r="S1238" s="93"/>
      <c r="T1238" s="93"/>
      <c r="U1238" s="93"/>
      <c r="V1238" s="93"/>
      <c r="W1238" s="93"/>
      <c r="X1238" s="93"/>
      <c r="Y1238" s="93"/>
      <c r="Z1238" s="93"/>
      <c r="AA1238" s="93"/>
      <c r="AB1238" s="93"/>
      <c r="AC1238" s="93"/>
      <c r="AD1238" s="93"/>
      <c r="AE1238" s="93"/>
      <c r="AF1238" s="93"/>
      <c r="AG1238" s="93"/>
      <c r="AH1238" s="93"/>
      <c r="AI1238" s="93"/>
      <c r="AJ1238" s="93"/>
      <c r="AK1238" s="93"/>
      <c r="AL1238" s="93"/>
      <c r="AM1238" s="93"/>
      <c r="AN1238" s="93"/>
      <c r="AO1238" s="93"/>
      <c r="AP1238" s="93"/>
      <c r="AQ1238" s="93"/>
      <c r="AR1238" s="93"/>
      <c r="AS1238" s="93"/>
      <c r="AT1238" s="93"/>
      <c r="AU1238" s="93"/>
      <c r="AV1238" s="93"/>
      <c r="AW1238" s="93"/>
      <c r="AX1238" s="93"/>
      <c r="AY1238" s="93"/>
      <c r="AZ1238" s="93"/>
      <c r="BA1238" s="93"/>
      <c r="BB1238" s="93"/>
      <c r="BC1238" s="93"/>
      <c r="BD1238" s="93"/>
      <c r="BE1238" s="93"/>
      <c r="BF1238" s="93"/>
      <c r="BG1238" s="93"/>
      <c r="BH1238" s="93"/>
      <c r="BI1238" s="93"/>
      <c r="BJ1238" s="93"/>
      <c r="BK1238" s="93"/>
      <c r="BL1238" s="93"/>
      <c r="BM1238" s="93"/>
      <c r="BN1238" s="93"/>
      <c r="BO1238" s="93"/>
      <c r="BP1238" s="93"/>
      <c r="BQ1238" s="93"/>
      <c r="BR1238" s="93"/>
      <c r="BS1238" s="93"/>
      <c r="BT1238" s="93"/>
      <c r="BU1238" s="93"/>
      <c r="BV1238" s="93"/>
      <c r="BW1238" s="93"/>
      <c r="BX1238" s="93"/>
      <c r="BY1238" s="93"/>
      <c r="BZ1238" s="93"/>
    </row>
    <row r="1239">
      <c r="A1239" t="s">
        <v>116</v>
      </c>
      <c r="B1239" t="s">
        <v>4263</v>
      </c>
      <c r="C1239" s="89" t="s">
        <v>4264</v>
      </c>
      <c r="D1239" s="90" t="s">
        <v>4265</v>
      </c>
      <c r="E1239" s="91">
        <v>2010.0</v>
      </c>
      <c r="F1239" s="104">
        <v>1.0</v>
      </c>
      <c r="G1239" s="93"/>
      <c r="H1239" s="93"/>
      <c r="I1239" s="93"/>
      <c r="J1239" s="93"/>
      <c r="K1239" s="93"/>
      <c r="L1239" s="93"/>
      <c r="M1239" s="93"/>
      <c r="N1239" s="93"/>
      <c r="O1239" s="93"/>
      <c r="P1239" s="93"/>
      <c r="Q1239" s="93"/>
      <c r="R1239" s="93"/>
      <c r="S1239" s="93"/>
      <c r="T1239" s="93"/>
      <c r="U1239" s="93"/>
      <c r="V1239" s="93"/>
      <c r="W1239" s="93"/>
      <c r="X1239" s="93"/>
      <c r="Y1239" s="93"/>
      <c r="Z1239" s="93"/>
      <c r="AA1239" s="93"/>
      <c r="AB1239" s="93"/>
      <c r="AC1239" s="93"/>
      <c r="AD1239" s="93"/>
      <c r="AE1239" s="93"/>
      <c r="AF1239" s="93"/>
      <c r="AG1239" s="93"/>
      <c r="AH1239" s="93"/>
      <c r="AI1239" s="93"/>
      <c r="AJ1239" s="93"/>
      <c r="AK1239" s="93"/>
      <c r="AL1239" s="93"/>
      <c r="AM1239" s="93"/>
      <c r="AN1239" s="93"/>
      <c r="AO1239" s="93"/>
      <c r="AP1239" s="93"/>
      <c r="AQ1239" s="93"/>
      <c r="AR1239" s="93"/>
      <c r="AS1239" s="93"/>
      <c r="AT1239" s="93"/>
      <c r="AU1239" s="93"/>
      <c r="AV1239" s="93"/>
      <c r="AW1239" s="93"/>
      <c r="AX1239" s="93"/>
      <c r="AY1239" s="93"/>
      <c r="AZ1239" s="93"/>
      <c r="BA1239" s="93"/>
      <c r="BB1239" s="93"/>
      <c r="BC1239" s="93"/>
      <c r="BD1239" s="93"/>
      <c r="BE1239" s="93"/>
      <c r="BF1239" s="93"/>
      <c r="BG1239" s="93"/>
      <c r="BH1239" s="93"/>
      <c r="BI1239" s="93"/>
      <c r="BJ1239" s="93"/>
      <c r="BK1239" s="93"/>
      <c r="BL1239" s="93"/>
      <c r="BM1239" s="93"/>
      <c r="BN1239" s="93"/>
      <c r="BO1239" s="93"/>
      <c r="BP1239" s="93"/>
      <c r="BQ1239" s="93"/>
      <c r="BR1239" s="93"/>
      <c r="BS1239" s="93"/>
      <c r="BT1239" s="93"/>
      <c r="BU1239" s="93"/>
      <c r="BV1239" s="93"/>
      <c r="BW1239" s="93"/>
      <c r="BX1239" s="93"/>
      <c r="BY1239" s="93"/>
      <c r="BZ1239" s="93"/>
    </row>
    <row r="1240">
      <c r="B1240" t="s">
        <v>4266</v>
      </c>
      <c r="C1240" s="89" t="s">
        <v>4267</v>
      </c>
      <c r="D1240" s="90" t="s">
        <v>4268</v>
      </c>
      <c r="E1240" s="91">
        <v>2010.0</v>
      </c>
      <c r="F1240" s="105" t="s">
        <v>1777</v>
      </c>
      <c r="G1240" s="93"/>
      <c r="H1240" s="93"/>
      <c r="I1240" s="93"/>
      <c r="J1240" s="93"/>
      <c r="K1240" s="93"/>
      <c r="L1240" s="93"/>
      <c r="M1240" s="93"/>
      <c r="N1240" s="93"/>
      <c r="O1240" s="93"/>
      <c r="P1240" s="93"/>
      <c r="Q1240" s="93"/>
      <c r="R1240" s="93"/>
      <c r="S1240" s="93"/>
      <c r="T1240" s="93"/>
      <c r="U1240" s="93"/>
      <c r="V1240" s="93"/>
      <c r="W1240" s="93"/>
      <c r="X1240" s="93"/>
      <c r="Y1240" s="93"/>
      <c r="Z1240" s="93"/>
      <c r="AA1240" s="93"/>
      <c r="AB1240" s="93"/>
      <c r="AC1240" s="93"/>
      <c r="AD1240" s="93"/>
      <c r="AE1240" s="93"/>
      <c r="AF1240" s="93"/>
      <c r="AG1240" s="93"/>
      <c r="AH1240" s="93"/>
      <c r="AI1240" s="93"/>
      <c r="AJ1240" s="93"/>
      <c r="AK1240" s="93"/>
      <c r="AL1240" s="93"/>
      <c r="AM1240" s="93"/>
      <c r="AN1240" s="93"/>
      <c r="AO1240" s="93"/>
      <c r="AP1240" s="93"/>
      <c r="AQ1240" s="93"/>
      <c r="AR1240" s="93"/>
      <c r="AS1240" s="93"/>
      <c r="AT1240" s="93"/>
      <c r="AU1240" s="93"/>
      <c r="AV1240" s="93"/>
      <c r="AW1240" s="93"/>
      <c r="AX1240" s="93"/>
      <c r="AY1240" s="93"/>
      <c r="AZ1240" s="93"/>
      <c r="BA1240" s="93"/>
      <c r="BB1240" s="93"/>
      <c r="BC1240" s="93"/>
      <c r="BD1240" s="93"/>
      <c r="BE1240" s="93"/>
      <c r="BF1240" s="93"/>
      <c r="BG1240" s="93"/>
      <c r="BH1240" s="93"/>
      <c r="BI1240" s="93"/>
      <c r="BJ1240" s="93"/>
      <c r="BK1240" s="93"/>
      <c r="BL1240" s="93"/>
      <c r="BM1240" s="93"/>
      <c r="BN1240" s="93"/>
      <c r="BO1240" s="93"/>
      <c r="BP1240" s="93"/>
      <c r="BQ1240" s="93"/>
      <c r="BR1240" s="93"/>
      <c r="BS1240" s="93"/>
      <c r="BT1240" s="93"/>
      <c r="BU1240" s="93"/>
      <c r="BV1240" s="93"/>
      <c r="BW1240" s="93"/>
      <c r="BX1240" s="93"/>
      <c r="BY1240" s="93"/>
      <c r="BZ1240" s="93"/>
    </row>
    <row r="1241">
      <c r="B1241" t="s">
        <v>4269</v>
      </c>
      <c r="C1241" s="89" t="s">
        <v>756</v>
      </c>
      <c r="D1241" s="90" t="s">
        <v>4211</v>
      </c>
      <c r="E1241" s="91">
        <v>2014.0</v>
      </c>
      <c r="F1241" s="105" t="s">
        <v>1777</v>
      </c>
      <c r="G1241" s="93"/>
      <c r="H1241" s="93"/>
      <c r="I1241" s="93"/>
      <c r="J1241" s="93"/>
      <c r="K1241" s="93"/>
      <c r="L1241" s="93"/>
      <c r="M1241" s="93"/>
      <c r="N1241" s="93"/>
      <c r="O1241" s="93"/>
      <c r="P1241" s="93"/>
      <c r="Q1241" s="93"/>
      <c r="R1241" s="93"/>
      <c r="S1241" s="93"/>
      <c r="T1241" s="93"/>
      <c r="U1241" s="93"/>
      <c r="V1241" s="93"/>
      <c r="W1241" s="93"/>
      <c r="X1241" s="93"/>
      <c r="Y1241" s="93"/>
      <c r="Z1241" s="93"/>
      <c r="AA1241" s="93"/>
      <c r="AB1241" s="93"/>
      <c r="AC1241" s="93"/>
      <c r="AD1241" s="93"/>
      <c r="AE1241" s="93"/>
      <c r="AF1241" s="93"/>
      <c r="AG1241" s="93"/>
      <c r="AH1241" s="93"/>
      <c r="AI1241" s="93"/>
      <c r="AJ1241" s="93"/>
      <c r="AK1241" s="93"/>
      <c r="AL1241" s="93"/>
      <c r="AM1241" s="93"/>
      <c r="AN1241" s="93"/>
      <c r="AO1241" s="93"/>
      <c r="AP1241" s="93"/>
      <c r="AQ1241" s="93"/>
      <c r="AR1241" s="93"/>
      <c r="AS1241" s="93"/>
      <c r="AT1241" s="93"/>
      <c r="AU1241" s="93"/>
      <c r="AV1241" s="93"/>
      <c r="AW1241" s="93"/>
      <c r="AX1241" s="93"/>
      <c r="AY1241" s="93"/>
      <c r="AZ1241" s="93"/>
      <c r="BA1241" s="93"/>
      <c r="BB1241" s="93"/>
      <c r="BC1241" s="93"/>
      <c r="BD1241" s="93"/>
      <c r="BE1241" s="93"/>
      <c r="BF1241" s="93"/>
      <c r="BG1241" s="93"/>
      <c r="BH1241" s="93"/>
      <c r="BI1241" s="93"/>
      <c r="BJ1241" s="93"/>
      <c r="BK1241" s="93"/>
      <c r="BL1241" s="93"/>
      <c r="BM1241" s="93"/>
      <c r="BN1241" s="93"/>
      <c r="BO1241" s="93"/>
      <c r="BP1241" s="93"/>
      <c r="BQ1241" s="93"/>
      <c r="BR1241" s="93"/>
      <c r="BS1241" s="93"/>
      <c r="BT1241" s="93"/>
      <c r="BU1241" s="93"/>
      <c r="BV1241" s="93"/>
      <c r="BW1241" s="93"/>
      <c r="BX1241" s="93"/>
      <c r="BY1241" s="93"/>
      <c r="BZ1241" s="93"/>
    </row>
    <row r="1242">
      <c r="B1242" t="s">
        <v>4270</v>
      </c>
      <c r="C1242" s="89" t="s">
        <v>4271</v>
      </c>
      <c r="D1242" s="90" t="s">
        <v>4272</v>
      </c>
      <c r="E1242" s="91">
        <v>2011.0</v>
      </c>
      <c r="F1242" s="105" t="s">
        <v>1777</v>
      </c>
      <c r="G1242" s="93"/>
      <c r="H1242" s="93"/>
      <c r="I1242" s="93"/>
      <c r="J1242" s="93"/>
      <c r="K1242" s="93"/>
      <c r="L1242" s="93"/>
      <c r="M1242" s="93"/>
      <c r="N1242" s="93"/>
      <c r="O1242" s="93"/>
      <c r="P1242" s="93"/>
      <c r="Q1242" s="93"/>
      <c r="R1242" s="93"/>
      <c r="S1242" s="93"/>
      <c r="T1242" s="93"/>
      <c r="U1242" s="93"/>
      <c r="V1242" s="93"/>
      <c r="W1242" s="93"/>
      <c r="X1242" s="93"/>
      <c r="Y1242" s="93"/>
      <c r="Z1242" s="93"/>
      <c r="AA1242" s="93"/>
      <c r="AB1242" s="93"/>
      <c r="AC1242" s="93"/>
      <c r="AD1242" s="93"/>
      <c r="AE1242" s="93"/>
      <c r="AF1242" s="93"/>
      <c r="AG1242" s="93"/>
      <c r="AH1242" s="93"/>
      <c r="AI1242" s="93"/>
      <c r="AJ1242" s="93"/>
      <c r="AK1242" s="93"/>
      <c r="AL1242" s="93"/>
      <c r="AM1242" s="93"/>
      <c r="AN1242" s="93"/>
      <c r="AO1242" s="93"/>
      <c r="AP1242" s="93"/>
      <c r="AQ1242" s="93"/>
      <c r="AR1242" s="93"/>
      <c r="AS1242" s="93"/>
      <c r="AT1242" s="93"/>
      <c r="AU1242" s="93"/>
      <c r="AV1242" s="93"/>
      <c r="AW1242" s="93"/>
      <c r="AX1242" s="93"/>
      <c r="AY1242" s="93"/>
      <c r="AZ1242" s="93"/>
      <c r="BA1242" s="93"/>
      <c r="BB1242" s="93"/>
      <c r="BC1242" s="93"/>
      <c r="BD1242" s="93"/>
      <c r="BE1242" s="93"/>
      <c r="BF1242" s="93"/>
      <c r="BG1242" s="93"/>
      <c r="BH1242" s="93"/>
      <c r="BI1242" s="93"/>
      <c r="BJ1242" s="93"/>
      <c r="BK1242" s="93"/>
      <c r="BL1242" s="93"/>
      <c r="BM1242" s="93"/>
      <c r="BN1242" s="93"/>
      <c r="BO1242" s="93"/>
      <c r="BP1242" s="93"/>
      <c r="BQ1242" s="93"/>
      <c r="BR1242" s="93"/>
      <c r="BS1242" s="93"/>
      <c r="BT1242" s="93"/>
      <c r="BU1242" s="93"/>
      <c r="BV1242" s="93"/>
      <c r="BW1242" s="93"/>
      <c r="BX1242" s="93"/>
      <c r="BY1242" s="93"/>
      <c r="BZ1242" s="93"/>
    </row>
    <row r="1243">
      <c r="B1243" t="s">
        <v>4273</v>
      </c>
      <c r="C1243" s="89" t="s">
        <v>4274</v>
      </c>
      <c r="D1243" s="90" t="s">
        <v>4275</v>
      </c>
      <c r="E1243" s="91">
        <v>2015.0</v>
      </c>
      <c r="F1243" s="105" t="s">
        <v>1777</v>
      </c>
      <c r="G1243" s="93"/>
      <c r="H1243" s="93"/>
      <c r="I1243" s="93"/>
      <c r="J1243" s="93"/>
      <c r="K1243" s="93"/>
      <c r="L1243" s="93"/>
      <c r="M1243" s="93"/>
      <c r="N1243" s="93"/>
      <c r="O1243" s="93"/>
      <c r="P1243" s="93"/>
      <c r="Q1243" s="93"/>
      <c r="R1243" s="93"/>
      <c r="S1243" s="93"/>
      <c r="T1243" s="93"/>
      <c r="U1243" s="93"/>
      <c r="V1243" s="93"/>
      <c r="W1243" s="93"/>
      <c r="X1243" s="93"/>
      <c r="Y1243" s="93"/>
      <c r="Z1243" s="93"/>
      <c r="AA1243" s="93"/>
      <c r="AB1243" s="93"/>
      <c r="AC1243" s="93"/>
      <c r="AD1243" s="93"/>
      <c r="AE1243" s="93"/>
      <c r="AF1243" s="93"/>
      <c r="AG1243" s="93"/>
      <c r="AH1243" s="93"/>
      <c r="AI1243" s="93"/>
      <c r="AJ1243" s="93"/>
      <c r="AK1243" s="93"/>
      <c r="AL1243" s="93"/>
      <c r="AM1243" s="93"/>
      <c r="AN1243" s="93"/>
      <c r="AO1243" s="93"/>
      <c r="AP1243" s="93"/>
      <c r="AQ1243" s="93"/>
      <c r="AR1243" s="93"/>
      <c r="AS1243" s="93"/>
      <c r="AT1243" s="93"/>
      <c r="AU1243" s="93"/>
      <c r="AV1243" s="93"/>
      <c r="AW1243" s="93"/>
      <c r="AX1243" s="93"/>
      <c r="AY1243" s="93"/>
      <c r="AZ1243" s="93"/>
      <c r="BA1243" s="93"/>
      <c r="BB1243" s="93"/>
      <c r="BC1243" s="93"/>
      <c r="BD1243" s="93"/>
      <c r="BE1243" s="93"/>
      <c r="BF1243" s="93"/>
      <c r="BG1243" s="93"/>
      <c r="BH1243" s="93"/>
      <c r="BI1243" s="93"/>
      <c r="BJ1243" s="93"/>
      <c r="BK1243" s="93"/>
      <c r="BL1243" s="93"/>
      <c r="BM1243" s="93"/>
      <c r="BN1243" s="93"/>
      <c r="BO1243" s="93"/>
      <c r="BP1243" s="93"/>
      <c r="BQ1243" s="93"/>
      <c r="BR1243" s="93"/>
      <c r="BS1243" s="93"/>
      <c r="BT1243" s="93"/>
      <c r="BU1243" s="93"/>
      <c r="BV1243" s="93"/>
      <c r="BW1243" s="93"/>
      <c r="BX1243" s="93"/>
      <c r="BY1243" s="93"/>
      <c r="BZ1243" s="93"/>
    </row>
    <row r="1244">
      <c r="A1244" t="s">
        <v>1331</v>
      </c>
      <c r="B1244" t="s">
        <v>4276</v>
      </c>
      <c r="C1244" s="89" t="s">
        <v>4277</v>
      </c>
      <c r="D1244" s="90" t="s">
        <v>4278</v>
      </c>
      <c r="E1244" s="91">
        <v>2014.0</v>
      </c>
      <c r="F1244" s="104">
        <v>1.0</v>
      </c>
      <c r="G1244" s="93"/>
      <c r="H1244" s="93"/>
      <c r="I1244" s="93"/>
      <c r="J1244" s="93"/>
      <c r="K1244" s="93"/>
      <c r="L1244" s="93"/>
      <c r="M1244" s="93"/>
      <c r="N1244" s="93"/>
      <c r="O1244" s="93"/>
      <c r="P1244" s="93"/>
      <c r="Q1244" s="93"/>
      <c r="R1244" s="93"/>
      <c r="S1244" s="93"/>
      <c r="T1244" s="93"/>
      <c r="U1244" s="93"/>
      <c r="V1244" s="93"/>
      <c r="W1244" s="93"/>
      <c r="X1244" s="93"/>
      <c r="Y1244" s="93"/>
      <c r="Z1244" s="93"/>
      <c r="AA1244" s="93"/>
      <c r="AB1244" s="93"/>
      <c r="AC1244" s="93"/>
      <c r="AD1244" s="93"/>
      <c r="AE1244" s="93"/>
      <c r="AF1244" s="93"/>
      <c r="AG1244" s="93"/>
      <c r="AH1244" s="93"/>
      <c r="AI1244" s="93"/>
      <c r="AJ1244" s="93"/>
      <c r="AK1244" s="93"/>
      <c r="AL1244" s="93"/>
      <c r="AM1244" s="93"/>
      <c r="AN1244" s="93"/>
      <c r="AO1244" s="93"/>
      <c r="AP1244" s="93"/>
      <c r="AQ1244" s="93"/>
      <c r="AR1244" s="93"/>
      <c r="AS1244" s="93"/>
      <c r="AT1244" s="93"/>
      <c r="AU1244" s="93"/>
      <c r="AV1244" s="93"/>
      <c r="AW1244" s="93"/>
      <c r="AX1244" s="93"/>
      <c r="AY1244" s="93"/>
      <c r="AZ1244" s="93"/>
      <c r="BA1244" s="93"/>
      <c r="BB1244" s="93"/>
      <c r="BC1244" s="93"/>
      <c r="BD1244" s="93"/>
      <c r="BE1244" s="93"/>
      <c r="BF1244" s="93"/>
      <c r="BG1244" s="93"/>
      <c r="BH1244" s="93"/>
      <c r="BI1244" s="93"/>
      <c r="BJ1244" s="93"/>
      <c r="BK1244" s="93"/>
      <c r="BL1244" s="93"/>
      <c r="BM1244" s="93"/>
      <c r="BN1244" s="93"/>
      <c r="BO1244" s="93"/>
      <c r="BP1244" s="93"/>
      <c r="BQ1244" s="93"/>
      <c r="BR1244" s="93"/>
      <c r="BS1244" s="93"/>
      <c r="BT1244" s="93"/>
      <c r="BU1244" s="93"/>
      <c r="BV1244" s="93"/>
      <c r="BW1244" s="93"/>
      <c r="BX1244" s="93"/>
      <c r="BY1244" s="93"/>
      <c r="BZ1244" s="93"/>
    </row>
    <row r="1245">
      <c r="A1245" t="s">
        <v>1340</v>
      </c>
      <c r="B1245" t="s">
        <v>4279</v>
      </c>
      <c r="C1245" s="89" t="s">
        <v>4280</v>
      </c>
      <c r="D1245" s="90" t="s">
        <v>4281</v>
      </c>
      <c r="E1245" s="91">
        <v>2009.0</v>
      </c>
      <c r="F1245" s="104">
        <v>1.0</v>
      </c>
      <c r="G1245" s="93"/>
      <c r="H1245" s="93"/>
      <c r="I1245" s="93"/>
      <c r="J1245" s="93"/>
      <c r="K1245" s="93"/>
      <c r="L1245" s="93"/>
      <c r="M1245" s="93"/>
      <c r="N1245" s="93"/>
      <c r="O1245" s="93"/>
      <c r="P1245" s="93"/>
      <c r="Q1245" s="93"/>
      <c r="R1245" s="93"/>
      <c r="S1245" s="93"/>
      <c r="T1245" s="93"/>
      <c r="U1245" s="93"/>
      <c r="V1245" s="93"/>
      <c r="W1245" s="93"/>
      <c r="X1245" s="93"/>
      <c r="Y1245" s="93"/>
      <c r="Z1245" s="93"/>
      <c r="AA1245" s="93"/>
      <c r="AB1245" s="93"/>
      <c r="AC1245" s="93"/>
      <c r="AD1245" s="93"/>
      <c r="AE1245" s="93"/>
      <c r="AF1245" s="93"/>
      <c r="AG1245" s="93"/>
      <c r="AH1245" s="93"/>
      <c r="AI1245" s="93"/>
      <c r="AJ1245" s="93"/>
      <c r="AK1245" s="93"/>
      <c r="AL1245" s="93"/>
      <c r="AM1245" s="93"/>
      <c r="AN1245" s="93"/>
      <c r="AO1245" s="93"/>
      <c r="AP1245" s="93"/>
      <c r="AQ1245" s="93"/>
      <c r="AR1245" s="93"/>
      <c r="AS1245" s="93"/>
      <c r="AT1245" s="93"/>
      <c r="AU1245" s="93"/>
      <c r="AV1245" s="93"/>
      <c r="AW1245" s="93"/>
      <c r="AX1245" s="93"/>
      <c r="AY1245" s="93"/>
      <c r="AZ1245" s="93"/>
      <c r="BA1245" s="93"/>
      <c r="BB1245" s="93"/>
      <c r="BC1245" s="93"/>
      <c r="BD1245" s="93"/>
      <c r="BE1245" s="93"/>
      <c r="BF1245" s="93"/>
      <c r="BG1245" s="93"/>
      <c r="BH1245" s="93"/>
      <c r="BI1245" s="93"/>
      <c r="BJ1245" s="93"/>
      <c r="BK1245" s="93"/>
      <c r="BL1245" s="93"/>
      <c r="BM1245" s="93"/>
      <c r="BN1245" s="93"/>
      <c r="BO1245" s="93"/>
      <c r="BP1245" s="93"/>
      <c r="BQ1245" s="93"/>
      <c r="BR1245" s="93"/>
      <c r="BS1245" s="93"/>
      <c r="BT1245" s="93"/>
      <c r="BU1245" s="93"/>
      <c r="BV1245" s="93"/>
      <c r="BW1245" s="93"/>
      <c r="BX1245" s="93"/>
      <c r="BY1245" s="93"/>
      <c r="BZ1245" s="93"/>
    </row>
    <row r="1246">
      <c r="B1246" t="s">
        <v>4282</v>
      </c>
      <c r="C1246" s="89" t="s">
        <v>4283</v>
      </c>
      <c r="D1246" s="90" t="s">
        <v>4211</v>
      </c>
      <c r="E1246" s="91">
        <v>2014.0</v>
      </c>
      <c r="F1246" s="105" t="s">
        <v>1777</v>
      </c>
      <c r="G1246" s="93"/>
      <c r="H1246" s="93"/>
      <c r="I1246" s="93"/>
      <c r="J1246" s="93"/>
      <c r="K1246" s="93"/>
      <c r="L1246" s="93"/>
      <c r="M1246" s="93"/>
      <c r="N1246" s="93"/>
      <c r="O1246" s="93"/>
      <c r="P1246" s="93"/>
      <c r="Q1246" s="93"/>
      <c r="R1246" s="93"/>
      <c r="S1246" s="93"/>
      <c r="T1246" s="93"/>
      <c r="U1246" s="93"/>
      <c r="V1246" s="93"/>
      <c r="W1246" s="93"/>
      <c r="X1246" s="93"/>
      <c r="Y1246" s="93"/>
      <c r="Z1246" s="93"/>
      <c r="AA1246" s="93"/>
      <c r="AB1246" s="93"/>
      <c r="AC1246" s="93"/>
      <c r="AD1246" s="93"/>
      <c r="AE1246" s="93"/>
      <c r="AF1246" s="93"/>
      <c r="AG1246" s="93"/>
      <c r="AH1246" s="93"/>
      <c r="AI1246" s="93"/>
      <c r="AJ1246" s="93"/>
      <c r="AK1246" s="93"/>
      <c r="AL1246" s="93"/>
      <c r="AM1246" s="93"/>
      <c r="AN1246" s="93"/>
      <c r="AO1246" s="93"/>
      <c r="AP1246" s="93"/>
      <c r="AQ1246" s="93"/>
      <c r="AR1246" s="93"/>
      <c r="AS1246" s="93"/>
      <c r="AT1246" s="93"/>
      <c r="AU1246" s="93"/>
      <c r="AV1246" s="93"/>
      <c r="AW1246" s="93"/>
      <c r="AX1246" s="93"/>
      <c r="AY1246" s="93"/>
      <c r="AZ1246" s="93"/>
      <c r="BA1246" s="93"/>
      <c r="BB1246" s="93"/>
      <c r="BC1246" s="93"/>
      <c r="BD1246" s="93"/>
      <c r="BE1246" s="93"/>
      <c r="BF1246" s="93"/>
      <c r="BG1246" s="93"/>
      <c r="BH1246" s="93"/>
      <c r="BI1246" s="93"/>
      <c r="BJ1246" s="93"/>
      <c r="BK1246" s="93"/>
      <c r="BL1246" s="93"/>
      <c r="BM1246" s="93"/>
      <c r="BN1246" s="93"/>
      <c r="BO1246" s="93"/>
      <c r="BP1246" s="93"/>
      <c r="BQ1246" s="93"/>
      <c r="BR1246" s="93"/>
      <c r="BS1246" s="93"/>
      <c r="BT1246" s="93"/>
      <c r="BU1246" s="93"/>
      <c r="BV1246" s="93"/>
      <c r="BW1246" s="93"/>
      <c r="BX1246" s="93"/>
      <c r="BY1246" s="93"/>
      <c r="BZ1246" s="93"/>
    </row>
    <row r="1247">
      <c r="A1247" t="s">
        <v>1354</v>
      </c>
      <c r="B1247" t="s">
        <v>4284</v>
      </c>
      <c r="C1247" s="89" t="s">
        <v>4285</v>
      </c>
      <c r="D1247" s="90" t="s">
        <v>4286</v>
      </c>
      <c r="E1247" s="91">
        <v>2014.0</v>
      </c>
      <c r="F1247" s="104">
        <v>1.0</v>
      </c>
      <c r="G1247" s="93"/>
      <c r="H1247" s="93"/>
      <c r="I1247" s="93"/>
      <c r="J1247" s="93"/>
      <c r="K1247" s="93"/>
      <c r="L1247" s="93"/>
      <c r="M1247" s="93"/>
      <c r="N1247" s="93"/>
      <c r="O1247" s="93"/>
      <c r="P1247" s="93"/>
      <c r="Q1247" s="93"/>
      <c r="R1247" s="93"/>
      <c r="S1247" s="93"/>
      <c r="T1247" s="93"/>
      <c r="U1247" s="93"/>
      <c r="V1247" s="93"/>
      <c r="W1247" s="93"/>
      <c r="X1247" s="93"/>
      <c r="Y1247" s="93"/>
      <c r="Z1247" s="93"/>
      <c r="AA1247" s="93"/>
      <c r="AB1247" s="93"/>
      <c r="AC1247" s="93"/>
      <c r="AD1247" s="93"/>
      <c r="AE1247" s="93"/>
      <c r="AF1247" s="93"/>
      <c r="AG1247" s="93"/>
      <c r="AH1247" s="93"/>
      <c r="AI1247" s="93"/>
      <c r="AJ1247" s="93"/>
      <c r="AK1247" s="93"/>
      <c r="AL1247" s="93"/>
      <c r="AM1247" s="93"/>
      <c r="AN1247" s="93"/>
      <c r="AO1247" s="93"/>
      <c r="AP1247" s="93"/>
      <c r="AQ1247" s="93"/>
      <c r="AR1247" s="93"/>
      <c r="AS1247" s="93"/>
      <c r="AT1247" s="93"/>
      <c r="AU1247" s="93"/>
      <c r="AV1247" s="93"/>
      <c r="AW1247" s="93"/>
      <c r="AX1247" s="93"/>
      <c r="AY1247" s="93"/>
      <c r="AZ1247" s="93"/>
      <c r="BA1247" s="93"/>
      <c r="BB1247" s="93"/>
      <c r="BC1247" s="93"/>
      <c r="BD1247" s="93"/>
      <c r="BE1247" s="93"/>
      <c r="BF1247" s="93"/>
      <c r="BG1247" s="93"/>
      <c r="BH1247" s="93"/>
      <c r="BI1247" s="93"/>
      <c r="BJ1247" s="93"/>
      <c r="BK1247" s="93"/>
      <c r="BL1247" s="93"/>
      <c r="BM1247" s="93"/>
      <c r="BN1247" s="93"/>
      <c r="BO1247" s="93"/>
      <c r="BP1247" s="93"/>
      <c r="BQ1247" s="93"/>
      <c r="BR1247" s="93"/>
      <c r="BS1247" s="93"/>
      <c r="BT1247" s="93"/>
      <c r="BU1247" s="93"/>
      <c r="BV1247" s="93"/>
      <c r="BW1247" s="93"/>
      <c r="BX1247" s="93"/>
      <c r="BY1247" s="93"/>
      <c r="BZ1247" s="93"/>
    </row>
    <row r="1248">
      <c r="A1248" t="s">
        <v>116</v>
      </c>
      <c r="B1248" t="s">
        <v>4287</v>
      </c>
      <c r="C1248" s="89" t="s">
        <v>4288</v>
      </c>
      <c r="D1248" s="90" t="s">
        <v>4289</v>
      </c>
      <c r="E1248" s="91">
        <v>2018.0</v>
      </c>
      <c r="F1248" s="104">
        <v>1.0</v>
      </c>
      <c r="G1248" s="93"/>
      <c r="H1248" s="93"/>
      <c r="I1248" s="93"/>
      <c r="J1248" s="93"/>
      <c r="K1248" s="93"/>
      <c r="L1248" s="93"/>
      <c r="M1248" s="93"/>
      <c r="N1248" s="93"/>
      <c r="O1248" s="93"/>
      <c r="P1248" s="93"/>
      <c r="Q1248" s="93"/>
      <c r="R1248" s="93"/>
      <c r="S1248" s="93"/>
      <c r="T1248" s="93"/>
      <c r="U1248" s="93"/>
      <c r="V1248" s="93"/>
      <c r="W1248" s="93"/>
      <c r="X1248" s="93"/>
      <c r="Y1248" s="93"/>
      <c r="Z1248" s="93"/>
      <c r="AA1248" s="93"/>
      <c r="AB1248" s="93"/>
      <c r="AC1248" s="93"/>
      <c r="AD1248" s="93"/>
      <c r="AE1248" s="93"/>
      <c r="AF1248" s="93"/>
      <c r="AG1248" s="93"/>
      <c r="AH1248" s="93"/>
      <c r="AI1248" s="93"/>
      <c r="AJ1248" s="93"/>
      <c r="AK1248" s="93"/>
      <c r="AL1248" s="93"/>
      <c r="AM1248" s="93"/>
      <c r="AN1248" s="93"/>
      <c r="AO1248" s="93"/>
      <c r="AP1248" s="93"/>
      <c r="AQ1248" s="93"/>
      <c r="AR1248" s="93"/>
      <c r="AS1248" s="93"/>
      <c r="AT1248" s="93"/>
      <c r="AU1248" s="93"/>
      <c r="AV1248" s="93"/>
      <c r="AW1248" s="93"/>
      <c r="AX1248" s="93"/>
      <c r="AY1248" s="93"/>
      <c r="AZ1248" s="93"/>
      <c r="BA1248" s="93"/>
      <c r="BB1248" s="93"/>
      <c r="BC1248" s="93"/>
      <c r="BD1248" s="93"/>
      <c r="BE1248" s="93"/>
      <c r="BF1248" s="93"/>
      <c r="BG1248" s="93"/>
      <c r="BH1248" s="93"/>
      <c r="BI1248" s="93"/>
      <c r="BJ1248" s="93"/>
      <c r="BK1248" s="93"/>
      <c r="BL1248" s="93"/>
      <c r="BM1248" s="93"/>
      <c r="BN1248" s="93"/>
      <c r="BO1248" s="93"/>
      <c r="BP1248" s="93"/>
      <c r="BQ1248" s="93"/>
      <c r="BR1248" s="93"/>
      <c r="BS1248" s="93"/>
      <c r="BT1248" s="93"/>
      <c r="BU1248" s="93"/>
      <c r="BV1248" s="93"/>
      <c r="BW1248" s="93"/>
      <c r="BX1248" s="93"/>
      <c r="BY1248" s="93"/>
      <c r="BZ1248" s="93"/>
    </row>
    <row r="1249">
      <c r="A1249" t="s">
        <v>1331</v>
      </c>
      <c r="B1249" t="s">
        <v>4290</v>
      </c>
      <c r="C1249" s="89" t="s">
        <v>4291</v>
      </c>
      <c r="D1249" s="90" t="s">
        <v>4292</v>
      </c>
      <c r="E1249" s="91">
        <v>2017.0</v>
      </c>
      <c r="F1249" s="93"/>
      <c r="G1249" s="93"/>
      <c r="H1249" s="93"/>
      <c r="I1249" s="104">
        <v>1.0</v>
      </c>
      <c r="J1249" s="93"/>
      <c r="K1249" s="93"/>
      <c r="L1249" s="93"/>
      <c r="M1249" s="93"/>
      <c r="N1249" s="93"/>
      <c r="O1249" s="93"/>
      <c r="P1249" s="93"/>
      <c r="Q1249" s="93"/>
      <c r="R1249" s="93"/>
      <c r="S1249" s="93"/>
      <c r="T1249" s="93"/>
      <c r="U1249" s="93"/>
      <c r="V1249" s="93"/>
      <c r="W1249" s="93" t="s">
        <v>3304</v>
      </c>
      <c r="X1249" s="93" t="s">
        <v>4293</v>
      </c>
      <c r="Y1249" s="93" t="s">
        <v>4294</v>
      </c>
      <c r="Z1249" s="93" t="s">
        <v>1385</v>
      </c>
      <c r="AA1249" s="104">
        <v>1.0</v>
      </c>
      <c r="AB1249" s="93"/>
      <c r="AC1249" s="93"/>
      <c r="AD1249" s="104">
        <v>1.0</v>
      </c>
      <c r="AE1249" s="93"/>
      <c r="AF1249" s="93"/>
      <c r="AG1249" s="93"/>
      <c r="AH1249" s="90" t="s">
        <v>4295</v>
      </c>
      <c r="AI1249" s="104">
        <v>1.0</v>
      </c>
      <c r="AJ1249" s="93"/>
      <c r="AK1249" s="93"/>
      <c r="AL1249" s="93"/>
      <c r="AM1249" s="93"/>
      <c r="AN1249" s="93"/>
      <c r="AO1249" s="93"/>
      <c r="AP1249" s="93"/>
      <c r="AQ1249" s="93"/>
      <c r="AR1249" s="104">
        <v>1.0</v>
      </c>
      <c r="AS1249" s="93"/>
      <c r="AT1249" s="93"/>
      <c r="AU1249" s="93"/>
      <c r="AV1249" s="93"/>
      <c r="AW1249" s="93"/>
      <c r="AX1249" s="93"/>
      <c r="AY1249" s="93"/>
      <c r="AZ1249" s="93"/>
      <c r="BA1249" s="93"/>
      <c r="BB1249" s="93"/>
      <c r="BC1249" s="93"/>
      <c r="BD1249" s="93"/>
      <c r="BE1249" s="93"/>
      <c r="BF1249" s="93"/>
      <c r="BG1249" s="93"/>
      <c r="BH1249" s="93"/>
      <c r="BI1249" s="93"/>
      <c r="BJ1249" s="93"/>
      <c r="BK1249" s="93"/>
      <c r="BL1249" s="93"/>
      <c r="BM1249" s="93"/>
      <c r="BN1249" s="93"/>
      <c r="BO1249" s="93"/>
      <c r="BP1249" s="93"/>
      <c r="BQ1249" s="93"/>
      <c r="BR1249" s="93"/>
      <c r="BS1249" s="93"/>
      <c r="BT1249" s="93"/>
      <c r="BU1249" s="93"/>
      <c r="BV1249" s="93"/>
      <c r="BW1249" s="104">
        <v>1.0</v>
      </c>
      <c r="BX1249" s="104">
        <v>1.0</v>
      </c>
      <c r="BY1249" s="93"/>
      <c r="BZ1249" s="93"/>
    </row>
    <row r="1250">
      <c r="A1250" t="s">
        <v>1340</v>
      </c>
      <c r="B1250" t="s">
        <v>4296</v>
      </c>
      <c r="C1250" s="89" t="s">
        <v>4297</v>
      </c>
      <c r="D1250" s="90" t="s">
        <v>4298</v>
      </c>
      <c r="E1250" s="91">
        <v>2019.0</v>
      </c>
      <c r="F1250" s="104">
        <v>1.0</v>
      </c>
      <c r="G1250" s="93"/>
      <c r="H1250" s="93"/>
      <c r="I1250" s="93"/>
      <c r="J1250" s="93"/>
      <c r="K1250" s="93"/>
      <c r="L1250" s="93"/>
      <c r="M1250" s="93"/>
      <c r="N1250" s="93"/>
      <c r="O1250" s="93"/>
      <c r="P1250" s="93"/>
      <c r="Q1250" s="93"/>
      <c r="R1250" s="93"/>
      <c r="S1250" s="93"/>
      <c r="T1250" s="93"/>
      <c r="U1250" s="93"/>
      <c r="V1250" s="93"/>
      <c r="W1250" s="93"/>
      <c r="X1250" s="93"/>
      <c r="Y1250" s="93"/>
      <c r="Z1250" s="93"/>
      <c r="AA1250" s="93"/>
      <c r="AB1250" s="93"/>
      <c r="AC1250" s="93"/>
      <c r="AD1250" s="93"/>
      <c r="AE1250" s="93"/>
      <c r="AF1250" s="93"/>
      <c r="AG1250" s="93"/>
      <c r="AH1250" s="93"/>
      <c r="AI1250" s="93"/>
      <c r="AJ1250" s="93"/>
      <c r="AK1250" s="93"/>
      <c r="AL1250" s="93"/>
      <c r="AM1250" s="93"/>
      <c r="AN1250" s="93"/>
      <c r="AO1250" s="93"/>
      <c r="AP1250" s="93"/>
      <c r="AQ1250" s="93"/>
      <c r="AR1250" s="93"/>
      <c r="AS1250" s="93"/>
      <c r="AT1250" s="93"/>
      <c r="AU1250" s="93"/>
      <c r="AV1250" s="93"/>
      <c r="AW1250" s="93"/>
      <c r="AX1250" s="93"/>
      <c r="AY1250" s="93"/>
      <c r="AZ1250" s="93"/>
      <c r="BA1250" s="93"/>
      <c r="BB1250" s="93"/>
      <c r="BC1250" s="93"/>
      <c r="BD1250" s="93"/>
      <c r="BE1250" s="93"/>
      <c r="BF1250" s="93"/>
      <c r="BG1250" s="93"/>
      <c r="BH1250" s="93"/>
      <c r="BI1250" s="93"/>
      <c r="BJ1250" s="93"/>
      <c r="BK1250" s="93"/>
      <c r="BL1250" s="93"/>
      <c r="BM1250" s="93"/>
      <c r="BN1250" s="93"/>
      <c r="BO1250" s="93"/>
      <c r="BP1250" s="93"/>
      <c r="BQ1250" s="93"/>
      <c r="BR1250" s="93"/>
      <c r="BS1250" s="93"/>
      <c r="BT1250" s="93"/>
      <c r="BU1250" s="93"/>
      <c r="BV1250" s="93"/>
      <c r="BW1250" s="93"/>
      <c r="BX1250" s="93"/>
      <c r="BY1250" s="93"/>
      <c r="BZ1250" s="93"/>
    </row>
    <row r="1251">
      <c r="A1251" t="s">
        <v>1354</v>
      </c>
      <c r="B1251" t="s">
        <v>4299</v>
      </c>
      <c r="C1251" s="89" t="s">
        <v>4300</v>
      </c>
      <c r="D1251" s="90" t="s">
        <v>4301</v>
      </c>
      <c r="E1251" s="91">
        <v>2013.0</v>
      </c>
      <c r="F1251" s="104">
        <v>1.0</v>
      </c>
      <c r="G1251" s="93"/>
      <c r="H1251" s="93"/>
      <c r="I1251" s="93"/>
      <c r="J1251" s="93"/>
      <c r="K1251" s="93"/>
      <c r="L1251" s="93"/>
      <c r="M1251" s="93"/>
      <c r="N1251" s="93"/>
      <c r="O1251" s="93"/>
      <c r="P1251" s="93"/>
      <c r="Q1251" s="93"/>
      <c r="R1251" s="93"/>
      <c r="S1251" s="93"/>
      <c r="T1251" s="93"/>
      <c r="U1251" s="93"/>
      <c r="V1251" s="93"/>
      <c r="W1251" s="93"/>
      <c r="X1251" s="93"/>
      <c r="Y1251" s="93"/>
      <c r="Z1251" s="93"/>
      <c r="AA1251" s="93"/>
      <c r="AB1251" s="93"/>
      <c r="AC1251" s="93"/>
      <c r="AD1251" s="93"/>
      <c r="AE1251" s="93"/>
      <c r="AF1251" s="93"/>
      <c r="AG1251" s="93"/>
      <c r="AH1251" s="93"/>
      <c r="AI1251" s="93"/>
      <c r="AJ1251" s="93"/>
      <c r="AK1251" s="93"/>
      <c r="AL1251" s="93"/>
      <c r="AM1251" s="93"/>
      <c r="AN1251" s="93"/>
      <c r="AO1251" s="93"/>
      <c r="AP1251" s="93"/>
      <c r="AQ1251" s="93"/>
      <c r="AR1251" s="93"/>
      <c r="AS1251" s="93"/>
      <c r="AT1251" s="93"/>
      <c r="AU1251" s="93"/>
      <c r="AV1251" s="93"/>
      <c r="AW1251" s="93"/>
      <c r="AX1251" s="93"/>
      <c r="AY1251" s="93"/>
      <c r="AZ1251" s="93"/>
      <c r="BA1251" s="93"/>
      <c r="BB1251" s="93"/>
      <c r="BC1251" s="93"/>
      <c r="BD1251" s="93"/>
      <c r="BE1251" s="93"/>
      <c r="BF1251" s="93"/>
      <c r="BG1251" s="93"/>
      <c r="BH1251" s="93"/>
      <c r="BI1251" s="93"/>
      <c r="BJ1251" s="93"/>
      <c r="BK1251" s="93"/>
      <c r="BL1251" s="93"/>
      <c r="BM1251" s="93"/>
      <c r="BN1251" s="93"/>
      <c r="BO1251" s="93"/>
      <c r="BP1251" s="93"/>
      <c r="BQ1251" s="93"/>
      <c r="BR1251" s="93"/>
      <c r="BS1251" s="93"/>
      <c r="BT1251" s="93"/>
      <c r="BU1251" s="93"/>
      <c r="BV1251" s="93"/>
      <c r="BW1251" s="93"/>
      <c r="BX1251" s="93"/>
      <c r="BY1251" s="93"/>
      <c r="BZ1251" s="93"/>
    </row>
    <row r="1252">
      <c r="B1252" t="s">
        <v>4302</v>
      </c>
      <c r="C1252" s="89" t="s">
        <v>4303</v>
      </c>
      <c r="D1252" s="90" t="s">
        <v>1623</v>
      </c>
      <c r="E1252" s="91">
        <v>2018.0</v>
      </c>
      <c r="F1252" s="104">
        <v>1.0</v>
      </c>
      <c r="G1252" s="93"/>
      <c r="H1252" s="93"/>
      <c r="I1252" s="93"/>
      <c r="J1252" s="93"/>
      <c r="K1252" s="93"/>
      <c r="L1252" s="93"/>
      <c r="M1252" s="93"/>
      <c r="N1252" s="93"/>
      <c r="O1252" s="93"/>
      <c r="P1252" s="93"/>
      <c r="Q1252" s="93"/>
      <c r="R1252" s="93"/>
      <c r="S1252" s="93"/>
      <c r="T1252" s="93"/>
      <c r="U1252" s="93"/>
      <c r="V1252" s="93"/>
      <c r="W1252" s="93"/>
      <c r="X1252" s="93"/>
      <c r="Y1252" s="93"/>
      <c r="Z1252" s="93"/>
      <c r="AA1252" s="93"/>
      <c r="AB1252" s="93"/>
      <c r="AC1252" s="93"/>
      <c r="AD1252" s="93"/>
      <c r="AE1252" s="93"/>
      <c r="AF1252" s="93"/>
      <c r="AG1252" s="93"/>
      <c r="AH1252" s="93"/>
      <c r="AI1252" s="93"/>
      <c r="AJ1252" s="93"/>
      <c r="AK1252" s="93"/>
      <c r="AL1252" s="93"/>
      <c r="AM1252" s="93"/>
      <c r="AN1252" s="93"/>
      <c r="AO1252" s="93"/>
      <c r="AP1252" s="93"/>
      <c r="AQ1252" s="93"/>
      <c r="AR1252" s="93"/>
      <c r="AS1252" s="93"/>
      <c r="AT1252" s="93"/>
      <c r="AU1252" s="93"/>
      <c r="AV1252" s="93"/>
      <c r="AW1252" s="93"/>
      <c r="AX1252" s="93"/>
      <c r="AY1252" s="93"/>
      <c r="AZ1252" s="93"/>
      <c r="BA1252" s="93"/>
      <c r="BB1252" s="93"/>
      <c r="BC1252" s="93"/>
      <c r="BD1252" s="93"/>
      <c r="BE1252" s="93"/>
      <c r="BF1252" s="93"/>
      <c r="BG1252" s="93"/>
      <c r="BH1252" s="93"/>
      <c r="BI1252" s="93"/>
      <c r="BJ1252" s="93"/>
      <c r="BK1252" s="93"/>
      <c r="BL1252" s="93"/>
      <c r="BM1252" s="93"/>
      <c r="BN1252" s="93"/>
      <c r="BO1252" s="93"/>
      <c r="BP1252" s="93"/>
      <c r="BQ1252" s="93"/>
      <c r="BR1252" s="93"/>
      <c r="BS1252" s="93"/>
      <c r="BT1252" s="93"/>
      <c r="BU1252" s="93"/>
      <c r="BV1252" s="93"/>
      <c r="BW1252" s="93"/>
      <c r="BX1252" s="93"/>
      <c r="BY1252" s="93"/>
      <c r="BZ1252" s="93"/>
    </row>
    <row r="1253">
      <c r="B1253" t="s">
        <v>4304</v>
      </c>
      <c r="C1253" s="89" t="s">
        <v>4305</v>
      </c>
      <c r="D1253" s="90" t="s">
        <v>4306</v>
      </c>
      <c r="E1253" s="91">
        <v>2012.0</v>
      </c>
      <c r="F1253" s="104">
        <v>1.0</v>
      </c>
      <c r="G1253" s="93"/>
      <c r="H1253" s="93"/>
      <c r="I1253" s="93"/>
      <c r="J1253" s="93"/>
      <c r="K1253" s="93"/>
      <c r="L1253" s="93"/>
      <c r="M1253" s="93"/>
      <c r="N1253" s="93"/>
      <c r="O1253" s="93"/>
      <c r="P1253" s="93"/>
      <c r="Q1253" s="93"/>
      <c r="R1253" s="93"/>
      <c r="S1253" s="93"/>
      <c r="T1253" s="93"/>
      <c r="U1253" s="93"/>
      <c r="V1253" s="93"/>
      <c r="W1253" s="93"/>
      <c r="X1253" s="93"/>
      <c r="Y1253" s="93"/>
      <c r="Z1253" s="93"/>
      <c r="AA1253" s="93"/>
      <c r="AB1253" s="93"/>
      <c r="AC1253" s="93"/>
      <c r="AD1253" s="93"/>
      <c r="AE1253" s="93"/>
      <c r="AF1253" s="93"/>
      <c r="AG1253" s="93"/>
      <c r="AH1253" s="93"/>
      <c r="AI1253" s="93"/>
      <c r="AJ1253" s="93"/>
      <c r="AK1253" s="93"/>
      <c r="AL1253" s="93"/>
      <c r="AM1253" s="93"/>
      <c r="AN1253" s="93"/>
      <c r="AO1253" s="93"/>
      <c r="AP1253" s="93"/>
      <c r="AQ1253" s="93"/>
      <c r="AR1253" s="93"/>
      <c r="AS1253" s="93"/>
      <c r="AT1253" s="93"/>
      <c r="AU1253" s="93"/>
      <c r="AV1253" s="93"/>
      <c r="AW1253" s="93"/>
      <c r="AX1253" s="93"/>
      <c r="AY1253" s="93"/>
      <c r="AZ1253" s="93"/>
      <c r="BA1253" s="93"/>
      <c r="BB1253" s="93"/>
      <c r="BC1253" s="93"/>
      <c r="BD1253" s="93"/>
      <c r="BE1253" s="93"/>
      <c r="BF1253" s="93"/>
      <c r="BG1253" s="93"/>
      <c r="BH1253" s="93"/>
      <c r="BI1253" s="93"/>
      <c r="BJ1253" s="93"/>
      <c r="BK1253" s="93"/>
      <c r="BL1253" s="93"/>
      <c r="BM1253" s="93"/>
      <c r="BN1253" s="93"/>
      <c r="BO1253" s="93"/>
      <c r="BP1253" s="93"/>
      <c r="BQ1253" s="93"/>
      <c r="BR1253" s="93"/>
      <c r="BS1253" s="93"/>
      <c r="BT1253" s="93"/>
      <c r="BU1253" s="93"/>
      <c r="BV1253" s="93"/>
      <c r="BW1253" s="93"/>
      <c r="BX1253" s="93"/>
      <c r="BY1253" s="93"/>
      <c r="BZ1253" s="93"/>
    </row>
    <row r="1254">
      <c r="A1254" t="s">
        <v>116</v>
      </c>
      <c r="B1254" t="s">
        <v>4307</v>
      </c>
      <c r="C1254" s="89" t="s">
        <v>4308</v>
      </c>
      <c r="D1254" s="90" t="s">
        <v>4309</v>
      </c>
      <c r="E1254" s="91">
        <v>2009.0</v>
      </c>
      <c r="F1254" s="104">
        <v>1.0</v>
      </c>
      <c r="G1254" s="93"/>
      <c r="H1254" s="93"/>
      <c r="I1254" s="93"/>
      <c r="J1254" s="93"/>
      <c r="K1254" s="93"/>
      <c r="L1254" s="93"/>
      <c r="M1254" s="93"/>
      <c r="N1254" s="93"/>
      <c r="O1254" s="93"/>
      <c r="P1254" s="93"/>
      <c r="Q1254" s="93"/>
      <c r="R1254" s="93"/>
      <c r="S1254" s="93"/>
      <c r="T1254" s="93"/>
      <c r="U1254" s="93"/>
      <c r="V1254" s="93"/>
      <c r="W1254" s="93"/>
      <c r="X1254" s="93"/>
      <c r="Y1254" s="93"/>
      <c r="Z1254" s="93"/>
      <c r="AA1254" s="93"/>
      <c r="AB1254" s="93"/>
      <c r="AC1254" s="93"/>
      <c r="AD1254" s="93"/>
      <c r="AE1254" s="93"/>
      <c r="AF1254" s="93"/>
      <c r="AG1254" s="93"/>
      <c r="AH1254" s="93"/>
      <c r="AI1254" s="93"/>
      <c r="AJ1254" s="93"/>
      <c r="AK1254" s="93"/>
      <c r="AL1254" s="93"/>
      <c r="AM1254" s="93"/>
      <c r="AN1254" s="93"/>
      <c r="AO1254" s="93"/>
      <c r="AP1254" s="93"/>
      <c r="AQ1254" s="93"/>
      <c r="AR1254" s="93"/>
      <c r="AS1254" s="93"/>
      <c r="AT1254" s="93"/>
      <c r="AU1254" s="93"/>
      <c r="AV1254" s="93"/>
      <c r="AW1254" s="93"/>
      <c r="AX1254" s="93"/>
      <c r="AY1254" s="93"/>
      <c r="AZ1254" s="93"/>
      <c r="BA1254" s="93"/>
      <c r="BB1254" s="93"/>
      <c r="BC1254" s="93"/>
      <c r="BD1254" s="93"/>
      <c r="BE1254" s="93"/>
      <c r="BF1254" s="93"/>
      <c r="BG1254" s="93"/>
      <c r="BH1254" s="93"/>
      <c r="BI1254" s="93"/>
      <c r="BJ1254" s="93"/>
      <c r="BK1254" s="93"/>
      <c r="BL1254" s="93"/>
      <c r="BM1254" s="93"/>
      <c r="BN1254" s="93"/>
      <c r="BO1254" s="93"/>
      <c r="BP1254" s="93"/>
      <c r="BQ1254" s="93"/>
      <c r="BR1254" s="93"/>
      <c r="BS1254" s="93"/>
      <c r="BT1254" s="93"/>
      <c r="BU1254" s="93"/>
      <c r="BV1254" s="93"/>
      <c r="BW1254" s="93"/>
      <c r="BX1254" s="93"/>
      <c r="BY1254" s="93"/>
      <c r="BZ1254" s="93"/>
    </row>
    <row r="1255">
      <c r="B1255" t="s">
        <v>4310</v>
      </c>
      <c r="C1255" s="89" t="s">
        <v>4311</v>
      </c>
      <c r="D1255" s="90" t="s">
        <v>4312</v>
      </c>
      <c r="E1255" s="91">
        <v>2014.0</v>
      </c>
      <c r="F1255" s="105" t="s">
        <v>1777</v>
      </c>
      <c r="G1255" s="93"/>
      <c r="H1255" s="93"/>
      <c r="I1255" s="93"/>
      <c r="J1255" s="93"/>
      <c r="K1255" s="93"/>
      <c r="L1255" s="93"/>
      <c r="M1255" s="93"/>
      <c r="N1255" s="93"/>
      <c r="O1255" s="93"/>
      <c r="P1255" s="93"/>
      <c r="Q1255" s="93"/>
      <c r="R1255" s="93"/>
      <c r="S1255" s="93"/>
      <c r="T1255" s="93"/>
      <c r="U1255" s="93"/>
      <c r="V1255" s="93"/>
      <c r="W1255" s="93"/>
      <c r="X1255" s="93"/>
      <c r="Y1255" s="93"/>
      <c r="Z1255" s="93"/>
      <c r="AA1255" s="93"/>
      <c r="AB1255" s="93"/>
      <c r="AC1255" s="93"/>
      <c r="AD1255" s="93"/>
      <c r="AE1255" s="93"/>
      <c r="AF1255" s="93"/>
      <c r="AG1255" s="93"/>
      <c r="AH1255" s="93"/>
      <c r="AI1255" s="93"/>
      <c r="AJ1255" s="93"/>
      <c r="AK1255" s="93"/>
      <c r="AL1255" s="93"/>
      <c r="AM1255" s="93"/>
      <c r="AN1255" s="93"/>
      <c r="AO1255" s="93"/>
      <c r="AP1255" s="93"/>
      <c r="AQ1255" s="93"/>
      <c r="AR1255" s="93"/>
      <c r="AS1255" s="93"/>
      <c r="AT1255" s="93"/>
      <c r="AU1255" s="93"/>
      <c r="AV1255" s="93"/>
      <c r="AW1255" s="93"/>
      <c r="AX1255" s="93"/>
      <c r="AY1255" s="93"/>
      <c r="AZ1255" s="93"/>
      <c r="BA1255" s="93"/>
      <c r="BB1255" s="93"/>
      <c r="BC1255" s="93"/>
      <c r="BD1255" s="93"/>
      <c r="BE1255" s="93"/>
      <c r="BF1255" s="93"/>
      <c r="BG1255" s="93"/>
      <c r="BH1255" s="93"/>
      <c r="BI1255" s="93"/>
      <c r="BJ1255" s="93"/>
      <c r="BK1255" s="93"/>
      <c r="BL1255" s="93"/>
      <c r="BM1255" s="93"/>
      <c r="BN1255" s="93"/>
      <c r="BO1255" s="93"/>
      <c r="BP1255" s="93"/>
      <c r="BQ1255" s="93"/>
      <c r="BR1255" s="93"/>
      <c r="BS1255" s="93"/>
      <c r="BT1255" s="93"/>
      <c r="BU1255" s="93"/>
      <c r="BV1255" s="93"/>
      <c r="BW1255" s="93"/>
      <c r="BX1255" s="93"/>
      <c r="BY1255" s="93"/>
      <c r="BZ1255" s="93"/>
    </row>
    <row r="1256">
      <c r="A1256" t="s">
        <v>1331</v>
      </c>
      <c r="B1256" t="s">
        <v>4313</v>
      </c>
      <c r="C1256" s="89" t="s">
        <v>4314</v>
      </c>
      <c r="D1256" s="90" t="s">
        <v>4315</v>
      </c>
      <c r="E1256" s="91">
        <v>2014.0</v>
      </c>
      <c r="F1256" s="104">
        <v>1.0</v>
      </c>
      <c r="G1256" s="93"/>
      <c r="H1256" s="93"/>
      <c r="I1256" s="93"/>
      <c r="J1256" s="93"/>
      <c r="K1256" s="93"/>
      <c r="L1256" s="93"/>
      <c r="M1256" s="93"/>
      <c r="N1256" s="93"/>
      <c r="O1256" s="93"/>
      <c r="P1256" s="93"/>
      <c r="Q1256" s="93"/>
      <c r="R1256" s="93"/>
      <c r="S1256" s="93"/>
      <c r="T1256" s="93"/>
      <c r="U1256" s="93"/>
      <c r="V1256" s="93"/>
      <c r="W1256" s="93"/>
      <c r="X1256" s="93"/>
      <c r="Y1256" s="93"/>
      <c r="Z1256" s="93"/>
      <c r="AA1256" s="93"/>
      <c r="AB1256" s="93"/>
      <c r="AC1256" s="93"/>
      <c r="AD1256" s="93"/>
      <c r="AE1256" s="93"/>
      <c r="AF1256" s="93"/>
      <c r="AG1256" s="93"/>
      <c r="AH1256" s="93"/>
      <c r="AI1256" s="93"/>
      <c r="AJ1256" s="93"/>
      <c r="AK1256" s="93"/>
      <c r="AL1256" s="93"/>
      <c r="AM1256" s="93"/>
      <c r="AN1256" s="93"/>
      <c r="AO1256" s="93"/>
      <c r="AP1256" s="93"/>
      <c r="AQ1256" s="93"/>
      <c r="AR1256" s="93"/>
      <c r="AS1256" s="93"/>
      <c r="AT1256" s="93"/>
      <c r="AU1256" s="93"/>
      <c r="AV1256" s="93"/>
      <c r="AW1256" s="93"/>
      <c r="AX1256" s="93"/>
      <c r="AY1256" s="93"/>
      <c r="AZ1256" s="93"/>
      <c r="BA1256" s="93"/>
      <c r="BB1256" s="93"/>
      <c r="BC1256" s="93"/>
      <c r="BD1256" s="93"/>
      <c r="BE1256" s="93"/>
      <c r="BF1256" s="93"/>
      <c r="BG1256" s="93"/>
      <c r="BH1256" s="93"/>
      <c r="BI1256" s="93"/>
      <c r="BJ1256" s="93"/>
      <c r="BK1256" s="93"/>
      <c r="BL1256" s="93"/>
      <c r="BM1256" s="93"/>
      <c r="BN1256" s="93"/>
      <c r="BO1256" s="93"/>
      <c r="BP1256" s="93"/>
      <c r="BQ1256" s="93"/>
      <c r="BR1256" s="93"/>
      <c r="BS1256" s="93"/>
      <c r="BT1256" s="93"/>
      <c r="BU1256" s="93"/>
      <c r="BV1256" s="93"/>
      <c r="BW1256" s="93"/>
      <c r="BX1256" s="93"/>
      <c r="BY1256" s="93"/>
      <c r="BZ1256" s="93"/>
    </row>
    <row r="1257">
      <c r="B1257" t="s">
        <v>4316</v>
      </c>
      <c r="C1257" s="89" t="s">
        <v>4317</v>
      </c>
      <c r="D1257" s="90" t="s">
        <v>4220</v>
      </c>
      <c r="E1257" s="91">
        <v>2011.0</v>
      </c>
      <c r="F1257" s="104">
        <v>1.0</v>
      </c>
      <c r="G1257" s="93"/>
      <c r="H1257" s="93"/>
      <c r="I1257" s="93"/>
      <c r="J1257" s="93"/>
      <c r="K1257" s="93"/>
      <c r="L1257" s="93"/>
      <c r="M1257" s="93"/>
      <c r="N1257" s="93"/>
      <c r="O1257" s="93"/>
      <c r="P1257" s="93"/>
      <c r="Q1257" s="93"/>
      <c r="R1257" s="93"/>
      <c r="S1257" s="93"/>
      <c r="T1257" s="93"/>
      <c r="U1257" s="93"/>
      <c r="V1257" s="93"/>
      <c r="W1257" s="93"/>
      <c r="X1257" s="93"/>
      <c r="Y1257" s="93"/>
      <c r="Z1257" s="93"/>
      <c r="AA1257" s="93"/>
      <c r="AB1257" s="93"/>
      <c r="AC1257" s="93"/>
      <c r="AD1257" s="93"/>
      <c r="AE1257" s="93"/>
      <c r="AF1257" s="93"/>
      <c r="AG1257" s="93"/>
      <c r="AH1257" s="93"/>
      <c r="AI1257" s="93"/>
      <c r="AJ1257" s="93"/>
      <c r="AK1257" s="93"/>
      <c r="AL1257" s="93"/>
      <c r="AM1257" s="93"/>
      <c r="AN1257" s="93"/>
      <c r="AO1257" s="93"/>
      <c r="AP1257" s="93"/>
      <c r="AQ1257" s="93"/>
      <c r="AR1257" s="93"/>
      <c r="AS1257" s="93"/>
      <c r="AT1257" s="93"/>
      <c r="AU1257" s="93"/>
      <c r="AV1257" s="93"/>
      <c r="AW1257" s="93"/>
      <c r="AX1257" s="93"/>
      <c r="AY1257" s="93"/>
      <c r="AZ1257" s="93"/>
      <c r="BA1257" s="93"/>
      <c r="BB1257" s="93"/>
      <c r="BC1257" s="93"/>
      <c r="BD1257" s="93"/>
      <c r="BE1257" s="93"/>
      <c r="BF1257" s="93"/>
      <c r="BG1257" s="93"/>
      <c r="BH1257" s="93"/>
      <c r="BI1257" s="93"/>
      <c r="BJ1257" s="93"/>
      <c r="BK1257" s="93"/>
      <c r="BL1257" s="93"/>
      <c r="BM1257" s="93"/>
      <c r="BN1257" s="93"/>
      <c r="BO1257" s="93"/>
      <c r="BP1257" s="93"/>
      <c r="BQ1257" s="93"/>
      <c r="BR1257" s="93"/>
      <c r="BS1257" s="93"/>
      <c r="BT1257" s="93"/>
      <c r="BU1257" s="93"/>
      <c r="BV1257" s="93"/>
      <c r="BW1257" s="93"/>
      <c r="BX1257" s="93"/>
      <c r="BY1257" s="93"/>
      <c r="BZ1257" s="93"/>
    </row>
    <row r="1258">
      <c r="B1258" t="s">
        <v>4318</v>
      </c>
      <c r="C1258" s="89" t="s">
        <v>4319</v>
      </c>
      <c r="D1258" s="90" t="s">
        <v>4320</v>
      </c>
      <c r="E1258" s="91">
        <v>2018.0</v>
      </c>
      <c r="F1258" s="104">
        <v>1.0</v>
      </c>
      <c r="G1258" s="93"/>
      <c r="H1258" s="93"/>
      <c r="I1258" s="93"/>
      <c r="J1258" s="93"/>
      <c r="K1258" s="93"/>
      <c r="L1258" s="93"/>
      <c r="M1258" s="93"/>
      <c r="N1258" s="93"/>
      <c r="O1258" s="93"/>
      <c r="P1258" s="93"/>
      <c r="Q1258" s="93"/>
      <c r="R1258" s="93"/>
      <c r="S1258" s="93"/>
      <c r="T1258" s="93"/>
      <c r="U1258" s="93"/>
      <c r="V1258" s="93"/>
      <c r="W1258" s="93"/>
      <c r="X1258" s="93"/>
      <c r="Y1258" s="93"/>
      <c r="Z1258" s="93"/>
      <c r="AA1258" s="93"/>
      <c r="AB1258" s="93"/>
      <c r="AC1258" s="93"/>
      <c r="AD1258" s="93"/>
      <c r="AE1258" s="93"/>
      <c r="AF1258" s="93"/>
      <c r="AG1258" s="93"/>
      <c r="AH1258" s="93"/>
      <c r="AI1258" s="93"/>
      <c r="AJ1258" s="93"/>
      <c r="AK1258" s="93"/>
      <c r="AL1258" s="93"/>
      <c r="AM1258" s="93"/>
      <c r="AN1258" s="93"/>
      <c r="AO1258" s="93"/>
      <c r="AP1258" s="93"/>
      <c r="AQ1258" s="93"/>
      <c r="AR1258" s="93"/>
      <c r="AS1258" s="93"/>
      <c r="AT1258" s="93"/>
      <c r="AU1258" s="93"/>
      <c r="AV1258" s="93"/>
      <c r="AW1258" s="93"/>
      <c r="AX1258" s="93"/>
      <c r="AY1258" s="93"/>
      <c r="AZ1258" s="93"/>
      <c r="BA1258" s="93"/>
      <c r="BB1258" s="93"/>
      <c r="BC1258" s="93"/>
      <c r="BD1258" s="93"/>
      <c r="BE1258" s="93"/>
      <c r="BF1258" s="93"/>
      <c r="BG1258" s="93"/>
      <c r="BH1258" s="93"/>
      <c r="BI1258" s="93"/>
      <c r="BJ1258" s="93"/>
      <c r="BK1258" s="93"/>
      <c r="BL1258" s="93"/>
      <c r="BM1258" s="93"/>
      <c r="BN1258" s="93"/>
      <c r="BO1258" s="93"/>
      <c r="BP1258" s="93"/>
      <c r="BQ1258" s="93"/>
      <c r="BR1258" s="93"/>
      <c r="BS1258" s="93"/>
      <c r="BT1258" s="93"/>
      <c r="BU1258" s="93"/>
      <c r="BV1258" s="93"/>
      <c r="BW1258" s="93"/>
      <c r="BX1258" s="93"/>
      <c r="BY1258" s="93"/>
      <c r="BZ1258" s="93"/>
    </row>
    <row r="1259">
      <c r="A1259" t="s">
        <v>1340</v>
      </c>
      <c r="B1259" t="s">
        <v>4321</v>
      </c>
      <c r="C1259" s="89" t="s">
        <v>4322</v>
      </c>
      <c r="D1259" s="90" t="s">
        <v>4323</v>
      </c>
      <c r="E1259" s="91">
        <v>2014.0</v>
      </c>
      <c r="F1259" s="104">
        <v>1.0</v>
      </c>
      <c r="G1259" s="93"/>
      <c r="H1259" s="93"/>
      <c r="I1259" s="93"/>
      <c r="J1259" s="93"/>
      <c r="K1259" s="93"/>
      <c r="L1259" s="93"/>
      <c r="M1259" s="93"/>
      <c r="N1259" s="93"/>
      <c r="O1259" s="93"/>
      <c r="P1259" s="93"/>
      <c r="Q1259" s="93"/>
      <c r="R1259" s="93"/>
      <c r="S1259" s="93"/>
      <c r="T1259" s="93"/>
      <c r="U1259" s="93"/>
      <c r="V1259" s="93"/>
      <c r="W1259" s="93"/>
      <c r="X1259" s="93"/>
      <c r="Y1259" s="93"/>
      <c r="Z1259" s="93"/>
      <c r="AA1259" s="93"/>
      <c r="AB1259" s="93"/>
      <c r="AC1259" s="93"/>
      <c r="AD1259" s="93"/>
      <c r="AE1259" s="93"/>
      <c r="AF1259" s="93"/>
      <c r="AG1259" s="93"/>
      <c r="AH1259" s="93"/>
      <c r="AI1259" s="93"/>
      <c r="AJ1259" s="93"/>
      <c r="AK1259" s="93"/>
      <c r="AL1259" s="93"/>
      <c r="AM1259" s="93"/>
      <c r="AN1259" s="93"/>
      <c r="AO1259" s="93"/>
      <c r="AP1259" s="93"/>
      <c r="AQ1259" s="93"/>
      <c r="AR1259" s="93"/>
      <c r="AS1259" s="93"/>
      <c r="AT1259" s="93"/>
      <c r="AU1259" s="93"/>
      <c r="AV1259" s="93"/>
      <c r="AW1259" s="93"/>
      <c r="AX1259" s="93"/>
      <c r="AY1259" s="93"/>
      <c r="AZ1259" s="93"/>
      <c r="BA1259" s="93"/>
      <c r="BB1259" s="93"/>
      <c r="BC1259" s="93"/>
      <c r="BD1259" s="93"/>
      <c r="BE1259" s="93"/>
      <c r="BF1259" s="93"/>
      <c r="BG1259" s="93"/>
      <c r="BH1259" s="93"/>
      <c r="BI1259" s="93"/>
      <c r="BJ1259" s="93"/>
      <c r="BK1259" s="93"/>
      <c r="BL1259" s="93"/>
      <c r="BM1259" s="93"/>
      <c r="BN1259" s="93"/>
      <c r="BO1259" s="93"/>
      <c r="BP1259" s="93"/>
      <c r="BQ1259" s="93"/>
      <c r="BR1259" s="93"/>
      <c r="BS1259" s="93"/>
      <c r="BT1259" s="93"/>
      <c r="BU1259" s="93"/>
      <c r="BV1259" s="93"/>
      <c r="BW1259" s="93"/>
      <c r="BX1259" s="93"/>
      <c r="BY1259" s="93"/>
      <c r="BZ1259" s="93"/>
    </row>
    <row r="1260">
      <c r="B1260" t="s">
        <v>4324</v>
      </c>
      <c r="C1260" s="89" t="s">
        <v>4325</v>
      </c>
      <c r="D1260" s="90" t="s">
        <v>4326</v>
      </c>
      <c r="E1260" s="91">
        <v>2011.0</v>
      </c>
      <c r="F1260" s="104">
        <v>1.0</v>
      </c>
      <c r="G1260" s="93"/>
      <c r="H1260" s="93"/>
      <c r="I1260" s="93"/>
      <c r="J1260" s="93"/>
      <c r="K1260" s="93"/>
      <c r="L1260" s="93"/>
      <c r="M1260" s="93"/>
      <c r="N1260" s="93"/>
      <c r="O1260" s="93"/>
      <c r="P1260" s="93"/>
      <c r="Q1260" s="93"/>
      <c r="R1260" s="93"/>
      <c r="S1260" s="93"/>
      <c r="T1260" s="93"/>
      <c r="U1260" s="93"/>
      <c r="V1260" s="93"/>
      <c r="W1260" s="93"/>
      <c r="X1260" s="93"/>
      <c r="Y1260" s="93"/>
      <c r="Z1260" s="93"/>
      <c r="AA1260" s="93"/>
      <c r="AB1260" s="93"/>
      <c r="AC1260" s="93"/>
      <c r="AD1260" s="93"/>
      <c r="AE1260" s="93"/>
      <c r="AF1260" s="93"/>
      <c r="AG1260" s="93"/>
      <c r="AH1260" s="93"/>
      <c r="AI1260" s="93"/>
      <c r="AJ1260" s="93"/>
      <c r="AK1260" s="93"/>
      <c r="AL1260" s="93"/>
      <c r="AM1260" s="93"/>
      <c r="AN1260" s="93"/>
      <c r="AO1260" s="93"/>
      <c r="AP1260" s="93"/>
      <c r="AQ1260" s="93"/>
      <c r="AR1260" s="93"/>
      <c r="AS1260" s="93"/>
      <c r="AT1260" s="93"/>
      <c r="AU1260" s="93"/>
      <c r="AV1260" s="93"/>
      <c r="AW1260" s="93"/>
      <c r="AX1260" s="93"/>
      <c r="AY1260" s="93"/>
      <c r="AZ1260" s="93"/>
      <c r="BA1260" s="93"/>
      <c r="BB1260" s="93"/>
      <c r="BC1260" s="93"/>
      <c r="BD1260" s="93"/>
      <c r="BE1260" s="93"/>
      <c r="BF1260" s="93"/>
      <c r="BG1260" s="93"/>
      <c r="BH1260" s="93"/>
      <c r="BI1260" s="93"/>
      <c r="BJ1260" s="93"/>
      <c r="BK1260" s="93"/>
      <c r="BL1260" s="93"/>
      <c r="BM1260" s="93"/>
      <c r="BN1260" s="93"/>
      <c r="BO1260" s="93"/>
      <c r="BP1260" s="93"/>
      <c r="BQ1260" s="93"/>
      <c r="BR1260" s="93"/>
      <c r="BS1260" s="93"/>
      <c r="BT1260" s="93"/>
      <c r="BU1260" s="93"/>
      <c r="BV1260" s="93"/>
      <c r="BW1260" s="93"/>
      <c r="BX1260" s="93"/>
      <c r="BY1260" s="93"/>
      <c r="BZ1260" s="93"/>
    </row>
    <row r="1261">
      <c r="B1261" t="s">
        <v>4327</v>
      </c>
      <c r="C1261" s="89" t="s">
        <v>4328</v>
      </c>
      <c r="D1261" s="90" t="s">
        <v>4329</v>
      </c>
      <c r="E1261" s="91">
        <v>2018.0</v>
      </c>
      <c r="F1261" s="104">
        <v>1.0</v>
      </c>
      <c r="G1261" s="93"/>
      <c r="H1261" s="93"/>
      <c r="I1261" s="93"/>
      <c r="J1261" s="93"/>
      <c r="K1261" s="93"/>
      <c r="L1261" s="93"/>
      <c r="M1261" s="93"/>
      <c r="N1261" s="93"/>
      <c r="O1261" s="93"/>
      <c r="P1261" s="93"/>
      <c r="Q1261" s="93"/>
      <c r="R1261" s="93"/>
      <c r="S1261" s="93"/>
      <c r="T1261" s="93"/>
      <c r="U1261" s="93"/>
      <c r="V1261" s="93"/>
      <c r="W1261" s="93"/>
      <c r="X1261" s="93"/>
      <c r="Y1261" s="93"/>
      <c r="Z1261" s="93"/>
      <c r="AA1261" s="93"/>
      <c r="AB1261" s="93"/>
      <c r="AC1261" s="93"/>
      <c r="AD1261" s="93"/>
      <c r="AE1261" s="93"/>
      <c r="AF1261" s="93"/>
      <c r="AG1261" s="93"/>
      <c r="AH1261" s="93"/>
      <c r="AI1261" s="93"/>
      <c r="AJ1261" s="93"/>
      <c r="AK1261" s="93"/>
      <c r="AL1261" s="93"/>
      <c r="AM1261" s="93"/>
      <c r="AN1261" s="93"/>
      <c r="AO1261" s="93"/>
      <c r="AP1261" s="93"/>
      <c r="AQ1261" s="93"/>
      <c r="AR1261" s="93"/>
      <c r="AS1261" s="93"/>
      <c r="AT1261" s="93"/>
      <c r="AU1261" s="93"/>
      <c r="AV1261" s="93"/>
      <c r="AW1261" s="93"/>
      <c r="AX1261" s="93"/>
      <c r="AY1261" s="93"/>
      <c r="AZ1261" s="93"/>
      <c r="BA1261" s="93"/>
      <c r="BB1261" s="93"/>
      <c r="BC1261" s="93"/>
      <c r="BD1261" s="93"/>
      <c r="BE1261" s="93"/>
      <c r="BF1261" s="93"/>
      <c r="BG1261" s="93"/>
      <c r="BH1261" s="93"/>
      <c r="BI1261" s="93"/>
      <c r="BJ1261" s="93"/>
      <c r="BK1261" s="93"/>
      <c r="BL1261" s="93"/>
      <c r="BM1261" s="93"/>
      <c r="BN1261" s="93"/>
      <c r="BO1261" s="93"/>
      <c r="BP1261" s="93"/>
      <c r="BQ1261" s="93"/>
      <c r="BR1261" s="93"/>
      <c r="BS1261" s="93"/>
      <c r="BT1261" s="93"/>
      <c r="BU1261" s="93"/>
      <c r="BV1261" s="93"/>
      <c r="BW1261" s="93"/>
      <c r="BX1261" s="93"/>
      <c r="BY1261" s="93"/>
      <c r="BZ1261" s="93"/>
    </row>
    <row r="1262">
      <c r="B1262" t="s">
        <v>4330</v>
      </c>
      <c r="C1262" s="89" t="s">
        <v>4331</v>
      </c>
      <c r="D1262" s="90" t="s">
        <v>4332</v>
      </c>
      <c r="E1262" s="91">
        <v>2018.0</v>
      </c>
      <c r="F1262" s="104">
        <v>1.0</v>
      </c>
      <c r="G1262" s="93"/>
      <c r="H1262" s="93"/>
      <c r="I1262" s="93"/>
      <c r="J1262" s="93"/>
      <c r="K1262" s="93"/>
      <c r="L1262" s="93"/>
      <c r="M1262" s="93"/>
      <c r="N1262" s="93"/>
      <c r="O1262" s="93"/>
      <c r="P1262" s="93"/>
      <c r="Q1262" s="93"/>
      <c r="R1262" s="93"/>
      <c r="S1262" s="93"/>
      <c r="T1262" s="93"/>
      <c r="U1262" s="93"/>
      <c r="V1262" s="93"/>
      <c r="W1262" s="93"/>
      <c r="X1262" s="93"/>
      <c r="Y1262" s="93"/>
      <c r="Z1262" s="93"/>
      <c r="AA1262" s="93"/>
      <c r="AB1262" s="93"/>
      <c r="AC1262" s="93"/>
      <c r="AD1262" s="93"/>
      <c r="AE1262" s="93"/>
      <c r="AF1262" s="93"/>
      <c r="AG1262" s="93"/>
      <c r="AH1262" s="93"/>
      <c r="AI1262" s="93"/>
      <c r="AJ1262" s="93"/>
      <c r="AK1262" s="93"/>
      <c r="AL1262" s="93"/>
      <c r="AM1262" s="93"/>
      <c r="AN1262" s="93"/>
      <c r="AO1262" s="93"/>
      <c r="AP1262" s="93"/>
      <c r="AQ1262" s="93"/>
      <c r="AR1262" s="93"/>
      <c r="AS1262" s="93"/>
      <c r="AT1262" s="93"/>
      <c r="AU1262" s="93"/>
      <c r="AV1262" s="93"/>
      <c r="AW1262" s="93"/>
      <c r="AX1262" s="93"/>
      <c r="AY1262" s="93"/>
      <c r="AZ1262" s="93"/>
      <c r="BA1262" s="93"/>
      <c r="BB1262" s="93"/>
      <c r="BC1262" s="93"/>
      <c r="BD1262" s="93"/>
      <c r="BE1262" s="93"/>
      <c r="BF1262" s="93"/>
      <c r="BG1262" s="93"/>
      <c r="BH1262" s="93"/>
      <c r="BI1262" s="93"/>
      <c r="BJ1262" s="93"/>
      <c r="BK1262" s="93"/>
      <c r="BL1262" s="93"/>
      <c r="BM1262" s="93"/>
      <c r="BN1262" s="93"/>
      <c r="BO1262" s="93"/>
      <c r="BP1262" s="93"/>
      <c r="BQ1262" s="93"/>
      <c r="BR1262" s="93"/>
      <c r="BS1262" s="93"/>
      <c r="BT1262" s="93"/>
      <c r="BU1262" s="93"/>
      <c r="BV1262" s="93"/>
      <c r="BW1262" s="93"/>
      <c r="BX1262" s="93"/>
      <c r="BY1262" s="93"/>
      <c r="BZ1262" s="93"/>
    </row>
    <row r="1263">
      <c r="A1263" t="s">
        <v>1354</v>
      </c>
      <c r="B1263" t="s">
        <v>4333</v>
      </c>
      <c r="C1263" s="89" t="s">
        <v>4334</v>
      </c>
      <c r="D1263" s="90" t="s">
        <v>4335</v>
      </c>
      <c r="E1263" s="91">
        <v>2017.0</v>
      </c>
      <c r="F1263" s="104">
        <v>1.0</v>
      </c>
      <c r="G1263" s="93"/>
      <c r="H1263" s="93"/>
      <c r="I1263" s="93"/>
      <c r="J1263" s="93"/>
      <c r="K1263" s="93"/>
      <c r="L1263" s="93"/>
      <c r="M1263" s="93"/>
      <c r="N1263" s="93"/>
      <c r="O1263" s="93"/>
      <c r="P1263" s="93"/>
      <c r="Q1263" s="93"/>
      <c r="R1263" s="93"/>
      <c r="S1263" s="93"/>
      <c r="T1263" s="93"/>
      <c r="U1263" s="93"/>
      <c r="V1263" s="93"/>
      <c r="W1263" s="93"/>
      <c r="X1263" s="93"/>
      <c r="Y1263" s="93"/>
      <c r="Z1263" s="93"/>
      <c r="AA1263" s="93"/>
      <c r="AB1263" s="93"/>
      <c r="AC1263" s="93"/>
      <c r="AD1263" s="93"/>
      <c r="AE1263" s="93"/>
      <c r="AF1263" s="93"/>
      <c r="AG1263" s="93"/>
      <c r="AH1263" s="93"/>
      <c r="AI1263" s="93"/>
      <c r="AJ1263" s="93"/>
      <c r="AK1263" s="93"/>
      <c r="AL1263" s="93"/>
      <c r="AM1263" s="93"/>
      <c r="AN1263" s="93"/>
      <c r="AO1263" s="93"/>
      <c r="AP1263" s="93"/>
      <c r="AQ1263" s="93"/>
      <c r="AR1263" s="93"/>
      <c r="AS1263" s="93"/>
      <c r="AT1263" s="93"/>
      <c r="AU1263" s="93"/>
      <c r="AV1263" s="93"/>
      <c r="AW1263" s="93"/>
      <c r="AX1263" s="93"/>
      <c r="AY1263" s="93"/>
      <c r="AZ1263" s="93"/>
      <c r="BA1263" s="93"/>
      <c r="BB1263" s="93"/>
      <c r="BC1263" s="93"/>
      <c r="BD1263" s="93"/>
      <c r="BE1263" s="93"/>
      <c r="BF1263" s="93"/>
      <c r="BG1263" s="93"/>
      <c r="BH1263" s="93"/>
      <c r="BI1263" s="93"/>
      <c r="BJ1263" s="93"/>
      <c r="BK1263" s="93"/>
      <c r="BL1263" s="93"/>
      <c r="BM1263" s="93"/>
      <c r="BN1263" s="93"/>
      <c r="BO1263" s="93"/>
      <c r="BP1263" s="93"/>
      <c r="BQ1263" s="93"/>
      <c r="BR1263" s="93"/>
      <c r="BS1263" s="93"/>
      <c r="BT1263" s="93"/>
      <c r="BU1263" s="93"/>
      <c r="BV1263" s="93"/>
      <c r="BW1263" s="93"/>
      <c r="BX1263" s="93"/>
      <c r="BY1263" s="93"/>
      <c r="BZ1263" s="93"/>
    </row>
    <row r="1264">
      <c r="B1264" t="s">
        <v>4336</v>
      </c>
      <c r="C1264" s="89" t="s">
        <v>4337</v>
      </c>
      <c r="D1264" s="90" t="s">
        <v>4338</v>
      </c>
      <c r="E1264" s="91">
        <v>2014.0</v>
      </c>
      <c r="F1264" s="104">
        <v>1.0</v>
      </c>
      <c r="G1264" s="93"/>
      <c r="H1264" s="93"/>
      <c r="I1264" s="93"/>
      <c r="J1264" s="93"/>
      <c r="K1264" s="93"/>
      <c r="L1264" s="93"/>
      <c r="M1264" s="93"/>
      <c r="N1264" s="93"/>
      <c r="O1264" s="93"/>
      <c r="P1264" s="93"/>
      <c r="Q1264" s="93"/>
      <c r="R1264" s="93"/>
      <c r="S1264" s="93"/>
      <c r="T1264" s="93"/>
      <c r="U1264" s="93"/>
      <c r="V1264" s="93"/>
      <c r="W1264" s="93"/>
      <c r="X1264" s="93"/>
      <c r="Y1264" s="93"/>
      <c r="Z1264" s="93"/>
      <c r="AA1264" s="93"/>
      <c r="AB1264" s="93"/>
      <c r="AC1264" s="93"/>
      <c r="AD1264" s="93"/>
      <c r="AE1264" s="93"/>
      <c r="AF1264" s="93"/>
      <c r="AG1264" s="93"/>
      <c r="AH1264" s="93"/>
      <c r="AI1264" s="93"/>
      <c r="AJ1264" s="93"/>
      <c r="AK1264" s="93"/>
      <c r="AL1264" s="93"/>
      <c r="AM1264" s="93"/>
      <c r="AN1264" s="93"/>
      <c r="AO1264" s="93"/>
      <c r="AP1264" s="93"/>
      <c r="AQ1264" s="93"/>
      <c r="AR1264" s="93"/>
      <c r="AS1264" s="93"/>
      <c r="AT1264" s="93"/>
      <c r="AU1264" s="93"/>
      <c r="AV1264" s="93"/>
      <c r="AW1264" s="93"/>
      <c r="AX1264" s="93"/>
      <c r="AY1264" s="93"/>
      <c r="AZ1264" s="93"/>
      <c r="BA1264" s="93"/>
      <c r="BB1264" s="93"/>
      <c r="BC1264" s="93"/>
      <c r="BD1264" s="93"/>
      <c r="BE1264" s="93"/>
      <c r="BF1264" s="93"/>
      <c r="BG1264" s="93"/>
      <c r="BH1264" s="93"/>
      <c r="BI1264" s="93"/>
      <c r="BJ1264" s="93"/>
      <c r="BK1264" s="93"/>
      <c r="BL1264" s="93"/>
      <c r="BM1264" s="93"/>
      <c r="BN1264" s="93"/>
      <c r="BO1264" s="93"/>
      <c r="BP1264" s="93"/>
      <c r="BQ1264" s="93"/>
      <c r="BR1264" s="93"/>
      <c r="BS1264" s="93"/>
      <c r="BT1264" s="93"/>
      <c r="BU1264" s="93"/>
      <c r="BV1264" s="93"/>
      <c r="BW1264" s="93"/>
      <c r="BX1264" s="93"/>
      <c r="BY1264" s="93"/>
      <c r="BZ1264" s="93"/>
    </row>
    <row r="1265">
      <c r="B1265" t="s">
        <v>4339</v>
      </c>
      <c r="C1265" s="89" t="s">
        <v>4340</v>
      </c>
      <c r="D1265" s="90" t="s">
        <v>4341</v>
      </c>
      <c r="E1265" s="91">
        <v>2013.0</v>
      </c>
      <c r="F1265" s="104">
        <v>1.0</v>
      </c>
      <c r="G1265" s="93"/>
      <c r="H1265" s="93"/>
      <c r="I1265" s="93"/>
      <c r="J1265" s="93"/>
      <c r="K1265" s="93"/>
      <c r="L1265" s="93"/>
      <c r="M1265" s="93"/>
      <c r="N1265" s="93"/>
      <c r="O1265" s="93"/>
      <c r="P1265" s="93"/>
      <c r="Q1265" s="93"/>
      <c r="R1265" s="93"/>
      <c r="S1265" s="93"/>
      <c r="T1265" s="93"/>
      <c r="U1265" s="93"/>
      <c r="V1265" s="93"/>
      <c r="W1265" s="93"/>
      <c r="X1265" s="93"/>
      <c r="Y1265" s="93"/>
      <c r="Z1265" s="93"/>
      <c r="AA1265" s="93"/>
      <c r="AB1265" s="93"/>
      <c r="AC1265" s="93"/>
      <c r="AD1265" s="93"/>
      <c r="AE1265" s="93"/>
      <c r="AF1265" s="93"/>
      <c r="AG1265" s="93"/>
      <c r="AH1265" s="93"/>
      <c r="AI1265" s="93"/>
      <c r="AJ1265" s="93"/>
      <c r="AK1265" s="93"/>
      <c r="AL1265" s="93"/>
      <c r="AM1265" s="93"/>
      <c r="AN1265" s="93"/>
      <c r="AO1265" s="93"/>
      <c r="AP1265" s="93"/>
      <c r="AQ1265" s="93"/>
      <c r="AR1265" s="93"/>
      <c r="AS1265" s="93"/>
      <c r="AT1265" s="93"/>
      <c r="AU1265" s="93"/>
      <c r="AV1265" s="93"/>
      <c r="AW1265" s="93"/>
      <c r="AX1265" s="93"/>
      <c r="AY1265" s="93"/>
      <c r="AZ1265" s="93"/>
      <c r="BA1265" s="93"/>
      <c r="BB1265" s="93"/>
      <c r="BC1265" s="93"/>
      <c r="BD1265" s="93"/>
      <c r="BE1265" s="93"/>
      <c r="BF1265" s="93"/>
      <c r="BG1265" s="93"/>
      <c r="BH1265" s="93"/>
      <c r="BI1265" s="93"/>
      <c r="BJ1265" s="93"/>
      <c r="BK1265" s="93"/>
      <c r="BL1265" s="93"/>
      <c r="BM1265" s="93"/>
      <c r="BN1265" s="93"/>
      <c r="BO1265" s="93"/>
      <c r="BP1265" s="93"/>
      <c r="BQ1265" s="93"/>
      <c r="BR1265" s="93"/>
      <c r="BS1265" s="93"/>
      <c r="BT1265" s="93"/>
      <c r="BU1265" s="93"/>
      <c r="BV1265" s="93"/>
      <c r="BW1265" s="93"/>
      <c r="BX1265" s="93"/>
      <c r="BY1265" s="93"/>
      <c r="BZ1265" s="93"/>
    </row>
    <row r="1266">
      <c r="B1266" t="s">
        <v>4342</v>
      </c>
      <c r="C1266" s="89" t="s">
        <v>4343</v>
      </c>
      <c r="D1266" s="90" t="s">
        <v>4344</v>
      </c>
      <c r="E1266" s="91">
        <v>2012.0</v>
      </c>
      <c r="F1266" s="104">
        <v>1.0</v>
      </c>
      <c r="G1266" s="93"/>
      <c r="H1266" s="93"/>
      <c r="I1266" s="93"/>
      <c r="J1266" s="93"/>
      <c r="K1266" s="93"/>
      <c r="L1266" s="93"/>
      <c r="M1266" s="93"/>
      <c r="N1266" s="93"/>
      <c r="O1266" s="93"/>
      <c r="P1266" s="93"/>
      <c r="Q1266" s="93"/>
      <c r="R1266" s="93"/>
      <c r="S1266" s="93"/>
      <c r="T1266" s="93"/>
      <c r="U1266" s="93"/>
      <c r="V1266" s="93"/>
      <c r="W1266" s="93"/>
      <c r="X1266" s="93"/>
      <c r="Y1266" s="93"/>
      <c r="Z1266" s="93"/>
      <c r="AA1266" s="93"/>
      <c r="AB1266" s="93"/>
      <c r="AC1266" s="93"/>
      <c r="AD1266" s="93"/>
      <c r="AE1266" s="93"/>
      <c r="AF1266" s="93"/>
      <c r="AG1266" s="93"/>
      <c r="AH1266" s="93"/>
      <c r="AI1266" s="93"/>
      <c r="AJ1266" s="93"/>
      <c r="AK1266" s="93"/>
      <c r="AL1266" s="93"/>
      <c r="AM1266" s="93"/>
      <c r="AN1266" s="93"/>
      <c r="AO1266" s="93"/>
      <c r="AP1266" s="93"/>
      <c r="AQ1266" s="93"/>
      <c r="AR1266" s="93"/>
      <c r="AS1266" s="93"/>
      <c r="AT1266" s="93"/>
      <c r="AU1266" s="93"/>
      <c r="AV1266" s="93"/>
      <c r="AW1266" s="93"/>
      <c r="AX1266" s="93"/>
      <c r="AY1266" s="93"/>
      <c r="AZ1266" s="93"/>
      <c r="BA1266" s="93"/>
      <c r="BB1266" s="93"/>
      <c r="BC1266" s="93"/>
      <c r="BD1266" s="93"/>
      <c r="BE1266" s="93"/>
      <c r="BF1266" s="93"/>
      <c r="BG1266" s="93"/>
      <c r="BH1266" s="93"/>
      <c r="BI1266" s="93"/>
      <c r="BJ1266" s="93"/>
      <c r="BK1266" s="93"/>
      <c r="BL1266" s="93"/>
      <c r="BM1266" s="93"/>
      <c r="BN1266" s="93"/>
      <c r="BO1266" s="93"/>
      <c r="BP1266" s="93"/>
      <c r="BQ1266" s="93"/>
      <c r="BR1266" s="93"/>
      <c r="BS1266" s="93"/>
      <c r="BT1266" s="93"/>
      <c r="BU1266" s="93"/>
      <c r="BV1266" s="93"/>
      <c r="BW1266" s="93"/>
      <c r="BX1266" s="93"/>
      <c r="BY1266" s="93"/>
      <c r="BZ1266" s="93"/>
    </row>
    <row r="1267">
      <c r="B1267" t="s">
        <v>4345</v>
      </c>
      <c r="C1267" s="89" t="s">
        <v>4346</v>
      </c>
      <c r="D1267" s="90" t="s">
        <v>4347</v>
      </c>
      <c r="E1267" s="91">
        <v>2012.0</v>
      </c>
      <c r="F1267" s="104">
        <v>1.0</v>
      </c>
      <c r="G1267" s="93"/>
      <c r="H1267" s="93"/>
      <c r="I1267" s="93"/>
      <c r="J1267" s="93"/>
      <c r="K1267" s="93"/>
      <c r="L1267" s="93"/>
      <c r="M1267" s="93"/>
      <c r="N1267" s="93"/>
      <c r="O1267" s="93"/>
      <c r="P1267" s="93"/>
      <c r="Q1267" s="93"/>
      <c r="R1267" s="93"/>
      <c r="S1267" s="93"/>
      <c r="T1267" s="93"/>
      <c r="U1267" s="93"/>
      <c r="V1267" s="93"/>
      <c r="W1267" s="93"/>
      <c r="X1267" s="93"/>
      <c r="Y1267" s="93"/>
      <c r="Z1267" s="93"/>
      <c r="AA1267" s="93"/>
      <c r="AB1267" s="93"/>
      <c r="AC1267" s="93"/>
      <c r="AD1267" s="93"/>
      <c r="AE1267" s="93"/>
      <c r="AF1267" s="93"/>
      <c r="AG1267" s="93"/>
      <c r="AH1267" s="93"/>
      <c r="AI1267" s="93"/>
      <c r="AJ1267" s="93"/>
      <c r="AK1267" s="93"/>
      <c r="AL1267" s="93"/>
      <c r="AM1267" s="93"/>
      <c r="AN1267" s="93"/>
      <c r="AO1267" s="93"/>
      <c r="AP1267" s="93"/>
      <c r="AQ1267" s="93"/>
      <c r="AR1267" s="93"/>
      <c r="AS1267" s="93"/>
      <c r="AT1267" s="93"/>
      <c r="AU1267" s="93"/>
      <c r="AV1267" s="93"/>
      <c r="AW1267" s="93"/>
      <c r="AX1267" s="93"/>
      <c r="AY1267" s="93"/>
      <c r="AZ1267" s="93"/>
      <c r="BA1267" s="93"/>
      <c r="BB1267" s="93"/>
      <c r="BC1267" s="93"/>
      <c r="BD1267" s="93"/>
      <c r="BE1267" s="93"/>
      <c r="BF1267" s="93"/>
      <c r="BG1267" s="93"/>
      <c r="BH1267" s="93"/>
      <c r="BI1267" s="93"/>
      <c r="BJ1267" s="93"/>
      <c r="BK1267" s="93"/>
      <c r="BL1267" s="93"/>
      <c r="BM1267" s="93"/>
      <c r="BN1267" s="93"/>
      <c r="BO1267" s="93"/>
      <c r="BP1267" s="93"/>
      <c r="BQ1267" s="93"/>
      <c r="BR1267" s="93"/>
      <c r="BS1267" s="93"/>
      <c r="BT1267" s="93"/>
      <c r="BU1267" s="93"/>
      <c r="BV1267" s="93"/>
      <c r="BW1267" s="93"/>
      <c r="BX1267" s="93"/>
      <c r="BY1267" s="93"/>
      <c r="BZ1267" s="93"/>
    </row>
    <row r="1268">
      <c r="C1268" s="89"/>
      <c r="D1268" s="90"/>
      <c r="E1268" s="91"/>
      <c r="F1268" s="104">
        <f>sum(F1:F1267)</f>
        <v>881</v>
      </c>
      <c r="G1268" s="93"/>
      <c r="H1268" s="93"/>
      <c r="I1268" s="93"/>
      <c r="J1268" s="93"/>
      <c r="K1268" s="93"/>
      <c r="L1268" s="93"/>
      <c r="M1268" s="93"/>
      <c r="N1268" s="93"/>
      <c r="O1268" s="93"/>
      <c r="P1268" s="93"/>
      <c r="Q1268" s="93"/>
      <c r="R1268" s="93"/>
      <c r="S1268" s="93"/>
      <c r="T1268" s="93"/>
      <c r="U1268" s="93"/>
      <c r="V1268" s="93"/>
      <c r="W1268" s="93"/>
      <c r="X1268" s="93"/>
      <c r="Y1268" s="93"/>
      <c r="Z1268" s="93"/>
      <c r="AA1268" s="93"/>
      <c r="AB1268" s="93"/>
      <c r="AC1268" s="93"/>
      <c r="AD1268" s="93"/>
      <c r="AE1268" s="93"/>
      <c r="AF1268" s="93"/>
      <c r="AG1268" s="93"/>
      <c r="AH1268" s="93"/>
      <c r="AI1268" s="93">
        <f t="shared" ref="AI1268:BO1268" si="4">sum(AI1:AI1267)</f>
        <v>319</v>
      </c>
      <c r="AJ1268" s="93">
        <f t="shared" si="4"/>
        <v>29</v>
      </c>
      <c r="AK1268" s="93">
        <f t="shared" si="4"/>
        <v>2</v>
      </c>
      <c r="AL1268" s="93">
        <f t="shared" si="4"/>
        <v>5</v>
      </c>
      <c r="AM1268" s="93">
        <f t="shared" si="4"/>
        <v>2</v>
      </c>
      <c r="AN1268" s="93">
        <f t="shared" si="4"/>
        <v>33</v>
      </c>
      <c r="AO1268" s="93">
        <f t="shared" si="4"/>
        <v>16</v>
      </c>
      <c r="AP1268" s="93">
        <f t="shared" si="4"/>
        <v>9</v>
      </c>
      <c r="AQ1268" s="93">
        <f t="shared" si="4"/>
        <v>16</v>
      </c>
      <c r="AR1268" s="93">
        <f t="shared" si="4"/>
        <v>95</v>
      </c>
      <c r="AS1268" s="93">
        <f t="shared" si="4"/>
        <v>2</v>
      </c>
      <c r="AT1268" s="93">
        <f t="shared" si="4"/>
        <v>4</v>
      </c>
      <c r="AU1268" s="93">
        <f t="shared" si="4"/>
        <v>6</v>
      </c>
      <c r="AV1268" s="93">
        <f t="shared" si="4"/>
        <v>6</v>
      </c>
      <c r="AW1268" s="93">
        <f t="shared" si="4"/>
        <v>0</v>
      </c>
      <c r="AX1268" s="93">
        <f t="shared" si="4"/>
        <v>0</v>
      </c>
      <c r="AY1268" s="93">
        <f t="shared" si="4"/>
        <v>8</v>
      </c>
      <c r="AZ1268" s="93">
        <f t="shared" si="4"/>
        <v>0</v>
      </c>
      <c r="BA1268" s="93">
        <f t="shared" si="4"/>
        <v>0</v>
      </c>
      <c r="BB1268" s="93">
        <f t="shared" si="4"/>
        <v>3</v>
      </c>
      <c r="BC1268" s="93">
        <f t="shared" si="4"/>
        <v>5</v>
      </c>
      <c r="BD1268" s="93">
        <f t="shared" si="4"/>
        <v>21</v>
      </c>
      <c r="BE1268" s="93">
        <f t="shared" si="4"/>
        <v>66</v>
      </c>
      <c r="BF1268" s="93">
        <f t="shared" si="4"/>
        <v>20</v>
      </c>
      <c r="BG1268" s="93">
        <f t="shared" si="4"/>
        <v>23</v>
      </c>
      <c r="BH1268" s="93">
        <f t="shared" si="4"/>
        <v>43</v>
      </c>
      <c r="BI1268" s="93">
        <f t="shared" si="4"/>
        <v>111</v>
      </c>
      <c r="BJ1268" s="93">
        <f t="shared" si="4"/>
        <v>20</v>
      </c>
      <c r="BK1268" s="93">
        <f t="shared" si="4"/>
        <v>13</v>
      </c>
      <c r="BL1268" s="93">
        <f t="shared" si="4"/>
        <v>26</v>
      </c>
      <c r="BM1268" s="93">
        <f t="shared" si="4"/>
        <v>2</v>
      </c>
      <c r="BN1268" s="93">
        <f t="shared" si="4"/>
        <v>1</v>
      </c>
      <c r="BO1268" s="93">
        <f t="shared" si="4"/>
        <v>7</v>
      </c>
      <c r="BP1268" s="93"/>
      <c r="BQ1268" s="93">
        <f t="shared" ref="BQ1268:BZ1268" si="5">sum(BQ1:BQ1267)</f>
        <v>19</v>
      </c>
      <c r="BR1268" s="93">
        <f t="shared" si="5"/>
        <v>10</v>
      </c>
      <c r="BS1268" s="93">
        <f t="shared" si="5"/>
        <v>24</v>
      </c>
      <c r="BT1268" s="93">
        <f t="shared" si="5"/>
        <v>25</v>
      </c>
      <c r="BU1268" s="93">
        <f t="shared" si="5"/>
        <v>6</v>
      </c>
      <c r="BV1268" s="93">
        <f t="shared" si="5"/>
        <v>39</v>
      </c>
      <c r="BW1268" s="93">
        <f t="shared" si="5"/>
        <v>104</v>
      </c>
      <c r="BX1268" s="93">
        <f t="shared" si="5"/>
        <v>23</v>
      </c>
      <c r="BY1268" s="93">
        <f t="shared" si="5"/>
        <v>88</v>
      </c>
      <c r="BZ1268" s="93">
        <f t="shared" si="5"/>
        <v>25</v>
      </c>
    </row>
    <row r="1269">
      <c r="C1269" s="89"/>
      <c r="D1269" s="90"/>
      <c r="E1269" s="91"/>
      <c r="F1269" s="104"/>
      <c r="G1269" s="93"/>
      <c r="H1269" s="93"/>
      <c r="I1269" s="93"/>
      <c r="J1269" s="93"/>
      <c r="K1269" s="93"/>
      <c r="L1269" s="93"/>
      <c r="M1269" s="93"/>
      <c r="N1269" s="93"/>
      <c r="O1269" s="93"/>
      <c r="P1269" s="93"/>
      <c r="Q1269" s="93"/>
      <c r="R1269" s="93"/>
      <c r="S1269" s="93"/>
      <c r="T1269" s="93"/>
      <c r="U1269" s="93"/>
      <c r="V1269" s="93"/>
      <c r="W1269" s="93"/>
      <c r="X1269" s="93"/>
      <c r="Y1269" s="93"/>
      <c r="Z1269" s="93"/>
      <c r="AA1269" s="93"/>
      <c r="AB1269" s="93"/>
      <c r="AC1269" s="93"/>
      <c r="AD1269" s="93"/>
      <c r="AE1269" s="93"/>
      <c r="AF1269" s="93"/>
      <c r="AG1269" s="93"/>
      <c r="AH1269" s="93"/>
      <c r="AI1269" s="93"/>
      <c r="AJ1269" s="93"/>
      <c r="AK1269" s="93"/>
      <c r="AL1269" s="93"/>
      <c r="AM1269" s="93"/>
      <c r="AN1269" s="93"/>
      <c r="AO1269" s="93"/>
      <c r="AP1269" s="93"/>
      <c r="AQ1269" s="93"/>
      <c r="AR1269" s="93"/>
      <c r="AS1269" s="93"/>
      <c r="AT1269" s="93"/>
      <c r="AU1269" s="93"/>
      <c r="AV1269" s="93"/>
      <c r="AW1269" s="93"/>
      <c r="AX1269" s="93"/>
      <c r="AY1269" s="93"/>
      <c r="AZ1269" s="93"/>
      <c r="BA1269" s="93"/>
      <c r="BB1269" s="93"/>
      <c r="BC1269" s="93"/>
      <c r="BD1269" s="93"/>
      <c r="BE1269" s="93"/>
      <c r="BF1269" s="93"/>
      <c r="BG1269" s="93"/>
      <c r="BH1269" s="93"/>
      <c r="BI1269" s="93"/>
      <c r="BJ1269" s="93"/>
      <c r="BK1269" s="93"/>
      <c r="BL1269" s="93"/>
      <c r="BM1269" s="93"/>
      <c r="BN1269" s="93"/>
      <c r="BO1269" s="93"/>
      <c r="BP1269" s="93"/>
      <c r="BQ1269" s="93"/>
      <c r="BR1269" s="93"/>
      <c r="BS1269" s="93"/>
      <c r="BT1269" s="93"/>
      <c r="BU1269" s="93"/>
      <c r="BV1269" s="93"/>
      <c r="BW1269" s="93"/>
      <c r="BX1269" s="93"/>
      <c r="BY1269" s="93"/>
      <c r="BZ1269" s="93"/>
    </row>
    <row r="1270">
      <c r="C1270" s="89"/>
      <c r="D1270" s="90"/>
      <c r="E1270" s="91"/>
      <c r="F1270" s="104"/>
      <c r="G1270" s="93"/>
      <c r="H1270" s="93"/>
      <c r="I1270" s="93"/>
      <c r="J1270" s="93"/>
      <c r="K1270" s="93"/>
      <c r="L1270" s="93"/>
      <c r="M1270" s="93"/>
      <c r="N1270" s="93"/>
      <c r="O1270" s="93"/>
      <c r="P1270" s="93"/>
      <c r="Q1270" s="93"/>
      <c r="R1270" s="93"/>
      <c r="S1270" s="93"/>
      <c r="T1270" s="93"/>
      <c r="U1270" s="93"/>
      <c r="V1270" s="93"/>
      <c r="W1270" s="93"/>
      <c r="X1270" s="93"/>
      <c r="Y1270" s="93"/>
      <c r="Z1270" s="93"/>
      <c r="AA1270" s="93"/>
      <c r="AB1270" s="93"/>
      <c r="AC1270" s="93"/>
      <c r="AD1270" s="93"/>
      <c r="AE1270" s="93"/>
      <c r="AF1270" s="93"/>
      <c r="AG1270" s="93"/>
      <c r="AH1270" s="93"/>
      <c r="AI1270" s="93"/>
      <c r="AJ1270" s="93"/>
      <c r="AK1270" s="93"/>
      <c r="AL1270" s="93"/>
      <c r="AM1270" s="93"/>
      <c r="AN1270" s="93"/>
      <c r="AO1270" s="93"/>
      <c r="AP1270" s="93"/>
      <c r="AQ1270" s="93"/>
      <c r="AR1270" s="93"/>
      <c r="AS1270" s="93"/>
      <c r="AT1270" s="93"/>
      <c r="AU1270" s="93"/>
      <c r="AV1270" s="93"/>
      <c r="AW1270" s="93"/>
      <c r="AX1270" s="93"/>
      <c r="AY1270" s="93"/>
      <c r="AZ1270" s="93"/>
      <c r="BA1270" s="93"/>
      <c r="BB1270" s="93"/>
      <c r="BC1270" s="93"/>
      <c r="BD1270" s="93"/>
      <c r="BE1270" s="93"/>
      <c r="BF1270" s="93"/>
      <c r="BG1270" s="93"/>
      <c r="BH1270" s="93"/>
      <c r="BI1270" s="93"/>
      <c r="BJ1270" s="93"/>
      <c r="BK1270" s="93"/>
      <c r="BL1270" s="93"/>
      <c r="BM1270" s="93"/>
      <c r="BN1270" s="93"/>
      <c r="BO1270" s="93"/>
      <c r="BP1270" s="93"/>
      <c r="BQ1270" s="93"/>
      <c r="BR1270" s="93"/>
      <c r="BS1270" s="93"/>
      <c r="BT1270" s="93"/>
      <c r="BU1270" s="93"/>
      <c r="BV1270" s="93"/>
      <c r="BW1270" s="93"/>
      <c r="BX1270" s="93"/>
      <c r="BY1270" s="93"/>
      <c r="BZ1270" s="93"/>
    </row>
    <row r="1271">
      <c r="C1271" s="89"/>
      <c r="D1271" s="90"/>
      <c r="E1271" s="91"/>
      <c r="F1271" s="104"/>
      <c r="G1271" s="93"/>
      <c r="H1271" s="93"/>
      <c r="I1271" s="93"/>
      <c r="J1271" s="93"/>
      <c r="K1271" s="93"/>
      <c r="L1271" s="93"/>
      <c r="M1271" s="93"/>
      <c r="N1271" s="93"/>
      <c r="O1271" s="93"/>
      <c r="P1271" s="93"/>
      <c r="Q1271" s="93"/>
      <c r="R1271" s="93"/>
      <c r="S1271" s="93"/>
      <c r="T1271" s="93"/>
      <c r="U1271" s="93"/>
      <c r="V1271" s="93"/>
      <c r="W1271" s="93"/>
      <c r="X1271" s="93"/>
      <c r="Y1271" s="93"/>
      <c r="Z1271" s="93"/>
      <c r="AA1271" s="93"/>
      <c r="AB1271" s="93"/>
      <c r="AC1271" s="93"/>
      <c r="AD1271" s="93"/>
      <c r="AE1271" s="93"/>
      <c r="AF1271" s="93"/>
      <c r="AG1271" s="93"/>
      <c r="AH1271" s="93"/>
      <c r="AI1271" s="93"/>
      <c r="AJ1271" s="93"/>
      <c r="AK1271" s="93"/>
      <c r="AL1271" s="93"/>
      <c r="AM1271" s="93"/>
      <c r="AN1271" s="93"/>
      <c r="AO1271" s="93"/>
      <c r="AP1271" s="93"/>
      <c r="AQ1271" s="93"/>
      <c r="AR1271" s="93"/>
      <c r="AS1271" s="93"/>
      <c r="AT1271" s="93"/>
      <c r="AU1271" s="93"/>
      <c r="AV1271" s="93"/>
      <c r="AW1271" s="93"/>
      <c r="AX1271" s="93"/>
      <c r="AY1271" s="93"/>
      <c r="AZ1271" s="93"/>
      <c r="BA1271" s="93"/>
      <c r="BB1271" s="93"/>
      <c r="BC1271" s="93"/>
      <c r="BD1271" s="93"/>
      <c r="BE1271" s="93"/>
      <c r="BF1271" s="93"/>
      <c r="BG1271" s="93"/>
      <c r="BH1271" s="93"/>
      <c r="BI1271" s="93"/>
      <c r="BJ1271" s="93"/>
      <c r="BK1271" s="93"/>
      <c r="BL1271" s="93"/>
      <c r="BM1271" s="93"/>
      <c r="BN1271" s="93"/>
      <c r="BO1271" s="93"/>
      <c r="BP1271" s="93"/>
      <c r="BQ1271" s="93"/>
      <c r="BR1271" s="93"/>
      <c r="BS1271" s="93"/>
      <c r="BT1271" s="93"/>
      <c r="BU1271" s="93"/>
      <c r="BV1271" s="93"/>
      <c r="BW1271" s="93"/>
      <c r="BX1271" s="93"/>
      <c r="BY1271" s="93"/>
      <c r="BZ1271" s="93"/>
    </row>
    <row r="1272">
      <c r="C1272" s="89"/>
      <c r="D1272" s="90"/>
      <c r="E1272" s="91"/>
      <c r="F1272" s="104"/>
      <c r="G1272" s="93"/>
      <c r="H1272" s="93"/>
      <c r="I1272" s="93"/>
      <c r="J1272" s="93"/>
      <c r="K1272" s="93"/>
      <c r="L1272" s="93"/>
      <c r="M1272" s="93"/>
      <c r="N1272" s="93"/>
      <c r="O1272" s="93"/>
      <c r="P1272" s="93"/>
      <c r="Q1272" s="93"/>
      <c r="R1272" s="93"/>
      <c r="S1272" s="93"/>
      <c r="T1272" s="93"/>
      <c r="U1272" s="93"/>
      <c r="V1272" s="93"/>
      <c r="W1272" s="93"/>
      <c r="X1272" s="93"/>
      <c r="Y1272" s="93"/>
      <c r="Z1272" s="93"/>
      <c r="AA1272" s="93"/>
      <c r="AB1272" s="93"/>
      <c r="AC1272" s="93"/>
      <c r="AD1272" s="93"/>
      <c r="AE1272" s="93"/>
      <c r="AF1272" s="93"/>
      <c r="AG1272" s="93"/>
      <c r="AH1272" s="93"/>
      <c r="AI1272" s="93"/>
      <c r="AJ1272" s="93"/>
      <c r="AK1272" s="93"/>
      <c r="AL1272" s="93"/>
      <c r="AM1272" s="93"/>
      <c r="AN1272" s="93"/>
      <c r="AO1272" s="93"/>
      <c r="AP1272" s="93"/>
      <c r="AQ1272" s="93"/>
      <c r="AR1272" s="93"/>
      <c r="AS1272" s="93"/>
      <c r="AT1272" s="93"/>
      <c r="AU1272" s="93"/>
      <c r="AV1272" s="93"/>
      <c r="AW1272" s="93"/>
      <c r="AX1272" s="93"/>
      <c r="AY1272" s="93"/>
      <c r="AZ1272" s="93"/>
      <c r="BA1272" s="93"/>
      <c r="BB1272" s="93"/>
      <c r="BC1272" s="93"/>
      <c r="BD1272" s="93"/>
      <c r="BE1272" s="93"/>
      <c r="BF1272" s="93"/>
      <c r="BG1272" s="93"/>
      <c r="BH1272" s="93"/>
      <c r="BI1272" s="93"/>
      <c r="BJ1272" s="93"/>
      <c r="BK1272" s="93"/>
      <c r="BL1272" s="93"/>
      <c r="BM1272" s="93"/>
      <c r="BN1272" s="93"/>
      <c r="BO1272" s="93"/>
      <c r="BP1272" s="93"/>
      <c r="BQ1272" s="93"/>
      <c r="BR1272" s="93"/>
      <c r="BS1272" s="93"/>
      <c r="BT1272" s="93"/>
      <c r="BU1272" s="93"/>
      <c r="BV1272" s="93"/>
      <c r="BW1272" s="93"/>
      <c r="BX1272" s="93"/>
      <c r="BY1272" s="93"/>
      <c r="BZ1272" s="93"/>
    </row>
  </sheetData>
  <mergeCells count="15">
    <mergeCell ref="AJ1:AM1"/>
    <mergeCell ref="AN1:AQ1"/>
    <mergeCell ref="AR1:AT1"/>
    <mergeCell ref="AU1:BC1"/>
    <mergeCell ref="BE1:BG1"/>
    <mergeCell ref="BI1:BM1"/>
    <mergeCell ref="BQ1:BU1"/>
    <mergeCell ref="BV1:BZ1"/>
    <mergeCell ref="B1:C1"/>
    <mergeCell ref="D1:E1"/>
    <mergeCell ref="G1:U1"/>
    <mergeCell ref="V1:Z1"/>
    <mergeCell ref="AA1:AB1"/>
    <mergeCell ref="AC1:AG1"/>
    <mergeCell ref="AI1:AI2"/>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86"/>
    <col customWidth="1" min="2" max="2" width="19.71"/>
    <col customWidth="1" min="3" max="3" width="28.43"/>
    <col customWidth="1" min="4" max="4" width="23.29"/>
    <col customWidth="1" min="5" max="5" width="10.86"/>
    <col customWidth="1" min="6" max="6" width="3.71"/>
    <col customWidth="1" min="7" max="7" width="4.57"/>
    <col customWidth="1" min="8" max="8" width="5.0"/>
    <col customWidth="1" min="9" max="10" width="4.71"/>
    <col customWidth="1" min="11" max="11" width="4.57"/>
    <col customWidth="1" min="12" max="12" width="6.57"/>
    <col customWidth="1" min="13" max="13" width="6.14"/>
    <col customWidth="1" min="14" max="14" width="5.14"/>
    <col customWidth="1" min="15" max="15" width="7.0"/>
    <col customWidth="1" min="16" max="16" width="4.71"/>
    <col customWidth="1" min="17" max="17" width="7.14"/>
    <col customWidth="1" min="18" max="18" width="5.57"/>
    <col customWidth="1" min="19" max="19" width="4.57"/>
    <col customWidth="1" min="20" max="21" width="4.71"/>
    <col customWidth="1" min="22" max="22" width="28.57"/>
    <col customWidth="1" min="23" max="23" width="40.71"/>
    <col customWidth="1" min="25" max="25" width="30.86"/>
    <col customWidth="1" min="26" max="26" width="30.0"/>
    <col customWidth="1" min="27" max="27" width="4.14"/>
    <col customWidth="1" min="28" max="28" width="3.57"/>
    <col customWidth="1" min="29" max="29" width="5.43"/>
    <col customWidth="1" min="30" max="31" width="4.57"/>
    <col customWidth="1" min="32" max="32" width="4.71"/>
    <col customWidth="1" min="33" max="33" width="4.14"/>
    <col customWidth="1" min="34" max="34" width="36.71"/>
    <col customWidth="1" min="35" max="80" width="3.29"/>
  </cols>
  <sheetData>
    <row r="1">
      <c r="A1" s="1"/>
      <c r="B1" s="2" t="s">
        <v>0</v>
      </c>
      <c r="D1" s="3" t="s">
        <v>1</v>
      </c>
      <c r="F1" s="4"/>
      <c r="G1" s="5" t="s">
        <v>2</v>
      </c>
      <c r="V1" s="6" t="s">
        <v>3</v>
      </c>
      <c r="AA1" s="7" t="s">
        <v>4</v>
      </c>
      <c r="AC1" s="8" t="s">
        <v>5</v>
      </c>
      <c r="AH1" s="9"/>
      <c r="AI1" s="10" t="s">
        <v>6</v>
      </c>
      <c r="AJ1" s="11" t="s">
        <v>7</v>
      </c>
      <c r="AN1" s="12" t="s">
        <v>8</v>
      </c>
      <c r="AR1" s="13" t="s">
        <v>9</v>
      </c>
      <c r="AU1" s="14" t="s">
        <v>10</v>
      </c>
      <c r="BD1" s="15"/>
      <c r="BE1" s="16" t="s">
        <v>11</v>
      </c>
      <c r="BH1" s="17" t="s">
        <v>4348</v>
      </c>
      <c r="BJ1" s="18" t="s">
        <v>12</v>
      </c>
      <c r="BO1" s="19" t="s">
        <v>13</v>
      </c>
      <c r="BR1" s="21"/>
      <c r="BS1" s="22" t="s">
        <v>14</v>
      </c>
      <c r="BX1" s="23" t="s">
        <v>15</v>
      </c>
    </row>
    <row r="2" ht="24.0" customHeight="1">
      <c r="A2" s="24" t="s">
        <v>16</v>
      </c>
      <c r="B2" s="25" t="s">
        <v>17</v>
      </c>
      <c r="C2" s="26" t="s">
        <v>18</v>
      </c>
      <c r="D2" s="27" t="s">
        <v>19</v>
      </c>
      <c r="E2" s="28" t="s">
        <v>20</v>
      </c>
      <c r="F2" s="29" t="s">
        <v>21</v>
      </c>
      <c r="G2" s="15" t="s">
        <v>22</v>
      </c>
      <c r="H2" s="15" t="s">
        <v>23</v>
      </c>
      <c r="I2" s="15" t="s">
        <v>24</v>
      </c>
      <c r="J2" s="15" t="s">
        <v>25</v>
      </c>
      <c r="K2" s="15" t="s">
        <v>26</v>
      </c>
      <c r="L2" s="15" t="s">
        <v>27</v>
      </c>
      <c r="M2" s="15" t="s">
        <v>28</v>
      </c>
      <c r="N2" s="15" t="s">
        <v>29</v>
      </c>
      <c r="O2" s="15" t="s">
        <v>30</v>
      </c>
      <c r="P2" s="15" t="s">
        <v>31</v>
      </c>
      <c r="Q2" s="15" t="s">
        <v>32</v>
      </c>
      <c r="R2" s="15" t="s">
        <v>33</v>
      </c>
      <c r="S2" s="15" t="s">
        <v>34</v>
      </c>
      <c r="T2" s="15" t="s">
        <v>35</v>
      </c>
      <c r="U2" s="15" t="s">
        <v>36</v>
      </c>
      <c r="V2" s="30" t="s">
        <v>37</v>
      </c>
      <c r="W2" s="30" t="s">
        <v>38</v>
      </c>
      <c r="X2" s="30" t="s">
        <v>39</v>
      </c>
      <c r="Y2" s="30" t="s">
        <v>40</v>
      </c>
      <c r="Z2" s="30" t="s">
        <v>41</v>
      </c>
      <c r="AA2" s="31" t="s">
        <v>42</v>
      </c>
      <c r="AB2" s="31" t="s">
        <v>43</v>
      </c>
      <c r="AC2" s="32" t="s">
        <v>44</v>
      </c>
      <c r="AD2" s="32" t="s">
        <v>45</v>
      </c>
      <c r="AE2" s="32" t="s">
        <v>46</v>
      </c>
      <c r="AF2" s="32" t="s">
        <v>47</v>
      </c>
      <c r="AG2" s="32" t="s">
        <v>48</v>
      </c>
      <c r="AH2" s="9" t="s">
        <v>49</v>
      </c>
      <c r="AJ2" s="33" t="s">
        <v>7</v>
      </c>
      <c r="AK2" s="33" t="s">
        <v>50</v>
      </c>
      <c r="AL2" s="33" t="s">
        <v>51</v>
      </c>
      <c r="AM2" s="33" t="s">
        <v>52</v>
      </c>
      <c r="AN2" s="34" t="s">
        <v>8</v>
      </c>
      <c r="AO2" s="34" t="s">
        <v>53</v>
      </c>
      <c r="AP2" s="34" t="s">
        <v>54</v>
      </c>
      <c r="AQ2" s="34" t="s">
        <v>55</v>
      </c>
      <c r="AR2" s="35" t="s">
        <v>9</v>
      </c>
      <c r="AS2" s="35" t="s">
        <v>56</v>
      </c>
      <c r="AT2" s="35" t="s">
        <v>57</v>
      </c>
      <c r="AU2" s="36" t="s">
        <v>10</v>
      </c>
      <c r="AV2" s="36" t="s">
        <v>58</v>
      </c>
      <c r="AW2" s="36" t="s">
        <v>59</v>
      </c>
      <c r="AX2" s="36" t="s">
        <v>60</v>
      </c>
      <c r="AY2" s="36" t="s">
        <v>61</v>
      </c>
      <c r="AZ2" s="36" t="s">
        <v>62</v>
      </c>
      <c r="BA2" s="36" t="s">
        <v>63</v>
      </c>
      <c r="BB2" s="36" t="s">
        <v>64</v>
      </c>
      <c r="BC2" s="36" t="s">
        <v>65</v>
      </c>
      <c r="BD2" s="37" t="s">
        <v>66</v>
      </c>
      <c r="BE2" s="38" t="s">
        <v>67</v>
      </c>
      <c r="BF2" s="38" t="s">
        <v>68</v>
      </c>
      <c r="BG2" s="38" t="s">
        <v>69</v>
      </c>
      <c r="BH2" s="39" t="s">
        <v>4348</v>
      </c>
      <c r="BI2" s="39" t="s">
        <v>70</v>
      </c>
      <c r="BJ2" s="40" t="s">
        <v>71</v>
      </c>
      <c r="BK2" s="40" t="s">
        <v>72</v>
      </c>
      <c r="BL2" s="40" t="s">
        <v>73</v>
      </c>
      <c r="BM2" s="40" t="s">
        <v>74</v>
      </c>
      <c r="BN2" s="40" t="s">
        <v>75</v>
      </c>
      <c r="BO2" s="41" t="s">
        <v>76</v>
      </c>
      <c r="BP2" s="41" t="s">
        <v>4349</v>
      </c>
      <c r="BQ2" s="41" t="s">
        <v>4350</v>
      </c>
      <c r="BR2" s="43"/>
      <c r="BS2" s="44" t="s">
        <v>78</v>
      </c>
      <c r="BT2" s="44" t="s">
        <v>79</v>
      </c>
      <c r="BU2" s="44" t="s">
        <v>80</v>
      </c>
      <c r="BV2" s="44" t="s">
        <v>81</v>
      </c>
      <c r="BW2" s="44" t="s">
        <v>82</v>
      </c>
      <c r="BX2" s="45" t="s">
        <v>83</v>
      </c>
      <c r="BY2" s="45" t="s">
        <v>84</v>
      </c>
      <c r="BZ2" s="45" t="s">
        <v>85</v>
      </c>
      <c r="CA2" s="45" t="s">
        <v>86</v>
      </c>
      <c r="CB2" s="45" t="s">
        <v>87</v>
      </c>
    </row>
    <row r="3" ht="12.75" customHeight="1">
      <c r="A3" s="46" t="s">
        <v>88</v>
      </c>
      <c r="B3" s="47" t="str">
        <f>HYPERLINK("https://drive.google.com/open?id=1udUHGMCVraVbXnC-efjkY6U-jE0fdgT-","Abrahao2013")</f>
        <v>Abrahao2013</v>
      </c>
      <c r="C3" s="48" t="s">
        <v>89</v>
      </c>
      <c r="D3" s="48" t="s">
        <v>90</v>
      </c>
      <c r="E3" s="49">
        <v>2013.0</v>
      </c>
      <c r="F3" s="50"/>
      <c r="G3" s="50">
        <v>1.0</v>
      </c>
      <c r="H3" s="50"/>
      <c r="I3" s="50"/>
      <c r="J3" s="50"/>
      <c r="K3" s="50"/>
      <c r="L3" s="50"/>
      <c r="M3" s="50"/>
      <c r="N3" s="50"/>
      <c r="O3" s="50"/>
      <c r="P3" s="50"/>
      <c r="Q3" s="50"/>
      <c r="R3" s="50"/>
      <c r="S3" s="50"/>
      <c r="T3" s="50"/>
      <c r="U3" s="50"/>
      <c r="V3" s="51"/>
      <c r="W3" s="51" t="s">
        <v>91</v>
      </c>
      <c r="X3" s="51" t="s">
        <v>92</v>
      </c>
      <c r="Y3" s="51" t="s">
        <v>93</v>
      </c>
      <c r="Z3" s="51" t="s">
        <v>94</v>
      </c>
      <c r="AA3" s="50">
        <v>1.0</v>
      </c>
      <c r="AB3" s="50">
        <v>1.0</v>
      </c>
      <c r="AC3" s="50"/>
      <c r="AD3" s="50">
        <v>1.0</v>
      </c>
      <c r="AE3" s="50"/>
      <c r="AF3" s="50"/>
      <c r="AG3" s="50"/>
      <c r="AH3" s="51"/>
      <c r="AI3" s="51">
        <v>1.0</v>
      </c>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c r="BJ3" s="52">
        <v>1.0</v>
      </c>
      <c r="BK3" s="51"/>
      <c r="BL3" s="51"/>
      <c r="BM3" s="51"/>
      <c r="BN3" s="51"/>
      <c r="BO3" s="51"/>
      <c r="BP3" s="51"/>
      <c r="BQ3" s="51"/>
      <c r="BR3" s="51"/>
      <c r="BS3" s="51"/>
      <c r="BT3" s="51"/>
      <c r="BU3" s="51"/>
      <c r="BV3" s="51"/>
      <c r="BW3" s="51"/>
      <c r="BX3" s="51"/>
      <c r="BY3" s="51">
        <v>1.0</v>
      </c>
      <c r="BZ3" s="51"/>
      <c r="CA3" s="51"/>
      <c r="CB3" s="51"/>
    </row>
    <row r="4" ht="12.75" customHeight="1">
      <c r="A4" s="46" t="s">
        <v>88</v>
      </c>
      <c r="B4" s="53" t="str">
        <f>HYPERLINK("https://drive.google.com/open?id=1A-fqtpQk5qcyGSMnBML6hnUPtwRFD6B4","Adelson1981")</f>
        <v>Adelson1981</v>
      </c>
      <c r="C4" s="48" t="s">
        <v>95</v>
      </c>
      <c r="D4" s="48" t="s">
        <v>96</v>
      </c>
      <c r="E4" s="49">
        <v>1981.0</v>
      </c>
      <c r="F4" s="50"/>
      <c r="G4" s="50"/>
      <c r="H4" s="50"/>
      <c r="I4" s="50">
        <v>1.0</v>
      </c>
      <c r="J4" s="50"/>
      <c r="K4" s="50"/>
      <c r="L4" s="50"/>
      <c r="M4" s="50"/>
      <c r="N4" s="50"/>
      <c r="O4" s="50"/>
      <c r="P4" s="50"/>
      <c r="Q4" s="50"/>
      <c r="R4" s="50"/>
      <c r="S4" s="50"/>
      <c r="T4" s="50"/>
      <c r="U4" s="50"/>
      <c r="V4" s="51"/>
      <c r="W4" s="51" t="s">
        <v>97</v>
      </c>
      <c r="X4" s="51" t="s">
        <v>98</v>
      </c>
      <c r="Y4" s="51" t="s">
        <v>99</v>
      </c>
      <c r="Z4" s="51" t="s">
        <v>100</v>
      </c>
      <c r="AA4" s="50">
        <v>1.0</v>
      </c>
      <c r="AB4" s="50"/>
      <c r="AC4" s="50"/>
      <c r="AD4" s="50">
        <v>1.0</v>
      </c>
      <c r="AE4" s="50"/>
      <c r="AF4" s="50"/>
      <c r="AG4" s="50"/>
      <c r="AH4" s="51"/>
      <c r="AI4" s="51">
        <v>1.0</v>
      </c>
      <c r="AJ4" s="51"/>
      <c r="AK4" s="51"/>
      <c r="AL4" s="51"/>
      <c r="AM4" s="51"/>
      <c r="AN4" s="51">
        <v>1.0</v>
      </c>
      <c r="AO4" s="51"/>
      <c r="AP4" s="51"/>
      <c r="AQ4" s="51"/>
      <c r="AR4" s="51"/>
      <c r="AS4" s="51"/>
      <c r="AT4" s="51"/>
      <c r="AU4" s="51"/>
      <c r="AV4" s="51"/>
      <c r="AW4" s="51"/>
      <c r="AX4" s="51"/>
      <c r="AY4" s="51"/>
      <c r="AZ4" s="51"/>
      <c r="BA4" s="51"/>
      <c r="BB4" s="51"/>
      <c r="BC4" s="51"/>
      <c r="BD4" s="51"/>
      <c r="BE4" s="51"/>
      <c r="BF4" s="51"/>
      <c r="BG4" s="51"/>
      <c r="BH4" s="51"/>
      <c r="BI4" s="51"/>
      <c r="BJ4" s="51">
        <v>1.0</v>
      </c>
      <c r="BK4" s="51"/>
      <c r="BL4" s="51"/>
      <c r="BM4" s="51"/>
      <c r="BN4" s="51"/>
      <c r="BO4" s="51"/>
      <c r="BP4" s="51"/>
      <c r="BQ4" s="51"/>
      <c r="BR4" s="51"/>
      <c r="BS4" s="51"/>
      <c r="BT4" s="51"/>
      <c r="BU4" s="51"/>
      <c r="BV4" s="51">
        <v>1.0</v>
      </c>
      <c r="BW4" s="51"/>
      <c r="BX4" s="51"/>
      <c r="BY4" s="51"/>
      <c r="BZ4" s="51"/>
      <c r="CA4" s="51"/>
      <c r="CB4" s="51"/>
    </row>
    <row r="5" ht="12.75" customHeight="1">
      <c r="A5" s="46" t="s">
        <v>88</v>
      </c>
      <c r="B5" s="53" t="str">
        <f>HYPERLINK("https://drive.google.com/open?id=1GGXpUzRNGEowPBrn7AhpVRMEyD7tmzkx","Agarwal1996a")</f>
        <v>Agarwal1996a</v>
      </c>
      <c r="C5" s="48" t="s">
        <v>101</v>
      </c>
      <c r="D5" s="48" t="s">
        <v>102</v>
      </c>
      <c r="E5" s="49">
        <v>1996.0</v>
      </c>
      <c r="F5" s="50"/>
      <c r="G5" s="50"/>
      <c r="H5" s="50">
        <v>1.0</v>
      </c>
      <c r="I5" s="50"/>
      <c r="J5" s="50"/>
      <c r="K5" s="50"/>
      <c r="L5" s="50"/>
      <c r="M5" s="50"/>
      <c r="N5" s="50"/>
      <c r="O5" s="50"/>
      <c r="P5" s="50"/>
      <c r="Q5" s="50"/>
      <c r="R5" s="50"/>
      <c r="S5" s="50"/>
      <c r="T5" s="50"/>
      <c r="U5" s="50"/>
      <c r="V5" s="51"/>
      <c r="W5" s="51" t="s">
        <v>103</v>
      </c>
      <c r="X5" s="51" t="s">
        <v>84</v>
      </c>
      <c r="Y5" s="51" t="s">
        <v>104</v>
      </c>
      <c r="Z5" s="51" t="s">
        <v>100</v>
      </c>
      <c r="AA5" s="50">
        <v>1.0</v>
      </c>
      <c r="AB5" s="50"/>
      <c r="AC5" s="50"/>
      <c r="AD5" s="50">
        <v>1.0</v>
      </c>
      <c r="AE5" s="50"/>
      <c r="AF5" s="50"/>
      <c r="AG5" s="50"/>
      <c r="AH5" s="51"/>
      <c r="AI5" s="51">
        <v>1.0</v>
      </c>
      <c r="AJ5" s="51"/>
      <c r="AK5" s="51"/>
      <c r="AL5" s="51"/>
      <c r="AM5" s="51"/>
      <c r="AN5" s="51"/>
      <c r="AO5" s="51"/>
      <c r="AP5" s="51"/>
      <c r="AQ5" s="51"/>
      <c r="AR5" s="51"/>
      <c r="AS5" s="51"/>
      <c r="AT5" s="51"/>
      <c r="AU5" s="51"/>
      <c r="AV5" s="51"/>
      <c r="AW5" s="51"/>
      <c r="AX5" s="51"/>
      <c r="AY5" s="51"/>
      <c r="AZ5" s="51"/>
      <c r="BA5" s="51"/>
      <c r="BB5" s="51"/>
      <c r="BC5" s="51"/>
      <c r="BD5" s="51"/>
      <c r="BE5" s="51">
        <v>1.0</v>
      </c>
      <c r="BF5" s="51"/>
      <c r="BG5" s="51"/>
      <c r="BH5" s="51"/>
      <c r="BI5" s="51"/>
      <c r="BJ5" s="51"/>
      <c r="BK5" s="51"/>
      <c r="BL5" s="51"/>
      <c r="BM5" s="51"/>
      <c r="BN5" s="51"/>
      <c r="BO5" s="51"/>
      <c r="BP5" s="51"/>
      <c r="BQ5" s="51"/>
      <c r="BR5" s="51"/>
      <c r="BS5" s="51"/>
      <c r="BT5" s="51"/>
      <c r="BU5" s="51"/>
      <c r="BV5" s="51"/>
      <c r="BW5" s="51"/>
      <c r="BX5" s="51"/>
      <c r="BY5" s="51">
        <v>1.0</v>
      </c>
      <c r="BZ5" s="51"/>
      <c r="CA5" s="51"/>
      <c r="CB5" s="51"/>
    </row>
    <row r="6" ht="12.75" customHeight="1">
      <c r="A6" s="46" t="s">
        <v>88</v>
      </c>
      <c r="B6" s="53" t="str">
        <f>HYPERLINK("https://drive.google.com/open?id=1X8v6g164iQc6AnXBh2QY8FMURxz_s3sh","Agarwal1996b")</f>
        <v>Agarwal1996b</v>
      </c>
      <c r="C6" s="48" t="s">
        <v>105</v>
      </c>
      <c r="D6" s="48" t="s">
        <v>106</v>
      </c>
      <c r="E6" s="49">
        <v>1996.0</v>
      </c>
      <c r="F6" s="50"/>
      <c r="G6" s="50"/>
      <c r="H6" s="50">
        <v>1.0</v>
      </c>
      <c r="I6" s="50"/>
      <c r="J6" s="50"/>
      <c r="K6" s="50"/>
      <c r="L6" s="50"/>
      <c r="M6" s="50"/>
      <c r="N6" s="50"/>
      <c r="O6" s="50"/>
      <c r="P6" s="50"/>
      <c r="Q6" s="50"/>
      <c r="R6" s="50"/>
      <c r="S6" s="50"/>
      <c r="T6" s="50"/>
      <c r="U6" s="50"/>
      <c r="V6" s="51"/>
      <c r="W6" s="51" t="s">
        <v>107</v>
      </c>
      <c r="X6" s="51" t="s">
        <v>84</v>
      </c>
      <c r="Y6" s="51" t="s">
        <v>104</v>
      </c>
      <c r="Z6" s="51" t="s">
        <v>100</v>
      </c>
      <c r="AA6" s="50">
        <v>1.0</v>
      </c>
      <c r="AB6" s="50">
        <v>1.0</v>
      </c>
      <c r="AC6" s="50"/>
      <c r="AD6" s="50">
        <v>1.0</v>
      </c>
      <c r="AE6" s="50"/>
      <c r="AF6" s="50"/>
      <c r="AG6" s="50"/>
      <c r="AH6" s="51"/>
      <c r="AI6" s="51">
        <v>1.0</v>
      </c>
      <c r="AJ6" s="51"/>
      <c r="AK6" s="51"/>
      <c r="AL6" s="51"/>
      <c r="AM6" s="51"/>
      <c r="AN6" s="51"/>
      <c r="AO6" s="51"/>
      <c r="AP6" s="51"/>
      <c r="AQ6" s="51"/>
      <c r="AR6" s="51"/>
      <c r="AS6" s="51"/>
      <c r="AT6" s="51"/>
      <c r="AU6" s="51"/>
      <c r="AV6" s="51"/>
      <c r="AW6" s="51"/>
      <c r="AX6" s="51"/>
      <c r="AY6" s="51"/>
      <c r="AZ6" s="51"/>
      <c r="BA6" s="51"/>
      <c r="BB6" s="51"/>
      <c r="BC6" s="51"/>
      <c r="BD6" s="51"/>
      <c r="BE6" s="51">
        <v>1.0</v>
      </c>
      <c r="BF6" s="51"/>
      <c r="BG6" s="51"/>
      <c r="BH6" s="51"/>
      <c r="BI6" s="51"/>
      <c r="BJ6" s="51">
        <v>1.0</v>
      </c>
      <c r="BK6" s="51"/>
      <c r="BL6" s="51"/>
      <c r="BM6" s="51"/>
      <c r="BN6" s="51"/>
      <c r="BO6" s="51"/>
      <c r="BP6" s="51"/>
      <c r="BQ6" s="51"/>
      <c r="BR6" s="51"/>
      <c r="BS6" s="51"/>
      <c r="BT6" s="51"/>
      <c r="BU6" s="51"/>
      <c r="BV6" s="51"/>
      <c r="BW6" s="51"/>
      <c r="BX6" s="51"/>
      <c r="BY6" s="51">
        <v>1.0</v>
      </c>
      <c r="BZ6" s="51"/>
      <c r="CA6" s="51"/>
      <c r="CB6" s="51"/>
    </row>
    <row r="7" ht="12.75" customHeight="1">
      <c r="A7" s="46" t="s">
        <v>108</v>
      </c>
      <c r="B7" s="54" t="str">
        <f>HYPERLINK("https://drive.google.com/open?id=0B3oar8-GeP-IT29tMXpHQWtKQnc","Agarwal1999")</f>
        <v>Agarwal1999</v>
      </c>
      <c r="C7" s="55" t="s">
        <v>109</v>
      </c>
      <c r="D7" s="48"/>
      <c r="E7" s="49">
        <v>1999.0</v>
      </c>
      <c r="F7" s="50"/>
      <c r="G7" s="50"/>
      <c r="H7" s="50">
        <v>1.0</v>
      </c>
      <c r="I7" s="50">
        <v>1.0</v>
      </c>
      <c r="J7" s="50"/>
      <c r="K7" s="50"/>
      <c r="L7" s="50"/>
      <c r="M7" s="50"/>
      <c r="N7" s="50"/>
      <c r="O7" s="50"/>
      <c r="P7" s="50"/>
      <c r="Q7" s="50"/>
      <c r="R7" s="50"/>
      <c r="S7" s="50"/>
      <c r="T7" s="50"/>
      <c r="U7" s="50"/>
      <c r="V7" s="48" t="s">
        <v>110</v>
      </c>
      <c r="W7" s="48" t="s">
        <v>111</v>
      </c>
      <c r="X7" s="48" t="s">
        <v>112</v>
      </c>
      <c r="Y7" s="48" t="s">
        <v>113</v>
      </c>
      <c r="Z7" s="48" t="s">
        <v>114</v>
      </c>
      <c r="AA7" s="50">
        <v>1.0</v>
      </c>
      <c r="AB7" s="50"/>
      <c r="AC7" s="50"/>
      <c r="AD7" s="50">
        <v>1.0</v>
      </c>
      <c r="AE7" s="50"/>
      <c r="AF7" s="50"/>
      <c r="AG7" s="50"/>
      <c r="AH7" s="51" t="s">
        <v>115</v>
      </c>
      <c r="AI7" s="51">
        <v>1.0</v>
      </c>
      <c r="AJ7" s="51"/>
      <c r="AK7" s="51"/>
      <c r="AL7" s="51"/>
      <c r="AM7" s="51"/>
      <c r="AN7" s="51"/>
      <c r="AO7" s="51"/>
      <c r="AP7" s="51"/>
      <c r="AQ7" s="51"/>
      <c r="AR7" s="51"/>
      <c r="AS7" s="51"/>
      <c r="AT7" s="51"/>
      <c r="AU7" s="51"/>
      <c r="AV7" s="51"/>
      <c r="AW7" s="51"/>
      <c r="AX7" s="51"/>
      <c r="AY7" s="51"/>
      <c r="AZ7" s="51"/>
      <c r="BA7" s="51"/>
      <c r="BB7" s="51"/>
      <c r="BC7" s="51"/>
      <c r="BD7" s="51"/>
      <c r="BE7" s="51">
        <v>1.0</v>
      </c>
      <c r="BF7" s="51"/>
      <c r="BG7" s="51"/>
      <c r="BH7" s="51"/>
      <c r="BI7" s="51"/>
      <c r="BJ7" s="52">
        <v>1.0</v>
      </c>
      <c r="BK7" s="51"/>
      <c r="BL7" s="51"/>
      <c r="BM7" s="51"/>
      <c r="BN7" s="51"/>
      <c r="BO7" s="51"/>
      <c r="BP7" s="51"/>
      <c r="BQ7" s="51"/>
      <c r="BR7" s="51"/>
      <c r="BS7" s="51"/>
      <c r="BT7" s="51"/>
      <c r="BU7" s="51"/>
      <c r="BV7" s="51"/>
      <c r="BW7" s="51"/>
      <c r="BX7" s="51"/>
      <c r="BY7" s="51"/>
      <c r="BZ7" s="51"/>
      <c r="CA7" s="51">
        <v>1.0</v>
      </c>
      <c r="CB7" s="51"/>
    </row>
    <row r="8" ht="12.75" customHeight="1">
      <c r="A8" s="46" t="s">
        <v>116</v>
      </c>
      <c r="B8" s="56" t="str">
        <f>HYPERLINK("https://drive.google.com/open?id=0B1GMAYMj9v6rUjNEb25DZGFWSEU","Alexandron2014")</f>
        <v>Alexandron2014</v>
      </c>
      <c r="C8" s="55" t="s">
        <v>117</v>
      </c>
      <c r="D8" s="55" t="s">
        <v>118</v>
      </c>
      <c r="E8" s="49">
        <v>2014.0</v>
      </c>
      <c r="F8" s="50"/>
      <c r="G8" s="50"/>
      <c r="H8" s="50"/>
      <c r="I8" s="50">
        <v>1.0</v>
      </c>
      <c r="J8" s="50"/>
      <c r="K8" s="50"/>
      <c r="L8" s="50"/>
      <c r="M8" s="50"/>
      <c r="N8" s="50"/>
      <c r="O8" s="50"/>
      <c r="P8" s="50"/>
      <c r="Q8" s="50"/>
      <c r="R8" s="50"/>
      <c r="S8" s="50"/>
      <c r="T8" s="50"/>
      <c r="U8" s="50"/>
      <c r="V8" s="51" t="s">
        <v>9</v>
      </c>
      <c r="W8" s="51" t="s">
        <v>119</v>
      </c>
      <c r="X8" s="51" t="s">
        <v>120</v>
      </c>
      <c r="Y8" s="51" t="s">
        <v>121</v>
      </c>
      <c r="Z8" s="51" t="s">
        <v>122</v>
      </c>
      <c r="AA8" s="50">
        <v>1.0</v>
      </c>
      <c r="AB8" s="50"/>
      <c r="AC8" s="50"/>
      <c r="AD8" s="50">
        <v>1.0</v>
      </c>
      <c r="AE8" s="50"/>
      <c r="AF8" s="50"/>
      <c r="AG8" s="50"/>
      <c r="AH8" s="51" t="s">
        <v>123</v>
      </c>
      <c r="AI8" s="51">
        <v>1.0</v>
      </c>
      <c r="AJ8" s="51"/>
      <c r="AK8" s="51"/>
      <c r="AL8" s="51"/>
      <c r="AM8" s="51"/>
      <c r="AN8" s="51"/>
      <c r="AO8" s="51"/>
      <c r="AP8" s="51"/>
      <c r="AQ8" s="51"/>
      <c r="AR8" s="51">
        <v>1.0</v>
      </c>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v>1.0</v>
      </c>
      <c r="BV8" s="51"/>
      <c r="BW8" s="51"/>
      <c r="BX8" s="51"/>
      <c r="BY8" s="51"/>
      <c r="BZ8" s="51"/>
      <c r="CA8" s="51"/>
      <c r="CB8" s="51"/>
    </row>
    <row r="9" ht="12.75" customHeight="1">
      <c r="A9" s="46" t="s">
        <v>124</v>
      </c>
      <c r="B9" s="56" t="str">
        <f>HYPERLINK("https://drive.google.com/open?id=0B-nn5iJ29NJaTXd6ckdfbDlIWVU","Anu2016")</f>
        <v>Anu2016</v>
      </c>
      <c r="C9" s="55" t="s">
        <v>125</v>
      </c>
      <c r="D9" s="55" t="s">
        <v>126</v>
      </c>
      <c r="E9" s="57">
        <v>2016.0</v>
      </c>
      <c r="F9" s="58"/>
      <c r="G9" s="50">
        <v>1.0</v>
      </c>
      <c r="H9" s="50"/>
      <c r="I9" s="50"/>
      <c r="J9" s="50"/>
      <c r="K9" s="50"/>
      <c r="L9" s="50"/>
      <c r="M9" s="50"/>
      <c r="N9" s="50"/>
      <c r="O9" s="50"/>
      <c r="P9" s="50"/>
      <c r="Q9" s="50"/>
      <c r="R9" s="50"/>
      <c r="S9" s="50"/>
      <c r="T9" s="50"/>
      <c r="U9" s="50"/>
      <c r="V9" s="48" t="s">
        <v>127</v>
      </c>
      <c r="W9" s="48" t="s">
        <v>128</v>
      </c>
      <c r="X9" s="48" t="s">
        <v>129</v>
      </c>
      <c r="Y9" s="48" t="s">
        <v>130</v>
      </c>
      <c r="Z9" s="48" t="s">
        <v>131</v>
      </c>
      <c r="AA9" s="50">
        <v>1.0</v>
      </c>
      <c r="AB9" s="50"/>
      <c r="AC9" s="50"/>
      <c r="AD9" s="50">
        <v>1.0</v>
      </c>
      <c r="AE9" s="50"/>
      <c r="AF9" s="50"/>
      <c r="AG9" s="50"/>
      <c r="AH9" s="59"/>
      <c r="AI9" s="51">
        <v>1.0</v>
      </c>
      <c r="AJ9" s="51"/>
      <c r="AK9" s="51"/>
      <c r="AL9" s="51"/>
      <c r="AM9" s="51"/>
      <c r="AN9" s="51"/>
      <c r="AO9" s="51"/>
      <c r="AP9" s="51"/>
      <c r="AQ9" s="51"/>
      <c r="AR9" s="51"/>
      <c r="AS9" s="51"/>
      <c r="AT9" s="51"/>
      <c r="AU9" s="51"/>
      <c r="AV9" s="51"/>
      <c r="AW9" s="51"/>
      <c r="AX9" s="51"/>
      <c r="AY9" s="51"/>
      <c r="AZ9" s="51"/>
      <c r="BA9" s="51"/>
      <c r="BB9" s="51"/>
      <c r="BC9" s="51"/>
      <c r="BD9" s="51"/>
      <c r="BE9" s="51"/>
      <c r="BF9" s="51"/>
      <c r="BG9" s="51"/>
      <c r="BH9" s="51">
        <v>1.0</v>
      </c>
      <c r="BI9" s="51"/>
      <c r="BJ9" s="51"/>
      <c r="BK9" s="51"/>
      <c r="BL9" s="51"/>
      <c r="BM9" s="51"/>
      <c r="BN9" s="51"/>
      <c r="BO9" s="51"/>
      <c r="BP9" s="51"/>
      <c r="BQ9" s="51"/>
      <c r="BR9" s="51"/>
      <c r="BS9" s="51"/>
      <c r="BT9" s="51"/>
      <c r="BU9" s="51"/>
      <c r="BV9" s="51"/>
      <c r="BW9" s="51"/>
      <c r="BX9" s="51"/>
      <c r="BY9" s="51">
        <v>1.0</v>
      </c>
      <c r="BZ9" s="51"/>
      <c r="CA9" s="51"/>
      <c r="CB9" s="51"/>
    </row>
    <row r="10" ht="12.75" customHeight="1">
      <c r="A10" s="46" t="s">
        <v>88</v>
      </c>
      <c r="B10" s="53" t="str">
        <f>HYPERLINK("https://drive.google.com/open?id=0B00cIHsghs6UM1FBdzFnS0R4d2c","Aranda2005")</f>
        <v>Aranda2005</v>
      </c>
      <c r="C10" s="48" t="s">
        <v>132</v>
      </c>
      <c r="D10" s="48" t="s">
        <v>133</v>
      </c>
      <c r="E10" s="49">
        <v>2005.0</v>
      </c>
      <c r="F10" s="60"/>
      <c r="G10" s="50"/>
      <c r="H10" s="50"/>
      <c r="I10" s="50"/>
      <c r="J10" s="50"/>
      <c r="K10" s="50"/>
      <c r="L10" s="50"/>
      <c r="M10" s="50">
        <v>1.0</v>
      </c>
      <c r="N10" s="50"/>
      <c r="O10" s="50"/>
      <c r="P10" s="50"/>
      <c r="Q10" s="50"/>
      <c r="R10" s="50"/>
      <c r="S10" s="50"/>
      <c r="T10" s="50"/>
      <c r="U10" s="50"/>
      <c r="V10" s="51"/>
      <c r="W10" s="51" t="s">
        <v>134</v>
      </c>
      <c r="X10" s="51" t="s">
        <v>135</v>
      </c>
      <c r="Y10" s="51" t="s">
        <v>136</v>
      </c>
      <c r="Z10" s="51" t="s">
        <v>137</v>
      </c>
      <c r="AA10" s="50">
        <v>1.0</v>
      </c>
      <c r="AB10" s="50">
        <v>1.0</v>
      </c>
      <c r="AC10" s="50"/>
      <c r="AD10" s="50">
        <v>1.0</v>
      </c>
      <c r="AE10" s="50"/>
      <c r="AF10" s="50"/>
      <c r="AG10" s="50"/>
      <c r="AH10" s="51"/>
      <c r="AI10" s="51">
        <v>1.0</v>
      </c>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v>1.0</v>
      </c>
      <c r="BJ10" s="51"/>
      <c r="BK10" s="51"/>
      <c r="BL10" s="51"/>
      <c r="BM10" s="51"/>
      <c r="BN10" s="51"/>
      <c r="BO10" s="51"/>
      <c r="BP10" s="51"/>
      <c r="BQ10" s="51"/>
      <c r="BR10" s="51"/>
      <c r="BS10" s="51"/>
      <c r="BT10" s="51"/>
      <c r="BU10" s="51"/>
      <c r="BV10" s="51"/>
      <c r="BW10" s="51"/>
      <c r="BX10" s="51"/>
      <c r="BY10" s="51">
        <v>1.0</v>
      </c>
      <c r="BZ10" s="51"/>
      <c r="CA10" s="51"/>
      <c r="CB10" s="51"/>
    </row>
    <row r="11" ht="12.75" customHeight="1">
      <c r="A11" s="46" t="s">
        <v>88</v>
      </c>
      <c r="B11" s="47" t="str">
        <f>HYPERLINK("https://drive.google.com/open?id=1A-Qgl1TC-kmQI8iWXf10Tc6gafly854y","Aranda2005")</f>
        <v>Aranda2005</v>
      </c>
      <c r="C11" s="48" t="s">
        <v>138</v>
      </c>
      <c r="D11" s="48" t="s">
        <v>139</v>
      </c>
      <c r="E11" s="49">
        <v>2005.0</v>
      </c>
      <c r="F11" s="50"/>
      <c r="G11" s="50">
        <v>1.0</v>
      </c>
      <c r="H11" s="50"/>
      <c r="I11" s="50"/>
      <c r="J11" s="50"/>
      <c r="K11" s="50"/>
      <c r="L11" s="50"/>
      <c r="M11" s="50"/>
      <c r="N11" s="50"/>
      <c r="O11" s="50"/>
      <c r="P11" s="50"/>
      <c r="Q11" s="50"/>
      <c r="R11" s="50"/>
      <c r="S11" s="50"/>
      <c r="T11" s="50"/>
      <c r="U11" s="50"/>
      <c r="V11" s="51" t="s">
        <v>140</v>
      </c>
      <c r="W11" s="51" t="s">
        <v>141</v>
      </c>
      <c r="X11" s="51" t="s">
        <v>142</v>
      </c>
      <c r="Y11" s="51" t="s">
        <v>143</v>
      </c>
      <c r="Z11" s="51" t="s">
        <v>100</v>
      </c>
      <c r="AA11" s="50"/>
      <c r="AB11" s="50"/>
      <c r="AC11" s="50">
        <v>1.0</v>
      </c>
      <c r="AD11" s="50"/>
      <c r="AE11" s="50"/>
      <c r="AF11" s="50"/>
      <c r="AG11" s="50"/>
      <c r="AH11" s="51"/>
      <c r="AI11" s="52">
        <v>1.0</v>
      </c>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2">
        <v>1.0</v>
      </c>
      <c r="BK11" s="51"/>
      <c r="BL11" s="51"/>
      <c r="BM11" s="51"/>
      <c r="BN11" s="51"/>
      <c r="BO11" s="51"/>
      <c r="BP11" s="51"/>
      <c r="BQ11" s="51"/>
      <c r="BR11" s="51"/>
      <c r="BS11" s="51"/>
      <c r="BT11" s="51"/>
      <c r="BU11" s="51"/>
      <c r="BV11" s="51"/>
      <c r="BW11" s="51"/>
      <c r="BX11" s="51"/>
      <c r="BY11" s="51"/>
      <c r="BZ11" s="51"/>
      <c r="CA11" s="52">
        <v>1.0</v>
      </c>
      <c r="CB11" s="51"/>
    </row>
    <row r="12" ht="12.75" customHeight="1">
      <c r="A12" s="46" t="s">
        <v>124</v>
      </c>
      <c r="B12" s="54" t="str">
        <f>HYPERLINK("https://drive.google.com/open?id=0B-nn5iJ29NJaajQ3RFR5dHpMQUE","Aranda2005a")</f>
        <v>Aranda2005a</v>
      </c>
      <c r="C12" s="55" t="s">
        <v>144</v>
      </c>
      <c r="D12" s="55" t="s">
        <v>145</v>
      </c>
      <c r="E12" s="57">
        <v>2005.0</v>
      </c>
      <c r="F12" s="58"/>
      <c r="G12" s="50">
        <v>1.0</v>
      </c>
      <c r="H12" s="50"/>
      <c r="I12" s="50"/>
      <c r="J12" s="50"/>
      <c r="K12" s="50"/>
      <c r="L12" s="50"/>
      <c r="M12" s="50"/>
      <c r="N12" s="50"/>
      <c r="O12" s="50"/>
      <c r="P12" s="50"/>
      <c r="Q12" s="50"/>
      <c r="R12" s="50"/>
      <c r="S12" s="50"/>
      <c r="T12" s="50"/>
      <c r="U12" s="50"/>
      <c r="V12" s="48"/>
      <c r="W12" s="48" t="s">
        <v>146</v>
      </c>
      <c r="X12" s="48" t="s">
        <v>147</v>
      </c>
      <c r="Y12" s="48" t="s">
        <v>148</v>
      </c>
      <c r="Z12" s="48" t="s">
        <v>149</v>
      </c>
      <c r="AA12" s="61"/>
      <c r="AB12" s="61">
        <v>1.0</v>
      </c>
      <c r="AC12" s="50">
        <v>1.0</v>
      </c>
      <c r="AD12" s="50"/>
      <c r="AE12" s="50"/>
      <c r="AF12" s="50"/>
      <c r="AG12" s="50"/>
      <c r="AH12" s="59"/>
      <c r="AI12" s="52">
        <v>1.0</v>
      </c>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2">
        <v>1.0</v>
      </c>
      <c r="BK12" s="51"/>
      <c r="BL12" s="51"/>
      <c r="BM12" s="51"/>
      <c r="BN12" s="51"/>
      <c r="BO12" s="51"/>
      <c r="BP12" s="51"/>
      <c r="BQ12" s="51"/>
      <c r="BR12" s="51"/>
      <c r="BS12" s="51"/>
      <c r="BT12" s="51"/>
      <c r="BU12" s="51"/>
      <c r="BV12" s="51"/>
      <c r="BW12" s="51"/>
      <c r="BX12" s="52"/>
      <c r="BY12" s="51"/>
      <c r="BZ12" s="51"/>
      <c r="CA12" s="52">
        <v>1.0</v>
      </c>
      <c r="CB12" s="51"/>
    </row>
    <row r="13" ht="12.75" customHeight="1">
      <c r="A13" s="46" t="s">
        <v>116</v>
      </c>
      <c r="B13" s="54" t="str">
        <f>HYPERLINK("https://drive.google.com/open?id=0B1GMAYMj9v6raXVlejY2RzkwbUE","Aranda2006")</f>
        <v>Aranda2006</v>
      </c>
      <c r="C13" s="55" t="s">
        <v>150</v>
      </c>
      <c r="D13" s="55" t="s">
        <v>151</v>
      </c>
      <c r="E13" s="49">
        <v>2006.0</v>
      </c>
      <c r="F13" s="50"/>
      <c r="G13" s="50">
        <v>1.0</v>
      </c>
      <c r="H13" s="50"/>
      <c r="I13" s="50"/>
      <c r="J13" s="50"/>
      <c r="K13" s="50"/>
      <c r="L13" s="50"/>
      <c r="M13" s="50">
        <v>1.0</v>
      </c>
      <c r="N13" s="50"/>
      <c r="O13" s="50"/>
      <c r="P13" s="50"/>
      <c r="Q13" s="50"/>
      <c r="R13" s="50"/>
      <c r="S13" s="50"/>
      <c r="T13" s="50"/>
      <c r="U13" s="50"/>
      <c r="V13" s="51" t="s">
        <v>152</v>
      </c>
      <c r="W13" s="51" t="s">
        <v>153</v>
      </c>
      <c r="X13" s="51" t="s">
        <v>154</v>
      </c>
      <c r="Y13" s="51" t="s">
        <v>155</v>
      </c>
      <c r="Z13" s="51" t="s">
        <v>156</v>
      </c>
      <c r="AA13" s="50">
        <v>1.0</v>
      </c>
      <c r="AB13" s="50">
        <v>1.0</v>
      </c>
      <c r="AC13" s="50"/>
      <c r="AD13" s="50">
        <v>1.0</v>
      </c>
      <c r="AE13" s="50"/>
      <c r="AF13" s="50"/>
      <c r="AG13" s="50"/>
      <c r="AH13" s="51" t="s">
        <v>157</v>
      </c>
      <c r="AI13" s="52">
        <v>1.0</v>
      </c>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2">
        <v>1.0</v>
      </c>
      <c r="BK13" s="51"/>
      <c r="BL13" s="51"/>
      <c r="BM13" s="51"/>
      <c r="BN13" s="51"/>
      <c r="BO13" s="51"/>
      <c r="BP13" s="51"/>
      <c r="BQ13" s="51"/>
      <c r="BR13" s="51"/>
      <c r="BS13" s="51"/>
      <c r="BT13" s="51"/>
      <c r="BU13" s="51"/>
      <c r="BV13" s="51"/>
      <c r="BW13" s="51"/>
      <c r="BX13" s="51"/>
      <c r="BY13" s="51"/>
      <c r="BZ13" s="51"/>
      <c r="CA13" s="51">
        <v>1.0</v>
      </c>
      <c r="CB13" s="51"/>
    </row>
    <row r="14" ht="12.75" customHeight="1">
      <c r="A14" s="46" t="s">
        <v>116</v>
      </c>
      <c r="B14" s="54" t="str">
        <f>HYPERLINK("https://drive.google.com/open?id=0B1GMAYMj9v6ra3ZOUEtKcU9zS28","Aranda2006b")</f>
        <v>Aranda2006b</v>
      </c>
      <c r="C14" s="55" t="s">
        <v>158</v>
      </c>
      <c r="D14" s="55" t="s">
        <v>159</v>
      </c>
      <c r="E14" s="49">
        <v>2006.0</v>
      </c>
      <c r="F14" s="50"/>
      <c r="G14" s="50">
        <v>1.0</v>
      </c>
      <c r="H14" s="50"/>
      <c r="I14" s="50"/>
      <c r="J14" s="50"/>
      <c r="K14" s="50"/>
      <c r="L14" s="50"/>
      <c r="M14" s="50">
        <v>1.0</v>
      </c>
      <c r="N14" s="50"/>
      <c r="O14" s="50"/>
      <c r="P14" s="50"/>
      <c r="Q14" s="50"/>
      <c r="R14" s="50"/>
      <c r="S14" s="50"/>
      <c r="T14" s="50"/>
      <c r="U14" s="50"/>
      <c r="V14" s="51" t="s">
        <v>160</v>
      </c>
      <c r="W14" s="51" t="s">
        <v>161</v>
      </c>
      <c r="X14" s="51" t="s">
        <v>162</v>
      </c>
      <c r="Y14" s="51" t="s">
        <v>163</v>
      </c>
      <c r="Z14" s="51" t="s">
        <v>156</v>
      </c>
      <c r="AA14" s="50">
        <v>1.0</v>
      </c>
      <c r="AB14" s="50">
        <v>1.0</v>
      </c>
      <c r="AC14" s="50"/>
      <c r="AD14" s="50">
        <v>1.0</v>
      </c>
      <c r="AE14" s="50"/>
      <c r="AF14" s="50"/>
      <c r="AG14" s="50"/>
      <c r="AH14" s="51" t="s">
        <v>164</v>
      </c>
      <c r="AI14" s="52">
        <v>1.0</v>
      </c>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2">
        <v>1.0</v>
      </c>
      <c r="BK14" s="51"/>
      <c r="BL14" s="51"/>
      <c r="BM14" s="51"/>
      <c r="BN14" s="51"/>
      <c r="BO14" s="51"/>
      <c r="BP14" s="51"/>
      <c r="BQ14" s="51"/>
      <c r="BR14" s="51"/>
      <c r="BS14" s="51"/>
      <c r="BT14" s="51"/>
      <c r="BU14" s="51"/>
      <c r="BV14" s="51"/>
      <c r="BW14" s="51"/>
      <c r="BX14" s="51"/>
      <c r="BY14" s="51"/>
      <c r="BZ14" s="51"/>
      <c r="CA14" s="51">
        <v>1.0</v>
      </c>
      <c r="CB14" s="51"/>
    </row>
    <row r="15" ht="12.75" customHeight="1">
      <c r="A15" s="46" t="s">
        <v>88</v>
      </c>
      <c r="B15" s="47" t="str">
        <f>HYPERLINK("https://drive.google.com/open?id=0B00cIHsghs6UVzRza2FWS3RmcWc","Aranda2010")</f>
        <v>Aranda2010</v>
      </c>
      <c r="C15" s="48" t="s">
        <v>165</v>
      </c>
      <c r="D15" s="48" t="s">
        <v>166</v>
      </c>
      <c r="E15" s="49">
        <v>2010.0</v>
      </c>
      <c r="F15" s="50"/>
      <c r="G15" s="50">
        <v>1.0</v>
      </c>
      <c r="H15" s="50"/>
      <c r="I15" s="50"/>
      <c r="J15" s="50"/>
      <c r="K15" s="50"/>
      <c r="L15" s="50"/>
      <c r="M15" s="50"/>
      <c r="N15" s="50"/>
      <c r="O15" s="50"/>
      <c r="P15" s="50"/>
      <c r="Q15" s="50">
        <v>1.0</v>
      </c>
      <c r="R15" s="50"/>
      <c r="S15" s="50"/>
      <c r="T15" s="50"/>
      <c r="U15" s="50"/>
      <c r="V15" s="51" t="s">
        <v>167</v>
      </c>
      <c r="W15" s="51" t="s">
        <v>168</v>
      </c>
      <c r="X15" s="51" t="s">
        <v>169</v>
      </c>
      <c r="Y15" s="51" t="s">
        <v>170</v>
      </c>
      <c r="Z15" s="51" t="s">
        <v>100</v>
      </c>
      <c r="AA15" s="50">
        <v>1.0</v>
      </c>
      <c r="AB15" s="50"/>
      <c r="AC15" s="50"/>
      <c r="AD15" s="50">
        <v>1.0</v>
      </c>
      <c r="AE15" s="50"/>
      <c r="AF15" s="50"/>
      <c r="AG15" s="50"/>
      <c r="AH15" s="51" t="s">
        <v>171</v>
      </c>
      <c r="AI15" s="52">
        <v>1.0</v>
      </c>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2">
        <v>1.0</v>
      </c>
      <c r="BK15" s="51"/>
      <c r="BL15" s="51"/>
      <c r="BM15" s="51"/>
      <c r="BN15" s="51"/>
      <c r="BO15" s="51"/>
      <c r="BP15" s="51"/>
      <c r="BQ15" s="51"/>
      <c r="BR15" s="51"/>
      <c r="BS15" s="51"/>
      <c r="BT15" s="51"/>
      <c r="BU15" s="51"/>
      <c r="BV15" s="51"/>
      <c r="BW15" s="51"/>
      <c r="BX15" s="51"/>
      <c r="BY15" s="51"/>
      <c r="BZ15" s="51"/>
      <c r="CA15" s="51">
        <v>1.0</v>
      </c>
      <c r="CB15" s="51"/>
    </row>
    <row r="16" ht="12.75" customHeight="1">
      <c r="A16" s="46" t="s">
        <v>172</v>
      </c>
      <c r="B16" s="54" t="str">
        <f>HYPERLINK("https://drive.google.com/open?id=1tSPIqz0LPVMrYYERBGrXa5tezBu_sKXo","Armstrong2007")</f>
        <v>Armstrong2007</v>
      </c>
      <c r="C16" s="62" t="s">
        <v>173</v>
      </c>
      <c r="D16" s="63" t="s">
        <v>174</v>
      </c>
      <c r="E16" s="55">
        <v>2007.0</v>
      </c>
      <c r="F16" s="55"/>
      <c r="G16" s="55"/>
      <c r="H16" s="55"/>
      <c r="I16" s="55">
        <v>1.0</v>
      </c>
      <c r="J16" s="55"/>
      <c r="K16" s="55"/>
      <c r="L16" s="55"/>
      <c r="M16" s="55"/>
      <c r="N16" s="55"/>
      <c r="O16" s="55"/>
      <c r="P16" s="55"/>
      <c r="Q16" s="55"/>
      <c r="R16" s="55"/>
      <c r="S16" s="55"/>
      <c r="T16" s="55"/>
      <c r="U16" s="55"/>
      <c r="V16" s="55" t="s">
        <v>175</v>
      </c>
      <c r="W16" s="55" t="s">
        <v>176</v>
      </c>
      <c r="X16" s="55" t="s">
        <v>177</v>
      </c>
      <c r="Y16" s="55" t="s">
        <v>178</v>
      </c>
      <c r="Z16" s="57" t="s">
        <v>100</v>
      </c>
      <c r="AA16" s="55"/>
      <c r="AB16" s="55">
        <v>1.0</v>
      </c>
      <c r="AC16" s="55"/>
      <c r="AD16" s="55">
        <v>1.0</v>
      </c>
      <c r="AE16" s="55"/>
      <c r="AF16" s="55"/>
      <c r="AG16" s="55"/>
      <c r="AH16" s="48" t="s">
        <v>179</v>
      </c>
      <c r="AI16" s="52">
        <v>1.0</v>
      </c>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2">
        <v>1.0</v>
      </c>
      <c r="BK16" s="51"/>
      <c r="BL16" s="51"/>
      <c r="BM16" s="52">
        <v>1.0</v>
      </c>
      <c r="BN16" s="51"/>
      <c r="BO16" s="51"/>
      <c r="BP16" s="51"/>
      <c r="BQ16" s="51"/>
      <c r="BR16" s="51"/>
      <c r="BS16" s="51"/>
      <c r="BT16" s="51"/>
      <c r="BU16" s="51"/>
      <c r="BV16" s="51"/>
      <c r="BW16" s="51"/>
      <c r="BX16" s="51"/>
      <c r="BY16" s="51"/>
      <c r="BZ16" s="51"/>
      <c r="CA16" s="51">
        <v>1.0</v>
      </c>
      <c r="CB16" s="51"/>
    </row>
    <row r="17" ht="12.75" customHeight="1">
      <c r="A17" s="46" t="s">
        <v>172</v>
      </c>
      <c r="B17" s="56" t="str">
        <f>HYPERLINK("https://drive.google.com/open?id=1L61Nl17Xa4kVGW887nv5j-W5KC3kQzxE","Arnott2006")</f>
        <v>Arnott2006</v>
      </c>
      <c r="C17" s="64" t="s">
        <v>180</v>
      </c>
      <c r="D17" s="55" t="s">
        <v>181</v>
      </c>
      <c r="E17" s="55">
        <v>2006.0</v>
      </c>
      <c r="F17" s="55"/>
      <c r="G17" s="55"/>
      <c r="H17" s="55">
        <v>1.0</v>
      </c>
      <c r="I17" s="55">
        <v>1.0</v>
      </c>
      <c r="J17" s="55"/>
      <c r="K17" s="55"/>
      <c r="L17" s="55"/>
      <c r="M17" s="55">
        <v>1.0</v>
      </c>
      <c r="N17" s="55"/>
      <c r="O17" s="55">
        <v>1.0</v>
      </c>
      <c r="P17" s="55"/>
      <c r="Q17" s="55"/>
      <c r="R17" s="55"/>
      <c r="S17" s="55"/>
      <c r="T17" s="55"/>
      <c r="U17" s="55"/>
      <c r="V17" s="55" t="s">
        <v>182</v>
      </c>
      <c r="W17" s="55" t="s">
        <v>183</v>
      </c>
      <c r="X17" s="55"/>
      <c r="Y17" s="55" t="s">
        <v>184</v>
      </c>
      <c r="Z17" s="55" t="s">
        <v>100</v>
      </c>
      <c r="AA17" s="55"/>
      <c r="AB17" s="55">
        <v>1.0</v>
      </c>
      <c r="AC17" s="55">
        <v>1.0</v>
      </c>
      <c r="AD17" s="55">
        <v>1.0</v>
      </c>
      <c r="AE17" s="55">
        <v>1.0</v>
      </c>
      <c r="AF17" s="55"/>
      <c r="AG17" s="55"/>
      <c r="AH17" s="48" t="s">
        <v>185</v>
      </c>
      <c r="AI17" s="51">
        <v>1.0</v>
      </c>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v>1.0</v>
      </c>
      <c r="BJ17" s="51"/>
      <c r="BK17" s="51"/>
      <c r="BL17" s="51"/>
      <c r="BM17" s="51"/>
      <c r="BN17" s="51"/>
      <c r="BO17" s="51"/>
      <c r="BP17" s="51"/>
      <c r="BQ17" s="51"/>
      <c r="BR17" s="51"/>
      <c r="BS17" s="51"/>
      <c r="BT17" s="51"/>
      <c r="BU17" s="51"/>
      <c r="BV17" s="51"/>
      <c r="BW17" s="51"/>
      <c r="BX17" s="51"/>
      <c r="BY17" s="51"/>
      <c r="BZ17" s="51"/>
      <c r="CA17" s="51"/>
      <c r="CB17" s="51"/>
    </row>
    <row r="18" ht="12.75" customHeight="1">
      <c r="A18" s="46" t="s">
        <v>108</v>
      </c>
      <c r="B18" s="56" t="str">
        <f>HYPERLINK("https://drive.google.com/open?id=0B3oar8-GeP-INnBMUWhOdjE0ODQ","Austrem2011")</f>
        <v>Austrem2011</v>
      </c>
      <c r="C18" s="55" t="s">
        <v>186</v>
      </c>
      <c r="D18" s="55" t="s">
        <v>187</v>
      </c>
      <c r="E18" s="49">
        <v>2011.0</v>
      </c>
      <c r="F18" s="50"/>
      <c r="G18" s="50"/>
      <c r="H18" s="50">
        <v>1.0</v>
      </c>
      <c r="I18" s="50"/>
      <c r="J18" s="50"/>
      <c r="K18" s="50"/>
      <c r="L18" s="50"/>
      <c r="M18" s="50"/>
      <c r="N18" s="50"/>
      <c r="O18" s="50"/>
      <c r="P18" s="50"/>
      <c r="Q18" s="50"/>
      <c r="R18" s="50"/>
      <c r="S18" s="50"/>
      <c r="T18" s="50"/>
      <c r="U18" s="50"/>
      <c r="V18" s="48"/>
      <c r="W18" s="48" t="s">
        <v>188</v>
      </c>
      <c r="X18" s="48" t="s">
        <v>189</v>
      </c>
      <c r="Y18" s="48"/>
      <c r="Z18" s="48" t="s">
        <v>190</v>
      </c>
      <c r="AA18" s="50">
        <v>1.0</v>
      </c>
      <c r="AB18" s="50"/>
      <c r="AC18" s="50"/>
      <c r="AD18" s="50">
        <v>1.0</v>
      </c>
      <c r="AE18" s="50"/>
      <c r="AF18" s="50"/>
      <c r="AG18" s="50"/>
      <c r="AH18" s="51" t="s">
        <v>191</v>
      </c>
      <c r="AI18" s="51">
        <v>1.0</v>
      </c>
      <c r="AJ18" s="51"/>
      <c r="AK18" s="51"/>
      <c r="AL18" s="51"/>
      <c r="AM18" s="51"/>
      <c r="AN18" s="51"/>
      <c r="AO18" s="51"/>
      <c r="AP18" s="51"/>
      <c r="AQ18" s="51"/>
      <c r="AR18" s="51">
        <v>1.0</v>
      </c>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row>
    <row r="19" ht="12.75" customHeight="1">
      <c r="A19" s="46" t="s">
        <v>108</v>
      </c>
      <c r="B19" s="56" t="str">
        <f>HYPERLINK("https://drive.google.com/open?id=0B3oar8-GeP-INTRJMWxsS1AxQnM","Ballis2008")</f>
        <v>Ballis2008</v>
      </c>
      <c r="C19" s="55" t="s">
        <v>192</v>
      </c>
      <c r="D19" s="55" t="s">
        <v>193</v>
      </c>
      <c r="E19" s="55">
        <v>2008.0</v>
      </c>
      <c r="F19" s="50"/>
      <c r="G19" s="50"/>
      <c r="H19" s="50">
        <v>1.0</v>
      </c>
      <c r="I19" s="50"/>
      <c r="J19" s="50"/>
      <c r="K19" s="50"/>
      <c r="L19" s="50"/>
      <c r="M19" s="50"/>
      <c r="N19" s="50"/>
      <c r="O19" s="50"/>
      <c r="P19" s="50"/>
      <c r="Q19" s="50"/>
      <c r="R19" s="50"/>
      <c r="S19" s="50"/>
      <c r="T19" s="50"/>
      <c r="U19" s="50"/>
      <c r="V19" s="48"/>
      <c r="W19" s="48" t="s">
        <v>9</v>
      </c>
      <c r="X19" s="48"/>
      <c r="Y19" s="48"/>
      <c r="Z19" s="48" t="s">
        <v>194</v>
      </c>
      <c r="AA19" s="50">
        <v>1.0</v>
      </c>
      <c r="AB19" s="50"/>
      <c r="AC19" s="50">
        <v>1.0</v>
      </c>
      <c r="AD19" s="50"/>
      <c r="AE19" s="50"/>
      <c r="AF19" s="50"/>
      <c r="AG19" s="50"/>
      <c r="AH19" s="51"/>
      <c r="AI19" s="51">
        <v>1.0</v>
      </c>
      <c r="AJ19" s="51"/>
      <c r="AK19" s="51"/>
      <c r="AL19" s="51"/>
      <c r="AM19" s="51"/>
      <c r="AN19" s="51"/>
      <c r="AO19" s="51"/>
      <c r="AP19" s="51"/>
      <c r="AQ19" s="51"/>
      <c r="AR19" s="51">
        <v>1.0</v>
      </c>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row>
    <row r="20" ht="12.75" customHeight="1">
      <c r="A20" s="46" t="s">
        <v>88</v>
      </c>
      <c r="B20" s="53" t="str">
        <f>HYPERLINK("https://drive.google.com/open?id=0B00cIHsghs6URDZ2emFvSmJJRmc","Barik2015")</f>
        <v>Barik2015</v>
      </c>
      <c r="C20" s="65" t="s">
        <v>195</v>
      </c>
      <c r="D20" s="48" t="s">
        <v>196</v>
      </c>
      <c r="E20" s="49">
        <v>2015.0</v>
      </c>
      <c r="F20" s="50"/>
      <c r="G20" s="50"/>
      <c r="H20" s="50"/>
      <c r="I20" s="50">
        <v>1.0</v>
      </c>
      <c r="J20" s="50"/>
      <c r="K20" s="50"/>
      <c r="L20" s="50"/>
      <c r="M20" s="50"/>
      <c r="N20" s="50"/>
      <c r="O20" s="50"/>
      <c r="P20" s="50"/>
      <c r="Q20" s="50"/>
      <c r="R20" s="50"/>
      <c r="S20" s="50"/>
      <c r="T20" s="50"/>
      <c r="U20" s="50"/>
      <c r="V20" s="51"/>
      <c r="W20" s="51" t="s">
        <v>197</v>
      </c>
      <c r="X20" s="51" t="s">
        <v>92</v>
      </c>
      <c r="Y20" s="51" t="s">
        <v>92</v>
      </c>
      <c r="Z20" s="51" t="s">
        <v>198</v>
      </c>
      <c r="AA20" s="50"/>
      <c r="AB20" s="50"/>
      <c r="AC20" s="50">
        <v>1.0</v>
      </c>
      <c r="AD20" s="50"/>
      <c r="AE20" s="50"/>
      <c r="AF20" s="50"/>
      <c r="AG20" s="50"/>
      <c r="AH20" s="51" t="s">
        <v>199</v>
      </c>
      <c r="AI20" s="51">
        <v>1.0</v>
      </c>
      <c r="AJ20" s="51"/>
      <c r="AK20" s="51"/>
      <c r="AL20" s="51"/>
      <c r="AM20" s="51"/>
      <c r="AN20" s="51"/>
      <c r="AO20" s="51"/>
      <c r="AP20" s="51"/>
      <c r="AQ20" s="51"/>
      <c r="AR20" s="51">
        <v>1.0</v>
      </c>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row>
    <row r="21" ht="12.75" customHeight="1">
      <c r="A21" s="46" t="s">
        <v>172</v>
      </c>
      <c r="B21" s="54" t="str">
        <f>HYPERLINK("https://drive.google.com/open?id=10lUjDLIUCCNUpJhPmMJ3KKnhemH3nxSF","Bednarik2006")</f>
        <v>Bednarik2006</v>
      </c>
      <c r="C21" s="63" t="s">
        <v>200</v>
      </c>
      <c r="D21" s="66" t="s">
        <v>201</v>
      </c>
      <c r="E21" s="55">
        <v>2006.0</v>
      </c>
      <c r="F21" s="55"/>
      <c r="G21" s="55"/>
      <c r="H21" s="55"/>
      <c r="I21" s="55"/>
      <c r="J21" s="55"/>
      <c r="K21" s="55">
        <v>1.0</v>
      </c>
      <c r="L21" s="55"/>
      <c r="M21" s="55"/>
      <c r="N21" s="55"/>
      <c r="O21" s="55"/>
      <c r="P21" s="55"/>
      <c r="Q21" s="55"/>
      <c r="R21" s="55"/>
      <c r="S21" s="55"/>
      <c r="T21" s="55"/>
      <c r="U21" s="55"/>
      <c r="V21" s="55"/>
      <c r="W21" s="55" t="s">
        <v>202</v>
      </c>
      <c r="X21" s="55" t="s">
        <v>203</v>
      </c>
      <c r="Y21" s="66" t="s">
        <v>204</v>
      </c>
      <c r="Z21" s="55" t="s">
        <v>100</v>
      </c>
      <c r="AA21" s="55">
        <v>1.0</v>
      </c>
      <c r="AB21" s="55"/>
      <c r="AC21" s="55"/>
      <c r="AD21" s="55">
        <v>1.0</v>
      </c>
      <c r="AE21" s="55"/>
      <c r="AF21" s="55"/>
      <c r="AG21" s="55"/>
      <c r="AH21" s="48" t="s">
        <v>205</v>
      </c>
      <c r="AI21" s="51">
        <v>1.0</v>
      </c>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2">
        <v>1.0</v>
      </c>
      <c r="BK21" s="51"/>
      <c r="BL21" s="51"/>
      <c r="BM21" s="52">
        <v>1.0</v>
      </c>
      <c r="BN21" s="51"/>
      <c r="BO21" s="51"/>
      <c r="BP21" s="51"/>
      <c r="BQ21" s="51"/>
      <c r="BR21" s="51"/>
      <c r="BS21" s="51"/>
      <c r="BT21" s="51"/>
      <c r="BU21" s="51"/>
      <c r="BV21" s="51"/>
      <c r="BW21" s="51"/>
      <c r="BX21" s="51"/>
      <c r="BY21" s="51"/>
      <c r="BZ21" s="51"/>
      <c r="CA21" s="51"/>
      <c r="CB21" s="51">
        <v>1.0</v>
      </c>
    </row>
    <row r="22" ht="12.75" customHeight="1">
      <c r="A22" s="46" t="s">
        <v>172</v>
      </c>
      <c r="B22" s="56" t="str">
        <f>HYPERLINK("https://drive.google.com/open?id=153ZFMNYR_5zHDHDYEVCxkuemEU7oZWcI","Bednarik2008")</f>
        <v>Bednarik2008</v>
      </c>
      <c r="C22" s="64" t="s">
        <v>206</v>
      </c>
      <c r="D22" s="63" t="s">
        <v>201</v>
      </c>
      <c r="E22" s="55">
        <v>2008.0</v>
      </c>
      <c r="F22" s="55"/>
      <c r="G22" s="55"/>
      <c r="H22" s="55"/>
      <c r="I22" s="55"/>
      <c r="J22" s="55"/>
      <c r="K22" s="55">
        <v>1.0</v>
      </c>
      <c r="L22" s="55"/>
      <c r="M22" s="55"/>
      <c r="N22" s="55"/>
      <c r="O22" s="55"/>
      <c r="P22" s="55"/>
      <c r="Q22" s="55"/>
      <c r="R22" s="55"/>
      <c r="S22" s="55"/>
      <c r="T22" s="55"/>
      <c r="U22" s="55"/>
      <c r="V22" s="55"/>
      <c r="W22" s="55" t="s">
        <v>207</v>
      </c>
      <c r="X22" s="55" t="s">
        <v>208</v>
      </c>
      <c r="Y22" s="55"/>
      <c r="Z22" s="55" t="s">
        <v>100</v>
      </c>
      <c r="AA22" s="55">
        <v>1.0</v>
      </c>
      <c r="AB22" s="55"/>
      <c r="AC22" s="55"/>
      <c r="AD22" s="55">
        <v>1.0</v>
      </c>
      <c r="AE22" s="55"/>
      <c r="AF22" s="55"/>
      <c r="AG22" s="55"/>
      <c r="AH22" s="48" t="s">
        <v>209</v>
      </c>
      <c r="AI22" s="51">
        <v>1.0</v>
      </c>
      <c r="AJ22" s="51">
        <v>1.0</v>
      </c>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v>1.0</v>
      </c>
    </row>
    <row r="23" ht="12.75" customHeight="1">
      <c r="A23" s="46" t="s">
        <v>116</v>
      </c>
      <c r="B23" s="54" t="str">
        <f>HYPERLINK("https://drive.google.com/open?id=0B1GMAYMj9v6rSnFQdjVMX25kcEk","Belk2013")</f>
        <v>Belk2013</v>
      </c>
      <c r="C23" s="55" t="s">
        <v>210</v>
      </c>
      <c r="D23" s="55" t="s">
        <v>211</v>
      </c>
      <c r="E23" s="49">
        <v>2013.0</v>
      </c>
      <c r="F23" s="50"/>
      <c r="G23" s="50">
        <v>1.0</v>
      </c>
      <c r="H23" s="50">
        <v>1.0</v>
      </c>
      <c r="I23" s="50"/>
      <c r="J23" s="50"/>
      <c r="K23" s="50"/>
      <c r="L23" s="50"/>
      <c r="M23" s="50"/>
      <c r="N23" s="50"/>
      <c r="O23" s="50"/>
      <c r="P23" s="50"/>
      <c r="Q23" s="50"/>
      <c r="R23" s="50"/>
      <c r="S23" s="50"/>
      <c r="T23" s="50"/>
      <c r="U23" s="50"/>
      <c r="V23" s="51" t="s">
        <v>212</v>
      </c>
      <c r="W23" s="51" t="s">
        <v>160</v>
      </c>
      <c r="X23" s="51" t="s">
        <v>213</v>
      </c>
      <c r="Y23" s="51" t="s">
        <v>214</v>
      </c>
      <c r="Z23" s="51" t="s">
        <v>215</v>
      </c>
      <c r="AA23" s="50">
        <v>1.0</v>
      </c>
      <c r="AB23" s="50"/>
      <c r="AC23" s="50"/>
      <c r="AD23" s="50">
        <v>1.0</v>
      </c>
      <c r="AE23" s="50"/>
      <c r="AF23" s="50"/>
      <c r="AG23" s="50"/>
      <c r="AH23" s="51" t="s">
        <v>216</v>
      </c>
      <c r="AI23" s="52">
        <v>1.0</v>
      </c>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2">
        <v>1.0</v>
      </c>
      <c r="BK23" s="51"/>
      <c r="BL23" s="51"/>
      <c r="BM23" s="51"/>
      <c r="BN23" s="51"/>
      <c r="BO23" s="51"/>
      <c r="BP23" s="51"/>
      <c r="BQ23" s="51"/>
      <c r="BR23" s="51"/>
      <c r="BS23" s="51"/>
      <c r="BT23" s="51"/>
      <c r="BU23" s="51"/>
      <c r="BV23" s="51"/>
      <c r="BW23" s="51"/>
      <c r="BX23" s="51"/>
      <c r="BY23" s="51"/>
      <c r="BZ23" s="51"/>
      <c r="CA23" s="52">
        <v>1.0</v>
      </c>
      <c r="CB23" s="52">
        <v>1.0</v>
      </c>
    </row>
    <row r="24" ht="12.75" customHeight="1">
      <c r="A24" s="46" t="s">
        <v>116</v>
      </c>
      <c r="B24" s="67" t="str">
        <f>HYPERLINK("https://drive.google.com/open?id=1Fhmlo8O5-dpsIegZS6zEMGeeYHMhFgau","Benbasat1982")</f>
        <v>Benbasat1982</v>
      </c>
      <c r="C24" s="63" t="s">
        <v>217</v>
      </c>
      <c r="D24" s="63" t="s">
        <v>218</v>
      </c>
      <c r="E24" s="49">
        <v>1982.0</v>
      </c>
      <c r="F24" s="50"/>
      <c r="G24" s="50">
        <v>1.0</v>
      </c>
      <c r="H24" s="50"/>
      <c r="I24" s="50"/>
      <c r="J24" s="50"/>
      <c r="K24" s="50"/>
      <c r="L24" s="50"/>
      <c r="M24" s="50"/>
      <c r="N24" s="50"/>
      <c r="O24" s="50"/>
      <c r="P24" s="50"/>
      <c r="Q24" s="50"/>
      <c r="R24" s="50"/>
      <c r="S24" s="50"/>
      <c r="T24" s="50"/>
      <c r="U24" s="50"/>
      <c r="V24" s="51" t="s">
        <v>219</v>
      </c>
      <c r="W24" s="51" t="s">
        <v>220</v>
      </c>
      <c r="X24" s="51" t="s">
        <v>221</v>
      </c>
      <c r="Y24" s="51" t="s">
        <v>221</v>
      </c>
      <c r="Z24" s="51" t="s">
        <v>222</v>
      </c>
      <c r="AA24" s="50"/>
      <c r="AB24" s="50"/>
      <c r="AC24" s="50"/>
      <c r="AD24" s="50"/>
      <c r="AE24" s="50"/>
      <c r="AF24" s="50">
        <v>1.0</v>
      </c>
      <c r="AG24" s="50"/>
      <c r="AH24" s="51" t="s">
        <v>223</v>
      </c>
      <c r="AI24" s="51">
        <v>1.0</v>
      </c>
      <c r="AJ24" s="51"/>
      <c r="AK24" s="51"/>
      <c r="AL24" s="51"/>
      <c r="AM24" s="51"/>
      <c r="AN24" s="51"/>
      <c r="AO24" s="51"/>
      <c r="AP24" s="51"/>
      <c r="AQ24" s="51"/>
      <c r="AR24" s="51">
        <v>1.0</v>
      </c>
      <c r="AS24" s="51"/>
      <c r="AT24" s="51"/>
      <c r="AU24" s="51"/>
      <c r="AV24" s="51"/>
      <c r="AW24" s="51"/>
      <c r="AX24" s="51"/>
      <c r="AY24" s="51"/>
      <c r="AZ24" s="51"/>
      <c r="BA24" s="51"/>
      <c r="BB24" s="51"/>
      <c r="BC24" s="51"/>
      <c r="BD24" s="51"/>
      <c r="BE24" s="51"/>
      <c r="BF24" s="51"/>
      <c r="BG24" s="51">
        <v>1.0</v>
      </c>
      <c r="BH24" s="51"/>
      <c r="BI24" s="51">
        <v>1.0</v>
      </c>
      <c r="BJ24" s="51"/>
      <c r="BK24" s="51"/>
      <c r="BL24" s="51"/>
      <c r="BM24" s="51"/>
      <c r="BN24" s="51"/>
      <c r="BO24" s="51"/>
      <c r="BP24" s="51"/>
      <c r="BQ24" s="51"/>
      <c r="BR24" s="51"/>
      <c r="BS24" s="51"/>
      <c r="BT24" s="51"/>
      <c r="BU24" s="51"/>
      <c r="BV24" s="51"/>
      <c r="BW24" s="51"/>
      <c r="BX24" s="51"/>
      <c r="BY24" s="51"/>
      <c r="BZ24" s="51"/>
      <c r="CA24" s="51"/>
      <c r="CB24" s="51"/>
    </row>
    <row r="25" ht="12.75" customHeight="1">
      <c r="A25" s="46" t="s">
        <v>124</v>
      </c>
      <c r="B25" s="68" t="str">
        <f>HYPERLINK("https://drive.google.com/open?id=0B-nn5iJ29NJaWXdTQlYteDlReXc","Biegel2015")</f>
        <v>Biegel2015</v>
      </c>
      <c r="C25" s="55" t="s">
        <v>224</v>
      </c>
      <c r="D25" s="55" t="s">
        <v>225</v>
      </c>
      <c r="E25" s="57">
        <v>2015.0</v>
      </c>
      <c r="F25" s="58"/>
      <c r="G25" s="50"/>
      <c r="H25" s="50"/>
      <c r="I25" s="50">
        <v>1.0</v>
      </c>
      <c r="J25" s="50"/>
      <c r="K25" s="50"/>
      <c r="L25" s="50"/>
      <c r="M25" s="50"/>
      <c r="N25" s="50"/>
      <c r="O25" s="50"/>
      <c r="P25" s="50"/>
      <c r="Q25" s="50"/>
      <c r="R25" s="50"/>
      <c r="S25" s="50"/>
      <c r="T25" s="50"/>
      <c r="U25" s="50"/>
      <c r="V25" s="60"/>
      <c r="W25" s="48" t="s">
        <v>226</v>
      </c>
      <c r="X25" s="48" t="s">
        <v>227</v>
      </c>
      <c r="Y25" s="69" t="s">
        <v>228</v>
      </c>
      <c r="Z25" s="48" t="s">
        <v>229</v>
      </c>
      <c r="AA25" s="50">
        <v>1.0</v>
      </c>
      <c r="AB25" s="50"/>
      <c r="AC25" s="50"/>
      <c r="AD25" s="50">
        <v>1.0</v>
      </c>
      <c r="AE25" s="50"/>
      <c r="AF25" s="50"/>
      <c r="AG25" s="50"/>
      <c r="AH25" s="59"/>
      <c r="AI25" s="52">
        <v>1.0</v>
      </c>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2">
        <v>1.0</v>
      </c>
      <c r="BK25" s="52"/>
      <c r="BL25" s="51"/>
      <c r="BM25" s="52">
        <v>1.0</v>
      </c>
      <c r="BN25" s="51"/>
      <c r="BO25" s="51"/>
      <c r="BP25" s="51"/>
      <c r="BQ25" s="51"/>
      <c r="BR25" s="51"/>
      <c r="BS25" s="51"/>
      <c r="BT25" s="51"/>
      <c r="BU25" s="52">
        <v>1.0</v>
      </c>
      <c r="BV25" s="51"/>
      <c r="BW25" s="51"/>
      <c r="BX25" s="51"/>
      <c r="BY25" s="51"/>
      <c r="BZ25" s="51"/>
      <c r="CA25" s="51"/>
      <c r="CB25" s="51"/>
    </row>
    <row r="26" ht="12.75" customHeight="1">
      <c r="A26" s="46" t="s">
        <v>116</v>
      </c>
      <c r="B26" s="68" t="str">
        <f>HYPERLINK("https://drive.google.com/open?id=1g07QiLAU4hmS6bqWeu5I-BhgMFgc8HRn","Biehl2007")</f>
        <v>Biehl2007</v>
      </c>
      <c r="C26" s="63" t="s">
        <v>230</v>
      </c>
      <c r="D26" s="63" t="s">
        <v>231</v>
      </c>
      <c r="E26" s="49">
        <v>2007.0</v>
      </c>
      <c r="F26" s="50"/>
      <c r="G26" s="50"/>
      <c r="H26" s="50">
        <v>1.0</v>
      </c>
      <c r="I26" s="50">
        <v>1.0</v>
      </c>
      <c r="J26" s="50"/>
      <c r="K26" s="50">
        <v>1.0</v>
      </c>
      <c r="L26" s="50"/>
      <c r="M26" s="50"/>
      <c r="N26" s="50"/>
      <c r="O26" s="50"/>
      <c r="P26" s="50"/>
      <c r="Q26" s="50"/>
      <c r="R26" s="50"/>
      <c r="S26" s="50"/>
      <c r="T26" s="50"/>
      <c r="U26" s="50"/>
      <c r="V26" s="51" t="s">
        <v>92</v>
      </c>
      <c r="W26" s="51" t="s">
        <v>232</v>
      </c>
      <c r="X26" s="51" t="s">
        <v>233</v>
      </c>
      <c r="Y26" s="51" t="s">
        <v>234</v>
      </c>
      <c r="Z26" s="51" t="s">
        <v>122</v>
      </c>
      <c r="AA26" s="50"/>
      <c r="AB26" s="50">
        <v>1.0</v>
      </c>
      <c r="AC26" s="50"/>
      <c r="AD26" s="50">
        <v>1.0</v>
      </c>
      <c r="AE26" s="50"/>
      <c r="AF26" s="50"/>
      <c r="AG26" s="50"/>
      <c r="AH26" s="51" t="s">
        <v>235</v>
      </c>
      <c r="AI26" s="51">
        <v>1.0</v>
      </c>
      <c r="AJ26" s="52">
        <v>1.0</v>
      </c>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v>1.0</v>
      </c>
      <c r="CB26" s="51"/>
    </row>
    <row r="27" ht="12.75" customHeight="1">
      <c r="A27" s="46" t="s">
        <v>116</v>
      </c>
      <c r="B27" s="68" t="str">
        <f>HYPERLINK("https://drive.google.com/open?id=1YLOWAy-JwNL4ZOiKKYW7KjXODvbMqS-1","Binkley2002")</f>
        <v>Binkley2002</v>
      </c>
      <c r="C27" s="63" t="s">
        <v>236</v>
      </c>
      <c r="D27" s="63" t="s">
        <v>237</v>
      </c>
      <c r="E27" s="49">
        <v>2002.0</v>
      </c>
      <c r="F27" s="50"/>
      <c r="G27" s="50"/>
      <c r="H27" s="50"/>
      <c r="I27" s="50">
        <v>1.0</v>
      </c>
      <c r="J27" s="50"/>
      <c r="K27" s="50">
        <v>1.0</v>
      </c>
      <c r="L27" s="50"/>
      <c r="M27" s="50"/>
      <c r="N27" s="50"/>
      <c r="O27" s="50"/>
      <c r="P27" s="50"/>
      <c r="Q27" s="50"/>
      <c r="R27" s="50"/>
      <c r="S27" s="50"/>
      <c r="T27" s="50"/>
      <c r="U27" s="50"/>
      <c r="V27" s="51" t="s">
        <v>92</v>
      </c>
      <c r="W27" s="51" t="s">
        <v>238</v>
      </c>
      <c r="X27" s="51" t="s">
        <v>239</v>
      </c>
      <c r="Y27" s="51" t="s">
        <v>240</v>
      </c>
      <c r="Z27" s="51" t="s">
        <v>122</v>
      </c>
      <c r="AA27" s="50">
        <v>1.0</v>
      </c>
      <c r="AB27" s="50"/>
      <c r="AC27" s="50"/>
      <c r="AD27" s="50">
        <v>1.0</v>
      </c>
      <c r="AE27" s="50"/>
      <c r="AF27" s="50"/>
      <c r="AG27" s="50"/>
      <c r="AH27" s="51" t="s">
        <v>241</v>
      </c>
      <c r="AI27" s="51">
        <v>1.0</v>
      </c>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2">
        <v>1.0</v>
      </c>
      <c r="BL27" s="51"/>
      <c r="BM27" s="51"/>
      <c r="BN27" s="51"/>
      <c r="BO27" s="51"/>
      <c r="BP27" s="51"/>
      <c r="BQ27" s="51"/>
      <c r="BR27" s="51"/>
      <c r="BS27" s="51"/>
      <c r="BT27" s="51"/>
      <c r="BU27" s="51"/>
      <c r="BV27" s="51"/>
      <c r="BW27" s="51"/>
      <c r="BX27" s="51"/>
      <c r="BY27" s="51">
        <v>1.0</v>
      </c>
      <c r="BZ27" s="51"/>
      <c r="CA27" s="51"/>
      <c r="CB27" s="51"/>
    </row>
    <row r="28" ht="12.75" customHeight="1">
      <c r="A28" s="46" t="s">
        <v>124</v>
      </c>
      <c r="B28" s="54" t="str">
        <f>HYPERLINK("https://drive.google.com/open?id=0B-nn5iJ29NJab19vdWtRdENOcnc","Blackwell2002")</f>
        <v>Blackwell2002</v>
      </c>
      <c r="C28" s="55" t="s">
        <v>242</v>
      </c>
      <c r="D28" s="55" t="s">
        <v>243</v>
      </c>
      <c r="E28" s="57">
        <v>2002.0</v>
      </c>
      <c r="F28" s="58"/>
      <c r="G28" s="50"/>
      <c r="H28" s="50"/>
      <c r="I28" s="50">
        <v>1.0</v>
      </c>
      <c r="J28" s="50"/>
      <c r="K28" s="50"/>
      <c r="L28" s="50"/>
      <c r="M28" s="50"/>
      <c r="N28" s="50"/>
      <c r="O28" s="50"/>
      <c r="P28" s="50"/>
      <c r="Q28" s="50"/>
      <c r="R28" s="50"/>
      <c r="S28" s="50"/>
      <c r="T28" s="50"/>
      <c r="U28" s="50"/>
      <c r="V28" s="48" t="s">
        <v>244</v>
      </c>
      <c r="W28" s="69" t="s">
        <v>7</v>
      </c>
      <c r="X28" s="48"/>
      <c r="Y28" s="48"/>
      <c r="Z28" s="48" t="s">
        <v>245</v>
      </c>
      <c r="AA28" s="50"/>
      <c r="AB28" s="50"/>
      <c r="AC28" s="50">
        <v>1.0</v>
      </c>
      <c r="AD28" s="50">
        <v>1.0</v>
      </c>
      <c r="AE28" s="50"/>
      <c r="AF28" s="50"/>
      <c r="AG28" s="50"/>
      <c r="AH28" s="59"/>
      <c r="AI28" s="52">
        <v>1.0</v>
      </c>
      <c r="AJ28" s="52">
        <v>1.0</v>
      </c>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row>
    <row r="29" ht="12.75" customHeight="1">
      <c r="A29" s="46" t="s">
        <v>124</v>
      </c>
      <c r="B29" s="54" t="str">
        <f>HYPERLINK("https://drive.google.com/open?id=0B-nn5iJ29NJaTkt5NGtXdFRTYkE","Breaux2012")</f>
        <v>Breaux2012</v>
      </c>
      <c r="C29" s="55" t="s">
        <v>246</v>
      </c>
      <c r="D29" s="55" t="s">
        <v>247</v>
      </c>
      <c r="E29" s="57">
        <v>2012.0</v>
      </c>
      <c r="F29" s="58"/>
      <c r="G29" s="50">
        <v>1.0</v>
      </c>
      <c r="H29" s="50"/>
      <c r="I29" s="50"/>
      <c r="J29" s="50"/>
      <c r="K29" s="50"/>
      <c r="L29" s="50"/>
      <c r="M29" s="50"/>
      <c r="N29" s="50"/>
      <c r="O29" s="50"/>
      <c r="P29" s="50"/>
      <c r="Q29" s="50"/>
      <c r="R29" s="50"/>
      <c r="S29" s="50"/>
      <c r="T29" s="50"/>
      <c r="U29" s="50"/>
      <c r="V29" s="48" t="s">
        <v>248</v>
      </c>
      <c r="W29" s="69" t="s">
        <v>249</v>
      </c>
      <c r="X29" s="48"/>
      <c r="Y29" s="48"/>
      <c r="Z29" s="48" t="s">
        <v>250</v>
      </c>
      <c r="AA29" s="50"/>
      <c r="AB29" s="50"/>
      <c r="AC29" s="50"/>
      <c r="AD29" s="50"/>
      <c r="AE29" s="50"/>
      <c r="AF29" s="50"/>
      <c r="AG29" s="50">
        <v>1.0</v>
      </c>
      <c r="AH29" s="59"/>
      <c r="AI29" s="52">
        <v>1.0</v>
      </c>
      <c r="AJ29" s="51"/>
      <c r="AK29" s="51"/>
      <c r="AL29" s="51"/>
      <c r="AM29" s="51"/>
      <c r="AN29" s="51"/>
      <c r="AO29" s="51"/>
      <c r="AP29" s="51"/>
      <c r="AQ29" s="52">
        <v>1.0</v>
      </c>
      <c r="AR29" s="51"/>
      <c r="AS29" s="51"/>
      <c r="AT29" s="51"/>
      <c r="AU29" s="51"/>
      <c r="AV29" s="51"/>
      <c r="AW29" s="51"/>
      <c r="AX29" s="51"/>
      <c r="AY29" s="51"/>
      <c r="AZ29" s="51"/>
      <c r="BA29" s="51"/>
      <c r="BB29" s="51"/>
      <c r="BC29" s="51"/>
      <c r="BD29" s="51"/>
      <c r="BE29" s="51"/>
      <c r="BF29" s="51"/>
      <c r="BG29" s="51"/>
      <c r="BH29" s="51"/>
      <c r="BI29" s="51"/>
      <c r="BJ29" s="52">
        <v>1.0</v>
      </c>
      <c r="BK29" s="51"/>
      <c r="BL29" s="51"/>
      <c r="BM29" s="51"/>
      <c r="BN29" s="51"/>
      <c r="BO29" s="51"/>
      <c r="BP29" s="51"/>
      <c r="BQ29" s="51"/>
      <c r="BR29" s="51"/>
      <c r="BS29" s="51"/>
      <c r="BT29" s="51"/>
      <c r="BU29" s="51"/>
      <c r="BV29" s="51"/>
      <c r="BW29" s="51"/>
      <c r="BX29" s="51"/>
      <c r="BY29" s="51"/>
      <c r="BZ29" s="51"/>
      <c r="CA29" s="51"/>
      <c r="CB29" s="51"/>
    </row>
    <row r="30" ht="12.75" customHeight="1">
      <c r="A30" s="46" t="s">
        <v>88</v>
      </c>
      <c r="B30" s="53" t="str">
        <f>HYPERLINK("https://drive.google.com/open?id=0B00cIHsghs6US0hPVC04N1ZSdUk","Briggs2002")</f>
        <v>Briggs2002</v>
      </c>
      <c r="C30" s="48" t="s">
        <v>251</v>
      </c>
      <c r="D30" s="48" t="s">
        <v>252</v>
      </c>
      <c r="E30" s="49">
        <v>2002.0</v>
      </c>
      <c r="F30" s="50"/>
      <c r="G30" s="50">
        <v>1.0</v>
      </c>
      <c r="H30" s="50"/>
      <c r="I30" s="50"/>
      <c r="J30" s="50"/>
      <c r="K30" s="50"/>
      <c r="L30" s="50"/>
      <c r="M30" s="50"/>
      <c r="N30" s="50"/>
      <c r="O30" s="50"/>
      <c r="P30" s="50"/>
      <c r="Q30" s="50"/>
      <c r="R30" s="50"/>
      <c r="S30" s="50"/>
      <c r="T30" s="50"/>
      <c r="U30" s="50"/>
      <c r="V30" s="51" t="s">
        <v>253</v>
      </c>
      <c r="W30" s="51" t="s">
        <v>9</v>
      </c>
      <c r="X30" s="51" t="s">
        <v>92</v>
      </c>
      <c r="Y30" s="51" t="s">
        <v>92</v>
      </c>
      <c r="Z30" s="51" t="s">
        <v>254</v>
      </c>
      <c r="AA30" s="50"/>
      <c r="AB30" s="50"/>
      <c r="AC30" s="50">
        <v>1.0</v>
      </c>
      <c r="AD30" s="50"/>
      <c r="AE30" s="50"/>
      <c r="AF30" s="50"/>
      <c r="AG30" s="50"/>
      <c r="AH30" s="51" t="s">
        <v>255</v>
      </c>
      <c r="AI30" s="51">
        <v>1.0</v>
      </c>
      <c r="AJ30" s="51"/>
      <c r="AK30" s="51"/>
      <c r="AL30" s="51"/>
      <c r="AM30" s="51"/>
      <c r="AN30" s="51"/>
      <c r="AO30" s="51"/>
      <c r="AP30" s="51"/>
      <c r="AQ30" s="51"/>
      <c r="AR30" s="51">
        <v>1.0</v>
      </c>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row>
    <row r="31" ht="12.75" customHeight="1">
      <c r="A31" s="46" t="s">
        <v>124</v>
      </c>
      <c r="B31" s="67" t="str">
        <f>HYPERLINK("https://drive.google.com/open?id=1i4TXOosnai-wnNjxWbLEkksA4W72RsvW","Brooks1983")</f>
        <v>Brooks1983</v>
      </c>
      <c r="C31" s="48" t="s">
        <v>256</v>
      </c>
      <c r="D31" s="48" t="s">
        <v>257</v>
      </c>
      <c r="E31" s="49">
        <v>1983.0</v>
      </c>
      <c r="F31" s="50"/>
      <c r="G31" s="50"/>
      <c r="H31" s="50"/>
      <c r="I31" s="50">
        <v>1.0</v>
      </c>
      <c r="J31" s="50"/>
      <c r="K31" s="50"/>
      <c r="L31" s="50"/>
      <c r="M31" s="50"/>
      <c r="N31" s="50"/>
      <c r="O31" s="50"/>
      <c r="P31" s="50"/>
      <c r="Q31" s="50"/>
      <c r="R31" s="50"/>
      <c r="S31" s="50"/>
      <c r="T31" s="50"/>
      <c r="U31" s="50"/>
      <c r="V31" s="48"/>
      <c r="W31" s="48" t="s">
        <v>258</v>
      </c>
      <c r="X31" s="48"/>
      <c r="Y31" s="48"/>
      <c r="Z31" s="48" t="s">
        <v>259</v>
      </c>
      <c r="AA31" s="50"/>
      <c r="AB31" s="50">
        <v>1.0</v>
      </c>
      <c r="AC31" s="50"/>
      <c r="AD31" s="50"/>
      <c r="AE31" s="50"/>
      <c r="AF31" s="50">
        <v>1.0</v>
      </c>
      <c r="AG31" s="50"/>
      <c r="AH31" s="59"/>
      <c r="AI31" s="51">
        <v>1.0</v>
      </c>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v>1.0</v>
      </c>
      <c r="BK31" s="51"/>
      <c r="BL31" s="51"/>
      <c r="BM31" s="51"/>
      <c r="BN31" s="51"/>
      <c r="BO31" s="51"/>
      <c r="BP31" s="51"/>
      <c r="BQ31" s="51"/>
      <c r="BR31" s="51"/>
      <c r="BS31" s="51"/>
      <c r="BT31" s="51"/>
      <c r="BU31" s="51"/>
      <c r="BV31" s="51"/>
      <c r="BW31" s="51"/>
      <c r="BX31" s="51"/>
      <c r="BY31" s="51"/>
      <c r="BZ31" s="51"/>
      <c r="CA31" s="51"/>
      <c r="CB31" s="51"/>
    </row>
    <row r="32" ht="12.75" customHeight="1">
      <c r="A32" s="46" t="s">
        <v>124</v>
      </c>
      <c r="B32" s="67" t="str">
        <f>HYPERLINK("https://drive.google.com/open?id=192KK8UbQdNX2Q7NJDtZ_h23wbkprk06_","Browne2002")</f>
        <v>Browne2002</v>
      </c>
      <c r="C32" s="48" t="s">
        <v>260</v>
      </c>
      <c r="D32" s="48" t="s">
        <v>261</v>
      </c>
      <c r="E32" s="49">
        <v>2002.0</v>
      </c>
      <c r="F32" s="50"/>
      <c r="G32" s="50">
        <v>1.0</v>
      </c>
      <c r="H32" s="50"/>
      <c r="I32" s="50"/>
      <c r="J32" s="50"/>
      <c r="K32" s="50"/>
      <c r="L32" s="50"/>
      <c r="M32" s="50"/>
      <c r="N32" s="50"/>
      <c r="O32" s="50"/>
      <c r="P32" s="50"/>
      <c r="Q32" s="50"/>
      <c r="R32" s="50"/>
      <c r="S32" s="50"/>
      <c r="T32" s="50"/>
      <c r="U32" s="50"/>
      <c r="V32" s="48" t="s">
        <v>262</v>
      </c>
      <c r="W32" s="48" t="s">
        <v>263</v>
      </c>
      <c r="X32" s="48" t="s">
        <v>264</v>
      </c>
      <c r="Y32" s="48" t="s">
        <v>265</v>
      </c>
      <c r="Z32" s="48" t="s">
        <v>266</v>
      </c>
      <c r="AA32" s="50"/>
      <c r="AB32" s="50"/>
      <c r="AC32" s="50">
        <v>1.0</v>
      </c>
      <c r="AD32" s="50"/>
      <c r="AE32" s="50"/>
      <c r="AF32" s="50"/>
      <c r="AG32" s="50"/>
      <c r="AH32" s="59"/>
      <c r="AI32" s="51">
        <v>1.0</v>
      </c>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v>1.0</v>
      </c>
      <c r="BJ32" s="51"/>
      <c r="BK32" s="51"/>
      <c r="BL32" s="51"/>
      <c r="BM32" s="51"/>
      <c r="BN32" s="51"/>
      <c r="BO32" s="51"/>
      <c r="BP32" s="51"/>
      <c r="BQ32" s="51"/>
      <c r="BR32" s="51"/>
      <c r="BS32" s="51"/>
      <c r="BT32" s="51"/>
      <c r="BU32" s="51"/>
      <c r="BV32" s="51"/>
      <c r="BW32" s="51"/>
      <c r="BX32" s="51"/>
      <c r="BY32" s="51">
        <v>1.0</v>
      </c>
      <c r="BZ32" s="51"/>
      <c r="CA32" s="51"/>
      <c r="CB32" s="51"/>
    </row>
    <row r="33" ht="12.75" customHeight="1">
      <c r="A33" s="46" t="s">
        <v>124</v>
      </c>
      <c r="B33" s="68" t="str">
        <f>HYPERLINK("https://drive.google.com/open?id=17eGC-n3xmlQwz2BJvvI_OKSdZojSBlu4","Burkhardt2002")</f>
        <v>Burkhardt2002</v>
      </c>
      <c r="C33" s="48" t="s">
        <v>267</v>
      </c>
      <c r="D33" s="48" t="s">
        <v>268</v>
      </c>
      <c r="E33" s="49">
        <v>2002.0</v>
      </c>
      <c r="F33" s="50"/>
      <c r="G33" s="50"/>
      <c r="H33" s="50">
        <v>1.0</v>
      </c>
      <c r="I33" s="50">
        <v>1.0</v>
      </c>
      <c r="J33" s="50"/>
      <c r="K33" s="50"/>
      <c r="L33" s="50"/>
      <c r="M33" s="50"/>
      <c r="N33" s="50"/>
      <c r="O33" s="50"/>
      <c r="P33" s="50"/>
      <c r="Q33" s="50"/>
      <c r="R33" s="50"/>
      <c r="S33" s="50"/>
      <c r="T33" s="50"/>
      <c r="U33" s="50"/>
      <c r="V33" s="48" t="s">
        <v>269</v>
      </c>
      <c r="W33" s="48" t="s">
        <v>270</v>
      </c>
      <c r="X33" s="48"/>
      <c r="Y33" s="48" t="s">
        <v>271</v>
      </c>
      <c r="Z33" s="48" t="s">
        <v>272</v>
      </c>
      <c r="AA33" s="50">
        <v>1.0</v>
      </c>
      <c r="AB33" s="50">
        <v>1.0</v>
      </c>
      <c r="AC33" s="50"/>
      <c r="AD33" s="50">
        <v>1.0</v>
      </c>
      <c r="AE33" s="50"/>
      <c r="AF33" s="50"/>
      <c r="AG33" s="50"/>
      <c r="AH33" s="59"/>
      <c r="AI33" s="51">
        <v>1.0</v>
      </c>
      <c r="AJ33" s="51"/>
      <c r="AK33" s="51"/>
      <c r="AL33" s="51"/>
      <c r="AM33" s="51"/>
      <c r="AN33" s="51"/>
      <c r="AO33" s="51"/>
      <c r="AP33" s="51"/>
      <c r="AQ33" s="51"/>
      <c r="AR33" s="51"/>
      <c r="AS33" s="51"/>
      <c r="AT33" s="51"/>
      <c r="AU33" s="51"/>
      <c r="AV33" s="51"/>
      <c r="AW33" s="51"/>
      <c r="AX33" s="51"/>
      <c r="AY33" s="51"/>
      <c r="AZ33" s="51"/>
      <c r="BA33" s="51"/>
      <c r="BB33" s="51"/>
      <c r="BC33" s="51"/>
      <c r="BD33" s="51"/>
      <c r="BE33" s="52">
        <v>1.0</v>
      </c>
      <c r="BF33" s="51"/>
      <c r="BG33" s="51"/>
      <c r="BH33" s="51"/>
      <c r="BI33" s="51"/>
      <c r="BJ33" s="52">
        <v>1.0</v>
      </c>
      <c r="BK33" s="51"/>
      <c r="BL33" s="51"/>
      <c r="BM33" s="51"/>
      <c r="BN33" s="51"/>
      <c r="BO33" s="51"/>
      <c r="BP33" s="51"/>
      <c r="BQ33" s="51"/>
      <c r="BR33" s="51"/>
      <c r="BS33" s="51"/>
      <c r="BT33" s="51"/>
      <c r="BU33" s="51"/>
      <c r="BV33" s="51"/>
      <c r="BW33" s="51"/>
      <c r="BX33" s="51"/>
      <c r="BY33" s="51">
        <v>1.0</v>
      </c>
      <c r="BZ33" s="51"/>
      <c r="CA33" s="51"/>
      <c r="CB33" s="51"/>
    </row>
    <row r="34" ht="12.75" customHeight="1">
      <c r="A34" s="46" t="s">
        <v>88</v>
      </c>
      <c r="B34" s="53" t="str">
        <f>HYPERLINK("https://drive.google.com/open?id=1wDqVM-XyISIANaZ_p2GNviZ5r-_0OFSH","Burton-Jones2006")</f>
        <v>Burton-Jones2006</v>
      </c>
      <c r="C34" s="48" t="s">
        <v>273</v>
      </c>
      <c r="D34" s="48" t="s">
        <v>274</v>
      </c>
      <c r="E34" s="49">
        <v>2006.0</v>
      </c>
      <c r="F34" s="50"/>
      <c r="G34" s="50"/>
      <c r="H34" s="50">
        <v>1.0</v>
      </c>
      <c r="I34" s="50"/>
      <c r="J34" s="50"/>
      <c r="K34" s="50"/>
      <c r="L34" s="50"/>
      <c r="M34" s="50"/>
      <c r="N34" s="50"/>
      <c r="O34" s="50"/>
      <c r="P34" s="50"/>
      <c r="Q34" s="50"/>
      <c r="R34" s="50"/>
      <c r="S34" s="50"/>
      <c r="T34" s="50"/>
      <c r="U34" s="50"/>
      <c r="V34" s="51"/>
      <c r="W34" s="51" t="s">
        <v>275</v>
      </c>
      <c r="X34" s="51" t="s">
        <v>84</v>
      </c>
      <c r="Y34" s="51" t="s">
        <v>276</v>
      </c>
      <c r="Z34" s="51" t="s">
        <v>100</v>
      </c>
      <c r="AA34" s="50">
        <v>1.0</v>
      </c>
      <c r="AB34" s="50"/>
      <c r="AC34" s="50"/>
      <c r="AD34" s="50">
        <v>1.0</v>
      </c>
      <c r="AE34" s="50"/>
      <c r="AF34" s="50"/>
      <c r="AG34" s="50"/>
      <c r="AH34" s="51"/>
      <c r="AI34" s="51">
        <v>1.0</v>
      </c>
      <c r="AJ34" s="51"/>
      <c r="AK34" s="51"/>
      <c r="AL34" s="51"/>
      <c r="AM34" s="51"/>
      <c r="AN34" s="51">
        <v>1.0</v>
      </c>
      <c r="AO34" s="51"/>
      <c r="AP34" s="51"/>
      <c r="AQ34" s="51"/>
      <c r="AR34" s="51"/>
      <c r="AS34" s="51"/>
      <c r="AT34" s="51"/>
      <c r="AU34" s="51"/>
      <c r="AV34" s="51"/>
      <c r="AW34" s="51"/>
      <c r="AX34" s="51"/>
      <c r="AY34" s="51"/>
      <c r="AZ34" s="51"/>
      <c r="BA34" s="51"/>
      <c r="BB34" s="51"/>
      <c r="BC34" s="51"/>
      <c r="BD34" s="51"/>
      <c r="BE34" s="51">
        <v>1.0</v>
      </c>
      <c r="BF34" s="51"/>
      <c r="BG34" s="51"/>
      <c r="BH34" s="51"/>
      <c r="BI34" s="51"/>
      <c r="BJ34" s="51"/>
      <c r="BK34" s="51"/>
      <c r="BL34" s="51"/>
      <c r="BM34" s="51"/>
      <c r="BN34" s="51"/>
      <c r="BO34" s="51"/>
      <c r="BP34" s="51"/>
      <c r="BQ34" s="51"/>
      <c r="BR34" s="51"/>
      <c r="BS34" s="51"/>
      <c r="BT34" s="51"/>
      <c r="BU34" s="51"/>
      <c r="BV34" s="51"/>
      <c r="BW34" s="51"/>
      <c r="BX34" s="51"/>
      <c r="BY34" s="51">
        <v>1.0</v>
      </c>
      <c r="BZ34" s="51"/>
      <c r="CA34" s="51">
        <v>1.0</v>
      </c>
      <c r="CB34" s="51"/>
    </row>
    <row r="35" ht="12.75" customHeight="1">
      <c r="A35" s="46" t="s">
        <v>88</v>
      </c>
      <c r="B35" s="53" t="str">
        <f>HYPERLINK("https://drive.google.com/open?id=0B00cIHsghs6US29kUUxuaGVXS1k","Calikli2010")</f>
        <v>Calikli2010</v>
      </c>
      <c r="C35" s="48" t="s">
        <v>277</v>
      </c>
      <c r="D35" s="48" t="s">
        <v>278</v>
      </c>
      <c r="E35" s="49">
        <v>2010.0</v>
      </c>
      <c r="F35" s="58"/>
      <c r="G35" s="50"/>
      <c r="H35" s="50"/>
      <c r="I35" s="50"/>
      <c r="J35" s="50">
        <v>1.0</v>
      </c>
      <c r="K35" s="50"/>
      <c r="L35" s="50"/>
      <c r="M35" s="50"/>
      <c r="N35" s="50"/>
      <c r="O35" s="50"/>
      <c r="P35" s="50"/>
      <c r="Q35" s="50"/>
      <c r="R35" s="50"/>
      <c r="S35" s="50"/>
      <c r="T35" s="50"/>
      <c r="U35" s="50"/>
      <c r="V35" s="51"/>
      <c r="W35" s="51" t="s">
        <v>279</v>
      </c>
      <c r="X35" s="51" t="s">
        <v>280</v>
      </c>
      <c r="Y35" s="51" t="s">
        <v>281</v>
      </c>
      <c r="Z35" s="51" t="s">
        <v>137</v>
      </c>
      <c r="AA35" s="50">
        <v>1.0</v>
      </c>
      <c r="AB35" s="50">
        <v>1.0</v>
      </c>
      <c r="AC35" s="50"/>
      <c r="AD35" s="50">
        <v>1.0</v>
      </c>
      <c r="AE35" s="50"/>
      <c r="AF35" s="50"/>
      <c r="AG35" s="50"/>
      <c r="AH35" s="51" t="s">
        <v>282</v>
      </c>
      <c r="AI35" s="51">
        <v>1.0</v>
      </c>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v>1.0</v>
      </c>
      <c r="BJ35" s="51"/>
      <c r="BK35" s="51"/>
      <c r="BL35" s="51"/>
      <c r="BM35" s="51"/>
      <c r="BN35" s="51"/>
      <c r="BO35" s="51"/>
      <c r="BP35" s="51"/>
      <c r="BQ35" s="51"/>
      <c r="BR35" s="51"/>
      <c r="BS35" s="51"/>
      <c r="BT35" s="51"/>
      <c r="BU35" s="51"/>
      <c r="BV35" s="51"/>
      <c r="BW35" s="51"/>
      <c r="BX35" s="51"/>
      <c r="BY35" s="51">
        <v>1.0</v>
      </c>
      <c r="BZ35" s="51"/>
      <c r="CA35" s="51"/>
      <c r="CB35" s="51"/>
    </row>
    <row r="36" ht="12.75" customHeight="1">
      <c r="A36" s="46" t="s">
        <v>88</v>
      </c>
      <c r="B36" s="53" t="str">
        <f>HYPERLINK("https://drive.google.com/open?id=1fcMG7VLxvLv0V7VCK5HEmvmM37MfJUH2","Calikli2010")</f>
        <v>Calikli2010</v>
      </c>
      <c r="C36" s="48" t="s">
        <v>283</v>
      </c>
      <c r="D36" s="48" t="s">
        <v>284</v>
      </c>
      <c r="E36" s="49">
        <v>2010.0</v>
      </c>
      <c r="F36" s="50"/>
      <c r="G36" s="50"/>
      <c r="H36" s="50"/>
      <c r="I36" s="50"/>
      <c r="J36" s="50">
        <v>1.0</v>
      </c>
      <c r="K36" s="50"/>
      <c r="L36" s="50"/>
      <c r="M36" s="50"/>
      <c r="N36" s="50"/>
      <c r="O36" s="50"/>
      <c r="P36" s="50"/>
      <c r="Q36" s="50"/>
      <c r="R36" s="50"/>
      <c r="S36" s="50"/>
      <c r="T36" s="50"/>
      <c r="U36" s="50"/>
      <c r="V36" s="51"/>
      <c r="W36" s="51" t="s">
        <v>285</v>
      </c>
      <c r="X36" s="51" t="s">
        <v>84</v>
      </c>
      <c r="Y36" s="51" t="s">
        <v>286</v>
      </c>
      <c r="Z36" s="51" t="s">
        <v>100</v>
      </c>
      <c r="AA36" s="50">
        <v>1.0</v>
      </c>
      <c r="AB36" s="50">
        <v>1.0</v>
      </c>
      <c r="AC36" s="50"/>
      <c r="AD36" s="50">
        <v>1.0</v>
      </c>
      <c r="AE36" s="50"/>
      <c r="AF36" s="50"/>
      <c r="AG36" s="50"/>
      <c r="AH36" s="51"/>
      <c r="AI36" s="51">
        <v>1.0</v>
      </c>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v>1.0</v>
      </c>
      <c r="BJ36" s="51"/>
      <c r="BK36" s="51"/>
      <c r="BL36" s="51"/>
      <c r="BM36" s="51"/>
      <c r="BN36" s="51"/>
      <c r="BO36" s="51"/>
      <c r="BP36" s="51"/>
      <c r="BQ36" s="51"/>
      <c r="BR36" s="51"/>
      <c r="BS36" s="51"/>
      <c r="BT36" s="51"/>
      <c r="BU36" s="51"/>
      <c r="BV36" s="51"/>
      <c r="BW36" s="51"/>
      <c r="BX36" s="51"/>
      <c r="BY36" s="51">
        <v>1.0</v>
      </c>
      <c r="BZ36" s="51"/>
      <c r="CA36" s="51"/>
      <c r="CB36" s="51"/>
    </row>
    <row r="37" ht="12.75" customHeight="1">
      <c r="A37" s="46" t="s">
        <v>124</v>
      </c>
      <c r="B37" s="56" t="str">
        <f>HYPERLINK("https://drive.google.com/open?id=0B-nn5iJ29NJaeVdEbEwzZWpyWGM","Calikli2010b")</f>
        <v>Calikli2010b</v>
      </c>
      <c r="C37" s="55" t="s">
        <v>287</v>
      </c>
      <c r="D37" s="55" t="s">
        <v>288</v>
      </c>
      <c r="E37" s="57">
        <v>2010.0</v>
      </c>
      <c r="F37" s="58"/>
      <c r="G37" s="50"/>
      <c r="H37" s="50"/>
      <c r="I37" s="50"/>
      <c r="J37" s="50"/>
      <c r="K37" s="50"/>
      <c r="L37" s="50"/>
      <c r="M37" s="50"/>
      <c r="N37" s="50"/>
      <c r="O37" s="50"/>
      <c r="P37" s="50">
        <v>1.0</v>
      </c>
      <c r="Q37" s="50"/>
      <c r="R37" s="50"/>
      <c r="S37" s="50"/>
      <c r="T37" s="50"/>
      <c r="U37" s="50"/>
      <c r="V37" s="48"/>
      <c r="W37" s="48" t="s">
        <v>289</v>
      </c>
      <c r="X37" s="48"/>
      <c r="Y37" s="48" t="s">
        <v>290</v>
      </c>
      <c r="Z37" s="48" t="s">
        <v>291</v>
      </c>
      <c r="AA37" s="50"/>
      <c r="AB37" s="50">
        <v>1.0</v>
      </c>
      <c r="AC37" s="50"/>
      <c r="AD37" s="50">
        <v>1.0</v>
      </c>
      <c r="AE37" s="50"/>
      <c r="AF37" s="50"/>
      <c r="AG37" s="50"/>
      <c r="AH37" s="59"/>
      <c r="AI37" s="51">
        <v>1.0</v>
      </c>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v>1.0</v>
      </c>
      <c r="BJ37" s="51"/>
      <c r="BK37" s="51"/>
      <c r="BL37" s="51"/>
      <c r="BM37" s="51"/>
      <c r="BN37" s="51"/>
      <c r="BO37" s="51"/>
      <c r="BP37" s="51"/>
      <c r="BQ37" s="51"/>
      <c r="BR37" s="51"/>
      <c r="BS37" s="51"/>
      <c r="BT37" s="51"/>
      <c r="BU37" s="51"/>
      <c r="BV37" s="51"/>
      <c r="BW37" s="51"/>
      <c r="BX37" s="51"/>
      <c r="BY37" s="51">
        <v>1.0</v>
      </c>
      <c r="BZ37" s="51"/>
      <c r="CA37" s="51"/>
      <c r="CB37" s="51"/>
    </row>
    <row r="38" ht="12.75" customHeight="1">
      <c r="A38" s="46" t="s">
        <v>88</v>
      </c>
      <c r="B38" s="53" t="str">
        <f>HYPERLINK("https://drive.google.com/open?id=1s4pfRkUWC9WZ87QiCrjSPmoZmsrLoN7u","Calikli2010c")</f>
        <v>Calikli2010c</v>
      </c>
      <c r="C38" s="48" t="s">
        <v>292</v>
      </c>
      <c r="D38" s="48" t="s">
        <v>293</v>
      </c>
      <c r="E38" s="49">
        <v>2010.0</v>
      </c>
      <c r="F38" s="50"/>
      <c r="G38" s="50"/>
      <c r="H38" s="50"/>
      <c r="I38" s="50"/>
      <c r="J38" s="50">
        <v>1.0</v>
      </c>
      <c r="K38" s="50"/>
      <c r="L38" s="50"/>
      <c r="M38" s="50"/>
      <c r="N38" s="50"/>
      <c r="O38" s="50"/>
      <c r="P38" s="50"/>
      <c r="Q38" s="50"/>
      <c r="R38" s="50"/>
      <c r="S38" s="50"/>
      <c r="T38" s="50"/>
      <c r="U38" s="50"/>
      <c r="V38" s="51"/>
      <c r="W38" s="51" t="s">
        <v>285</v>
      </c>
      <c r="X38" s="51" t="s">
        <v>84</v>
      </c>
      <c r="Y38" s="51" t="s">
        <v>286</v>
      </c>
      <c r="Z38" s="51" t="s">
        <v>100</v>
      </c>
      <c r="AA38" s="50">
        <v>1.0</v>
      </c>
      <c r="AB38" s="50">
        <v>1.0</v>
      </c>
      <c r="AC38" s="50"/>
      <c r="AD38" s="50">
        <v>1.0</v>
      </c>
      <c r="AE38" s="50"/>
      <c r="AF38" s="50"/>
      <c r="AG38" s="50"/>
      <c r="AH38" s="51" t="s">
        <v>294</v>
      </c>
      <c r="AI38" s="51">
        <v>1.0</v>
      </c>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v>1.0</v>
      </c>
      <c r="BJ38" s="51"/>
      <c r="BK38" s="51"/>
      <c r="BL38" s="51"/>
      <c r="BM38" s="51"/>
      <c r="BN38" s="51"/>
      <c r="BO38" s="51"/>
      <c r="BP38" s="51"/>
      <c r="BQ38" s="51"/>
      <c r="BR38" s="51"/>
      <c r="BS38" s="51"/>
      <c r="BT38" s="51"/>
      <c r="BU38" s="51"/>
      <c r="BV38" s="51"/>
      <c r="BW38" s="51"/>
      <c r="BX38" s="51"/>
      <c r="BY38" s="51">
        <v>1.0</v>
      </c>
      <c r="BZ38" s="51"/>
      <c r="CA38" s="51"/>
      <c r="CB38" s="51"/>
    </row>
    <row r="39" ht="12.75" customHeight="1">
      <c r="A39" s="46" t="s">
        <v>124</v>
      </c>
      <c r="B39" s="56" t="str">
        <f>HYPERLINK("https://drive.google.com/open?id=0B-nn5iJ29NJaaTRaYkt1MGdYbWs","Calikli2012")</f>
        <v>Calikli2012</v>
      </c>
      <c r="C39" s="55" t="s">
        <v>295</v>
      </c>
      <c r="D39" s="55" t="s">
        <v>296</v>
      </c>
      <c r="E39" s="57">
        <v>2012.0</v>
      </c>
      <c r="F39" s="58"/>
      <c r="G39" s="50"/>
      <c r="H39" s="50"/>
      <c r="I39" s="50"/>
      <c r="J39" s="50"/>
      <c r="K39" s="50"/>
      <c r="L39" s="50"/>
      <c r="M39" s="50"/>
      <c r="N39" s="50"/>
      <c r="O39" s="50"/>
      <c r="P39" s="50">
        <v>1.0</v>
      </c>
      <c r="Q39" s="50"/>
      <c r="R39" s="50"/>
      <c r="S39" s="50"/>
      <c r="T39" s="50"/>
      <c r="U39" s="50"/>
      <c r="V39" s="48"/>
      <c r="W39" s="48" t="s">
        <v>263</v>
      </c>
      <c r="X39" s="48"/>
      <c r="Y39" s="48"/>
      <c r="Z39" s="48" t="s">
        <v>297</v>
      </c>
      <c r="AA39" s="50"/>
      <c r="AB39" s="50"/>
      <c r="AC39" s="50">
        <v>1.0</v>
      </c>
      <c r="AD39" s="50"/>
      <c r="AE39" s="50"/>
      <c r="AF39" s="50"/>
      <c r="AG39" s="50"/>
      <c r="AH39" s="59"/>
      <c r="AI39" s="51">
        <v>1.0</v>
      </c>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v>1.0</v>
      </c>
      <c r="BJ39" s="51"/>
      <c r="BK39" s="51"/>
      <c r="BL39" s="51"/>
      <c r="BM39" s="51"/>
      <c r="BN39" s="51"/>
      <c r="BO39" s="51"/>
      <c r="BP39" s="51"/>
      <c r="BQ39" s="51"/>
      <c r="BR39" s="51"/>
      <c r="BS39" s="51"/>
      <c r="BT39" s="51"/>
      <c r="BU39" s="51"/>
      <c r="BV39" s="51"/>
      <c r="BW39" s="51"/>
      <c r="BX39" s="51"/>
      <c r="BY39" s="51"/>
      <c r="BZ39" s="51"/>
      <c r="CA39" s="51"/>
      <c r="CB39" s="51"/>
    </row>
    <row r="40" ht="12.75" customHeight="1">
      <c r="A40" s="46" t="s">
        <v>88</v>
      </c>
      <c r="B40" s="53" t="str">
        <f>HYPERLINK("https://drive.google.com/open?id=18g7tRYFuCAbQl_d30ozSZCjR_9zWBkQQ","Calikli2013")</f>
        <v>Calikli2013</v>
      </c>
      <c r="C40" s="48" t="s">
        <v>298</v>
      </c>
      <c r="D40" s="48" t="s">
        <v>299</v>
      </c>
      <c r="E40" s="49">
        <v>2013.0</v>
      </c>
      <c r="F40" s="50"/>
      <c r="G40" s="50"/>
      <c r="H40" s="50"/>
      <c r="I40" s="50"/>
      <c r="J40" s="50">
        <v>1.0</v>
      </c>
      <c r="K40" s="50"/>
      <c r="L40" s="50"/>
      <c r="M40" s="50"/>
      <c r="N40" s="50"/>
      <c r="O40" s="50"/>
      <c r="P40" s="50"/>
      <c r="Q40" s="50"/>
      <c r="R40" s="50"/>
      <c r="S40" s="50"/>
      <c r="T40" s="50"/>
      <c r="U40" s="50"/>
      <c r="V40" s="51"/>
      <c r="W40" s="51" t="s">
        <v>285</v>
      </c>
      <c r="X40" s="51" t="s">
        <v>84</v>
      </c>
      <c r="Y40" s="51" t="s">
        <v>286</v>
      </c>
      <c r="Z40" s="51" t="s">
        <v>100</v>
      </c>
      <c r="AA40" s="50"/>
      <c r="AB40" s="50">
        <v>1.0</v>
      </c>
      <c r="AC40" s="50"/>
      <c r="AD40" s="50">
        <v>1.0</v>
      </c>
      <c r="AE40" s="50"/>
      <c r="AF40" s="50"/>
      <c r="AG40" s="50"/>
      <c r="AH40" s="51" t="s">
        <v>300</v>
      </c>
      <c r="AI40" s="51">
        <v>1.0</v>
      </c>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v>1.0</v>
      </c>
      <c r="BJ40" s="51"/>
      <c r="BK40" s="51"/>
      <c r="BL40" s="51"/>
      <c r="BM40" s="51"/>
      <c r="BN40" s="51"/>
      <c r="BO40" s="51"/>
      <c r="BP40" s="51"/>
      <c r="BQ40" s="51"/>
      <c r="BR40" s="51"/>
      <c r="BS40" s="51"/>
      <c r="BT40" s="51"/>
      <c r="BU40" s="51"/>
      <c r="BV40" s="51"/>
      <c r="BW40" s="51"/>
      <c r="BX40" s="51"/>
      <c r="BY40" s="51">
        <v>1.0</v>
      </c>
      <c r="BZ40" s="51"/>
      <c r="CA40" s="51"/>
      <c r="CB40" s="51"/>
    </row>
    <row r="41" ht="12.75" customHeight="1">
      <c r="A41" s="46" t="s">
        <v>108</v>
      </c>
      <c r="B41" s="56" t="str">
        <f>HYPERLINK("http://oro.open.ac.uk/45345/1/ESEM2013.pdf","Calikli2013a")</f>
        <v>Calikli2013a</v>
      </c>
      <c r="C41" s="55" t="s">
        <v>301</v>
      </c>
      <c r="D41" s="55" t="s">
        <v>302</v>
      </c>
      <c r="E41" s="49">
        <v>2013.0</v>
      </c>
      <c r="F41" s="50"/>
      <c r="G41" s="50"/>
      <c r="H41" s="50"/>
      <c r="I41" s="50"/>
      <c r="J41" s="50"/>
      <c r="K41" s="50"/>
      <c r="L41" s="50"/>
      <c r="M41" s="50">
        <v>1.0</v>
      </c>
      <c r="N41" s="50">
        <v>1.0</v>
      </c>
      <c r="O41" s="50"/>
      <c r="P41" s="50"/>
      <c r="Q41" s="50"/>
      <c r="R41" s="50"/>
      <c r="S41" s="50"/>
      <c r="T41" s="50"/>
      <c r="U41" s="50"/>
      <c r="V41" s="48" t="s">
        <v>303</v>
      </c>
      <c r="W41" s="48" t="s">
        <v>304</v>
      </c>
      <c r="X41" s="48" t="s">
        <v>305</v>
      </c>
      <c r="Y41" s="48" t="s">
        <v>306</v>
      </c>
      <c r="Z41" s="48" t="s">
        <v>307</v>
      </c>
      <c r="AA41" s="50"/>
      <c r="AB41" s="50">
        <v>1.0</v>
      </c>
      <c r="AC41" s="50"/>
      <c r="AD41" s="50">
        <v>1.0</v>
      </c>
      <c r="AE41" s="50"/>
      <c r="AF41" s="50"/>
      <c r="AG41" s="50"/>
      <c r="AH41" s="51" t="s">
        <v>308</v>
      </c>
      <c r="AI41" s="51">
        <v>1.0</v>
      </c>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v>1.0</v>
      </c>
      <c r="BJ41" s="51"/>
      <c r="BK41" s="51"/>
      <c r="BL41" s="51"/>
      <c r="BM41" s="51"/>
      <c r="BN41" s="51"/>
      <c r="BO41" s="51"/>
      <c r="BP41" s="51"/>
      <c r="BQ41" s="51"/>
      <c r="BR41" s="51"/>
      <c r="BS41" s="51"/>
      <c r="BT41" s="51"/>
      <c r="BU41" s="51"/>
      <c r="BV41" s="51"/>
      <c r="BW41" s="51"/>
      <c r="BX41" s="51"/>
      <c r="BY41" s="51">
        <v>1.0</v>
      </c>
      <c r="BZ41" s="51"/>
      <c r="CA41" s="51"/>
      <c r="CB41" s="51"/>
    </row>
    <row r="42" ht="12.75" customHeight="1">
      <c r="A42" s="46" t="s">
        <v>88</v>
      </c>
      <c r="B42" s="53" t="str">
        <f>HYPERLINK("https://drive.google.com/open?id=1q2hvBxeBL4rUfCzbrz8n_Uucbc-PqiJs","Cant1995")</f>
        <v>Cant1995</v>
      </c>
      <c r="C42" s="48" t="s">
        <v>309</v>
      </c>
      <c r="D42" s="48" t="s">
        <v>310</v>
      </c>
      <c r="E42" s="49">
        <v>1995.0</v>
      </c>
      <c r="F42" s="50"/>
      <c r="G42" s="50"/>
      <c r="H42" s="50"/>
      <c r="I42" s="50">
        <v>1.0</v>
      </c>
      <c r="J42" s="50"/>
      <c r="K42" s="50"/>
      <c r="L42" s="50"/>
      <c r="M42" s="50"/>
      <c r="N42" s="50"/>
      <c r="O42" s="50"/>
      <c r="P42" s="50"/>
      <c r="Q42" s="50"/>
      <c r="R42" s="50"/>
      <c r="S42" s="50"/>
      <c r="T42" s="50"/>
      <c r="U42" s="50"/>
      <c r="V42" s="51"/>
      <c r="W42" s="51" t="s">
        <v>311</v>
      </c>
      <c r="X42" s="51" t="s">
        <v>92</v>
      </c>
      <c r="Y42" s="51" t="s">
        <v>92</v>
      </c>
      <c r="Z42" s="51" t="s">
        <v>100</v>
      </c>
      <c r="AA42" s="50"/>
      <c r="AB42" s="50"/>
      <c r="AC42" s="50"/>
      <c r="AD42" s="50"/>
      <c r="AE42" s="50"/>
      <c r="AF42" s="50">
        <v>1.0</v>
      </c>
      <c r="AG42" s="50"/>
      <c r="AH42" s="51" t="s">
        <v>312</v>
      </c>
      <c r="AI42" s="51">
        <v>1.0</v>
      </c>
      <c r="AJ42" s="51"/>
      <c r="AK42" s="51"/>
      <c r="AL42" s="51"/>
      <c r="AM42" s="51"/>
      <c r="AN42" s="51">
        <v>1.0</v>
      </c>
      <c r="AO42" s="51"/>
      <c r="AP42" s="51"/>
      <c r="AQ42" s="51"/>
      <c r="AR42" s="51"/>
      <c r="AS42" s="51"/>
      <c r="AT42" s="51"/>
      <c r="AU42" s="51"/>
      <c r="AV42" s="51"/>
      <c r="AW42" s="51"/>
      <c r="AX42" s="51"/>
      <c r="AY42" s="51"/>
      <c r="AZ42" s="51"/>
      <c r="BA42" s="51"/>
      <c r="BB42" s="51"/>
      <c r="BC42" s="51"/>
      <c r="BD42" s="51"/>
      <c r="BE42" s="51"/>
      <c r="BF42" s="51"/>
      <c r="BG42" s="51"/>
      <c r="BH42" s="51"/>
      <c r="BI42" s="51"/>
      <c r="BJ42" s="51">
        <v>1.0</v>
      </c>
      <c r="BK42" s="51"/>
      <c r="BL42" s="51"/>
      <c r="BM42" s="51"/>
      <c r="BN42" s="51"/>
      <c r="BO42" s="51"/>
      <c r="BP42" s="51"/>
      <c r="BQ42" s="51"/>
      <c r="BR42" s="51"/>
      <c r="BS42" s="51"/>
      <c r="BT42" s="51"/>
      <c r="BU42" s="51"/>
      <c r="BV42" s="51"/>
      <c r="BW42" s="51"/>
      <c r="BX42" s="51"/>
      <c r="BY42" s="51"/>
      <c r="BZ42" s="51"/>
      <c r="CA42" s="51"/>
      <c r="CB42" s="51"/>
    </row>
    <row r="43" ht="12.75" customHeight="1">
      <c r="A43" s="46" t="s">
        <v>124</v>
      </c>
      <c r="B43" s="54" t="str">
        <f>HYPERLINK("https://drive.google.com/open?id=0B-nn5iJ29NJaMHBOUFpUYnVCeVk","Carod2007")</f>
        <v>Carod2007</v>
      </c>
      <c r="C43" s="55" t="s">
        <v>313</v>
      </c>
      <c r="D43" s="55" t="s">
        <v>314</v>
      </c>
      <c r="E43" s="49">
        <v>2007.0</v>
      </c>
      <c r="F43" s="50"/>
      <c r="G43" s="50">
        <v>1.0</v>
      </c>
      <c r="H43" s="50"/>
      <c r="I43" s="50"/>
      <c r="J43" s="50"/>
      <c r="K43" s="50"/>
      <c r="L43" s="50"/>
      <c r="M43" s="50"/>
      <c r="N43" s="50"/>
      <c r="O43" s="50"/>
      <c r="P43" s="50"/>
      <c r="Q43" s="50"/>
      <c r="R43" s="50"/>
      <c r="S43" s="50"/>
      <c r="T43" s="50"/>
      <c r="U43" s="50"/>
      <c r="V43" s="48" t="s">
        <v>315</v>
      </c>
      <c r="W43" s="48" t="s">
        <v>316</v>
      </c>
      <c r="X43" s="48" t="s">
        <v>317</v>
      </c>
      <c r="Y43" s="48" t="s">
        <v>318</v>
      </c>
      <c r="Z43" s="48" t="s">
        <v>319</v>
      </c>
      <c r="AA43" s="50"/>
      <c r="AB43" s="50"/>
      <c r="AC43" s="60"/>
      <c r="AD43" s="50">
        <v>1.0</v>
      </c>
      <c r="AE43" s="50"/>
      <c r="AF43" s="50"/>
      <c r="AG43" s="50"/>
      <c r="AH43" s="59"/>
      <c r="AI43" s="52">
        <v>1.0</v>
      </c>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2">
        <v>1.0</v>
      </c>
      <c r="BK43" s="51"/>
      <c r="BL43" s="51"/>
      <c r="BM43" s="51"/>
      <c r="BN43" s="51"/>
      <c r="BO43" s="51"/>
      <c r="BP43" s="51"/>
      <c r="BQ43" s="51"/>
      <c r="BR43" s="51"/>
      <c r="BS43" s="51"/>
      <c r="BT43" s="51"/>
      <c r="BU43" s="51"/>
      <c r="BV43" s="51"/>
      <c r="BW43" s="51"/>
      <c r="BX43" s="51"/>
      <c r="BY43" s="51"/>
      <c r="BZ43" s="51"/>
      <c r="CA43" s="51">
        <v>1.0</v>
      </c>
      <c r="CB43" s="51"/>
    </row>
    <row r="44" ht="12.75" customHeight="1">
      <c r="A44" s="46" t="s">
        <v>124</v>
      </c>
      <c r="B44" s="54" t="str">
        <f>HYPERLINK("https://drive.google.com/open?id=0B-nn5iJ29NJaaTAtUTk0M0psSjA","Chilton2005")</f>
        <v>Chilton2005</v>
      </c>
      <c r="C44" s="55" t="s">
        <v>320</v>
      </c>
      <c r="D44" s="55" t="s">
        <v>321</v>
      </c>
      <c r="E44" s="57">
        <v>2005.0</v>
      </c>
      <c r="F44" s="70">
        <v>1.0</v>
      </c>
      <c r="G44" s="50"/>
      <c r="H44" s="50"/>
      <c r="I44" s="50"/>
      <c r="J44" s="50"/>
      <c r="K44" s="50"/>
      <c r="L44" s="50"/>
      <c r="M44" s="50"/>
      <c r="N44" s="50"/>
      <c r="O44" s="50"/>
      <c r="P44" s="50"/>
      <c r="Q44" s="50">
        <v>1.0</v>
      </c>
      <c r="R44" s="50"/>
      <c r="S44" s="50"/>
      <c r="T44" s="50"/>
      <c r="U44" s="50"/>
      <c r="V44" s="69" t="s">
        <v>322</v>
      </c>
      <c r="W44" s="48" t="s">
        <v>323</v>
      </c>
      <c r="X44" s="48"/>
      <c r="Y44" s="48" t="s">
        <v>324</v>
      </c>
      <c r="Z44" s="48" t="s">
        <v>325</v>
      </c>
      <c r="AA44" s="50"/>
      <c r="AB44" s="50">
        <v>1.0</v>
      </c>
      <c r="AC44" s="50"/>
      <c r="AD44" s="50">
        <v>1.0</v>
      </c>
      <c r="AE44" s="50"/>
      <c r="AF44" s="50"/>
      <c r="AG44" s="50"/>
      <c r="AH44" s="59"/>
      <c r="AI44" s="52">
        <v>1.0</v>
      </c>
      <c r="AJ44" s="51"/>
      <c r="AK44" s="51"/>
      <c r="AL44" s="51"/>
      <c r="AM44" s="51"/>
      <c r="AN44" s="51"/>
      <c r="AO44" s="51"/>
      <c r="AP44" s="51"/>
      <c r="AQ44" s="51"/>
      <c r="AR44" s="51"/>
      <c r="AS44" s="51"/>
      <c r="AT44" s="51"/>
      <c r="AU44" s="51"/>
      <c r="AV44" s="51"/>
      <c r="AW44" s="51"/>
      <c r="AX44" s="51"/>
      <c r="AY44" s="52">
        <v>1.0</v>
      </c>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v>1.0</v>
      </c>
      <c r="CB44" s="51"/>
    </row>
    <row r="45" ht="12.75" customHeight="1">
      <c r="A45" s="46" t="s">
        <v>124</v>
      </c>
      <c r="B45" s="54" t="str">
        <f>HYPERLINK("https://drive.google.com/open?id=0B-nn5iJ29NJaXzMzOEM0UEVreXM","Chiu2014")</f>
        <v>Chiu2014</v>
      </c>
      <c r="C45" s="55" t="s">
        <v>326</v>
      </c>
      <c r="D45" s="55" t="s">
        <v>327</v>
      </c>
      <c r="E45" s="57">
        <v>2014.0</v>
      </c>
      <c r="F45" s="58"/>
      <c r="G45" s="50"/>
      <c r="H45" s="50"/>
      <c r="I45" s="50"/>
      <c r="J45" s="50">
        <v>1.0</v>
      </c>
      <c r="K45" s="50"/>
      <c r="L45" s="50"/>
      <c r="M45" s="50"/>
      <c r="N45" s="50"/>
      <c r="O45" s="50"/>
      <c r="P45" s="50"/>
      <c r="Q45" s="50"/>
      <c r="R45" s="50"/>
      <c r="S45" s="50"/>
      <c r="T45" s="50"/>
      <c r="U45" s="50"/>
      <c r="V45" s="48"/>
      <c r="W45" s="48" t="s">
        <v>328</v>
      </c>
      <c r="X45" s="48" t="s">
        <v>329</v>
      </c>
      <c r="Y45" s="48" t="s">
        <v>330</v>
      </c>
      <c r="Z45" s="48" t="s">
        <v>331</v>
      </c>
      <c r="AA45" s="50"/>
      <c r="AB45" s="50"/>
      <c r="AC45" s="50"/>
      <c r="AD45" s="50">
        <v>1.0</v>
      </c>
      <c r="AE45" s="50"/>
      <c r="AF45" s="50"/>
      <c r="AG45" s="50"/>
      <c r="AH45" s="59"/>
      <c r="AI45" s="52">
        <v>1.0</v>
      </c>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2">
        <v>1.0</v>
      </c>
      <c r="BK45" s="51"/>
      <c r="BL45" s="51"/>
      <c r="BM45" s="51"/>
      <c r="BN45" s="51"/>
      <c r="BO45" s="51"/>
      <c r="BP45" s="51"/>
      <c r="BQ45" s="51"/>
      <c r="BR45" s="51"/>
      <c r="BS45" s="51"/>
      <c r="BT45" s="51"/>
      <c r="BU45" s="51"/>
      <c r="BV45" s="51"/>
      <c r="BW45" s="51"/>
      <c r="BX45" s="51"/>
      <c r="BY45" s="51"/>
      <c r="BZ45" s="51"/>
      <c r="CA45" s="51">
        <v>1.0</v>
      </c>
      <c r="CB45" s="51"/>
    </row>
    <row r="46" ht="12.75" customHeight="1">
      <c r="A46" s="46" t="s">
        <v>116</v>
      </c>
      <c r="B46" s="56" t="str">
        <f>HYPERLINK("https://drive.google.com/open?id=0B1GMAYMj9v6rSi1OYkZvQWNWaE0","Chotisarn2013")</f>
        <v>Chotisarn2013</v>
      </c>
      <c r="C46" s="55" t="s">
        <v>332</v>
      </c>
      <c r="D46" s="55" t="s">
        <v>333</v>
      </c>
      <c r="E46" s="49">
        <v>2013.0</v>
      </c>
      <c r="F46" s="50"/>
      <c r="G46" s="50">
        <v>1.0</v>
      </c>
      <c r="H46" s="50"/>
      <c r="I46" s="50"/>
      <c r="J46" s="50"/>
      <c r="K46" s="50"/>
      <c r="L46" s="50"/>
      <c r="M46" s="50"/>
      <c r="N46" s="50"/>
      <c r="O46" s="50"/>
      <c r="P46" s="50"/>
      <c r="Q46" s="50"/>
      <c r="R46" s="50"/>
      <c r="S46" s="50"/>
      <c r="T46" s="50"/>
      <c r="U46" s="50"/>
      <c r="V46" s="51" t="s">
        <v>70</v>
      </c>
      <c r="W46" s="51" t="s">
        <v>334</v>
      </c>
      <c r="X46" s="51" t="s">
        <v>335</v>
      </c>
      <c r="Y46" s="51" t="s">
        <v>336</v>
      </c>
      <c r="Z46" s="51" t="s">
        <v>100</v>
      </c>
      <c r="AA46" s="50"/>
      <c r="AB46" s="50">
        <v>1.0</v>
      </c>
      <c r="AC46" s="50"/>
      <c r="AD46" s="50">
        <v>1.0</v>
      </c>
      <c r="AE46" s="50"/>
      <c r="AF46" s="50"/>
      <c r="AG46" s="50"/>
      <c r="AH46" s="51" t="s">
        <v>337</v>
      </c>
      <c r="AI46" s="51">
        <v>1.0</v>
      </c>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v>1.0</v>
      </c>
      <c r="BJ46" s="51"/>
      <c r="BK46" s="51"/>
      <c r="BL46" s="51"/>
      <c r="BM46" s="51"/>
      <c r="BN46" s="51"/>
      <c r="BO46" s="51"/>
      <c r="BP46" s="51"/>
      <c r="BQ46" s="51"/>
      <c r="BR46" s="51"/>
      <c r="BS46" s="51"/>
      <c r="BT46" s="51"/>
      <c r="BU46" s="51"/>
      <c r="BV46" s="51"/>
      <c r="BW46" s="51"/>
      <c r="BX46" s="51"/>
      <c r="BY46" s="51"/>
      <c r="BZ46" s="51"/>
      <c r="CA46" s="51">
        <v>1.0</v>
      </c>
      <c r="CB46" s="51"/>
    </row>
    <row r="47" ht="12.75" customHeight="1">
      <c r="A47" s="46" t="s">
        <v>116</v>
      </c>
      <c r="B47" s="54" t="str">
        <f>HYPERLINK("https://drive.google.com/open?id=0B1GMAYMj9v6rb0V4TEo3VzJaRmc","Chou2011")</f>
        <v>Chou2011</v>
      </c>
      <c r="C47" s="55" t="s">
        <v>338</v>
      </c>
      <c r="D47" s="55" t="s">
        <v>181</v>
      </c>
      <c r="E47" s="49">
        <v>2011.0</v>
      </c>
      <c r="F47" s="50"/>
      <c r="G47" s="50"/>
      <c r="H47" s="50"/>
      <c r="I47" s="50"/>
      <c r="J47" s="50"/>
      <c r="K47" s="50"/>
      <c r="L47" s="50"/>
      <c r="M47" s="50"/>
      <c r="N47" s="50"/>
      <c r="O47" s="50"/>
      <c r="P47" s="50"/>
      <c r="Q47" s="50">
        <v>1.0</v>
      </c>
      <c r="R47" s="50"/>
      <c r="S47" s="50"/>
      <c r="T47" s="50"/>
      <c r="U47" s="50"/>
      <c r="V47" s="51" t="s">
        <v>339</v>
      </c>
      <c r="W47" s="51" t="s">
        <v>340</v>
      </c>
      <c r="X47" s="51" t="s">
        <v>341</v>
      </c>
      <c r="Y47" s="51" t="s">
        <v>342</v>
      </c>
      <c r="Z47" s="51" t="s">
        <v>343</v>
      </c>
      <c r="AA47" s="50"/>
      <c r="AB47" s="50">
        <v>1.0</v>
      </c>
      <c r="AC47" s="50"/>
      <c r="AD47" s="50">
        <v>1.0</v>
      </c>
      <c r="AE47" s="50"/>
      <c r="AF47" s="50"/>
      <c r="AG47" s="50"/>
      <c r="AH47" s="51" t="s">
        <v>344</v>
      </c>
      <c r="AI47" s="51">
        <v>1.0</v>
      </c>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v>1.0</v>
      </c>
      <c r="BK47" s="52">
        <v>1.0</v>
      </c>
      <c r="BL47" s="52">
        <v>1.0</v>
      </c>
      <c r="BM47" s="52"/>
      <c r="BN47" s="52"/>
      <c r="BO47" s="51"/>
      <c r="BP47" s="51"/>
      <c r="BQ47" s="51"/>
      <c r="BR47" s="51"/>
      <c r="BS47" s="51"/>
      <c r="BT47" s="51"/>
      <c r="BU47" s="51"/>
      <c r="BV47" s="51"/>
      <c r="BW47" s="51"/>
      <c r="BX47" s="51"/>
      <c r="BY47" s="51"/>
      <c r="BZ47" s="51"/>
      <c r="CA47" s="51">
        <v>1.0</v>
      </c>
      <c r="CB47" s="51"/>
    </row>
    <row r="48" ht="12.75" customHeight="1">
      <c r="A48" s="46" t="s">
        <v>124</v>
      </c>
      <c r="B48" s="54" t="str">
        <f>HYPERLINK("https://drive.google.com/open?id=0B-nn5iJ29NJaR2VkeTJIbjdVbEk","Chu2006")</f>
        <v>Chu2006</v>
      </c>
      <c r="C48" s="55" t="s">
        <v>345</v>
      </c>
      <c r="D48" s="55" t="s">
        <v>346</v>
      </c>
      <c r="E48" s="57">
        <v>2006.0</v>
      </c>
      <c r="F48" s="55"/>
      <c r="G48" s="55"/>
      <c r="H48" s="55"/>
      <c r="I48" s="59">
        <v>1.0</v>
      </c>
      <c r="J48" s="55"/>
      <c r="K48" s="55"/>
      <c r="L48" s="55"/>
      <c r="M48" s="55"/>
      <c r="N48" s="55"/>
      <c r="O48" s="55"/>
      <c r="P48" s="55"/>
      <c r="Q48" s="55"/>
      <c r="R48" s="55"/>
      <c r="S48" s="55"/>
      <c r="T48" s="55"/>
      <c r="U48" s="55"/>
      <c r="V48" s="55"/>
      <c r="W48" s="48" t="s">
        <v>347</v>
      </c>
      <c r="X48" s="69" t="s">
        <v>348</v>
      </c>
      <c r="Y48" s="69" t="s">
        <v>349</v>
      </c>
      <c r="Z48" s="48" t="s">
        <v>350</v>
      </c>
      <c r="AA48" s="59"/>
      <c r="AB48" s="59">
        <v>1.0</v>
      </c>
      <c r="AC48" s="59"/>
      <c r="AD48" s="59">
        <v>1.0</v>
      </c>
      <c r="AE48" s="59"/>
      <c r="AF48" s="59"/>
      <c r="AG48" s="59"/>
      <c r="AH48" s="59"/>
      <c r="AI48" s="51">
        <v>1.0</v>
      </c>
      <c r="AJ48" s="51"/>
      <c r="AK48" s="51"/>
      <c r="AL48" s="51"/>
      <c r="AM48" s="51"/>
      <c r="AN48" s="51"/>
      <c r="AO48" s="51"/>
      <c r="AP48" s="51"/>
      <c r="AQ48" s="51"/>
      <c r="AR48" s="51"/>
      <c r="AS48" s="51"/>
      <c r="AT48" s="51"/>
      <c r="AU48" s="51"/>
      <c r="AV48" s="51"/>
      <c r="AW48" s="51"/>
      <c r="AX48" s="51"/>
      <c r="AY48" s="51"/>
      <c r="AZ48" s="51"/>
      <c r="BA48" s="51"/>
      <c r="BB48" s="51"/>
      <c r="BC48" s="51"/>
      <c r="BD48" s="51"/>
      <c r="BE48" s="52">
        <v>1.0</v>
      </c>
      <c r="BF48" s="51"/>
      <c r="BG48" s="51"/>
      <c r="BH48" s="51"/>
      <c r="BI48" s="51"/>
      <c r="BJ48" s="52">
        <v>1.0</v>
      </c>
      <c r="BK48" s="51"/>
      <c r="BL48" s="51"/>
      <c r="BM48" s="51"/>
      <c r="BN48" s="51"/>
      <c r="BO48" s="51"/>
      <c r="BP48" s="51"/>
      <c r="BQ48" s="51"/>
      <c r="BR48" s="51"/>
      <c r="BS48" s="51"/>
      <c r="BT48" s="51"/>
      <c r="BU48" s="51"/>
      <c r="BV48" s="51"/>
      <c r="BW48" s="51"/>
      <c r="BX48" s="51"/>
      <c r="BY48" s="52"/>
      <c r="BZ48" s="51"/>
      <c r="CA48" s="51"/>
      <c r="CB48" s="52">
        <v>1.0</v>
      </c>
    </row>
    <row r="49" ht="12.75" customHeight="1">
      <c r="A49" s="46" t="s">
        <v>124</v>
      </c>
      <c r="B49" s="54" t="str">
        <f>HYPERLINK("https://drive.google.com/open?id=0B-nn5iJ29NJaUkdWb0dFSVZDNE0","Colazo2016")</f>
        <v>Colazo2016</v>
      </c>
      <c r="C49" s="55" t="s">
        <v>351</v>
      </c>
      <c r="D49" s="55" t="s">
        <v>352</v>
      </c>
      <c r="E49" s="57">
        <v>2016.0</v>
      </c>
      <c r="F49" s="58"/>
      <c r="G49" s="50"/>
      <c r="H49" s="50">
        <v>1.0</v>
      </c>
      <c r="I49" s="50"/>
      <c r="J49" s="50"/>
      <c r="K49" s="50"/>
      <c r="L49" s="50"/>
      <c r="M49" s="50">
        <v>1.0</v>
      </c>
      <c r="N49" s="50"/>
      <c r="O49" s="50"/>
      <c r="P49" s="50"/>
      <c r="Q49" s="50"/>
      <c r="R49" s="50"/>
      <c r="S49" s="50"/>
      <c r="T49" s="50"/>
      <c r="U49" s="50"/>
      <c r="V49" s="48" t="s">
        <v>353</v>
      </c>
      <c r="W49" s="48"/>
      <c r="X49" s="69" t="s">
        <v>354</v>
      </c>
      <c r="Y49" s="69" t="s">
        <v>355</v>
      </c>
      <c r="Z49" s="48" t="s">
        <v>356</v>
      </c>
      <c r="AA49" s="50"/>
      <c r="AB49" s="50">
        <v>1.0</v>
      </c>
      <c r="AC49" s="50"/>
      <c r="AD49" s="50">
        <v>1.0</v>
      </c>
      <c r="AE49" s="50"/>
      <c r="AF49" s="50"/>
      <c r="AG49" s="50"/>
      <c r="AH49" s="59"/>
      <c r="AI49" s="51">
        <v>1.0</v>
      </c>
      <c r="AJ49" s="51"/>
      <c r="AK49" s="51"/>
      <c r="AL49" s="51"/>
      <c r="AM49" s="51"/>
      <c r="AN49" s="51"/>
      <c r="AO49" s="51"/>
      <c r="AP49" s="51"/>
      <c r="AQ49" s="51"/>
      <c r="AR49" s="51">
        <v>1.0</v>
      </c>
      <c r="AS49" s="51"/>
      <c r="AT49" s="51"/>
      <c r="AU49" s="51"/>
      <c r="AV49" s="51"/>
      <c r="AW49" s="51"/>
      <c r="AX49" s="51"/>
      <c r="AY49" s="51"/>
      <c r="AZ49" s="51"/>
      <c r="BA49" s="51"/>
      <c r="BB49" s="51"/>
      <c r="BC49" s="51"/>
      <c r="BD49" s="51"/>
      <c r="BE49" s="51"/>
      <c r="BF49" s="51"/>
      <c r="BG49" s="51"/>
      <c r="BH49" s="51"/>
      <c r="BI49" s="51"/>
      <c r="BJ49" s="52"/>
      <c r="BK49" s="51"/>
      <c r="BL49" s="51"/>
      <c r="BM49" s="51"/>
      <c r="BN49" s="51"/>
      <c r="BO49" s="51"/>
      <c r="BP49" s="51"/>
      <c r="BQ49" s="51"/>
      <c r="BR49" s="51"/>
      <c r="BS49" s="51"/>
      <c r="BT49" s="51"/>
      <c r="BU49" s="51"/>
      <c r="BV49" s="51"/>
      <c r="BW49" s="51"/>
      <c r="BX49" s="52">
        <v>1.0</v>
      </c>
      <c r="BY49" s="51"/>
      <c r="BZ49" s="51"/>
      <c r="CA49" s="51"/>
      <c r="CB49" s="51"/>
    </row>
    <row r="50" ht="12.75" customHeight="1">
      <c r="A50" s="46" t="s">
        <v>108</v>
      </c>
      <c r="B50" s="56" t="str">
        <f>HYPERLINK("https://drive.google.com/open?id=0B3oar8-GeP-IU096VVV1ZnQ2a0U","Conroy2012")</f>
        <v>Conroy2012</v>
      </c>
      <c r="C50" s="55" t="s">
        <v>357</v>
      </c>
      <c r="D50" s="55" t="s">
        <v>358</v>
      </c>
      <c r="E50" s="49">
        <v>2012.0</v>
      </c>
      <c r="F50" s="50"/>
      <c r="G50" s="50"/>
      <c r="H50" s="50"/>
      <c r="I50" s="50"/>
      <c r="J50" s="50"/>
      <c r="K50" s="50"/>
      <c r="L50" s="50"/>
      <c r="M50" s="50">
        <v>1.0</v>
      </c>
      <c r="N50" s="50"/>
      <c r="O50" s="50"/>
      <c r="P50" s="50"/>
      <c r="Q50" s="50"/>
      <c r="R50" s="50"/>
      <c r="S50" s="50"/>
      <c r="T50" s="50"/>
      <c r="U50" s="50"/>
      <c r="V50" s="48"/>
      <c r="W50" s="48" t="s">
        <v>359</v>
      </c>
      <c r="X50" s="48" t="s">
        <v>189</v>
      </c>
      <c r="Y50" s="48"/>
      <c r="Z50" s="48" t="s">
        <v>360</v>
      </c>
      <c r="AA50" s="50"/>
      <c r="AB50" s="50">
        <v>1.0</v>
      </c>
      <c r="AC50" s="50"/>
      <c r="AD50" s="50">
        <v>1.0</v>
      </c>
      <c r="AE50" s="50"/>
      <c r="AF50" s="50"/>
      <c r="AG50" s="50"/>
      <c r="AH50" s="51"/>
      <c r="AI50" s="51">
        <v>1.0</v>
      </c>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v>1.0</v>
      </c>
      <c r="BJ50" s="51"/>
      <c r="BK50" s="51"/>
      <c r="BL50" s="51"/>
      <c r="BM50" s="51"/>
      <c r="BN50" s="51"/>
      <c r="BO50" s="51"/>
      <c r="BP50" s="51"/>
      <c r="BQ50" s="51"/>
      <c r="BR50" s="51"/>
      <c r="BS50" s="51"/>
      <c r="BT50" s="51"/>
      <c r="BU50" s="51"/>
      <c r="BV50" s="51"/>
      <c r="BW50" s="51"/>
      <c r="BX50" s="51"/>
      <c r="BY50" s="51"/>
      <c r="BZ50" s="51"/>
      <c r="CA50" s="51"/>
      <c r="CB50" s="51"/>
    </row>
    <row r="51" ht="12.75" customHeight="1">
      <c r="A51" s="46" t="s">
        <v>172</v>
      </c>
      <c r="B51" s="56" t="str">
        <f>HYPERLINK("https://drive.google.com/open?id=1iqR3K7cP7KEfWXHDBqrsjxGg-EhkKSrw","Corritore1999")</f>
        <v>Corritore1999</v>
      </c>
      <c r="C51" s="63" t="s">
        <v>361</v>
      </c>
      <c r="D51" s="55" t="s">
        <v>362</v>
      </c>
      <c r="E51" s="55">
        <v>1999.0</v>
      </c>
      <c r="F51" s="55"/>
      <c r="G51" s="55"/>
      <c r="H51" s="55"/>
      <c r="I51" s="55"/>
      <c r="J51" s="55"/>
      <c r="K51" s="55">
        <v>1.0</v>
      </c>
      <c r="L51" s="55"/>
      <c r="M51" s="55"/>
      <c r="N51" s="55"/>
      <c r="O51" s="55"/>
      <c r="P51" s="55"/>
      <c r="Q51" s="55"/>
      <c r="R51" s="55"/>
      <c r="S51" s="55"/>
      <c r="T51" s="55"/>
      <c r="U51" s="55"/>
      <c r="V51" s="55" t="s">
        <v>363</v>
      </c>
      <c r="W51" s="55" t="s">
        <v>364</v>
      </c>
      <c r="X51" s="55" t="s">
        <v>365</v>
      </c>
      <c r="Y51" s="55" t="s">
        <v>366</v>
      </c>
      <c r="Z51" s="55" t="s">
        <v>100</v>
      </c>
      <c r="AA51" s="55">
        <v>1.0</v>
      </c>
      <c r="AB51" s="55"/>
      <c r="AC51" s="55"/>
      <c r="AD51" s="55">
        <v>1.0</v>
      </c>
      <c r="AE51" s="55"/>
      <c r="AF51" s="55"/>
      <c r="AG51" s="55"/>
      <c r="AH51" s="48" t="s">
        <v>367</v>
      </c>
      <c r="AI51" s="51">
        <v>1.0</v>
      </c>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v>1.0</v>
      </c>
      <c r="BK51" s="51"/>
      <c r="BL51" s="51"/>
      <c r="BM51" s="51">
        <v>1.0</v>
      </c>
      <c r="BN51" s="51"/>
      <c r="BO51" s="51"/>
      <c r="BP51" s="51"/>
      <c r="BQ51" s="51"/>
      <c r="BR51" s="51"/>
      <c r="BS51" s="51"/>
      <c r="BT51" s="51"/>
      <c r="BU51" s="51"/>
      <c r="BV51" s="51"/>
      <c r="BW51" s="51"/>
      <c r="BX51" s="51"/>
      <c r="BY51" s="51">
        <v>1.0</v>
      </c>
      <c r="BZ51" s="51"/>
      <c r="CA51" s="51"/>
      <c r="CB51" s="51"/>
    </row>
    <row r="52" ht="12.75" customHeight="1">
      <c r="A52" s="46" t="s">
        <v>172</v>
      </c>
      <c r="B52" s="54" t="str">
        <f>HYPERLINK("https://drive.google.com/open?id=14IlZpfQv8PT8Zy3ZqFGUPu9lkuFdJUM4","Cruz-Lemus2009")</f>
        <v>Cruz-Lemus2009</v>
      </c>
      <c r="C52" s="63" t="s">
        <v>368</v>
      </c>
      <c r="D52" s="55" t="s">
        <v>268</v>
      </c>
      <c r="E52" s="55">
        <v>2009.0</v>
      </c>
      <c r="F52" s="55"/>
      <c r="G52" s="55"/>
      <c r="H52" s="55"/>
      <c r="I52" s="55"/>
      <c r="J52" s="55"/>
      <c r="K52" s="55">
        <v>1.0</v>
      </c>
      <c r="L52" s="55"/>
      <c r="M52" s="55"/>
      <c r="N52" s="55"/>
      <c r="O52" s="55"/>
      <c r="P52" s="55"/>
      <c r="Q52" s="55"/>
      <c r="R52" s="55"/>
      <c r="S52" s="55"/>
      <c r="T52" s="55"/>
      <c r="U52" s="55"/>
      <c r="V52" s="55" t="s">
        <v>369</v>
      </c>
      <c r="W52" s="55" t="s">
        <v>370</v>
      </c>
      <c r="X52" s="55" t="s">
        <v>371</v>
      </c>
      <c r="Y52" s="55" t="s">
        <v>372</v>
      </c>
      <c r="Z52" s="55" t="s">
        <v>100</v>
      </c>
      <c r="AA52" s="55">
        <v>1.0</v>
      </c>
      <c r="AB52" s="55"/>
      <c r="AC52" s="55"/>
      <c r="AD52" s="55">
        <v>1.0</v>
      </c>
      <c r="AE52" s="55"/>
      <c r="AF52" s="55"/>
      <c r="AG52" s="55"/>
      <c r="AH52" s="48" t="s">
        <v>373</v>
      </c>
      <c r="AI52" s="51">
        <v>1.0</v>
      </c>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2">
        <v>1.0</v>
      </c>
      <c r="BK52" s="51"/>
      <c r="BL52" s="51"/>
      <c r="BM52" s="52">
        <v>1.0</v>
      </c>
      <c r="BN52" s="51"/>
      <c r="BO52" s="51"/>
      <c r="BP52" s="51"/>
      <c r="BQ52" s="51"/>
      <c r="BR52" s="51"/>
      <c r="BS52" s="51"/>
      <c r="BT52" s="51"/>
      <c r="BU52" s="51"/>
      <c r="BV52" s="51"/>
      <c r="BW52" s="51"/>
      <c r="BX52" s="51"/>
      <c r="BY52" s="51">
        <v>1.0</v>
      </c>
      <c r="BZ52" s="51"/>
      <c r="CA52" s="51"/>
      <c r="CB52" s="51"/>
    </row>
    <row r="53" ht="12.75" customHeight="1">
      <c r="A53" s="46" t="s">
        <v>172</v>
      </c>
      <c r="B53" s="56" t="str">
        <f>HYPERLINK("https://drive.google.com/open?id=1_ak7t8NRAlUHkfNlShgYpUa0Y64up_k_","Curtis1979")</f>
        <v>Curtis1979</v>
      </c>
      <c r="C53" s="63" t="s">
        <v>374</v>
      </c>
      <c r="D53" s="55" t="s">
        <v>375</v>
      </c>
      <c r="E53" s="55">
        <v>1979.0</v>
      </c>
      <c r="F53" s="55"/>
      <c r="G53" s="55"/>
      <c r="H53" s="55"/>
      <c r="I53" s="55"/>
      <c r="J53" s="55"/>
      <c r="K53" s="55">
        <v>1.0</v>
      </c>
      <c r="L53" s="55"/>
      <c r="M53" s="55"/>
      <c r="N53" s="55"/>
      <c r="O53" s="55"/>
      <c r="P53" s="55"/>
      <c r="Q53" s="55"/>
      <c r="R53" s="55"/>
      <c r="S53" s="55"/>
      <c r="T53" s="55"/>
      <c r="U53" s="55"/>
      <c r="V53" s="55"/>
      <c r="W53" s="55" t="s">
        <v>376</v>
      </c>
      <c r="X53" s="55" t="s">
        <v>377</v>
      </c>
      <c r="Y53" s="63" t="s">
        <v>378</v>
      </c>
      <c r="Z53" s="55" t="s">
        <v>100</v>
      </c>
      <c r="AA53" s="55">
        <v>1.0</v>
      </c>
      <c r="AB53" s="55"/>
      <c r="AC53" s="55"/>
      <c r="AD53" s="55">
        <v>1.0</v>
      </c>
      <c r="AE53" s="55"/>
      <c r="AF53" s="55"/>
      <c r="AG53" s="55"/>
      <c r="AH53" s="48" t="s">
        <v>379</v>
      </c>
      <c r="AI53" s="51">
        <v>1.0</v>
      </c>
      <c r="AJ53" s="51"/>
      <c r="AK53" s="51"/>
      <c r="AL53" s="51"/>
      <c r="AM53" s="51"/>
      <c r="AN53" s="51">
        <v>1.0</v>
      </c>
      <c r="AO53" s="51"/>
      <c r="AP53" s="51"/>
      <c r="AQ53" s="51"/>
      <c r="AR53" s="51"/>
      <c r="AS53" s="51"/>
      <c r="AT53" s="51"/>
      <c r="AU53" s="51"/>
      <c r="AV53" s="51"/>
      <c r="AW53" s="51"/>
      <c r="AX53" s="51"/>
      <c r="AY53" s="51"/>
      <c r="AZ53" s="51"/>
      <c r="BA53" s="51"/>
      <c r="BB53" s="51"/>
      <c r="BC53" s="51"/>
      <c r="BD53" s="51"/>
      <c r="BE53" s="51">
        <v>1.0</v>
      </c>
      <c r="BF53" s="51"/>
      <c r="BG53" s="51"/>
      <c r="BH53" s="51"/>
      <c r="BI53" s="51"/>
      <c r="BJ53" s="51"/>
      <c r="BK53" s="51"/>
      <c r="BL53" s="51"/>
      <c r="BM53" s="51"/>
      <c r="BN53" s="51"/>
      <c r="BO53" s="51"/>
      <c r="BP53" s="51"/>
      <c r="BQ53" s="51"/>
      <c r="BR53" s="51"/>
      <c r="BS53" s="51"/>
      <c r="BT53" s="51"/>
      <c r="BU53" s="51"/>
      <c r="BV53" s="51"/>
      <c r="BW53" s="51"/>
      <c r="BX53" s="51"/>
      <c r="BY53" s="51">
        <v>1.0</v>
      </c>
      <c r="BZ53" s="51"/>
      <c r="CA53" s="51"/>
      <c r="CB53" s="51"/>
    </row>
    <row r="54" ht="12.75" customHeight="1">
      <c r="A54" s="46" t="s">
        <v>172</v>
      </c>
      <c r="B54" s="54" t="str">
        <f>HYPERLINK("https://drive.google.com/open?id=1HDSfZX6mUBhrYf-hLFeafUVax6Rj7g1M","Curtis1988")</f>
        <v>Curtis1988</v>
      </c>
      <c r="C54" s="63" t="s">
        <v>380</v>
      </c>
      <c r="D54" s="55" t="s">
        <v>381</v>
      </c>
      <c r="E54" s="55">
        <v>1988.0</v>
      </c>
      <c r="F54" s="71">
        <v>1.0</v>
      </c>
      <c r="G54" s="55">
        <v>1.0</v>
      </c>
      <c r="H54" s="55">
        <v>1.0</v>
      </c>
      <c r="I54" s="55"/>
      <c r="J54" s="55"/>
      <c r="K54" s="55"/>
      <c r="L54" s="55"/>
      <c r="M54" s="55"/>
      <c r="N54" s="55">
        <v>1.0</v>
      </c>
      <c r="O54" s="55"/>
      <c r="P54" s="55"/>
      <c r="Q54" s="55"/>
      <c r="R54" s="55"/>
      <c r="S54" s="55"/>
      <c r="T54" s="55"/>
      <c r="U54" s="55"/>
      <c r="V54" s="55" t="s">
        <v>382</v>
      </c>
      <c r="W54" s="55"/>
      <c r="X54" s="55"/>
      <c r="Y54" s="55"/>
      <c r="Z54" s="55" t="s">
        <v>383</v>
      </c>
      <c r="AA54" s="55"/>
      <c r="AB54" s="55">
        <v>1.0</v>
      </c>
      <c r="AC54" s="55"/>
      <c r="AD54" s="55">
        <v>1.0</v>
      </c>
      <c r="AE54" s="55"/>
      <c r="AF54" s="55"/>
      <c r="AG54" s="55"/>
      <c r="AH54" s="48" t="s">
        <v>384</v>
      </c>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row>
    <row r="55" ht="12.75" customHeight="1">
      <c r="A55" s="46" t="s">
        <v>116</v>
      </c>
      <c r="B55" s="56" t="str">
        <f>HYPERLINK("https://drive.google.com/open?id=0B1GMAYMj9v6rOUM0aldXN3FfTTg","DaCunha2015")</f>
        <v>DaCunha2015</v>
      </c>
      <c r="C55" s="55" t="s">
        <v>385</v>
      </c>
      <c r="D55" s="55" t="s">
        <v>386</v>
      </c>
      <c r="E55" s="49">
        <v>2015.0</v>
      </c>
      <c r="F55" s="50"/>
      <c r="G55" s="50"/>
      <c r="H55" s="50"/>
      <c r="I55" s="50"/>
      <c r="J55" s="50"/>
      <c r="K55" s="50"/>
      <c r="L55" s="50"/>
      <c r="M55" s="50">
        <v>1.0</v>
      </c>
      <c r="N55" s="50"/>
      <c r="O55" s="50"/>
      <c r="P55" s="50"/>
      <c r="Q55" s="50">
        <v>1.0</v>
      </c>
      <c r="R55" s="50">
        <v>1.0</v>
      </c>
      <c r="S55" s="50"/>
      <c r="T55" s="50"/>
      <c r="U55" s="50"/>
      <c r="V55" s="51" t="s">
        <v>70</v>
      </c>
      <c r="W55" s="51" t="s">
        <v>387</v>
      </c>
      <c r="X55" s="51" t="s">
        <v>388</v>
      </c>
      <c r="Y55" s="51" t="s">
        <v>389</v>
      </c>
      <c r="Z55" s="51" t="s">
        <v>122</v>
      </c>
      <c r="AA55" s="50"/>
      <c r="AB55" s="50">
        <v>1.0</v>
      </c>
      <c r="AC55" s="50"/>
      <c r="AD55" s="50">
        <v>1.0</v>
      </c>
      <c r="AE55" s="50"/>
      <c r="AF55" s="50"/>
      <c r="AG55" s="50"/>
      <c r="AH55" s="51" t="s">
        <v>390</v>
      </c>
      <c r="AI55" s="51">
        <v>1.0</v>
      </c>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v>1.0</v>
      </c>
      <c r="BJ55" s="51"/>
      <c r="BK55" s="51"/>
      <c r="BL55" s="51"/>
      <c r="BM55" s="51"/>
      <c r="BN55" s="51"/>
      <c r="BO55" s="51"/>
      <c r="BP55" s="51"/>
      <c r="BQ55" s="51"/>
      <c r="BR55" s="51"/>
      <c r="BS55" s="51"/>
      <c r="BT55" s="51"/>
      <c r="BU55" s="51">
        <v>1.0</v>
      </c>
      <c r="BV55" s="51"/>
      <c r="BW55" s="51"/>
      <c r="BX55" s="51"/>
      <c r="BY55" s="51"/>
      <c r="BZ55" s="51"/>
      <c r="CA55" s="51"/>
      <c r="CB55" s="51"/>
    </row>
    <row r="56" ht="12.75" customHeight="1">
      <c r="A56" s="46" t="s">
        <v>88</v>
      </c>
      <c r="B56" s="53" t="str">
        <f>HYPERLINK("https://drive.google.com/open?id=0B00cIHsghs6UVlVEYkRzelhyVzQ","DaCunha2016")</f>
        <v>DaCunha2016</v>
      </c>
      <c r="C56" s="48" t="s">
        <v>391</v>
      </c>
      <c r="D56" s="48" t="s">
        <v>392</v>
      </c>
      <c r="E56" s="49">
        <v>2016.0</v>
      </c>
      <c r="F56" s="50"/>
      <c r="G56" s="50"/>
      <c r="H56" s="50"/>
      <c r="I56" s="50"/>
      <c r="J56" s="50"/>
      <c r="K56" s="50"/>
      <c r="L56" s="50"/>
      <c r="M56" s="50">
        <v>1.0</v>
      </c>
      <c r="N56" s="50"/>
      <c r="O56" s="50"/>
      <c r="P56" s="50"/>
      <c r="Q56" s="50"/>
      <c r="R56" s="50"/>
      <c r="S56" s="50"/>
      <c r="T56" s="50"/>
      <c r="U56" s="50"/>
      <c r="V56" s="51"/>
      <c r="W56" s="51" t="s">
        <v>393</v>
      </c>
      <c r="X56" s="51" t="s">
        <v>92</v>
      </c>
      <c r="Y56" s="51" t="s">
        <v>92</v>
      </c>
      <c r="Z56" s="51" t="s">
        <v>394</v>
      </c>
      <c r="AA56" s="50"/>
      <c r="AB56" s="50">
        <v>1.0</v>
      </c>
      <c r="AC56" s="50"/>
      <c r="AD56" s="50">
        <v>1.0</v>
      </c>
      <c r="AE56" s="50"/>
      <c r="AF56" s="50"/>
      <c r="AG56" s="50"/>
      <c r="AH56" s="51" t="s">
        <v>395</v>
      </c>
      <c r="AI56" s="51">
        <v>1.0</v>
      </c>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v>1.0</v>
      </c>
      <c r="BH56" s="51"/>
      <c r="BI56" s="51">
        <v>1.0</v>
      </c>
      <c r="BJ56" s="51"/>
      <c r="BK56" s="51"/>
      <c r="BL56" s="51"/>
      <c r="BM56" s="51"/>
      <c r="BN56" s="51"/>
      <c r="BO56" s="51"/>
      <c r="BP56" s="51"/>
      <c r="BQ56" s="51"/>
      <c r="BR56" s="51"/>
      <c r="BS56" s="51"/>
      <c r="BT56" s="51"/>
      <c r="BU56" s="51"/>
      <c r="BV56" s="51"/>
      <c r="BW56" s="51"/>
      <c r="BX56" s="51"/>
      <c r="BY56" s="51"/>
      <c r="BZ56" s="51"/>
      <c r="CA56" s="51"/>
      <c r="CB56" s="51"/>
    </row>
    <row r="57" ht="12.75" customHeight="1">
      <c r="A57" s="46" t="s">
        <v>172</v>
      </c>
      <c r="B57" s="56" t="str">
        <f>HYPERLINK("https://drive.google.com/open?id=10LsMmsYvJU5QcU6q_GW6uHkGNSJZjPmr","Davies1994")</f>
        <v>Davies1994</v>
      </c>
      <c r="C57" s="63" t="s">
        <v>396</v>
      </c>
      <c r="D57" s="63" t="s">
        <v>362</v>
      </c>
      <c r="E57" s="55">
        <v>1994.0</v>
      </c>
      <c r="F57" s="55"/>
      <c r="G57" s="55"/>
      <c r="H57" s="55"/>
      <c r="I57" s="55">
        <v>1.0</v>
      </c>
      <c r="J57" s="55"/>
      <c r="K57" s="55"/>
      <c r="L57" s="55"/>
      <c r="M57" s="55"/>
      <c r="N57" s="55"/>
      <c r="O57" s="55"/>
      <c r="P57" s="55"/>
      <c r="Q57" s="55"/>
      <c r="R57" s="55"/>
      <c r="S57" s="55"/>
      <c r="T57" s="55"/>
      <c r="U57" s="55"/>
      <c r="V57" s="55" t="s">
        <v>397</v>
      </c>
      <c r="W57" s="55" t="s">
        <v>398</v>
      </c>
      <c r="X57" s="55" t="s">
        <v>399</v>
      </c>
      <c r="Y57" s="55" t="s">
        <v>400</v>
      </c>
      <c r="Z57" s="55" t="s">
        <v>100</v>
      </c>
      <c r="AA57" s="55">
        <v>1.0</v>
      </c>
      <c r="AB57" s="55"/>
      <c r="AC57" s="55"/>
      <c r="AD57" s="55">
        <v>1.0</v>
      </c>
      <c r="AE57" s="55"/>
      <c r="AF57" s="55"/>
      <c r="AG57" s="55"/>
      <c r="AH57" s="48" t="s">
        <v>401</v>
      </c>
      <c r="AI57" s="51">
        <v>1.0</v>
      </c>
      <c r="AJ57" s="51"/>
      <c r="AK57" s="51"/>
      <c r="AL57" s="51"/>
      <c r="AM57" s="51"/>
      <c r="AN57" s="51">
        <v>1.0</v>
      </c>
      <c r="AO57" s="51"/>
      <c r="AP57" s="51"/>
      <c r="AQ57" s="51"/>
      <c r="AR57" s="51"/>
      <c r="AS57" s="51"/>
      <c r="AT57" s="51"/>
      <c r="AU57" s="51"/>
      <c r="AV57" s="51"/>
      <c r="AW57" s="51"/>
      <c r="AX57" s="51"/>
      <c r="AY57" s="51"/>
      <c r="AZ57" s="51"/>
      <c r="BA57" s="51"/>
      <c r="BB57" s="51"/>
      <c r="BC57" s="51"/>
      <c r="BD57" s="51"/>
      <c r="BE57" s="51">
        <v>1.0</v>
      </c>
      <c r="BF57" s="51"/>
      <c r="BG57" s="51"/>
      <c r="BH57" s="51"/>
      <c r="BI57" s="51"/>
      <c r="BJ57" s="51">
        <v>1.0</v>
      </c>
      <c r="BK57" s="51"/>
      <c r="BL57" s="51"/>
      <c r="BM57" s="51"/>
      <c r="BN57" s="51"/>
      <c r="BO57" s="51"/>
      <c r="BP57" s="51"/>
      <c r="BQ57" s="51"/>
      <c r="BR57" s="51"/>
      <c r="BS57" s="51"/>
      <c r="BT57" s="51"/>
      <c r="BU57" s="51"/>
      <c r="BV57" s="51"/>
      <c r="BW57" s="51"/>
      <c r="BX57" s="51"/>
      <c r="BY57" s="51">
        <v>1.0</v>
      </c>
      <c r="BZ57" s="51"/>
      <c r="CA57" s="51"/>
      <c r="CB57" s="51"/>
    </row>
    <row r="58" ht="12.75" customHeight="1">
      <c r="A58" s="46" t="s">
        <v>88</v>
      </c>
      <c r="B58" s="53" t="str">
        <f>HYPERLINK("https://drive.google.com/open?id=0B00cIHsghs6URUFSU3lCLVZYOG8","DeAlwis2007")</f>
        <v>DeAlwis2007</v>
      </c>
      <c r="C58" s="48" t="s">
        <v>402</v>
      </c>
      <c r="D58" s="48" t="s">
        <v>403</v>
      </c>
      <c r="E58" s="49">
        <v>2007.0</v>
      </c>
      <c r="F58" s="50"/>
      <c r="G58" s="50"/>
      <c r="H58" s="50"/>
      <c r="I58" s="50">
        <v>1.0</v>
      </c>
      <c r="J58" s="50"/>
      <c r="K58" s="50"/>
      <c r="L58" s="50"/>
      <c r="M58" s="50"/>
      <c r="N58" s="50"/>
      <c r="O58" s="50"/>
      <c r="P58" s="50"/>
      <c r="Q58" s="50"/>
      <c r="R58" s="50"/>
      <c r="S58" s="50"/>
      <c r="T58" s="50"/>
      <c r="U58" s="50"/>
      <c r="V58" s="51"/>
      <c r="W58" s="51" t="s">
        <v>404</v>
      </c>
      <c r="X58" s="51" t="s">
        <v>405</v>
      </c>
      <c r="Y58" s="51" t="s">
        <v>406</v>
      </c>
      <c r="Z58" s="51" t="s">
        <v>100</v>
      </c>
      <c r="AA58" s="50"/>
      <c r="AB58" s="50">
        <v>1.0</v>
      </c>
      <c r="AC58" s="50"/>
      <c r="AD58" s="50">
        <v>1.0</v>
      </c>
      <c r="AE58" s="50"/>
      <c r="AF58" s="50"/>
      <c r="AG58" s="50"/>
      <c r="AH58" s="51" t="s">
        <v>407</v>
      </c>
      <c r="AI58" s="51">
        <v>1.0</v>
      </c>
      <c r="AJ58" s="52">
        <v>1.0</v>
      </c>
      <c r="AK58" s="51"/>
      <c r="AL58" s="51"/>
      <c r="AM58" s="51"/>
      <c r="AN58" s="51"/>
      <c r="AO58" s="51"/>
      <c r="AP58" s="51"/>
      <c r="AQ58" s="51"/>
      <c r="AR58" s="51">
        <v>1.0</v>
      </c>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v>1.0</v>
      </c>
      <c r="CB58" s="51"/>
    </row>
    <row r="59" ht="25.5" customHeight="1">
      <c r="A59" s="46" t="s">
        <v>88</v>
      </c>
      <c r="B59" s="53" t="str">
        <f>HYPERLINK("https://drive.google.com/open?id=0B00cIHsghs6UUmI0ejNXSmtOYTQ","DeAlwis2008")</f>
        <v>DeAlwis2008</v>
      </c>
      <c r="C59" s="48" t="s">
        <v>408</v>
      </c>
      <c r="D59" s="48"/>
      <c r="E59" s="49">
        <v>2008.0</v>
      </c>
      <c r="F59" s="72"/>
      <c r="G59" s="50"/>
      <c r="H59" s="50"/>
      <c r="I59" s="50"/>
      <c r="J59" s="50"/>
      <c r="K59" s="50">
        <v>1.0</v>
      </c>
      <c r="L59" s="50"/>
      <c r="M59" s="50"/>
      <c r="N59" s="50"/>
      <c r="O59" s="50"/>
      <c r="P59" s="50"/>
      <c r="Q59" s="50"/>
      <c r="R59" s="50"/>
      <c r="S59" s="50"/>
      <c r="T59" s="50"/>
      <c r="U59" s="50"/>
      <c r="V59" s="51"/>
      <c r="W59" s="51" t="s">
        <v>409</v>
      </c>
      <c r="X59" s="51" t="s">
        <v>410</v>
      </c>
      <c r="Y59" s="51" t="s">
        <v>411</v>
      </c>
      <c r="Z59" s="51" t="s">
        <v>137</v>
      </c>
      <c r="AA59" s="50">
        <v>1.0</v>
      </c>
      <c r="AB59" s="50"/>
      <c r="AC59" s="50"/>
      <c r="AD59" s="50">
        <v>1.0</v>
      </c>
      <c r="AE59" s="50"/>
      <c r="AF59" s="50"/>
      <c r="AG59" s="50"/>
      <c r="AH59" s="51" t="s">
        <v>412</v>
      </c>
      <c r="AI59" s="51">
        <v>1.0</v>
      </c>
      <c r="AJ59" s="51"/>
      <c r="AK59" s="51"/>
      <c r="AL59" s="51"/>
      <c r="AM59" s="51"/>
      <c r="AN59" s="51"/>
      <c r="AO59" s="51"/>
      <c r="AP59" s="51"/>
      <c r="AQ59" s="51"/>
      <c r="AR59" s="51">
        <v>1.0</v>
      </c>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v>1.0</v>
      </c>
      <c r="CB59" s="51"/>
    </row>
    <row r="60" ht="12.75" customHeight="1">
      <c r="A60" s="46" t="s">
        <v>116</v>
      </c>
      <c r="B60" s="68" t="str">
        <f>HYPERLINK("https://drive.google.com/open?id=1-Vad87wDwpbuylTwzpdOzAM_HZXSa8T7","DeLucia2008")</f>
        <v>DeLucia2008</v>
      </c>
      <c r="C60" s="63" t="s">
        <v>413</v>
      </c>
      <c r="D60" s="63" t="s">
        <v>414</v>
      </c>
      <c r="E60" s="49">
        <v>2008.0</v>
      </c>
      <c r="F60" s="50"/>
      <c r="G60" s="50"/>
      <c r="H60" s="50">
        <v>1.0</v>
      </c>
      <c r="I60" s="50"/>
      <c r="J60" s="50"/>
      <c r="K60" s="50"/>
      <c r="L60" s="50"/>
      <c r="M60" s="50"/>
      <c r="N60" s="50"/>
      <c r="O60" s="50"/>
      <c r="P60" s="50"/>
      <c r="Q60" s="50"/>
      <c r="R60" s="50"/>
      <c r="S60" s="50"/>
      <c r="T60" s="50"/>
      <c r="U60" s="50"/>
      <c r="V60" s="51" t="s">
        <v>92</v>
      </c>
      <c r="W60" s="51" t="s">
        <v>415</v>
      </c>
      <c r="X60" s="51" t="s">
        <v>416</v>
      </c>
      <c r="Y60" s="51" t="s">
        <v>417</v>
      </c>
      <c r="Z60" s="51" t="s">
        <v>122</v>
      </c>
      <c r="AA60" s="50">
        <v>1.0</v>
      </c>
      <c r="AB60" s="50"/>
      <c r="AC60" s="50"/>
      <c r="AD60" s="50">
        <v>1.0</v>
      </c>
      <c r="AE60" s="50"/>
      <c r="AF60" s="50"/>
      <c r="AG60" s="50"/>
      <c r="AH60" s="51" t="s">
        <v>418</v>
      </c>
      <c r="AI60" s="51">
        <v>1.0</v>
      </c>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2">
        <v>1.0</v>
      </c>
      <c r="BL60" s="51"/>
      <c r="BM60" s="51"/>
      <c r="BN60" s="51"/>
      <c r="BO60" s="51"/>
      <c r="BP60" s="51"/>
      <c r="BQ60" s="51"/>
      <c r="BR60" s="51"/>
      <c r="BS60" s="51"/>
      <c r="BT60" s="51"/>
      <c r="BU60" s="51"/>
      <c r="BV60" s="51"/>
      <c r="BW60" s="51"/>
      <c r="BX60" s="51"/>
      <c r="BY60" s="51">
        <v>1.0</v>
      </c>
      <c r="BZ60" s="51"/>
      <c r="CA60" s="51"/>
      <c r="CB60" s="51"/>
    </row>
    <row r="61" ht="12.75" customHeight="1">
      <c r="A61" s="46" t="s">
        <v>88</v>
      </c>
      <c r="B61" s="47" t="str">
        <f t="shared" ref="B61:B62" si="1">HYPERLINK("https://drive.google.com/open?id=0B00cIHsghs6UamxiYTNDOGh4Mms","Dey2015")</f>
        <v>Dey2015</v>
      </c>
      <c r="C61" s="48" t="s">
        <v>419</v>
      </c>
      <c r="D61" s="65" t="s">
        <v>420</v>
      </c>
      <c r="E61" s="49">
        <v>2015.0</v>
      </c>
      <c r="F61" s="61">
        <v>1.0</v>
      </c>
      <c r="G61" s="50">
        <v>1.0</v>
      </c>
      <c r="H61" s="50"/>
      <c r="I61" s="50"/>
      <c r="J61" s="50"/>
      <c r="K61" s="50"/>
      <c r="L61" s="50"/>
      <c r="M61" s="50"/>
      <c r="N61" s="50"/>
      <c r="O61" s="50"/>
      <c r="P61" s="50"/>
      <c r="Q61" s="50"/>
      <c r="R61" s="50"/>
      <c r="S61" s="50"/>
      <c r="T61" s="50"/>
      <c r="U61" s="50"/>
      <c r="V61" s="51" t="s">
        <v>421</v>
      </c>
      <c r="W61" s="51" t="s">
        <v>422</v>
      </c>
      <c r="X61" s="51" t="s">
        <v>92</v>
      </c>
      <c r="Y61" s="51" t="s">
        <v>92</v>
      </c>
      <c r="Z61" s="51" t="s">
        <v>254</v>
      </c>
      <c r="AA61" s="50"/>
      <c r="AB61" s="50"/>
      <c r="AC61" s="50">
        <v>1.0</v>
      </c>
      <c r="AD61" s="50"/>
      <c r="AE61" s="50"/>
      <c r="AF61" s="50"/>
      <c r="AG61" s="50"/>
      <c r="AH61" s="51" t="s">
        <v>423</v>
      </c>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row>
    <row r="62" ht="12.75" customHeight="1">
      <c r="A62" s="46" t="s">
        <v>108</v>
      </c>
      <c r="B62" s="56" t="str">
        <f t="shared" si="1"/>
        <v>Dey2015</v>
      </c>
      <c r="C62" s="55" t="s">
        <v>419</v>
      </c>
      <c r="D62" s="55" t="s">
        <v>420</v>
      </c>
      <c r="E62" s="49">
        <v>2015.0</v>
      </c>
      <c r="F62" s="50"/>
      <c r="G62" s="50">
        <v>1.0</v>
      </c>
      <c r="H62" s="50">
        <v>1.0</v>
      </c>
      <c r="I62" s="50"/>
      <c r="J62" s="50"/>
      <c r="K62" s="50"/>
      <c r="L62" s="50"/>
      <c r="M62" s="50"/>
      <c r="N62" s="50"/>
      <c r="O62" s="50"/>
      <c r="P62" s="50"/>
      <c r="Q62" s="50"/>
      <c r="R62" s="50"/>
      <c r="S62" s="50"/>
      <c r="T62" s="50"/>
      <c r="U62" s="50"/>
      <c r="V62" s="48" t="s">
        <v>424</v>
      </c>
      <c r="W62" s="48"/>
      <c r="X62" s="48"/>
      <c r="Y62" s="48"/>
      <c r="Z62" s="48" t="s">
        <v>425</v>
      </c>
      <c r="AA62" s="50">
        <v>1.0</v>
      </c>
      <c r="AB62" s="50"/>
      <c r="AC62" s="50">
        <v>1.0</v>
      </c>
      <c r="AD62" s="50"/>
      <c r="AE62" s="50"/>
      <c r="AF62" s="50"/>
      <c r="AG62" s="50"/>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row>
    <row r="63" ht="12.75" customHeight="1">
      <c r="A63" s="46" t="s">
        <v>108</v>
      </c>
      <c r="B63" s="54" t="str">
        <f>HYPERLINK("https://drive.google.com/open?id=0B3oar8-GeP-IYnhOWW9Jb3lTNUE","Dhukaram2016")</f>
        <v>Dhukaram2016</v>
      </c>
      <c r="C63" s="55" t="s">
        <v>426</v>
      </c>
      <c r="D63" s="55" t="s">
        <v>296</v>
      </c>
      <c r="E63" s="49">
        <v>2016.0</v>
      </c>
      <c r="F63" s="61">
        <v>1.0</v>
      </c>
      <c r="G63" s="50">
        <v>1.0</v>
      </c>
      <c r="H63" s="50">
        <v>1.0</v>
      </c>
      <c r="I63" s="50"/>
      <c r="J63" s="50"/>
      <c r="K63" s="50"/>
      <c r="L63" s="50"/>
      <c r="M63" s="50"/>
      <c r="N63" s="50"/>
      <c r="O63" s="50"/>
      <c r="P63" s="50"/>
      <c r="Q63" s="50"/>
      <c r="R63" s="50"/>
      <c r="S63" s="50"/>
      <c r="T63" s="50"/>
      <c r="U63" s="50"/>
      <c r="V63" s="48" t="s">
        <v>427</v>
      </c>
      <c r="W63" s="48"/>
      <c r="X63" s="48" t="s">
        <v>221</v>
      </c>
      <c r="Y63" s="48" t="s">
        <v>92</v>
      </c>
      <c r="Z63" s="48" t="s">
        <v>428</v>
      </c>
      <c r="AA63" s="50">
        <v>1.0</v>
      </c>
      <c r="AB63" s="50"/>
      <c r="AC63" s="50">
        <v>1.0</v>
      </c>
      <c r="AD63" s="50"/>
      <c r="AE63" s="50"/>
      <c r="AF63" s="50"/>
      <c r="AG63" s="50"/>
      <c r="AH63" s="51" t="s">
        <v>429</v>
      </c>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row>
    <row r="64" ht="12.75" customHeight="1">
      <c r="A64" s="46" t="s">
        <v>124</v>
      </c>
      <c r="B64" s="54" t="str">
        <f>HYPERLINK("https://drive.google.com/open?id=0B-nn5iJ29NJacllxeGJNcm9BZE0","Dobesova2013")</f>
        <v>Dobesova2013</v>
      </c>
      <c r="C64" s="55" t="s">
        <v>430</v>
      </c>
      <c r="D64" s="55" t="s">
        <v>431</v>
      </c>
      <c r="E64" s="57">
        <v>2013.0</v>
      </c>
      <c r="F64" s="58"/>
      <c r="G64" s="50"/>
      <c r="H64" s="50"/>
      <c r="I64" s="50"/>
      <c r="J64" s="50"/>
      <c r="K64" s="50"/>
      <c r="L64" s="50"/>
      <c r="M64" s="50"/>
      <c r="N64" s="50"/>
      <c r="O64" s="50"/>
      <c r="P64" s="50"/>
      <c r="Q64" s="50"/>
      <c r="R64" s="50"/>
      <c r="S64" s="50"/>
      <c r="T64" s="50"/>
      <c r="U64" s="50"/>
      <c r="V64" s="48" t="s">
        <v>432</v>
      </c>
      <c r="W64" s="48" t="s">
        <v>433</v>
      </c>
      <c r="X64" s="48"/>
      <c r="Y64" s="48"/>
      <c r="Z64" s="48" t="s">
        <v>434</v>
      </c>
      <c r="AA64" s="50"/>
      <c r="AB64" s="50"/>
      <c r="AC64" s="50">
        <v>1.0</v>
      </c>
      <c r="AD64" s="50"/>
      <c r="AE64" s="50"/>
      <c r="AF64" s="50"/>
      <c r="AG64" s="50">
        <v>1.0</v>
      </c>
      <c r="AH64" s="59"/>
      <c r="AI64" s="52">
        <v>1.0</v>
      </c>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2">
        <v>1.0</v>
      </c>
      <c r="BK64" s="51"/>
      <c r="BL64" s="51"/>
      <c r="BM64" s="51"/>
      <c r="BN64" s="51"/>
      <c r="BO64" s="51"/>
      <c r="BP64" s="51"/>
      <c r="BQ64" s="51"/>
      <c r="BR64" s="51"/>
      <c r="BS64" s="51"/>
      <c r="BT64" s="51"/>
      <c r="BU64" s="51"/>
      <c r="BV64" s="51"/>
      <c r="BW64" s="51"/>
      <c r="BX64" s="51"/>
      <c r="BY64" s="51"/>
      <c r="BZ64" s="51"/>
      <c r="CA64" s="51"/>
      <c r="CB64" s="51"/>
    </row>
    <row r="65" ht="12.75" customHeight="1">
      <c r="A65" s="46" t="s">
        <v>116</v>
      </c>
      <c r="B65" s="56" t="str">
        <f>HYPERLINK("https://drive.google.com/open?id=0B1GMAYMj9v6rUVVFaEFyNk9QaGM","Dunn2005")</f>
        <v>Dunn2005</v>
      </c>
      <c r="C65" s="55" t="s">
        <v>435</v>
      </c>
      <c r="D65" s="55" t="s">
        <v>436</v>
      </c>
      <c r="E65" s="49">
        <v>2005.0</v>
      </c>
      <c r="F65" s="50"/>
      <c r="G65" s="50">
        <v>1.0</v>
      </c>
      <c r="H65" s="50">
        <v>1.0</v>
      </c>
      <c r="I65" s="50"/>
      <c r="J65" s="50"/>
      <c r="K65" s="50"/>
      <c r="L65" s="50"/>
      <c r="M65" s="50"/>
      <c r="N65" s="50"/>
      <c r="O65" s="50">
        <v>1.0</v>
      </c>
      <c r="P65" s="50"/>
      <c r="Q65" s="50"/>
      <c r="R65" s="50"/>
      <c r="S65" s="50"/>
      <c r="T65" s="50"/>
      <c r="U65" s="50"/>
      <c r="V65" s="51"/>
      <c r="W65" s="51" t="s">
        <v>437</v>
      </c>
      <c r="X65" s="51" t="s">
        <v>438</v>
      </c>
      <c r="Y65" s="51" t="s">
        <v>439</v>
      </c>
      <c r="Z65" s="51" t="s">
        <v>122</v>
      </c>
      <c r="AA65" s="50">
        <v>1.0</v>
      </c>
      <c r="AB65" s="50">
        <v>1.0</v>
      </c>
      <c r="AC65" s="50"/>
      <c r="AD65" s="50">
        <v>1.0</v>
      </c>
      <c r="AE65" s="50"/>
      <c r="AF65" s="50"/>
      <c r="AG65" s="50"/>
      <c r="AH65" s="51" t="s">
        <v>440</v>
      </c>
      <c r="AI65" s="51">
        <v>1.0</v>
      </c>
      <c r="AJ65" s="51"/>
      <c r="AK65" s="51"/>
      <c r="AL65" s="51"/>
      <c r="AM65" s="51"/>
      <c r="AN65" s="51"/>
      <c r="AO65" s="51"/>
      <c r="AP65" s="51"/>
      <c r="AQ65" s="51"/>
      <c r="AR65" s="51">
        <v>1.0</v>
      </c>
      <c r="AS65" s="51"/>
      <c r="AT65" s="51"/>
      <c r="AU65" s="51"/>
      <c r="AV65" s="51"/>
      <c r="AW65" s="51"/>
      <c r="AX65" s="51"/>
      <c r="AY65" s="51"/>
      <c r="AZ65" s="51"/>
      <c r="BA65" s="51"/>
      <c r="BB65" s="51"/>
      <c r="BC65" s="51"/>
      <c r="BD65" s="51"/>
      <c r="BE65" s="51"/>
      <c r="BF65" s="51"/>
      <c r="BG65" s="51"/>
      <c r="BH65" s="51"/>
      <c r="BI65" s="51">
        <v>1.0</v>
      </c>
      <c r="BJ65" s="51"/>
      <c r="BK65" s="51"/>
      <c r="BL65" s="51"/>
      <c r="BM65" s="51"/>
      <c r="BN65" s="51"/>
      <c r="BO65" s="51"/>
      <c r="BP65" s="51"/>
      <c r="BQ65" s="51"/>
      <c r="BR65" s="51"/>
      <c r="BS65" s="51"/>
      <c r="BT65" s="51"/>
      <c r="BU65" s="51"/>
      <c r="BV65" s="51"/>
      <c r="BW65" s="51"/>
      <c r="BX65" s="51"/>
      <c r="BY65" s="51">
        <v>1.0</v>
      </c>
      <c r="BZ65" s="51"/>
      <c r="CA65" s="51"/>
      <c r="CB65" s="51"/>
    </row>
    <row r="66" ht="12.75" customHeight="1">
      <c r="A66" s="46" t="s">
        <v>116</v>
      </c>
      <c r="B66" s="54" t="str">
        <f>HYPERLINK("https://drive.google.com/open?id=0B1GMAYMj9v6rY3U1Z1ZTdjdLaU0","Duseau2012")</f>
        <v>Duseau2012</v>
      </c>
      <c r="C66" s="55" t="s">
        <v>441</v>
      </c>
      <c r="D66" s="55" t="s">
        <v>442</v>
      </c>
      <c r="E66" s="49">
        <v>2012.0</v>
      </c>
      <c r="F66" s="61">
        <v>1.0</v>
      </c>
      <c r="G66" s="50"/>
      <c r="H66" s="50"/>
      <c r="I66" s="50">
        <v>1.0</v>
      </c>
      <c r="J66" s="50"/>
      <c r="K66" s="50">
        <v>1.0</v>
      </c>
      <c r="L66" s="50"/>
      <c r="M66" s="50"/>
      <c r="N66" s="50"/>
      <c r="O66" s="50"/>
      <c r="P66" s="50"/>
      <c r="Q66" s="50"/>
      <c r="R66" s="50"/>
      <c r="S66" s="50"/>
      <c r="T66" s="50"/>
      <c r="U66" s="50"/>
      <c r="V66" s="51"/>
      <c r="W66" s="51" t="s">
        <v>197</v>
      </c>
      <c r="X66" s="51" t="s">
        <v>443</v>
      </c>
      <c r="Y66" s="51" t="s">
        <v>444</v>
      </c>
      <c r="Z66" s="51" t="s">
        <v>445</v>
      </c>
      <c r="AA66" s="50">
        <v>1.0</v>
      </c>
      <c r="AB66" s="50"/>
      <c r="AC66" s="50"/>
      <c r="AD66" s="50">
        <v>1.0</v>
      </c>
      <c r="AE66" s="50"/>
      <c r="AF66" s="50"/>
      <c r="AG66" s="50"/>
      <c r="AH66" s="51" t="s">
        <v>446</v>
      </c>
      <c r="AI66" s="52"/>
      <c r="AJ66" s="51"/>
      <c r="AK66" s="51"/>
      <c r="AL66" s="51"/>
      <c r="AM66" s="51"/>
      <c r="AN66" s="51"/>
      <c r="AO66" s="51"/>
      <c r="AP66" s="51"/>
      <c r="AQ66" s="51"/>
      <c r="AR66" s="52"/>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row>
    <row r="67" ht="12.75" customHeight="1">
      <c r="A67" s="46" t="s">
        <v>116</v>
      </c>
      <c r="B67" s="68" t="str">
        <f>HYPERLINK("https://drive.google.com/open?id=1anJWToRq3TTA_1Kp14KKsA0NeCxW6s3B","Feigenspan2012")</f>
        <v>Feigenspan2012</v>
      </c>
      <c r="C67" s="63" t="s">
        <v>447</v>
      </c>
      <c r="D67" s="63" t="s">
        <v>448</v>
      </c>
      <c r="E67" s="49">
        <v>2012.0</v>
      </c>
      <c r="F67" s="50"/>
      <c r="G67" s="50"/>
      <c r="H67" s="50"/>
      <c r="I67" s="50">
        <v>1.0</v>
      </c>
      <c r="J67" s="50"/>
      <c r="K67" s="50">
        <v>1.0</v>
      </c>
      <c r="L67" s="50"/>
      <c r="M67" s="50"/>
      <c r="N67" s="50"/>
      <c r="O67" s="50"/>
      <c r="P67" s="50"/>
      <c r="Q67" s="50"/>
      <c r="R67" s="50"/>
      <c r="S67" s="50"/>
      <c r="T67" s="50"/>
      <c r="U67" s="50"/>
      <c r="V67" s="51" t="s">
        <v>92</v>
      </c>
      <c r="W67" s="51" t="s">
        <v>449</v>
      </c>
      <c r="X67" s="51" t="s">
        <v>449</v>
      </c>
      <c r="Y67" s="51" t="s">
        <v>450</v>
      </c>
      <c r="Z67" s="51" t="s">
        <v>122</v>
      </c>
      <c r="AA67" s="50">
        <v>1.0</v>
      </c>
      <c r="AB67" s="50"/>
      <c r="AC67" s="50"/>
      <c r="AD67" s="50">
        <v>1.0</v>
      </c>
      <c r="AE67" s="50"/>
      <c r="AF67" s="50"/>
      <c r="AG67" s="50"/>
      <c r="AH67" s="51" t="s">
        <v>451</v>
      </c>
      <c r="AI67" s="51">
        <v>1.0</v>
      </c>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2">
        <v>1.0</v>
      </c>
      <c r="BK67" s="52">
        <v>1.0</v>
      </c>
      <c r="BL67" s="51"/>
      <c r="BM67" s="51"/>
      <c r="BN67" s="51"/>
      <c r="BO67" s="51"/>
      <c r="BP67" s="51"/>
      <c r="BQ67" s="51"/>
      <c r="BR67" s="51"/>
      <c r="BS67" s="51"/>
      <c r="BT67" s="51"/>
      <c r="BU67" s="51"/>
      <c r="BV67" s="51"/>
      <c r="BW67" s="51"/>
      <c r="BX67" s="51"/>
      <c r="BY67" s="51"/>
      <c r="BZ67" s="51"/>
      <c r="CA67" s="51">
        <v>1.0</v>
      </c>
      <c r="CB67" s="51"/>
    </row>
    <row r="68" ht="12.75" customHeight="1">
      <c r="A68" s="46" t="s">
        <v>116</v>
      </c>
      <c r="B68" s="67" t="str">
        <f>HYPERLINK("https://drive.google.com/open?id=1_qv_1iPfnVLKY3SyL2X6jrwnNZE-3Gj_","Figl2012")</f>
        <v>Figl2012</v>
      </c>
      <c r="C68" s="63" t="s">
        <v>452</v>
      </c>
      <c r="D68" s="63" t="s">
        <v>453</v>
      </c>
      <c r="E68" s="49">
        <v>2012.0</v>
      </c>
      <c r="F68" s="50"/>
      <c r="G68" s="50">
        <v>1.0</v>
      </c>
      <c r="H68" s="50">
        <v>1.0</v>
      </c>
      <c r="I68" s="50"/>
      <c r="J68" s="50"/>
      <c r="K68" s="50"/>
      <c r="L68" s="50"/>
      <c r="M68" s="50"/>
      <c r="N68" s="50"/>
      <c r="O68" s="50"/>
      <c r="P68" s="50"/>
      <c r="Q68" s="50"/>
      <c r="R68" s="50"/>
      <c r="S68" s="50"/>
      <c r="T68" s="50"/>
      <c r="U68" s="50"/>
      <c r="V68" s="51" t="s">
        <v>454</v>
      </c>
      <c r="W68" s="51" t="s">
        <v>455</v>
      </c>
      <c r="X68" s="51" t="s">
        <v>456</v>
      </c>
      <c r="Y68" s="51" t="s">
        <v>457</v>
      </c>
      <c r="Z68" s="51" t="s">
        <v>122</v>
      </c>
      <c r="AA68" s="50">
        <v>1.0</v>
      </c>
      <c r="AB68" s="50"/>
      <c r="AC68" s="50"/>
      <c r="AD68" s="50">
        <v>1.0</v>
      </c>
      <c r="AE68" s="50"/>
      <c r="AF68" s="50"/>
      <c r="AG68" s="50"/>
      <c r="AH68" s="51" t="s">
        <v>458</v>
      </c>
      <c r="AI68" s="51">
        <v>1.0</v>
      </c>
      <c r="AJ68" s="51"/>
      <c r="AK68" s="51"/>
      <c r="AL68" s="51"/>
      <c r="AM68" s="51"/>
      <c r="AN68" s="51">
        <v>1.0</v>
      </c>
      <c r="AO68" s="51">
        <v>1.0</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v>1.0</v>
      </c>
      <c r="BZ68" s="51"/>
      <c r="CA68" s="51"/>
      <c r="CB68" s="51"/>
    </row>
    <row r="69" ht="12.75" customHeight="1">
      <c r="A69" s="46" t="s">
        <v>116</v>
      </c>
      <c r="B69" s="68" t="str">
        <f>HYPERLINK("https://drive.google.com/open?id=1l6kx0sfDNdR1ARYSSvsUwRvHP56R6rgN","Fisher2006")</f>
        <v>Fisher2006</v>
      </c>
      <c r="C69" s="63" t="s">
        <v>459</v>
      </c>
      <c r="D69" s="63" t="s">
        <v>460</v>
      </c>
      <c r="E69" s="49">
        <v>2006.0</v>
      </c>
      <c r="F69" s="50"/>
      <c r="G69" s="50"/>
      <c r="H69" s="50"/>
      <c r="I69" s="50">
        <v>1.0</v>
      </c>
      <c r="J69" s="50"/>
      <c r="K69" s="50">
        <v>1.0</v>
      </c>
      <c r="L69" s="50"/>
      <c r="M69" s="50"/>
      <c r="N69" s="50"/>
      <c r="O69" s="50"/>
      <c r="P69" s="50"/>
      <c r="Q69" s="50"/>
      <c r="R69" s="50"/>
      <c r="S69" s="50"/>
      <c r="T69" s="50"/>
      <c r="U69" s="50"/>
      <c r="V69" s="51" t="s">
        <v>461</v>
      </c>
      <c r="W69" s="51" t="s">
        <v>462</v>
      </c>
      <c r="X69" s="51" t="s">
        <v>463</v>
      </c>
      <c r="Y69" s="51" t="s">
        <v>464</v>
      </c>
      <c r="Z69" s="51" t="s">
        <v>122</v>
      </c>
      <c r="AA69" s="50">
        <v>1.0</v>
      </c>
      <c r="AB69" s="50"/>
      <c r="AC69" s="50"/>
      <c r="AD69" s="50">
        <v>1.0</v>
      </c>
      <c r="AE69" s="50"/>
      <c r="AF69" s="50"/>
      <c r="AG69" s="50"/>
      <c r="AH69" s="51" t="s">
        <v>465</v>
      </c>
      <c r="AI69" s="51">
        <v>1.0</v>
      </c>
      <c r="AJ69" s="51"/>
      <c r="AK69" s="51"/>
      <c r="AL69" s="51"/>
      <c r="AM69" s="51"/>
      <c r="AN69" s="51">
        <v>1.0</v>
      </c>
      <c r="AO69" s="51"/>
      <c r="AP69" s="51"/>
      <c r="AQ69" s="51"/>
      <c r="AR69" s="51"/>
      <c r="AS69" s="51"/>
      <c r="AT69" s="51"/>
      <c r="AU69" s="51"/>
      <c r="AV69" s="51"/>
      <c r="AW69" s="51"/>
      <c r="AX69" s="51"/>
      <c r="AY69" s="51"/>
      <c r="AZ69" s="51"/>
      <c r="BA69" s="51"/>
      <c r="BB69" s="51"/>
      <c r="BC69" s="51"/>
      <c r="BD69" s="52">
        <v>1.0</v>
      </c>
      <c r="BE69" s="51"/>
      <c r="BF69" s="51"/>
      <c r="BG69" s="51"/>
      <c r="BH69" s="51"/>
      <c r="BI69" s="51"/>
      <c r="BJ69" s="51"/>
      <c r="BK69" s="52">
        <v>1.0</v>
      </c>
      <c r="BL69" s="51"/>
      <c r="BM69" s="52">
        <v>1.0</v>
      </c>
      <c r="BN69" s="51"/>
      <c r="BO69" s="51"/>
      <c r="BP69" s="51"/>
      <c r="BQ69" s="51"/>
      <c r="BR69" s="51"/>
      <c r="BS69" s="51"/>
      <c r="BT69" s="51"/>
      <c r="BU69" s="51"/>
      <c r="BV69" s="51"/>
      <c r="BW69" s="51"/>
      <c r="BX69" s="51"/>
      <c r="BY69" s="51">
        <v>1.0</v>
      </c>
      <c r="BZ69" s="51"/>
      <c r="CA69" s="51"/>
      <c r="CB69" s="51"/>
    </row>
    <row r="70" ht="12.75" customHeight="1">
      <c r="A70" s="46" t="s">
        <v>116</v>
      </c>
      <c r="B70" s="68" t="str">
        <f>HYPERLINK("https://drive.google.com/open?id=1KSrFo0m5Vpe8PJP54ZN_t_-bYtjf-iV8","Fletcher1984")</f>
        <v>Fletcher1984</v>
      </c>
      <c r="C70" s="63" t="s">
        <v>466</v>
      </c>
      <c r="D70" s="63" t="s">
        <v>467</v>
      </c>
      <c r="E70" s="49">
        <v>1984.0</v>
      </c>
      <c r="F70" s="50"/>
      <c r="G70" s="50"/>
      <c r="H70" s="50"/>
      <c r="I70" s="50">
        <v>1.0</v>
      </c>
      <c r="J70" s="50"/>
      <c r="K70" s="50"/>
      <c r="L70" s="50"/>
      <c r="M70" s="50"/>
      <c r="N70" s="50"/>
      <c r="O70" s="50"/>
      <c r="P70" s="50"/>
      <c r="Q70" s="50"/>
      <c r="R70" s="50"/>
      <c r="S70" s="50"/>
      <c r="T70" s="50"/>
      <c r="U70" s="50"/>
      <c r="V70" s="51" t="s">
        <v>92</v>
      </c>
      <c r="W70" s="51" t="s">
        <v>468</v>
      </c>
      <c r="X70" s="51" t="s">
        <v>469</v>
      </c>
      <c r="Y70" s="51" t="s">
        <v>470</v>
      </c>
      <c r="Z70" s="51" t="s">
        <v>122</v>
      </c>
      <c r="AA70" s="50">
        <v>1.0</v>
      </c>
      <c r="AB70" s="50"/>
      <c r="AC70" s="50"/>
      <c r="AD70" s="50">
        <v>1.0</v>
      </c>
      <c r="AE70" s="50"/>
      <c r="AF70" s="50"/>
      <c r="AG70" s="50"/>
      <c r="AH70" s="51" t="s">
        <v>471</v>
      </c>
      <c r="AI70" s="51">
        <v>1.0</v>
      </c>
      <c r="AJ70" s="51"/>
      <c r="AK70" s="51"/>
      <c r="AL70" s="51"/>
      <c r="AM70" s="51"/>
      <c r="AN70" s="51"/>
      <c r="AO70" s="51"/>
      <c r="AP70" s="51"/>
      <c r="AQ70" s="51"/>
      <c r="AR70" s="51"/>
      <c r="AS70" s="51"/>
      <c r="AT70" s="51"/>
      <c r="AU70" s="51"/>
      <c r="AV70" s="51"/>
      <c r="AW70" s="51"/>
      <c r="AX70" s="51"/>
      <c r="AY70" s="51"/>
      <c r="AZ70" s="51"/>
      <c r="BA70" s="51"/>
      <c r="BB70" s="51"/>
      <c r="BC70" s="51"/>
      <c r="BD70" s="52">
        <v>1.0</v>
      </c>
      <c r="BE70" s="51"/>
      <c r="BF70" s="51">
        <v>1.0</v>
      </c>
      <c r="BG70" s="51"/>
      <c r="BH70" s="51"/>
      <c r="BI70" s="51"/>
      <c r="BJ70" s="51"/>
      <c r="BK70" s="52">
        <v>1.0</v>
      </c>
      <c r="BL70" s="51"/>
      <c r="BM70" s="52">
        <v>1.0</v>
      </c>
      <c r="BN70" s="51"/>
      <c r="BO70" s="51"/>
      <c r="BP70" s="52">
        <v>1.0</v>
      </c>
      <c r="BQ70" s="51"/>
      <c r="BR70" s="51"/>
      <c r="BS70" s="51"/>
      <c r="BT70" s="51"/>
      <c r="BU70" s="51"/>
      <c r="BV70" s="51"/>
      <c r="BW70" s="51"/>
      <c r="BX70" s="51"/>
      <c r="BY70" s="51">
        <v>1.0</v>
      </c>
      <c r="BZ70" s="51"/>
      <c r="CA70" s="51"/>
      <c r="CB70" s="51"/>
    </row>
    <row r="71" ht="12.75" customHeight="1">
      <c r="A71" s="46" t="s">
        <v>116</v>
      </c>
      <c r="B71" s="56" t="str">
        <f>HYPERLINK("https://drive.google.com/open?id=0B1GMAYMj9v6rdm5BYVh1emNhOUE","Fritz2014")</f>
        <v>Fritz2014</v>
      </c>
      <c r="C71" s="55" t="s">
        <v>472</v>
      </c>
      <c r="D71" s="55" t="s">
        <v>196</v>
      </c>
      <c r="E71" s="49">
        <v>2014.0</v>
      </c>
      <c r="F71" s="50"/>
      <c r="G71" s="50"/>
      <c r="H71" s="50"/>
      <c r="I71" s="50">
        <v>1.0</v>
      </c>
      <c r="J71" s="50"/>
      <c r="K71" s="50"/>
      <c r="L71" s="50"/>
      <c r="M71" s="50"/>
      <c r="N71" s="50"/>
      <c r="O71" s="50"/>
      <c r="P71" s="50"/>
      <c r="Q71" s="50"/>
      <c r="R71" s="50"/>
      <c r="S71" s="50"/>
      <c r="T71" s="50"/>
      <c r="U71" s="50"/>
      <c r="V71" s="51" t="s">
        <v>473</v>
      </c>
      <c r="W71" s="51"/>
      <c r="X71" s="55" t="s">
        <v>474</v>
      </c>
      <c r="Y71" s="51" t="s">
        <v>475</v>
      </c>
      <c r="Z71" s="51" t="s">
        <v>122</v>
      </c>
      <c r="AA71" s="50"/>
      <c r="AB71" s="50">
        <v>1.0</v>
      </c>
      <c r="AC71" s="50"/>
      <c r="AD71" s="50">
        <v>1.0</v>
      </c>
      <c r="AE71" s="50"/>
      <c r="AF71" s="50"/>
      <c r="AG71" s="50"/>
      <c r="AH71" s="51" t="s">
        <v>476</v>
      </c>
      <c r="AI71" s="51">
        <v>1.0</v>
      </c>
      <c r="AJ71" s="51">
        <v>1.0</v>
      </c>
      <c r="AK71" s="51"/>
      <c r="AL71" s="51"/>
      <c r="AM71" s="51"/>
      <c r="AN71" s="51"/>
      <c r="AO71" s="51"/>
      <c r="AP71" s="51"/>
      <c r="AQ71" s="51"/>
      <c r="AR71" s="51">
        <v>1.0</v>
      </c>
      <c r="AS71" s="51"/>
      <c r="AT71" s="51"/>
      <c r="AU71" s="51"/>
      <c r="AV71" s="51"/>
      <c r="AW71" s="51"/>
      <c r="AX71" s="51"/>
      <c r="AY71" s="51"/>
      <c r="AZ71" s="51"/>
      <c r="BA71" s="51"/>
      <c r="BB71" s="51">
        <v>1.0</v>
      </c>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v>1.0</v>
      </c>
      <c r="CA71" s="51"/>
      <c r="CB71" s="51">
        <v>1.0</v>
      </c>
    </row>
    <row r="72" ht="12.75" customHeight="1">
      <c r="A72" s="46" t="s">
        <v>124</v>
      </c>
      <c r="B72" s="68" t="str">
        <f>HYPERLINK("https://drive.google.com/open?id=1cTzhfRYF-_spkdfYbSzBlduyNEcWbnEj","Fritz2014a")</f>
        <v>Fritz2014a</v>
      </c>
      <c r="C72" s="48" t="s">
        <v>477</v>
      </c>
      <c r="D72" s="48" t="s">
        <v>478</v>
      </c>
      <c r="E72" s="49">
        <v>2014.0</v>
      </c>
      <c r="F72" s="50"/>
      <c r="G72" s="50"/>
      <c r="H72" s="50"/>
      <c r="I72" s="50">
        <v>1.0</v>
      </c>
      <c r="J72" s="50"/>
      <c r="K72" s="50">
        <v>1.0</v>
      </c>
      <c r="L72" s="50"/>
      <c r="M72" s="50"/>
      <c r="N72" s="50"/>
      <c r="O72" s="50"/>
      <c r="P72" s="50"/>
      <c r="Q72" s="50"/>
      <c r="R72" s="50"/>
      <c r="S72" s="50"/>
      <c r="T72" s="50"/>
      <c r="U72" s="50"/>
      <c r="V72" s="48"/>
      <c r="W72" s="69" t="s">
        <v>479</v>
      </c>
      <c r="X72" s="48" t="s">
        <v>480</v>
      </c>
      <c r="Y72" s="48"/>
      <c r="Z72" s="48" t="s">
        <v>481</v>
      </c>
      <c r="AA72" s="50">
        <v>1.0</v>
      </c>
      <c r="AB72" s="50"/>
      <c r="AC72" s="50"/>
      <c r="AD72" s="50">
        <v>1.0</v>
      </c>
      <c r="AE72" s="50"/>
      <c r="AF72" s="50"/>
      <c r="AG72" s="50"/>
      <c r="AH72" s="59"/>
      <c r="AI72" s="52">
        <v>1.0</v>
      </c>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2">
        <v>1.0</v>
      </c>
      <c r="BK72" s="51"/>
      <c r="BL72" s="51"/>
      <c r="BM72" s="51"/>
      <c r="BN72" s="51"/>
      <c r="BO72" s="51"/>
      <c r="BP72" s="51"/>
      <c r="BQ72" s="51"/>
      <c r="BR72" s="51"/>
      <c r="BS72" s="51"/>
      <c r="BT72" s="51"/>
      <c r="BU72" s="51"/>
      <c r="BV72" s="51"/>
      <c r="BW72" s="51"/>
      <c r="BX72" s="51"/>
      <c r="BY72" s="51"/>
      <c r="BZ72" s="51"/>
      <c r="CA72" s="51"/>
      <c r="CB72" s="51"/>
    </row>
    <row r="73" ht="12.75" customHeight="1">
      <c r="A73" s="46" t="s">
        <v>108</v>
      </c>
      <c r="B73" s="54" t="str">
        <f>HYPERLINK("https://drive.google.com/open?id=0B3oar8-GeP-IQVZqdHRWYTdKYkE","Furuta1994")</f>
        <v>Furuta1994</v>
      </c>
      <c r="C73" s="55" t="s">
        <v>482</v>
      </c>
      <c r="D73" s="55" t="s">
        <v>483</v>
      </c>
      <c r="E73" s="49">
        <v>1994.0</v>
      </c>
      <c r="F73" s="50"/>
      <c r="G73" s="50"/>
      <c r="H73" s="50">
        <v>1.0</v>
      </c>
      <c r="I73" s="50"/>
      <c r="J73" s="50"/>
      <c r="K73" s="50"/>
      <c r="L73" s="50"/>
      <c r="M73" s="50"/>
      <c r="N73" s="50"/>
      <c r="O73" s="50"/>
      <c r="P73" s="50"/>
      <c r="Q73" s="50"/>
      <c r="R73" s="50"/>
      <c r="S73" s="50"/>
      <c r="T73" s="50"/>
      <c r="U73" s="50"/>
      <c r="V73" s="48" t="s">
        <v>484</v>
      </c>
      <c r="W73" s="48" t="s">
        <v>485</v>
      </c>
      <c r="X73" s="48" t="s">
        <v>486</v>
      </c>
      <c r="Y73" s="48" t="s">
        <v>92</v>
      </c>
      <c r="Z73" s="48" t="s">
        <v>487</v>
      </c>
      <c r="AA73" s="50">
        <v>1.0</v>
      </c>
      <c r="AB73" s="50"/>
      <c r="AC73" s="50">
        <v>1.0</v>
      </c>
      <c r="AD73" s="50"/>
      <c r="AE73" s="50"/>
      <c r="AF73" s="50"/>
      <c r="AG73" s="50"/>
      <c r="AH73" s="51" t="s">
        <v>488</v>
      </c>
      <c r="AI73" s="52">
        <v>1.0</v>
      </c>
      <c r="AJ73" s="51"/>
      <c r="AK73" s="51"/>
      <c r="AL73" s="51"/>
      <c r="AM73" s="51"/>
      <c r="AN73" s="51"/>
      <c r="AO73" s="51"/>
      <c r="AP73" s="51"/>
      <c r="AQ73" s="51"/>
      <c r="AR73" s="51"/>
      <c r="AS73" s="51"/>
      <c r="AT73" s="51"/>
      <c r="AU73" s="51"/>
      <c r="AV73" s="51"/>
      <c r="AW73" s="51"/>
      <c r="AX73" s="51"/>
      <c r="AY73" s="51"/>
      <c r="AZ73" s="51"/>
      <c r="BA73" s="51"/>
      <c r="BB73" s="51"/>
      <c r="BC73" s="51"/>
      <c r="BD73" s="51"/>
      <c r="BE73" s="52">
        <v>1.0</v>
      </c>
      <c r="BF73" s="51"/>
      <c r="BG73" s="51"/>
      <c r="BH73" s="51"/>
      <c r="BI73" s="51"/>
      <c r="BJ73" s="51"/>
      <c r="BK73" s="51"/>
      <c r="BL73" s="51"/>
      <c r="BM73" s="51"/>
      <c r="BN73" s="51"/>
      <c r="BO73" s="51"/>
      <c r="BP73" s="51"/>
      <c r="BQ73" s="51"/>
      <c r="BR73" s="51"/>
      <c r="BS73" s="51"/>
      <c r="BT73" s="51"/>
      <c r="BU73" s="51"/>
      <c r="BV73" s="51"/>
      <c r="BW73" s="51"/>
      <c r="BX73" s="51"/>
      <c r="BY73" s="51"/>
      <c r="BZ73" s="51"/>
      <c r="CA73" s="51"/>
      <c r="CB73" s="51"/>
    </row>
    <row r="74" ht="12.75" customHeight="1">
      <c r="A74" s="46" t="s">
        <v>88</v>
      </c>
      <c r="B74" s="53" t="str">
        <f t="shared" ref="B74:B75" si="2">HYPERLINK("https://drive.google.com/open?id=0B00cIHsghs6UbHpZbkZ4T2h4cWs","Gauvin2004")</f>
        <v>Gauvin2004</v>
      </c>
      <c r="C74" s="48" t="s">
        <v>489</v>
      </c>
      <c r="D74" s="48" t="s">
        <v>490</v>
      </c>
      <c r="E74" s="49">
        <v>2004.0</v>
      </c>
      <c r="F74" s="50"/>
      <c r="G74" s="50"/>
      <c r="H74" s="50"/>
      <c r="I74" s="50">
        <v>1.0</v>
      </c>
      <c r="J74" s="50"/>
      <c r="K74" s="50"/>
      <c r="L74" s="50"/>
      <c r="M74" s="50"/>
      <c r="N74" s="50"/>
      <c r="O74" s="50"/>
      <c r="P74" s="50"/>
      <c r="Q74" s="50"/>
      <c r="R74" s="50"/>
      <c r="S74" s="50"/>
      <c r="T74" s="50"/>
      <c r="U74" s="50"/>
      <c r="V74" s="51"/>
      <c r="W74" s="51" t="s">
        <v>491</v>
      </c>
      <c r="X74" s="51" t="s">
        <v>84</v>
      </c>
      <c r="Y74" s="51" t="s">
        <v>492</v>
      </c>
      <c r="Z74" s="51" t="s">
        <v>100</v>
      </c>
      <c r="AA74" s="50">
        <v>1.0</v>
      </c>
      <c r="AB74" s="50"/>
      <c r="AC74" s="50">
        <v>1.0</v>
      </c>
      <c r="AD74" s="50">
        <v>1.0</v>
      </c>
      <c r="AE74" s="50"/>
      <c r="AF74" s="50"/>
      <c r="AG74" s="50"/>
      <c r="AH74" s="51" t="s">
        <v>493</v>
      </c>
      <c r="AI74" s="51">
        <v>1.0</v>
      </c>
      <c r="AJ74" s="51">
        <v>1.0</v>
      </c>
      <c r="AK74" s="51"/>
      <c r="AL74" s="51"/>
      <c r="AM74" s="51"/>
      <c r="AN74" s="51">
        <v>1.0</v>
      </c>
      <c r="AO74" s="51"/>
      <c r="AP74" s="51"/>
      <c r="AQ74" s="51"/>
      <c r="AR74" s="51">
        <v>1.0</v>
      </c>
      <c r="AS74" s="51"/>
      <c r="AT74" s="51"/>
      <c r="AU74" s="51"/>
      <c r="AV74" s="51"/>
      <c r="AW74" s="51"/>
      <c r="AX74" s="51"/>
      <c r="AY74" s="51"/>
      <c r="AZ74" s="51"/>
      <c r="BA74" s="51"/>
      <c r="BB74" s="51"/>
      <c r="BC74" s="51"/>
      <c r="BD74" s="51">
        <v>1.0</v>
      </c>
      <c r="BE74" s="51"/>
      <c r="BF74" s="51"/>
      <c r="BG74" s="51"/>
      <c r="BH74" s="51"/>
      <c r="BI74" s="51"/>
      <c r="BJ74" s="51"/>
      <c r="BK74" s="51"/>
      <c r="BL74" s="51"/>
      <c r="BM74" s="51"/>
      <c r="BN74" s="51"/>
      <c r="BO74" s="51"/>
      <c r="BP74" s="51"/>
      <c r="BQ74" s="51"/>
      <c r="BR74" s="51"/>
      <c r="BS74" s="51"/>
      <c r="BT74" s="51"/>
      <c r="BU74" s="51"/>
      <c r="BV74" s="51">
        <v>1.0</v>
      </c>
      <c r="BW74" s="51"/>
      <c r="BX74" s="51"/>
      <c r="BY74" s="51">
        <v>1.0</v>
      </c>
      <c r="BZ74" s="51"/>
      <c r="CA74" s="51"/>
      <c r="CB74" s="51"/>
    </row>
    <row r="75" ht="12.75" customHeight="1">
      <c r="A75" s="46" t="s">
        <v>108</v>
      </c>
      <c r="B75" s="53" t="str">
        <f t="shared" si="2"/>
        <v>Gauvin2004</v>
      </c>
      <c r="C75" s="48" t="s">
        <v>489</v>
      </c>
      <c r="D75" s="48" t="s">
        <v>490</v>
      </c>
      <c r="E75" s="49">
        <v>2004.0</v>
      </c>
      <c r="F75" s="50"/>
      <c r="G75" s="50"/>
      <c r="H75" s="60"/>
      <c r="I75" s="50">
        <v>1.0</v>
      </c>
      <c r="J75" s="50"/>
      <c r="K75" s="50"/>
      <c r="L75" s="50"/>
      <c r="M75" s="50"/>
      <c r="N75" s="50"/>
      <c r="O75" s="50"/>
      <c r="P75" s="50"/>
      <c r="Q75" s="50"/>
      <c r="R75" s="50"/>
      <c r="S75" s="50"/>
      <c r="T75" s="50"/>
      <c r="U75" s="50"/>
      <c r="V75" s="48" t="s">
        <v>353</v>
      </c>
      <c r="W75" s="48"/>
      <c r="X75" s="48" t="s">
        <v>494</v>
      </c>
      <c r="Y75" s="48" t="s">
        <v>495</v>
      </c>
      <c r="Z75" s="48" t="s">
        <v>496</v>
      </c>
      <c r="AA75" s="50">
        <v>1.0</v>
      </c>
      <c r="AB75" s="50"/>
      <c r="AC75" s="50"/>
      <c r="AD75" s="50">
        <v>1.0</v>
      </c>
      <c r="AE75" s="50"/>
      <c r="AF75" s="50"/>
      <c r="AG75" s="50"/>
      <c r="AH75" s="51" t="s">
        <v>497</v>
      </c>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row>
    <row r="76" ht="12.75" customHeight="1">
      <c r="A76" s="46" t="s">
        <v>124</v>
      </c>
      <c r="B76" s="67" t="str">
        <f>HYPERLINK("https://drive.google.com/open?id=1Zw5V-4TpVSJtiIvX95lp_SXJPEX6Hsmo","Gilmore1988")</f>
        <v>Gilmore1988</v>
      </c>
      <c r="C76" s="48" t="s">
        <v>498</v>
      </c>
      <c r="D76" s="48" t="s">
        <v>499</v>
      </c>
      <c r="E76" s="49">
        <v>1988.0</v>
      </c>
      <c r="F76" s="50"/>
      <c r="G76" s="50"/>
      <c r="H76" s="50"/>
      <c r="I76" s="50">
        <v>1.0</v>
      </c>
      <c r="J76" s="50"/>
      <c r="K76" s="50"/>
      <c r="L76" s="50"/>
      <c r="M76" s="50"/>
      <c r="N76" s="50"/>
      <c r="O76" s="50"/>
      <c r="P76" s="50"/>
      <c r="Q76" s="50"/>
      <c r="R76" s="50"/>
      <c r="S76" s="50"/>
      <c r="T76" s="50"/>
      <c r="U76" s="50"/>
      <c r="V76" s="48"/>
      <c r="W76" s="48"/>
      <c r="X76" s="48" t="s">
        <v>500</v>
      </c>
      <c r="Y76" s="48"/>
      <c r="Z76" s="48" t="s">
        <v>501</v>
      </c>
      <c r="AA76" s="50">
        <v>1.0</v>
      </c>
      <c r="AB76" s="50"/>
      <c r="AC76" s="50"/>
      <c r="AD76" s="50">
        <v>1.0</v>
      </c>
      <c r="AE76" s="50"/>
      <c r="AF76" s="50"/>
      <c r="AG76" s="50"/>
      <c r="AH76" s="59"/>
      <c r="AI76" s="51">
        <v>1.0</v>
      </c>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v>1.0</v>
      </c>
      <c r="BK76" s="51"/>
      <c r="BL76" s="51"/>
      <c r="BM76" s="51"/>
      <c r="BN76" s="51"/>
      <c r="BO76" s="51"/>
      <c r="BP76" s="51"/>
      <c r="BQ76" s="51"/>
      <c r="BR76" s="51"/>
      <c r="BS76" s="51"/>
      <c r="BT76" s="51"/>
      <c r="BU76" s="51"/>
      <c r="BV76" s="51"/>
      <c r="BW76" s="51"/>
      <c r="BX76" s="51"/>
      <c r="BY76" s="51">
        <v>1.0</v>
      </c>
      <c r="BZ76" s="51"/>
      <c r="CA76" s="51"/>
      <c r="CB76" s="51"/>
    </row>
    <row r="77" ht="12.75" customHeight="1">
      <c r="A77" s="46" t="s">
        <v>124</v>
      </c>
      <c r="B77" s="73" t="str">
        <f>HYPERLINK("https://drive.google.com/open?id=0B-nn5iJ29NJad2lZOEFpNDNqVjA","Gordon1979")</f>
        <v>Gordon1979</v>
      </c>
      <c r="C77" s="55" t="s">
        <v>502</v>
      </c>
      <c r="D77" s="55" t="s">
        <v>503</v>
      </c>
      <c r="E77" s="57">
        <v>1979.0</v>
      </c>
      <c r="F77" s="70">
        <v>1.0</v>
      </c>
      <c r="G77" s="50"/>
      <c r="H77" s="50"/>
      <c r="I77" s="50">
        <v>1.0</v>
      </c>
      <c r="J77" s="50"/>
      <c r="K77" s="50"/>
      <c r="L77" s="50"/>
      <c r="M77" s="50"/>
      <c r="N77" s="50"/>
      <c r="O77" s="50"/>
      <c r="P77" s="50"/>
      <c r="Q77" s="50"/>
      <c r="R77" s="50"/>
      <c r="S77" s="50"/>
      <c r="T77" s="50"/>
      <c r="U77" s="50"/>
      <c r="V77" s="48"/>
      <c r="W77" s="60"/>
      <c r="X77" s="48" t="s">
        <v>504</v>
      </c>
      <c r="Y77" s="48" t="s">
        <v>505</v>
      </c>
      <c r="Z77" s="48" t="s">
        <v>506</v>
      </c>
      <c r="AA77" s="50"/>
      <c r="AB77" s="50"/>
      <c r="AC77" s="50"/>
      <c r="AD77" s="50">
        <v>1.0</v>
      </c>
      <c r="AE77" s="50"/>
      <c r="AF77" s="50"/>
      <c r="AG77" s="50"/>
      <c r="AH77" s="59"/>
      <c r="AI77" s="51"/>
      <c r="AJ77" s="51"/>
      <c r="AK77" s="51"/>
      <c r="AL77" s="51"/>
      <c r="AM77" s="51"/>
      <c r="AN77" s="51"/>
      <c r="AO77" s="51"/>
      <c r="AP77" s="51"/>
      <c r="AQ77" s="51"/>
      <c r="AR77" s="51">
        <v>1.0</v>
      </c>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row>
    <row r="78" ht="12.75" customHeight="1">
      <c r="A78" s="46" t="s">
        <v>88</v>
      </c>
      <c r="B78" s="53" t="str">
        <f>HYPERLINK("https://drive.google.com/open?id=1t2ZXUzLenlHEbPMr1-Pgq6GQznjZI8BV","Green1977")</f>
        <v>Green1977</v>
      </c>
      <c r="C78" s="48" t="s">
        <v>507</v>
      </c>
      <c r="D78" s="65" t="s">
        <v>508</v>
      </c>
      <c r="E78" s="49">
        <v>1977.0</v>
      </c>
      <c r="F78" s="50"/>
      <c r="G78" s="50"/>
      <c r="H78" s="50"/>
      <c r="I78" s="50">
        <v>1.0</v>
      </c>
      <c r="J78" s="50"/>
      <c r="K78" s="50"/>
      <c r="L78" s="50"/>
      <c r="M78" s="50"/>
      <c r="N78" s="50"/>
      <c r="O78" s="50"/>
      <c r="P78" s="50"/>
      <c r="Q78" s="50"/>
      <c r="R78" s="50"/>
      <c r="S78" s="50"/>
      <c r="T78" s="50"/>
      <c r="U78" s="50"/>
      <c r="V78" s="51"/>
      <c r="W78" s="51" t="s">
        <v>509</v>
      </c>
      <c r="X78" s="51" t="s">
        <v>510</v>
      </c>
      <c r="Y78" s="51" t="s">
        <v>511</v>
      </c>
      <c r="Z78" s="51" t="s">
        <v>512</v>
      </c>
      <c r="AA78" s="50">
        <v>1.0</v>
      </c>
      <c r="AB78" s="50"/>
      <c r="AC78" s="50"/>
      <c r="AD78" s="50">
        <v>1.0</v>
      </c>
      <c r="AE78" s="50"/>
      <c r="AF78" s="50"/>
      <c r="AG78" s="50"/>
      <c r="AH78" s="51"/>
      <c r="AI78" s="51">
        <v>1.0</v>
      </c>
      <c r="AJ78" s="51"/>
      <c r="AK78" s="51"/>
      <c r="AL78" s="51"/>
      <c r="AM78" s="51"/>
      <c r="AN78" s="51"/>
      <c r="AO78" s="51"/>
      <c r="AP78" s="51"/>
      <c r="AQ78" s="51"/>
      <c r="AR78" s="51"/>
      <c r="AS78" s="51"/>
      <c r="AT78" s="51"/>
      <c r="AU78" s="51"/>
      <c r="AV78" s="51"/>
      <c r="AW78" s="51"/>
      <c r="AX78" s="51"/>
      <c r="AY78" s="51"/>
      <c r="AZ78" s="51"/>
      <c r="BA78" s="51"/>
      <c r="BB78" s="51"/>
      <c r="BC78" s="51"/>
      <c r="BD78" s="51"/>
      <c r="BE78" s="51">
        <v>1.0</v>
      </c>
      <c r="BF78" s="51"/>
      <c r="BG78" s="51"/>
      <c r="BH78" s="51"/>
      <c r="BI78" s="51"/>
      <c r="BJ78" s="51"/>
      <c r="BK78" s="51"/>
      <c r="BL78" s="51"/>
      <c r="BM78" s="51"/>
      <c r="BN78" s="51"/>
      <c r="BO78" s="51"/>
      <c r="BP78" s="51"/>
      <c r="BQ78" s="51"/>
      <c r="BR78" s="51"/>
      <c r="BS78" s="51"/>
      <c r="BT78" s="51"/>
      <c r="BU78" s="51"/>
      <c r="BV78" s="51"/>
      <c r="BW78" s="51"/>
      <c r="BX78" s="51"/>
      <c r="BY78" s="51">
        <v>1.0</v>
      </c>
      <c r="BZ78" s="51"/>
      <c r="CA78" s="51"/>
      <c r="CB78" s="51"/>
    </row>
    <row r="79" ht="12.75" customHeight="1">
      <c r="A79" s="46" t="s">
        <v>88</v>
      </c>
      <c r="B79" s="73" t="str">
        <f>HYPERLINK("https://drive.google.com/open?id=1YFEC5svmA2WagQC8KMg8b4zk373YRXy2","Green1989")</f>
        <v>Green1989</v>
      </c>
      <c r="C79" s="48" t="s">
        <v>513</v>
      </c>
      <c r="D79" s="48" t="s">
        <v>514</v>
      </c>
      <c r="E79" s="49">
        <v>1989.0</v>
      </c>
      <c r="F79" s="50"/>
      <c r="G79" s="50"/>
      <c r="H79" s="50">
        <v>1.0</v>
      </c>
      <c r="I79" s="50">
        <v>1.0</v>
      </c>
      <c r="J79" s="50"/>
      <c r="K79" s="50"/>
      <c r="L79" s="50"/>
      <c r="M79" s="50"/>
      <c r="N79" s="50"/>
      <c r="O79" s="50"/>
      <c r="P79" s="50"/>
      <c r="Q79" s="50"/>
      <c r="R79" s="50"/>
      <c r="S79" s="50"/>
      <c r="T79" s="50"/>
      <c r="U79" s="50"/>
      <c r="V79" s="51" t="s">
        <v>515</v>
      </c>
      <c r="W79" s="52" t="s">
        <v>516</v>
      </c>
      <c r="X79" s="51" t="s">
        <v>92</v>
      </c>
      <c r="Y79" s="51" t="s">
        <v>92</v>
      </c>
      <c r="Z79" s="51" t="s">
        <v>100</v>
      </c>
      <c r="AA79" s="50"/>
      <c r="AB79" s="50"/>
      <c r="AC79" s="50"/>
      <c r="AD79" s="50"/>
      <c r="AE79" s="50"/>
      <c r="AF79" s="50">
        <v>1.0</v>
      </c>
      <c r="AG79" s="50"/>
      <c r="AH79" s="51" t="s">
        <v>517</v>
      </c>
      <c r="AI79" s="52">
        <v>1.0</v>
      </c>
      <c r="AJ79" s="51"/>
      <c r="AK79" s="51"/>
      <c r="AL79" s="51"/>
      <c r="AM79" s="51"/>
      <c r="AN79" s="51"/>
      <c r="AO79" s="52">
        <v>1.0</v>
      </c>
      <c r="AP79" s="51"/>
      <c r="AQ79" s="51"/>
      <c r="AR79" s="52">
        <v>1.0</v>
      </c>
      <c r="AS79" s="51"/>
      <c r="AT79" s="51"/>
      <c r="AU79" s="51"/>
      <c r="AV79" s="51"/>
      <c r="AW79" s="51"/>
      <c r="AX79" s="51"/>
      <c r="AY79" s="51"/>
      <c r="AZ79" s="51"/>
      <c r="BA79" s="51"/>
      <c r="BB79" s="51"/>
      <c r="BC79" s="51"/>
      <c r="BD79" s="52">
        <v>1.0</v>
      </c>
      <c r="BE79" s="51"/>
      <c r="BF79" s="52">
        <v>1.0</v>
      </c>
      <c r="BG79" s="51"/>
      <c r="BH79" s="51"/>
      <c r="BI79" s="51"/>
      <c r="BJ79" s="51"/>
      <c r="BK79" s="51"/>
      <c r="BL79" s="51"/>
      <c r="BM79" s="51"/>
      <c r="BN79" s="51"/>
      <c r="BO79" s="51"/>
      <c r="BP79" s="51"/>
      <c r="BQ79" s="51"/>
      <c r="BR79" s="51"/>
      <c r="BS79" s="51"/>
      <c r="BT79" s="51"/>
      <c r="BU79" s="51"/>
      <c r="BV79" s="51"/>
      <c r="BW79" s="51"/>
      <c r="BX79" s="51"/>
      <c r="BY79" s="51"/>
      <c r="BZ79" s="51"/>
      <c r="CA79" s="51"/>
      <c r="CB79" s="51"/>
    </row>
    <row r="80" ht="12.75" customHeight="1">
      <c r="A80" s="46" t="s">
        <v>88</v>
      </c>
      <c r="B80" s="47" t="str">
        <f>HYPERLINK("https://drive.google.com/open?id=1Pj5h9w1ttgOC4YH9r-_9wl_YXThPB9Ae","Green1996")</f>
        <v>Green1996</v>
      </c>
      <c r="C80" s="48" t="s">
        <v>518</v>
      </c>
      <c r="D80" s="48" t="s">
        <v>519</v>
      </c>
      <c r="E80" s="49">
        <v>1996.0</v>
      </c>
      <c r="F80" s="50"/>
      <c r="G80" s="50"/>
      <c r="H80" s="50">
        <v>1.0</v>
      </c>
      <c r="I80" s="50">
        <v>1.0</v>
      </c>
      <c r="J80" s="50"/>
      <c r="K80" s="50"/>
      <c r="L80" s="50"/>
      <c r="M80" s="50"/>
      <c r="N80" s="50"/>
      <c r="O80" s="50"/>
      <c r="P80" s="50"/>
      <c r="Q80" s="50"/>
      <c r="R80" s="50"/>
      <c r="S80" s="50"/>
      <c r="T80" s="50"/>
      <c r="U80" s="50"/>
      <c r="V80" s="51" t="s">
        <v>520</v>
      </c>
      <c r="W80" s="51" t="s">
        <v>521</v>
      </c>
      <c r="X80" s="51" t="s">
        <v>92</v>
      </c>
      <c r="Y80" s="51" t="s">
        <v>92</v>
      </c>
      <c r="Z80" s="51" t="s">
        <v>100</v>
      </c>
      <c r="AA80" s="50"/>
      <c r="AB80" s="50"/>
      <c r="AC80" s="50"/>
      <c r="AD80" s="50"/>
      <c r="AE80" s="50"/>
      <c r="AF80" s="50">
        <v>1.0</v>
      </c>
      <c r="AG80" s="50"/>
      <c r="AH80" s="51" t="s">
        <v>522</v>
      </c>
      <c r="AI80" s="52">
        <v>1.0</v>
      </c>
      <c r="AJ80" s="51"/>
      <c r="AK80" s="51"/>
      <c r="AL80" s="51"/>
      <c r="AM80" s="51"/>
      <c r="AN80" s="51"/>
      <c r="AO80" s="51">
        <v>1.0</v>
      </c>
      <c r="AP80" s="51"/>
      <c r="AQ80" s="51"/>
      <c r="AR80" s="52">
        <v>1.0</v>
      </c>
      <c r="AS80" s="51"/>
      <c r="AT80" s="51"/>
      <c r="AU80" s="51"/>
      <c r="AV80" s="51"/>
      <c r="AW80" s="51"/>
      <c r="AX80" s="51"/>
      <c r="AY80" s="51"/>
      <c r="AZ80" s="51"/>
      <c r="BA80" s="51"/>
      <c r="BB80" s="51"/>
      <c r="BC80" s="51"/>
      <c r="BD80" s="52">
        <v>1.0</v>
      </c>
      <c r="BE80" s="52">
        <v>1.0</v>
      </c>
      <c r="BF80" s="51"/>
      <c r="BG80" s="51"/>
      <c r="BH80" s="51"/>
      <c r="BI80" s="51"/>
      <c r="BJ80" s="51"/>
      <c r="BK80" s="51"/>
      <c r="BL80" s="51"/>
      <c r="BM80" s="51"/>
      <c r="BN80" s="51"/>
      <c r="BO80" s="51"/>
      <c r="BP80" s="51"/>
      <c r="BQ80" s="51"/>
      <c r="BR80" s="51"/>
      <c r="BS80" s="51"/>
      <c r="BT80" s="51"/>
      <c r="BU80" s="51"/>
      <c r="BV80" s="51"/>
      <c r="BW80" s="51"/>
      <c r="BX80" s="51"/>
      <c r="BY80" s="51"/>
      <c r="BZ80" s="51"/>
      <c r="CA80" s="51"/>
      <c r="CB80" s="51"/>
    </row>
    <row r="81" ht="12.75" customHeight="1">
      <c r="A81" s="46" t="s">
        <v>88</v>
      </c>
      <c r="B81" s="47" t="str">
        <f>HYPERLINK("https://drive.google.com/open?id=1GL1XACBDv6Wp645XQjOnaZurCfKSTCJn","Gruhn2006")</f>
        <v>Gruhn2006</v>
      </c>
      <c r="C81" s="48" t="s">
        <v>523</v>
      </c>
      <c r="D81" s="48" t="s">
        <v>524</v>
      </c>
      <c r="E81" s="49">
        <v>2006.0</v>
      </c>
      <c r="F81" s="50"/>
      <c r="G81" s="50">
        <v>1.0</v>
      </c>
      <c r="H81" s="50"/>
      <c r="I81" s="50"/>
      <c r="J81" s="50"/>
      <c r="K81" s="50"/>
      <c r="L81" s="50"/>
      <c r="M81" s="50"/>
      <c r="N81" s="50"/>
      <c r="O81" s="50"/>
      <c r="P81" s="50"/>
      <c r="Q81" s="50"/>
      <c r="R81" s="50"/>
      <c r="S81" s="50"/>
      <c r="T81" s="50"/>
      <c r="U81" s="50"/>
      <c r="V81" s="51"/>
      <c r="W81" s="52" t="s">
        <v>525</v>
      </c>
      <c r="X81" s="52" t="s">
        <v>526</v>
      </c>
      <c r="Y81" s="51" t="s">
        <v>92</v>
      </c>
      <c r="Z81" s="51" t="s">
        <v>100</v>
      </c>
      <c r="AA81" s="50"/>
      <c r="AB81" s="50"/>
      <c r="AC81" s="50">
        <v>1.0</v>
      </c>
      <c r="AD81" s="50"/>
      <c r="AE81" s="50"/>
      <c r="AF81" s="50"/>
      <c r="AG81" s="50"/>
      <c r="AH81" s="51" t="s">
        <v>527</v>
      </c>
      <c r="AI81" s="52">
        <v>1.0</v>
      </c>
      <c r="AJ81" s="51"/>
      <c r="AK81" s="51"/>
      <c r="AL81" s="51"/>
      <c r="AM81" s="51"/>
      <c r="AN81" s="51"/>
      <c r="AO81" s="51"/>
      <c r="AP81" s="51"/>
      <c r="AQ81" s="51"/>
      <c r="AR81" s="52">
        <v>1.0</v>
      </c>
      <c r="AS81" s="51"/>
      <c r="AT81" s="51"/>
      <c r="AU81" s="51"/>
      <c r="AV81" s="51"/>
      <c r="AW81" s="51"/>
      <c r="AX81" s="51"/>
      <c r="AY81" s="51"/>
      <c r="AZ81" s="51"/>
      <c r="BA81" s="51"/>
      <c r="BB81" s="51"/>
      <c r="BC81" s="51"/>
      <c r="BD81" s="51"/>
      <c r="BE81" s="51"/>
      <c r="BF81" s="52">
        <v>1.0</v>
      </c>
      <c r="BG81" s="52">
        <v>1.0</v>
      </c>
      <c r="BH81" s="51"/>
      <c r="BI81" s="51"/>
      <c r="BJ81" s="51"/>
      <c r="BK81" s="52">
        <v>1.0</v>
      </c>
      <c r="BL81" s="52">
        <v>1.0</v>
      </c>
      <c r="BM81" s="52">
        <v>1.0</v>
      </c>
      <c r="BN81" s="51"/>
      <c r="BO81" s="51"/>
      <c r="BP81" s="51"/>
      <c r="BQ81" s="51"/>
      <c r="BR81" s="51"/>
      <c r="BS81" s="51"/>
      <c r="BT81" s="51"/>
      <c r="BU81" s="51"/>
      <c r="BV81" s="52"/>
      <c r="BW81" s="51"/>
      <c r="BX81" s="51"/>
      <c r="BY81" s="51"/>
      <c r="BZ81" s="51"/>
      <c r="CA81" s="51"/>
      <c r="CB81" s="51"/>
    </row>
    <row r="82" ht="12.75" customHeight="1">
      <c r="A82" s="46" t="s">
        <v>116</v>
      </c>
      <c r="B82" s="54" t="str">
        <f>HYPERLINK("https://drive.google.com/open?id=0B1GMAYMj9v6rX3pLSm9qRU9zd2M","Gruhn2007")</f>
        <v>Gruhn2007</v>
      </c>
      <c r="C82" s="55" t="s">
        <v>528</v>
      </c>
      <c r="D82" s="55" t="s">
        <v>529</v>
      </c>
      <c r="E82" s="49">
        <v>2007.0</v>
      </c>
      <c r="F82" s="50"/>
      <c r="G82" s="50"/>
      <c r="H82" s="50"/>
      <c r="I82" s="50"/>
      <c r="J82" s="50"/>
      <c r="K82" s="50"/>
      <c r="L82" s="50"/>
      <c r="M82" s="50"/>
      <c r="N82" s="50">
        <v>1.0</v>
      </c>
      <c r="O82" s="50"/>
      <c r="P82" s="50"/>
      <c r="Q82" s="50"/>
      <c r="R82" s="50"/>
      <c r="S82" s="50"/>
      <c r="T82" s="50"/>
      <c r="U82" s="50"/>
      <c r="V82" s="51"/>
      <c r="W82" s="52" t="s">
        <v>525</v>
      </c>
      <c r="X82" s="52" t="s">
        <v>526</v>
      </c>
      <c r="Y82" s="51" t="s">
        <v>92</v>
      </c>
      <c r="Z82" s="51" t="s">
        <v>100</v>
      </c>
      <c r="AA82" s="50"/>
      <c r="AB82" s="50"/>
      <c r="AC82" s="50">
        <v>1.0</v>
      </c>
      <c r="AD82" s="50"/>
      <c r="AE82" s="50"/>
      <c r="AF82" s="50"/>
      <c r="AG82" s="50"/>
      <c r="AH82" s="51" t="s">
        <v>530</v>
      </c>
      <c r="AI82" s="51">
        <v>1.0</v>
      </c>
      <c r="AJ82" s="51"/>
      <c r="AK82" s="51"/>
      <c r="AL82" s="51"/>
      <c r="AM82" s="51"/>
      <c r="AN82" s="51"/>
      <c r="AO82" s="51"/>
      <c r="AP82" s="51"/>
      <c r="AQ82" s="51"/>
      <c r="AR82" s="52">
        <v>1.0</v>
      </c>
      <c r="AS82" s="51"/>
      <c r="AT82" s="51"/>
      <c r="AU82" s="51"/>
      <c r="AV82" s="51"/>
      <c r="AW82" s="51"/>
      <c r="AX82" s="51"/>
      <c r="AY82" s="51"/>
      <c r="AZ82" s="51"/>
      <c r="BA82" s="51"/>
      <c r="BB82" s="51"/>
      <c r="BC82" s="51"/>
      <c r="BD82" s="51"/>
      <c r="BE82" s="51"/>
      <c r="BF82" s="52">
        <v>1.0</v>
      </c>
      <c r="BG82" s="52">
        <v>1.0</v>
      </c>
      <c r="BH82" s="51"/>
      <c r="BI82" s="51"/>
      <c r="BJ82" s="51"/>
      <c r="BK82" s="52">
        <v>1.0</v>
      </c>
      <c r="BL82" s="52">
        <v>1.0</v>
      </c>
      <c r="BM82" s="52">
        <v>1.0</v>
      </c>
      <c r="BN82" s="51"/>
      <c r="BO82" s="51"/>
      <c r="BP82" s="51"/>
      <c r="BQ82" s="51"/>
      <c r="BR82" s="51"/>
      <c r="BS82" s="51"/>
      <c r="BT82" s="51"/>
      <c r="BU82" s="51"/>
      <c r="BV82" s="52"/>
      <c r="BW82" s="51"/>
      <c r="BX82" s="51"/>
      <c r="BY82" s="51"/>
      <c r="BZ82" s="51"/>
      <c r="CA82" s="51"/>
      <c r="CB82" s="51"/>
    </row>
    <row r="83" ht="12.75" customHeight="1">
      <c r="A83" s="46" t="s">
        <v>172</v>
      </c>
      <c r="B83" s="56" t="str">
        <f>HYPERLINK("https://drive.google.com/open?id=1XhePEcoTdktQOS-EKHF9Q7AqIkQ3KzM4","Guindon1986")</f>
        <v>Guindon1986</v>
      </c>
      <c r="C83" s="63" t="s">
        <v>531</v>
      </c>
      <c r="D83" s="63" t="s">
        <v>532</v>
      </c>
      <c r="E83" s="55">
        <v>1986.0</v>
      </c>
      <c r="F83" s="55"/>
      <c r="G83" s="55"/>
      <c r="H83" s="55">
        <v>1.0</v>
      </c>
      <c r="I83" s="55"/>
      <c r="J83" s="55"/>
      <c r="K83" s="55"/>
      <c r="L83" s="55"/>
      <c r="M83" s="55"/>
      <c r="N83" s="55"/>
      <c r="O83" s="55"/>
      <c r="P83" s="55"/>
      <c r="Q83" s="55"/>
      <c r="R83" s="55"/>
      <c r="S83" s="55"/>
      <c r="T83" s="55"/>
      <c r="U83" s="55"/>
      <c r="V83" s="55"/>
      <c r="W83" s="55" t="s">
        <v>533</v>
      </c>
      <c r="X83" s="55"/>
      <c r="Y83" s="55" t="s">
        <v>534</v>
      </c>
      <c r="Z83" s="55" t="s">
        <v>535</v>
      </c>
      <c r="AA83" s="55"/>
      <c r="AB83" s="55"/>
      <c r="AC83" s="55"/>
      <c r="AD83" s="55">
        <v>1.0</v>
      </c>
      <c r="AE83" s="55"/>
      <c r="AF83" s="55"/>
      <c r="AG83" s="55"/>
      <c r="AH83" s="48" t="s">
        <v>536</v>
      </c>
      <c r="AI83" s="51">
        <v>1.0</v>
      </c>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v>1.0</v>
      </c>
      <c r="BK83" s="51"/>
      <c r="BL83" s="51"/>
      <c r="BM83" s="51"/>
      <c r="BN83" s="51"/>
      <c r="BO83" s="51"/>
      <c r="BP83" s="51"/>
      <c r="BQ83" s="51"/>
      <c r="BR83" s="51"/>
      <c r="BS83" s="51"/>
      <c r="BT83" s="51"/>
      <c r="BU83" s="51"/>
      <c r="BV83" s="51">
        <v>1.0</v>
      </c>
      <c r="BW83" s="51"/>
      <c r="BX83" s="51"/>
      <c r="BY83" s="51"/>
      <c r="BZ83" s="51"/>
      <c r="CA83" s="51"/>
      <c r="CB83" s="51"/>
    </row>
    <row r="84" ht="12.75" customHeight="1">
      <c r="A84" s="46" t="s">
        <v>108</v>
      </c>
      <c r="B84" s="54" t="str">
        <f>HYPERLINK("https://drive.google.com/open?id=0B3oar8-GeP-IdTN1bmNaY2ZXTkE","Hadar2013")</f>
        <v>Hadar2013</v>
      </c>
      <c r="C84" s="55" t="s">
        <v>537</v>
      </c>
      <c r="D84" s="55" t="s">
        <v>538</v>
      </c>
      <c r="E84" s="49">
        <v>2013.0</v>
      </c>
      <c r="F84" s="50"/>
      <c r="G84" s="50"/>
      <c r="H84" s="50">
        <v>1.0</v>
      </c>
      <c r="I84" s="50"/>
      <c r="J84" s="50"/>
      <c r="K84" s="50"/>
      <c r="L84" s="50"/>
      <c r="M84" s="50"/>
      <c r="N84" s="50"/>
      <c r="O84" s="50"/>
      <c r="P84" s="50"/>
      <c r="Q84" s="50"/>
      <c r="R84" s="50"/>
      <c r="S84" s="50"/>
      <c r="T84" s="50"/>
      <c r="U84" s="50"/>
      <c r="V84" s="69" t="s">
        <v>539</v>
      </c>
      <c r="W84" s="48" t="s">
        <v>540</v>
      </c>
      <c r="X84" s="48" t="s">
        <v>189</v>
      </c>
      <c r="Y84" s="69" t="s">
        <v>541</v>
      </c>
      <c r="Z84" s="48" t="s">
        <v>542</v>
      </c>
      <c r="AA84" s="50"/>
      <c r="AB84" s="50">
        <v>1.0</v>
      </c>
      <c r="AC84" s="50"/>
      <c r="AD84" s="50">
        <v>1.0</v>
      </c>
      <c r="AE84" s="50"/>
      <c r="AF84" s="50"/>
      <c r="AG84" s="50"/>
      <c r="AH84" s="51"/>
      <c r="AI84" s="51">
        <v>1.0</v>
      </c>
      <c r="AJ84" s="51"/>
      <c r="AK84" s="51"/>
      <c r="AL84" s="51"/>
      <c r="AM84" s="51"/>
      <c r="AN84" s="51"/>
      <c r="AO84" s="51"/>
      <c r="AP84" s="51"/>
      <c r="AQ84" s="51"/>
      <c r="AR84" s="51"/>
      <c r="AS84" s="51"/>
      <c r="AT84" s="51"/>
      <c r="AU84" s="51"/>
      <c r="AV84" s="51"/>
      <c r="AW84" s="51"/>
      <c r="AX84" s="51"/>
      <c r="AY84" s="51"/>
      <c r="AZ84" s="51"/>
      <c r="BA84" s="51"/>
      <c r="BB84" s="51"/>
      <c r="BC84" s="51"/>
      <c r="BD84" s="51"/>
      <c r="BE84" s="52">
        <v>1.0</v>
      </c>
      <c r="BF84" s="51"/>
      <c r="BG84" s="51"/>
      <c r="BH84" s="51"/>
      <c r="BI84" s="51"/>
      <c r="BJ84" s="51"/>
      <c r="BK84" s="51"/>
      <c r="BL84" s="51"/>
      <c r="BM84" s="51"/>
      <c r="BN84" s="51"/>
      <c r="BO84" s="51"/>
      <c r="BP84" s="51"/>
      <c r="BQ84" s="51"/>
      <c r="BR84" s="51"/>
      <c r="BS84" s="51"/>
      <c r="BT84" s="51"/>
      <c r="BU84" s="52">
        <v>1.0</v>
      </c>
      <c r="BV84" s="52">
        <v>1.0</v>
      </c>
      <c r="BW84" s="52"/>
      <c r="BX84" s="51"/>
      <c r="BY84" s="51"/>
      <c r="BZ84" s="51"/>
      <c r="CA84" s="51"/>
      <c r="CB84" s="51"/>
    </row>
    <row r="85" ht="12.75" customHeight="1">
      <c r="A85" s="46" t="s">
        <v>172</v>
      </c>
      <c r="B85" s="67" t="str">
        <f>HYPERLINK("https://drive.google.com/open?id=17WyDMcyD-X-XbfHH6x7Lg2YNgZ1IOuNx","Hahn1999")</f>
        <v>Hahn1999</v>
      </c>
      <c r="C85" s="63" t="s">
        <v>543</v>
      </c>
      <c r="D85" s="55" t="s">
        <v>544</v>
      </c>
      <c r="E85" s="74">
        <v>1999.0</v>
      </c>
      <c r="F85" s="55"/>
      <c r="G85" s="55"/>
      <c r="H85" s="55">
        <v>1.0</v>
      </c>
      <c r="I85" s="55"/>
      <c r="J85" s="55"/>
      <c r="K85" s="55"/>
      <c r="L85" s="55"/>
      <c r="M85" s="55"/>
      <c r="N85" s="55"/>
      <c r="O85" s="55"/>
      <c r="P85" s="55"/>
      <c r="Q85" s="55"/>
      <c r="R85" s="55"/>
      <c r="S85" s="55"/>
      <c r="T85" s="55"/>
      <c r="U85" s="55"/>
      <c r="V85" s="55" t="s">
        <v>545</v>
      </c>
      <c r="W85" s="55" t="s">
        <v>546</v>
      </c>
      <c r="X85" s="55" t="s">
        <v>547</v>
      </c>
      <c r="Y85" s="55" t="s">
        <v>548</v>
      </c>
      <c r="Z85" s="55" t="s">
        <v>100</v>
      </c>
      <c r="AA85" s="55">
        <v>1.0</v>
      </c>
      <c r="AB85" s="55"/>
      <c r="AC85" s="55">
        <v>1.0</v>
      </c>
      <c r="AD85" s="55">
        <v>1.0</v>
      </c>
      <c r="AE85" s="55"/>
      <c r="AF85" s="55"/>
      <c r="AG85" s="55"/>
      <c r="AH85" s="48" t="s">
        <v>549</v>
      </c>
      <c r="AI85" s="51">
        <v>1.0</v>
      </c>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v>1.0</v>
      </c>
      <c r="BK85" s="51"/>
      <c r="BL85" s="51"/>
      <c r="BM85" s="51"/>
      <c r="BN85" s="51"/>
      <c r="BO85" s="51"/>
      <c r="BP85" s="51"/>
      <c r="BQ85" s="51"/>
      <c r="BR85" s="51"/>
      <c r="BS85" s="51"/>
      <c r="BT85" s="51"/>
      <c r="BU85" s="51"/>
      <c r="BV85" s="51"/>
      <c r="BW85" s="51"/>
      <c r="BX85" s="51"/>
      <c r="BY85" s="51">
        <v>1.0</v>
      </c>
      <c r="BZ85" s="51"/>
      <c r="CA85" s="51"/>
      <c r="CB85" s="51"/>
    </row>
    <row r="86" ht="12.75" customHeight="1">
      <c r="A86" s="46" t="s">
        <v>172</v>
      </c>
      <c r="B86" s="68" t="str">
        <f>HYPERLINK("https://drive.google.com/open?id=1nvYFpYsWyzDg4wyic2k_LXl6V8iUx36L","Hansen2012a")</f>
        <v>Hansen2012a</v>
      </c>
      <c r="C86" s="63" t="s">
        <v>550</v>
      </c>
      <c r="D86" s="63" t="s">
        <v>551</v>
      </c>
      <c r="E86" s="55">
        <v>2012.0</v>
      </c>
      <c r="F86" s="55"/>
      <c r="G86" s="55">
        <v>1.0</v>
      </c>
      <c r="H86" s="55"/>
      <c r="I86" s="55"/>
      <c r="J86" s="55"/>
      <c r="K86" s="55"/>
      <c r="L86" s="55"/>
      <c r="M86" s="55"/>
      <c r="N86" s="55"/>
      <c r="O86" s="55"/>
      <c r="P86" s="55"/>
      <c r="Q86" s="55"/>
      <c r="R86" s="55"/>
      <c r="S86" s="55"/>
      <c r="T86" s="55"/>
      <c r="U86" s="55"/>
      <c r="V86" s="55" t="s">
        <v>552</v>
      </c>
      <c r="W86" s="55"/>
      <c r="X86" s="55"/>
      <c r="Y86" s="55"/>
      <c r="Z86" s="55" t="s">
        <v>100</v>
      </c>
      <c r="AA86" s="60"/>
      <c r="AB86" s="55">
        <v>1.0</v>
      </c>
      <c r="AC86" s="55"/>
      <c r="AD86" s="55">
        <v>1.0</v>
      </c>
      <c r="AE86" s="55"/>
      <c r="AF86" s="55"/>
      <c r="AG86" s="55"/>
      <c r="AH86" s="48" t="s">
        <v>553</v>
      </c>
      <c r="AI86" s="52">
        <v>1.0</v>
      </c>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row>
    <row r="87" ht="12.75" customHeight="1">
      <c r="A87" s="46" t="s">
        <v>172</v>
      </c>
      <c r="B87" s="68" t="str">
        <f>HYPERLINK("https://drive.google.com/open?id=1Ni6BexeXJyhJK7nU8e7SpC64IosRFVx4","Hansen2012b")</f>
        <v>Hansen2012b</v>
      </c>
      <c r="C87" s="63" t="s">
        <v>554</v>
      </c>
      <c r="D87" s="63" t="s">
        <v>555</v>
      </c>
      <c r="E87" s="55">
        <v>2012.0</v>
      </c>
      <c r="F87" s="55"/>
      <c r="G87" s="55"/>
      <c r="H87" s="55">
        <v>1.0</v>
      </c>
      <c r="I87" s="55"/>
      <c r="J87" s="55"/>
      <c r="K87" s="55"/>
      <c r="L87" s="55"/>
      <c r="M87" s="55"/>
      <c r="N87" s="55"/>
      <c r="O87" s="55"/>
      <c r="P87" s="55"/>
      <c r="Q87" s="55"/>
      <c r="R87" s="55"/>
      <c r="S87" s="55"/>
      <c r="T87" s="55"/>
      <c r="U87" s="55"/>
      <c r="V87" s="55" t="s">
        <v>556</v>
      </c>
      <c r="W87" s="55" t="s">
        <v>557</v>
      </c>
      <c r="X87" s="55" t="s">
        <v>525</v>
      </c>
      <c r="Y87" s="55"/>
      <c r="Z87" s="55" t="s">
        <v>100</v>
      </c>
      <c r="AA87" s="55">
        <v>1.0</v>
      </c>
      <c r="AB87" s="55"/>
      <c r="AC87" s="55">
        <v>1.0</v>
      </c>
      <c r="AD87" s="55"/>
      <c r="AE87" s="55"/>
      <c r="AF87" s="55"/>
      <c r="AG87" s="55"/>
      <c r="AH87" s="48" t="s">
        <v>558</v>
      </c>
      <c r="AI87" s="51">
        <v>1.0</v>
      </c>
      <c r="AJ87" s="51"/>
      <c r="AK87" s="51"/>
      <c r="AL87" s="51"/>
      <c r="AM87" s="51"/>
      <c r="AN87" s="51"/>
      <c r="AO87" s="51"/>
      <c r="AP87" s="51"/>
      <c r="AQ87" s="51"/>
      <c r="AR87" s="51"/>
      <c r="AS87" s="52">
        <v>1.0</v>
      </c>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row>
    <row r="88" ht="12.75" customHeight="1">
      <c r="A88" s="46" t="s">
        <v>116</v>
      </c>
      <c r="B88" s="68" t="str">
        <f>HYPERLINK("https://drive.google.com/open?id=1qmphNBUezbS0H2hNHbvruAFo7F0HuqEr","Hatton1998")</f>
        <v>Hatton1998</v>
      </c>
      <c r="C88" s="63" t="s">
        <v>559</v>
      </c>
      <c r="D88" s="63" t="s">
        <v>560</v>
      </c>
      <c r="E88" s="49">
        <v>1998.0</v>
      </c>
      <c r="F88" s="50"/>
      <c r="G88" s="50"/>
      <c r="H88" s="50"/>
      <c r="I88" s="50">
        <v>1.0</v>
      </c>
      <c r="J88" s="50">
        <v>1.0</v>
      </c>
      <c r="K88" s="50">
        <v>1.0</v>
      </c>
      <c r="L88" s="50"/>
      <c r="M88" s="50"/>
      <c r="N88" s="50"/>
      <c r="O88" s="50"/>
      <c r="P88" s="50"/>
      <c r="Q88" s="50"/>
      <c r="R88" s="50"/>
      <c r="S88" s="50"/>
      <c r="T88" s="50"/>
      <c r="U88" s="50"/>
      <c r="V88" s="51"/>
      <c r="W88" s="51" t="s">
        <v>561</v>
      </c>
      <c r="X88" s="51" t="s">
        <v>562</v>
      </c>
      <c r="Y88" s="51" t="s">
        <v>563</v>
      </c>
      <c r="Z88" s="51" t="s">
        <v>564</v>
      </c>
      <c r="AA88" s="50"/>
      <c r="AB88" s="50"/>
      <c r="AC88" s="50"/>
      <c r="AD88" s="50">
        <v>1.0</v>
      </c>
      <c r="AE88" s="50"/>
      <c r="AF88" s="50">
        <v>1.0</v>
      </c>
      <c r="AG88" s="50"/>
      <c r="AH88" s="51" t="s">
        <v>565</v>
      </c>
      <c r="AI88" s="51">
        <v>1.0</v>
      </c>
      <c r="AJ88" s="51"/>
      <c r="AK88" s="51"/>
      <c r="AL88" s="51"/>
      <c r="AM88" s="51"/>
      <c r="AN88" s="51"/>
      <c r="AO88" s="51"/>
      <c r="AP88" s="51">
        <v>1.0</v>
      </c>
      <c r="AQ88" s="51">
        <v>1.0</v>
      </c>
      <c r="AR88" s="51">
        <v>1.0</v>
      </c>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row>
    <row r="89" ht="12.75" customHeight="1">
      <c r="A89" s="46" t="s">
        <v>108</v>
      </c>
      <c r="B89" s="47" t="str">
        <f>HYPERLINK("https://drive.google.com/open?id=0B3oar8-GeP-INWs5WFFsU2hxLWc","Heliades2000")</f>
        <v>Heliades2000</v>
      </c>
      <c r="C89" s="48" t="s">
        <v>566</v>
      </c>
      <c r="D89" s="51" t="s">
        <v>567</v>
      </c>
      <c r="E89" s="50">
        <v>2000.0</v>
      </c>
      <c r="F89" s="60"/>
      <c r="G89" s="50"/>
      <c r="H89" s="50">
        <v>1.0</v>
      </c>
      <c r="I89" s="50"/>
      <c r="J89" s="50"/>
      <c r="K89" s="50"/>
      <c r="L89" s="50"/>
      <c r="M89" s="50"/>
      <c r="N89" s="50"/>
      <c r="O89" s="50"/>
      <c r="P89" s="50"/>
      <c r="Q89" s="50"/>
      <c r="R89" s="50"/>
      <c r="S89" s="50"/>
      <c r="T89" s="50"/>
      <c r="U89" s="50"/>
      <c r="V89" s="48"/>
      <c r="W89" s="48" t="s">
        <v>568</v>
      </c>
      <c r="X89" s="48" t="s">
        <v>92</v>
      </c>
      <c r="Y89" s="48" t="s">
        <v>569</v>
      </c>
      <c r="Z89" s="48" t="s">
        <v>570</v>
      </c>
      <c r="AA89" s="50">
        <v>1.0</v>
      </c>
      <c r="AB89" s="50"/>
      <c r="AC89" s="50"/>
      <c r="AD89" s="50">
        <v>1.0</v>
      </c>
      <c r="AE89" s="50"/>
      <c r="AF89" s="50"/>
      <c r="AG89" s="50"/>
      <c r="AH89" s="51"/>
      <c r="AI89" s="52">
        <v>1.0</v>
      </c>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2">
        <v>1.0</v>
      </c>
      <c r="BK89" s="51"/>
      <c r="BL89" s="51"/>
      <c r="BM89" s="51"/>
      <c r="BN89" s="51"/>
      <c r="BO89" s="51"/>
      <c r="BP89" s="51"/>
      <c r="BQ89" s="51"/>
      <c r="BR89" s="51"/>
      <c r="BS89" s="51"/>
      <c r="BT89" s="51"/>
      <c r="BU89" s="51"/>
      <c r="BV89" s="51"/>
      <c r="BW89" s="51"/>
      <c r="BX89" s="51"/>
      <c r="BY89" s="52">
        <v>1.0</v>
      </c>
      <c r="BZ89" s="51"/>
      <c r="CA89" s="51"/>
      <c r="CB89" s="51"/>
    </row>
    <row r="90" ht="12.75" customHeight="1">
      <c r="A90" s="46" t="s">
        <v>116</v>
      </c>
      <c r="B90" s="68" t="str">
        <f>HYPERLINK("https://drive.google.com/open?id=1aMTy6YdJb8Z3UPHtqSOXEDqOypjGVmQQ","Hendrix2002")</f>
        <v>Hendrix2002</v>
      </c>
      <c r="C90" s="63" t="s">
        <v>571</v>
      </c>
      <c r="D90" s="63" t="s">
        <v>503</v>
      </c>
      <c r="E90" s="49">
        <v>2002.0</v>
      </c>
      <c r="F90" s="50"/>
      <c r="G90" s="50"/>
      <c r="H90" s="50"/>
      <c r="I90" s="50">
        <v>1.0</v>
      </c>
      <c r="J90" s="50"/>
      <c r="K90" s="50">
        <v>1.0</v>
      </c>
      <c r="L90" s="50"/>
      <c r="M90" s="50"/>
      <c r="N90" s="50"/>
      <c r="O90" s="50"/>
      <c r="P90" s="50"/>
      <c r="Q90" s="50"/>
      <c r="R90" s="50"/>
      <c r="S90" s="50"/>
      <c r="T90" s="50"/>
      <c r="U90" s="50"/>
      <c r="V90" s="51"/>
      <c r="W90" s="51" t="s">
        <v>239</v>
      </c>
      <c r="X90" s="51" t="s">
        <v>239</v>
      </c>
      <c r="Y90" s="51" t="s">
        <v>572</v>
      </c>
      <c r="Z90" s="51" t="s">
        <v>122</v>
      </c>
      <c r="AA90" s="50">
        <v>1.0</v>
      </c>
      <c r="AB90" s="50"/>
      <c r="AC90" s="50"/>
      <c r="AD90" s="50">
        <v>1.0</v>
      </c>
      <c r="AE90" s="50"/>
      <c r="AF90" s="50"/>
      <c r="AG90" s="50"/>
      <c r="AH90" s="51" t="s">
        <v>573</v>
      </c>
      <c r="AI90" s="52">
        <v>1.0</v>
      </c>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2">
        <v>1.0</v>
      </c>
      <c r="BL90" s="51"/>
      <c r="BM90" s="52">
        <v>1.0</v>
      </c>
      <c r="BN90" s="51"/>
      <c r="BO90" s="51"/>
      <c r="BP90" s="51"/>
      <c r="BQ90" s="51"/>
      <c r="BR90" s="51"/>
      <c r="BS90" s="51"/>
      <c r="BT90" s="51"/>
      <c r="BU90" s="51"/>
      <c r="BV90" s="51"/>
      <c r="BW90" s="51"/>
      <c r="BX90" s="51"/>
      <c r="BY90" s="52">
        <v>1.0</v>
      </c>
      <c r="BZ90" s="51"/>
      <c r="CA90" s="51"/>
      <c r="CB90" s="51"/>
    </row>
    <row r="91" ht="12.75" customHeight="1">
      <c r="A91" s="46" t="s">
        <v>88</v>
      </c>
      <c r="B91" s="47" t="str">
        <f>HYPERLINK("https://drive.google.com/open?id=0B00cIHsghs6UQ1hwWlRublR6MTg","Hofman2010")</f>
        <v>Hofman2010</v>
      </c>
      <c r="C91" s="48" t="s">
        <v>574</v>
      </c>
      <c r="D91" s="48" t="s">
        <v>575</v>
      </c>
      <c r="E91" s="49">
        <v>2010.0</v>
      </c>
      <c r="F91" s="50"/>
      <c r="G91" s="50"/>
      <c r="H91" s="50"/>
      <c r="I91" s="50"/>
      <c r="J91" s="50"/>
      <c r="K91" s="50"/>
      <c r="L91" s="50"/>
      <c r="M91" s="50"/>
      <c r="N91" s="50"/>
      <c r="O91" s="50"/>
      <c r="P91" s="50">
        <v>1.0</v>
      </c>
      <c r="Q91" s="50"/>
      <c r="R91" s="50"/>
      <c r="S91" s="50"/>
      <c r="T91" s="50"/>
      <c r="U91" s="50"/>
      <c r="V91" s="51" t="s">
        <v>576</v>
      </c>
      <c r="W91" s="51" t="s">
        <v>577</v>
      </c>
      <c r="X91" s="51" t="s">
        <v>92</v>
      </c>
      <c r="Y91" s="51" t="s">
        <v>92</v>
      </c>
      <c r="Z91" s="51" t="s">
        <v>578</v>
      </c>
      <c r="AA91" s="50">
        <v>1.0</v>
      </c>
      <c r="AB91" s="50"/>
      <c r="AC91" s="50"/>
      <c r="AD91" s="50"/>
      <c r="AE91" s="50"/>
      <c r="AF91" s="50"/>
      <c r="AG91" s="50"/>
      <c r="AH91" s="51" t="s">
        <v>579</v>
      </c>
      <c r="AI91" s="52">
        <v>1.0</v>
      </c>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2">
        <v>1.0</v>
      </c>
      <c r="BK91" s="51"/>
      <c r="BL91" s="51"/>
      <c r="BM91" s="51"/>
      <c r="BN91" s="51"/>
      <c r="BO91" s="51"/>
      <c r="BP91" s="51"/>
      <c r="BQ91" s="51"/>
      <c r="BR91" s="51"/>
      <c r="BS91" s="51"/>
      <c r="BT91" s="51"/>
      <c r="BU91" s="51"/>
      <c r="BV91" s="51"/>
      <c r="BW91" s="51"/>
      <c r="BX91" s="51"/>
      <c r="BY91" s="51"/>
      <c r="BZ91" s="51"/>
      <c r="CA91" s="52">
        <v>1.0</v>
      </c>
      <c r="CB91" s="51"/>
    </row>
    <row r="92" ht="12.75" customHeight="1">
      <c r="A92" s="46" t="s">
        <v>124</v>
      </c>
      <c r="B92" s="56" t="str">
        <f>HYPERLINK("https://drive.google.com/open?id=0B00cIHsghs6USGI2S0FZQXluQnc","Hofman2011")</f>
        <v>Hofman2011</v>
      </c>
      <c r="C92" s="55" t="s">
        <v>580</v>
      </c>
      <c r="D92" s="55" t="s">
        <v>581</v>
      </c>
      <c r="E92" s="49">
        <v>2011.0</v>
      </c>
      <c r="F92" s="50"/>
      <c r="G92" s="50"/>
      <c r="H92" s="50"/>
      <c r="I92" s="50"/>
      <c r="J92" s="50"/>
      <c r="K92" s="50"/>
      <c r="L92" s="50"/>
      <c r="M92" s="50"/>
      <c r="N92" s="50"/>
      <c r="O92" s="50"/>
      <c r="P92" s="50">
        <v>1.0</v>
      </c>
      <c r="Q92" s="50"/>
      <c r="R92" s="50"/>
      <c r="S92" s="50"/>
      <c r="T92" s="50"/>
      <c r="U92" s="50"/>
      <c r="V92" s="48" t="s">
        <v>582</v>
      </c>
      <c r="W92" s="48" t="s">
        <v>583</v>
      </c>
      <c r="X92" s="48" t="s">
        <v>584</v>
      </c>
      <c r="Y92" s="48" t="s">
        <v>585</v>
      </c>
      <c r="Z92" s="48" t="s">
        <v>586</v>
      </c>
      <c r="AA92" s="50"/>
      <c r="AB92" s="50">
        <v>1.0</v>
      </c>
      <c r="AC92" s="50"/>
      <c r="AD92" s="50">
        <v>1.0</v>
      </c>
      <c r="AE92" s="50"/>
      <c r="AF92" s="50"/>
      <c r="AG92" s="50"/>
      <c r="AH92" s="59"/>
      <c r="AI92" s="51">
        <v>1.0</v>
      </c>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v>1.0</v>
      </c>
      <c r="BK92" s="51"/>
      <c r="BL92" s="51"/>
      <c r="BM92" s="51"/>
      <c r="BN92" s="51"/>
      <c r="BO92" s="51"/>
      <c r="BP92" s="51"/>
      <c r="BQ92" s="51"/>
      <c r="BR92" s="51"/>
      <c r="BS92" s="51"/>
      <c r="BT92" s="51"/>
      <c r="BU92" s="51"/>
      <c r="BV92" s="51"/>
      <c r="BW92" s="51"/>
      <c r="BX92" s="51"/>
      <c r="BY92" s="51"/>
      <c r="BZ92" s="51"/>
      <c r="CA92" s="51">
        <v>1.0</v>
      </c>
      <c r="CB92" s="51"/>
    </row>
    <row r="93" ht="12.75" customHeight="1">
      <c r="A93" s="46" t="s">
        <v>124</v>
      </c>
      <c r="B93" s="54" t="str">
        <f>HYPERLINK("https://drive.google.com/open?id=0B-nn5iJ29NJaTEhsUWFZZ19QbW8","Hyysalo2013")</f>
        <v>Hyysalo2013</v>
      </c>
      <c r="C93" s="55" t="s">
        <v>587</v>
      </c>
      <c r="D93" s="55" t="s">
        <v>588</v>
      </c>
      <c r="E93" s="57">
        <v>2013.0</v>
      </c>
      <c r="F93" s="58"/>
      <c r="G93" s="50"/>
      <c r="H93" s="50"/>
      <c r="I93" s="50"/>
      <c r="J93" s="50"/>
      <c r="K93" s="50"/>
      <c r="L93" s="50"/>
      <c r="M93" s="50"/>
      <c r="N93" s="50">
        <v>1.0</v>
      </c>
      <c r="O93" s="50"/>
      <c r="P93" s="50"/>
      <c r="Q93" s="50"/>
      <c r="R93" s="50"/>
      <c r="S93" s="50"/>
      <c r="T93" s="50"/>
      <c r="U93" s="50"/>
      <c r="V93" s="48"/>
      <c r="W93" s="48" t="s">
        <v>589</v>
      </c>
      <c r="X93" s="48" t="s">
        <v>590</v>
      </c>
      <c r="Y93" s="48" t="s">
        <v>591</v>
      </c>
      <c r="Z93" s="48" t="s">
        <v>592</v>
      </c>
      <c r="AA93" s="50"/>
      <c r="AB93" s="50">
        <v>1.0</v>
      </c>
      <c r="AC93" s="50"/>
      <c r="AD93" s="50">
        <v>1.0</v>
      </c>
      <c r="AE93" s="50"/>
      <c r="AF93" s="50"/>
      <c r="AG93" s="50"/>
      <c r="AH93" s="59"/>
      <c r="AI93" s="52">
        <v>1.0</v>
      </c>
      <c r="AJ93" s="52">
        <v>1.0</v>
      </c>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row>
    <row r="94" ht="12.75" customHeight="1">
      <c r="A94" s="46" t="s">
        <v>124</v>
      </c>
      <c r="B94" s="54" t="str">
        <f>HYPERLINK("https://drive.google.com/open?id=0B-nn5iJ29NJabVVaOU4tcTJrclk","Iio1997")</f>
        <v>Iio1997</v>
      </c>
      <c r="C94" s="55" t="s">
        <v>593</v>
      </c>
      <c r="D94" s="55" t="s">
        <v>594</v>
      </c>
      <c r="E94" s="57">
        <v>1997.0</v>
      </c>
      <c r="F94" s="58"/>
      <c r="G94" s="50"/>
      <c r="H94" s="50"/>
      <c r="I94" s="50"/>
      <c r="J94" s="50"/>
      <c r="K94" s="50">
        <v>1.0</v>
      </c>
      <c r="L94" s="50"/>
      <c r="M94" s="50"/>
      <c r="N94" s="50"/>
      <c r="O94" s="50"/>
      <c r="P94" s="50"/>
      <c r="Q94" s="50"/>
      <c r="R94" s="50"/>
      <c r="S94" s="50"/>
      <c r="T94" s="50"/>
      <c r="U94" s="50"/>
      <c r="V94" s="48"/>
      <c r="W94" s="48" t="s">
        <v>595</v>
      </c>
      <c r="X94" s="48" t="s">
        <v>596</v>
      </c>
      <c r="Y94" s="48" t="s">
        <v>597</v>
      </c>
      <c r="Z94" s="48" t="s">
        <v>598</v>
      </c>
      <c r="AA94" s="50"/>
      <c r="AB94" s="50">
        <v>1.0</v>
      </c>
      <c r="AC94" s="50"/>
      <c r="AD94" s="50">
        <v>1.0</v>
      </c>
      <c r="AE94" s="50"/>
      <c r="AF94" s="50"/>
      <c r="AG94" s="50"/>
      <c r="AH94" s="59"/>
      <c r="AI94" s="51">
        <v>1.0</v>
      </c>
      <c r="AJ94" s="51"/>
      <c r="AK94" s="51"/>
      <c r="AL94" s="51"/>
      <c r="AM94" s="51"/>
      <c r="AN94" s="51"/>
      <c r="AO94" s="51"/>
      <c r="AP94" s="51"/>
      <c r="AQ94" s="51"/>
      <c r="AR94" s="51"/>
      <c r="AS94" s="51"/>
      <c r="AT94" s="51"/>
      <c r="AU94" s="51"/>
      <c r="AV94" s="51"/>
      <c r="AW94" s="51"/>
      <c r="AX94" s="51"/>
      <c r="AY94" s="51"/>
      <c r="AZ94" s="51"/>
      <c r="BA94" s="51"/>
      <c r="BB94" s="51"/>
      <c r="BC94" s="51"/>
      <c r="BD94" s="51"/>
      <c r="BE94" s="52">
        <v>1.0</v>
      </c>
      <c r="BF94" s="51"/>
      <c r="BG94" s="51"/>
      <c r="BH94" s="51"/>
      <c r="BI94" s="51"/>
      <c r="BJ94" s="52">
        <v>1.0</v>
      </c>
      <c r="BK94" s="51"/>
      <c r="BL94" s="51"/>
      <c r="BM94" s="51"/>
      <c r="BN94" s="51"/>
      <c r="BO94" s="51"/>
      <c r="BP94" s="51"/>
      <c r="BQ94" s="51"/>
      <c r="BR94" s="51"/>
      <c r="BS94" s="51"/>
      <c r="BT94" s="51"/>
      <c r="BU94" s="51"/>
      <c r="BV94" s="51"/>
      <c r="BW94" s="51"/>
      <c r="BX94" s="51"/>
      <c r="BY94" s="51">
        <v>1.0</v>
      </c>
      <c r="BZ94" s="51"/>
      <c r="CA94" s="51"/>
      <c r="CB94" s="51"/>
    </row>
    <row r="95" ht="12.75" customHeight="1">
      <c r="A95" s="46" t="s">
        <v>116</v>
      </c>
      <c r="B95" s="67" t="str">
        <f>HYPERLINK("https://drive.google.com/open?id=1wWq3iCrJ0LkhHt8fAHt4C8uN_NzLpg8V","Jeffries1981")</f>
        <v>Jeffries1981</v>
      </c>
      <c r="C95" s="63" t="s">
        <v>599</v>
      </c>
      <c r="D95" s="63" t="s">
        <v>600</v>
      </c>
      <c r="E95" s="49">
        <v>1981.0</v>
      </c>
      <c r="F95" s="50"/>
      <c r="G95" s="50"/>
      <c r="H95" s="50">
        <v>1.0</v>
      </c>
      <c r="I95" s="50">
        <v>1.0</v>
      </c>
      <c r="J95" s="50"/>
      <c r="K95" s="50"/>
      <c r="L95" s="50"/>
      <c r="M95" s="50"/>
      <c r="N95" s="50"/>
      <c r="O95" s="50"/>
      <c r="P95" s="50"/>
      <c r="Q95" s="50"/>
      <c r="R95" s="50"/>
      <c r="S95" s="50"/>
      <c r="T95" s="50"/>
      <c r="U95" s="50"/>
      <c r="V95" s="51"/>
      <c r="W95" s="51" t="s">
        <v>601</v>
      </c>
      <c r="X95" s="51" t="s">
        <v>602</v>
      </c>
      <c r="Y95" s="51" t="s">
        <v>603</v>
      </c>
      <c r="Z95" s="51" t="s">
        <v>564</v>
      </c>
      <c r="AA95" s="50">
        <v>1.0</v>
      </c>
      <c r="AB95" s="50">
        <v>1.0</v>
      </c>
      <c r="AC95" s="50"/>
      <c r="AD95" s="50">
        <v>1.0</v>
      </c>
      <c r="AE95" s="50"/>
      <c r="AF95" s="50">
        <v>1.0</v>
      </c>
      <c r="AG95" s="50"/>
      <c r="AH95" s="51" t="s">
        <v>604</v>
      </c>
      <c r="AI95" s="51">
        <v>1.0</v>
      </c>
      <c r="AJ95" s="51"/>
      <c r="AK95" s="51"/>
      <c r="AL95" s="51"/>
      <c r="AM95" s="51"/>
      <c r="AN95" s="51">
        <v>1.0</v>
      </c>
      <c r="AO95" s="51"/>
      <c r="AP95" s="51"/>
      <c r="AQ95" s="51"/>
      <c r="AR95" s="51"/>
      <c r="AS95" s="51"/>
      <c r="AT95" s="51"/>
      <c r="AU95" s="51"/>
      <c r="AV95" s="51"/>
      <c r="AW95" s="51"/>
      <c r="AX95" s="51"/>
      <c r="AY95" s="51"/>
      <c r="AZ95" s="51"/>
      <c r="BA95" s="51"/>
      <c r="BB95" s="51"/>
      <c r="BC95" s="51"/>
      <c r="BD95" s="51"/>
      <c r="BE95" s="51">
        <v>1.0</v>
      </c>
      <c r="BF95" s="51"/>
      <c r="BG95" s="51"/>
      <c r="BH95" s="51"/>
      <c r="BI95" s="51"/>
      <c r="BJ95" s="51">
        <v>1.0</v>
      </c>
      <c r="BK95" s="51"/>
      <c r="BL95" s="51"/>
      <c r="BM95" s="51"/>
      <c r="BN95" s="51"/>
      <c r="BO95" s="51"/>
      <c r="BP95" s="51"/>
      <c r="BQ95" s="51"/>
      <c r="BR95" s="51"/>
      <c r="BS95" s="51"/>
      <c r="BT95" s="51"/>
      <c r="BU95" s="51"/>
      <c r="BV95" s="51">
        <v>1.0</v>
      </c>
      <c r="BW95" s="51"/>
      <c r="BX95" s="51"/>
      <c r="BY95" s="51"/>
      <c r="BZ95" s="51"/>
      <c r="CA95" s="51"/>
      <c r="CB95" s="51"/>
    </row>
    <row r="96" ht="12.75" customHeight="1">
      <c r="A96" s="46" t="s">
        <v>116</v>
      </c>
      <c r="B96" s="68" t="str">
        <f>HYPERLINK("https://drive.google.com/open?id=17VHhhFhlgMIu7V6nuMEZfC4eMdnglotf","Jorgensen2009")</f>
        <v>Jorgensen2009</v>
      </c>
      <c r="C96" s="63" t="s">
        <v>605</v>
      </c>
      <c r="D96" s="63" t="s">
        <v>606</v>
      </c>
      <c r="E96" s="49">
        <v>2009.0</v>
      </c>
      <c r="F96" s="50"/>
      <c r="G96" s="50"/>
      <c r="H96" s="50"/>
      <c r="I96" s="50"/>
      <c r="J96" s="50"/>
      <c r="K96" s="50"/>
      <c r="L96" s="50"/>
      <c r="M96" s="50">
        <v>1.0</v>
      </c>
      <c r="N96" s="50"/>
      <c r="O96" s="50"/>
      <c r="P96" s="50"/>
      <c r="Q96" s="50"/>
      <c r="R96" s="50"/>
      <c r="S96" s="50"/>
      <c r="T96" s="50"/>
      <c r="U96" s="50"/>
      <c r="V96" s="51" t="s">
        <v>607</v>
      </c>
      <c r="W96" s="51" t="s">
        <v>608</v>
      </c>
      <c r="X96" s="51" t="s">
        <v>609</v>
      </c>
      <c r="Y96" s="51" t="s">
        <v>610</v>
      </c>
      <c r="Z96" s="51" t="s">
        <v>122</v>
      </c>
      <c r="AA96" s="50"/>
      <c r="AB96" s="50">
        <v>1.0</v>
      </c>
      <c r="AC96" s="50"/>
      <c r="AD96" s="50">
        <v>1.0</v>
      </c>
      <c r="AE96" s="50"/>
      <c r="AF96" s="50"/>
      <c r="AG96" s="50"/>
      <c r="AH96" s="51" t="s">
        <v>611</v>
      </c>
      <c r="AI96" s="51">
        <v>1.0</v>
      </c>
      <c r="AJ96" s="51"/>
      <c r="AK96" s="51"/>
      <c r="AL96" s="51"/>
      <c r="AM96" s="51"/>
      <c r="AN96" s="51"/>
      <c r="AO96" s="51"/>
      <c r="AP96" s="51"/>
      <c r="AQ96" s="51"/>
      <c r="AR96" s="51"/>
      <c r="AS96" s="51"/>
      <c r="AT96" s="51"/>
      <c r="AU96" s="51"/>
      <c r="AV96" s="51"/>
      <c r="AW96" s="51"/>
      <c r="AX96" s="51"/>
      <c r="AY96" s="51"/>
      <c r="AZ96" s="51"/>
      <c r="BA96" s="51"/>
      <c r="BB96" s="51"/>
      <c r="BC96" s="51"/>
      <c r="BD96" s="51"/>
      <c r="BE96" s="51"/>
      <c r="BF96" s="52">
        <v>1.0</v>
      </c>
      <c r="BG96" s="52">
        <v>1.0</v>
      </c>
      <c r="BH96" s="52">
        <v>1.0</v>
      </c>
      <c r="BI96" s="52">
        <v>1.0</v>
      </c>
      <c r="BJ96" s="51"/>
      <c r="BK96" s="51"/>
      <c r="BL96" s="51"/>
      <c r="BM96" s="51"/>
      <c r="BN96" s="51"/>
      <c r="BO96" s="51"/>
      <c r="BP96" s="51"/>
      <c r="BQ96" s="51"/>
      <c r="BR96" s="51"/>
      <c r="BS96" s="51"/>
      <c r="BT96" s="51"/>
      <c r="BU96" s="51"/>
      <c r="BV96" s="51"/>
      <c r="BW96" s="51"/>
      <c r="BX96" s="51"/>
      <c r="BY96" s="51">
        <v>1.0</v>
      </c>
      <c r="BZ96" s="51"/>
      <c r="CA96" s="51"/>
      <c r="CB96" s="51"/>
    </row>
    <row r="97" ht="12.75" customHeight="1">
      <c r="A97" s="46" t="s">
        <v>88</v>
      </c>
      <c r="B97" s="47" t="str">
        <f>HYPERLINK("https://drive.google.com/open?id=0B00cIHsghs6UTjBseVl1MVZyTGs","Kamthan2006")</f>
        <v>Kamthan2006</v>
      </c>
      <c r="C97" s="48" t="s">
        <v>612</v>
      </c>
      <c r="D97" s="48" t="s">
        <v>613</v>
      </c>
      <c r="E97" s="49">
        <v>2006.0</v>
      </c>
      <c r="F97" s="50"/>
      <c r="G97" s="50">
        <v>1.0</v>
      </c>
      <c r="H97" s="50"/>
      <c r="I97" s="50"/>
      <c r="J97" s="50"/>
      <c r="K97" s="50"/>
      <c r="L97" s="50"/>
      <c r="M97" s="50"/>
      <c r="N97" s="50"/>
      <c r="O97" s="50"/>
      <c r="P97" s="50"/>
      <c r="Q97" s="50"/>
      <c r="R97" s="50"/>
      <c r="S97" s="50"/>
      <c r="T97" s="50"/>
      <c r="U97" s="50"/>
      <c r="V97" s="51"/>
      <c r="W97" s="51" t="s">
        <v>614</v>
      </c>
      <c r="X97" s="51" t="s">
        <v>92</v>
      </c>
      <c r="Y97" s="51" t="s">
        <v>92</v>
      </c>
      <c r="Z97" s="51" t="s">
        <v>137</v>
      </c>
      <c r="AA97" s="50"/>
      <c r="AB97" s="50"/>
      <c r="AC97" s="50"/>
      <c r="AD97" s="50"/>
      <c r="AE97" s="50"/>
      <c r="AF97" s="50">
        <v>1.0</v>
      </c>
      <c r="AG97" s="50"/>
      <c r="AH97" s="51" t="s">
        <v>615</v>
      </c>
      <c r="AI97" s="52">
        <v>1.0</v>
      </c>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2">
        <v>1.0</v>
      </c>
      <c r="BL97" s="52">
        <v>1.0</v>
      </c>
      <c r="BM97" s="51"/>
      <c r="BN97" s="51"/>
      <c r="BO97" s="51"/>
      <c r="BP97" s="51"/>
      <c r="BQ97" s="51"/>
      <c r="BR97" s="51"/>
      <c r="BS97" s="51"/>
      <c r="BT97" s="51"/>
      <c r="BU97" s="51"/>
      <c r="BV97" s="51"/>
      <c r="BW97" s="51"/>
      <c r="BX97" s="51"/>
      <c r="BY97" s="51"/>
      <c r="BZ97" s="51"/>
      <c r="CA97" s="51"/>
      <c r="CB97" s="51"/>
    </row>
    <row r="98" ht="12.75" customHeight="1">
      <c r="A98" s="46" t="s">
        <v>124</v>
      </c>
      <c r="B98" s="56" t="str">
        <f>HYPERLINK("https://drive.google.com/open?id=0B-nn5iJ29NJaQ3VsQmVhSkF2QTA","Kant1984")</f>
        <v>Kant1984</v>
      </c>
      <c r="C98" s="55" t="s">
        <v>616</v>
      </c>
      <c r="D98" s="55" t="s">
        <v>617</v>
      </c>
      <c r="E98" s="57">
        <v>1984.0</v>
      </c>
      <c r="F98" s="75"/>
      <c r="G98" s="50"/>
      <c r="H98" s="50"/>
      <c r="I98" s="50">
        <v>1.0</v>
      </c>
      <c r="J98" s="50"/>
      <c r="K98" s="50"/>
      <c r="L98" s="50"/>
      <c r="M98" s="50"/>
      <c r="N98" s="50"/>
      <c r="O98" s="50"/>
      <c r="P98" s="50"/>
      <c r="Q98" s="50"/>
      <c r="R98" s="50"/>
      <c r="S98" s="50"/>
      <c r="T98" s="50"/>
      <c r="U98" s="50"/>
      <c r="V98" s="48" t="s">
        <v>618</v>
      </c>
      <c r="W98" s="48" t="s">
        <v>619</v>
      </c>
      <c r="X98" s="48"/>
      <c r="Y98" s="48"/>
      <c r="Z98" s="48" t="s">
        <v>620</v>
      </c>
      <c r="AA98" s="50">
        <v>1.0</v>
      </c>
      <c r="AB98" s="50"/>
      <c r="AC98" s="50"/>
      <c r="AD98" s="50">
        <v>1.0</v>
      </c>
      <c r="AE98" s="50"/>
      <c r="AF98" s="50"/>
      <c r="AG98" s="50"/>
      <c r="AH98" s="59"/>
      <c r="AI98" s="51">
        <v>1.0</v>
      </c>
      <c r="AJ98" s="51"/>
      <c r="AK98" s="51"/>
      <c r="AL98" s="51"/>
      <c r="AM98" s="51"/>
      <c r="AN98" s="51"/>
      <c r="AO98" s="51"/>
      <c r="AP98" s="51"/>
      <c r="AQ98" s="51"/>
      <c r="AR98" s="51"/>
      <c r="AS98" s="51"/>
      <c r="AT98" s="51"/>
      <c r="AU98" s="51"/>
      <c r="AV98" s="51"/>
      <c r="AW98" s="51"/>
      <c r="AX98" s="51"/>
      <c r="AY98" s="51"/>
      <c r="AZ98" s="51"/>
      <c r="BA98" s="51"/>
      <c r="BB98" s="51"/>
      <c r="BC98" s="51"/>
      <c r="BD98" s="51"/>
      <c r="BE98" s="51">
        <v>1.0</v>
      </c>
      <c r="BF98" s="51"/>
      <c r="BG98" s="51"/>
      <c r="BH98" s="51"/>
      <c r="BI98" s="51"/>
      <c r="BJ98" s="51"/>
      <c r="BK98" s="51"/>
      <c r="BL98" s="51"/>
      <c r="BM98" s="51"/>
      <c r="BN98" s="51"/>
      <c r="BO98" s="51"/>
      <c r="BP98" s="51"/>
      <c r="BQ98" s="51"/>
      <c r="BR98" s="51"/>
      <c r="BS98" s="51"/>
      <c r="BT98" s="51"/>
      <c r="BU98" s="51"/>
      <c r="BV98" s="51"/>
      <c r="BW98" s="51"/>
      <c r="BX98" s="51"/>
      <c r="BY98" s="51"/>
      <c r="BZ98" s="51"/>
      <c r="CA98" s="51"/>
      <c r="CB98" s="51"/>
    </row>
    <row r="99" ht="12.75" customHeight="1">
      <c r="A99" s="46" t="s">
        <v>116</v>
      </c>
      <c r="B99" s="67" t="str">
        <f>HYPERLINK("https://drive.google.com/open?id=1Rzj_aX-HHsg2AmZpG7UVrlHHedFLDjXN","Khatri2006")</f>
        <v>Khatri2006</v>
      </c>
      <c r="C99" s="63" t="s">
        <v>621</v>
      </c>
      <c r="D99" s="63" t="s">
        <v>622</v>
      </c>
      <c r="E99" s="49">
        <v>2006.0</v>
      </c>
      <c r="F99" s="50"/>
      <c r="G99" s="50">
        <v>1.0</v>
      </c>
      <c r="H99" s="50"/>
      <c r="I99" s="50"/>
      <c r="J99" s="50"/>
      <c r="K99" s="50"/>
      <c r="L99" s="50"/>
      <c r="M99" s="50"/>
      <c r="N99" s="50"/>
      <c r="O99" s="50"/>
      <c r="P99" s="50"/>
      <c r="Q99" s="50"/>
      <c r="R99" s="50"/>
      <c r="S99" s="50"/>
      <c r="T99" s="50"/>
      <c r="U99" s="50"/>
      <c r="V99" s="51" t="s">
        <v>623</v>
      </c>
      <c r="W99" s="51" t="s">
        <v>624</v>
      </c>
      <c r="X99" s="51" t="s">
        <v>625</v>
      </c>
      <c r="Y99" s="51" t="s">
        <v>626</v>
      </c>
      <c r="Z99" s="51" t="s">
        <v>122</v>
      </c>
      <c r="AA99" s="50">
        <v>1.0</v>
      </c>
      <c r="AB99" s="50"/>
      <c r="AC99" s="50"/>
      <c r="AD99" s="50">
        <v>1.0</v>
      </c>
      <c r="AE99" s="50"/>
      <c r="AF99" s="50"/>
      <c r="AG99" s="50"/>
      <c r="AH99" s="51" t="s">
        <v>627</v>
      </c>
      <c r="AI99" s="51">
        <v>1.0</v>
      </c>
      <c r="AJ99" s="51"/>
      <c r="AK99" s="51"/>
      <c r="AL99" s="51"/>
      <c r="AM99" s="51"/>
      <c r="AN99" s="51"/>
      <c r="AO99" s="51"/>
      <c r="AP99" s="51"/>
      <c r="AQ99" s="51"/>
      <c r="AR99" s="51"/>
      <c r="AS99" s="51"/>
      <c r="AT99" s="51"/>
      <c r="AU99" s="51"/>
      <c r="AV99" s="51"/>
      <c r="AW99" s="51"/>
      <c r="AX99" s="51"/>
      <c r="AY99" s="51"/>
      <c r="AZ99" s="51"/>
      <c r="BA99" s="51"/>
      <c r="BB99" s="51"/>
      <c r="BC99" s="51"/>
      <c r="BD99" s="51"/>
      <c r="BE99" s="51">
        <v>1.0</v>
      </c>
      <c r="BF99" s="51"/>
      <c r="BG99" s="51"/>
      <c r="BH99" s="51"/>
      <c r="BI99" s="51"/>
      <c r="BJ99" s="51">
        <v>1.0</v>
      </c>
      <c r="BK99" s="51"/>
      <c r="BL99" s="51"/>
      <c r="BM99" s="51"/>
      <c r="BN99" s="51"/>
      <c r="BO99" s="51"/>
      <c r="BP99" s="51"/>
      <c r="BQ99" s="51"/>
      <c r="BR99" s="51"/>
      <c r="BS99" s="51"/>
      <c r="BT99" s="51"/>
      <c r="BU99" s="51"/>
      <c r="BV99" s="51"/>
      <c r="BW99" s="51"/>
      <c r="BX99" s="51"/>
      <c r="BY99" s="51">
        <v>1.0</v>
      </c>
      <c r="BZ99" s="51"/>
      <c r="CA99" s="51">
        <v>1.0</v>
      </c>
      <c r="CB99" s="51"/>
    </row>
    <row r="100" ht="12.75" customHeight="1">
      <c r="A100" s="46" t="s">
        <v>116</v>
      </c>
      <c r="B100" s="56" t="str">
        <f>HYPERLINK("https://drive.google.com/open?id=0B1GMAYMj9v6rRTlRblZFRjA1SGs","Kirs2001")</f>
        <v>Kirs2001</v>
      </c>
      <c r="C100" s="55" t="s">
        <v>628</v>
      </c>
      <c r="D100" s="48" t="s">
        <v>629</v>
      </c>
      <c r="E100" s="49">
        <v>2001.0</v>
      </c>
      <c r="F100" s="50"/>
      <c r="G100" s="50"/>
      <c r="H100" s="50">
        <v>1.0</v>
      </c>
      <c r="I100" s="50"/>
      <c r="J100" s="50"/>
      <c r="K100" s="50"/>
      <c r="L100" s="50"/>
      <c r="M100" s="50"/>
      <c r="N100" s="50"/>
      <c r="O100" s="50"/>
      <c r="P100" s="50"/>
      <c r="Q100" s="50"/>
      <c r="R100" s="50"/>
      <c r="S100" s="50"/>
      <c r="T100" s="50"/>
      <c r="U100" s="50"/>
      <c r="V100" s="51"/>
      <c r="W100" s="51" t="s">
        <v>70</v>
      </c>
      <c r="X100" s="51"/>
      <c r="Y100" s="51"/>
      <c r="Z100" s="51" t="s">
        <v>630</v>
      </c>
      <c r="AA100" s="50"/>
      <c r="AB100" s="50">
        <v>1.0</v>
      </c>
      <c r="AC100" s="50"/>
      <c r="AD100" s="50"/>
      <c r="AE100" s="50"/>
      <c r="AF100" s="50">
        <v>1.0</v>
      </c>
      <c r="AG100" s="50"/>
      <c r="AH100" s="51" t="s">
        <v>631</v>
      </c>
      <c r="AI100" s="51">
        <v>1.0</v>
      </c>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v>1.0</v>
      </c>
      <c r="BJ100" s="51"/>
      <c r="BK100" s="51"/>
      <c r="BL100" s="51"/>
      <c r="BM100" s="51"/>
      <c r="BN100" s="51"/>
      <c r="BO100" s="51"/>
      <c r="BP100" s="51"/>
      <c r="BQ100" s="51"/>
      <c r="BR100" s="51"/>
      <c r="BS100" s="51"/>
      <c r="BT100" s="51"/>
      <c r="BU100" s="51"/>
      <c r="BV100" s="51"/>
      <c r="BW100" s="51"/>
      <c r="BX100" s="51"/>
      <c r="BY100" s="51"/>
      <c r="BZ100" s="51"/>
      <c r="CA100" s="51"/>
      <c r="CB100" s="51"/>
    </row>
    <row r="101" ht="12.75" customHeight="1">
      <c r="A101" s="46" t="s">
        <v>88</v>
      </c>
      <c r="B101" s="53" t="str">
        <f t="shared" ref="B101:B102" si="3">HYPERLINK("https://drive.google.com/open?id=0B00cIHsghs6UT1VJTWwwSTZlcjQ","Kjærgaard2007")</f>
        <v>Kjærgaard2007</v>
      </c>
      <c r="C101" s="48" t="s">
        <v>632</v>
      </c>
      <c r="D101" s="48" t="s">
        <v>633</v>
      </c>
      <c r="E101" s="49">
        <v>2007.0</v>
      </c>
      <c r="F101" s="50"/>
      <c r="G101" s="50"/>
      <c r="H101" s="50"/>
      <c r="I101" s="50"/>
      <c r="J101" s="50"/>
      <c r="K101" s="50"/>
      <c r="L101" s="50"/>
      <c r="M101" s="50">
        <v>1.0</v>
      </c>
      <c r="N101" s="50"/>
      <c r="O101" s="50"/>
      <c r="P101" s="50"/>
      <c r="Q101" s="50"/>
      <c r="R101" s="50"/>
      <c r="S101" s="50"/>
      <c r="T101" s="50"/>
      <c r="U101" s="50"/>
      <c r="V101" s="51"/>
      <c r="W101" s="51" t="s">
        <v>634</v>
      </c>
      <c r="X101" s="51" t="s">
        <v>92</v>
      </c>
      <c r="Y101" s="51" t="s">
        <v>92</v>
      </c>
      <c r="Z101" s="51" t="s">
        <v>635</v>
      </c>
      <c r="AA101" s="50"/>
      <c r="AB101" s="50">
        <v>1.0</v>
      </c>
      <c r="AC101" s="50"/>
      <c r="AD101" s="50">
        <v>1.0</v>
      </c>
      <c r="AE101" s="50"/>
      <c r="AF101" s="50"/>
      <c r="AG101" s="50"/>
      <c r="AH101" s="51" t="s">
        <v>636</v>
      </c>
      <c r="AI101" s="51">
        <v>1.0</v>
      </c>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v>1.0</v>
      </c>
      <c r="BK101" s="51"/>
      <c r="BL101" s="51"/>
      <c r="BM101" s="51"/>
      <c r="BN101" s="51"/>
      <c r="BO101" s="51"/>
      <c r="BP101" s="51"/>
      <c r="BQ101" s="51"/>
      <c r="BR101" s="51"/>
      <c r="BS101" s="51"/>
      <c r="BT101" s="51"/>
      <c r="BU101" s="51"/>
      <c r="BV101" s="51"/>
      <c r="BW101" s="51"/>
      <c r="BX101" s="51"/>
      <c r="BY101" s="51"/>
      <c r="BZ101" s="51"/>
      <c r="CA101" s="51"/>
      <c r="CB101" s="51"/>
    </row>
    <row r="102" ht="12.75" customHeight="1">
      <c r="A102" s="46" t="s">
        <v>108</v>
      </c>
      <c r="B102" s="53" t="str">
        <f t="shared" si="3"/>
        <v>Kjærgaard2007</v>
      </c>
      <c r="C102" s="48" t="s">
        <v>632</v>
      </c>
      <c r="D102" s="48" t="s">
        <v>633</v>
      </c>
      <c r="E102" s="49">
        <v>2007.0</v>
      </c>
      <c r="F102" s="76"/>
      <c r="G102" s="50"/>
      <c r="H102" s="50"/>
      <c r="I102" s="50"/>
      <c r="J102" s="50"/>
      <c r="K102" s="50"/>
      <c r="L102" s="50"/>
      <c r="M102" s="50">
        <v>1.0</v>
      </c>
      <c r="N102" s="50"/>
      <c r="O102" s="50"/>
      <c r="P102" s="50"/>
      <c r="Q102" s="50"/>
      <c r="R102" s="50"/>
      <c r="S102" s="50"/>
      <c r="T102" s="50"/>
      <c r="U102" s="50"/>
      <c r="V102" s="48"/>
      <c r="W102" s="48" t="s">
        <v>637</v>
      </c>
      <c r="X102" s="77" t="s">
        <v>92</v>
      </c>
      <c r="Y102" s="48" t="s">
        <v>638</v>
      </c>
      <c r="Z102" s="48" t="s">
        <v>639</v>
      </c>
      <c r="AA102" s="50"/>
      <c r="AB102" s="50">
        <v>1.0</v>
      </c>
      <c r="AC102" s="50"/>
      <c r="AD102" s="50">
        <v>1.0</v>
      </c>
      <c r="AE102" s="50"/>
      <c r="AF102" s="50"/>
      <c r="AG102" s="50"/>
      <c r="AH102" s="51" t="s">
        <v>640</v>
      </c>
      <c r="AI102" s="52">
        <v>1.0</v>
      </c>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2">
        <v>1.0</v>
      </c>
      <c r="BK102" s="51"/>
      <c r="BL102" s="51"/>
      <c r="BM102" s="51"/>
      <c r="BN102" s="51"/>
      <c r="BO102" s="51"/>
      <c r="BP102" s="51"/>
      <c r="BQ102" s="51"/>
      <c r="BR102" s="51"/>
      <c r="BS102" s="51"/>
      <c r="BT102" s="51"/>
      <c r="BU102" s="51"/>
      <c r="BV102" s="51"/>
      <c r="BW102" s="51"/>
      <c r="BX102" s="51"/>
      <c r="BY102" s="51"/>
      <c r="BZ102" s="51"/>
      <c r="CA102" s="51"/>
      <c r="CB102" s="51"/>
    </row>
    <row r="103" ht="12.75" customHeight="1">
      <c r="A103" s="46" t="s">
        <v>124</v>
      </c>
      <c r="B103" s="68" t="str">
        <f>HYPERLINK("https://drive.google.com/open?id=1zrvNwRqw6fRON6DnkgXZnIbZ2STsq37x","Klemola2000")</f>
        <v>Klemola2000</v>
      </c>
      <c r="C103" s="48" t="s">
        <v>641</v>
      </c>
      <c r="D103" s="48" t="s">
        <v>642</v>
      </c>
      <c r="E103" s="49">
        <v>2000.0</v>
      </c>
      <c r="F103" s="50"/>
      <c r="G103" s="50"/>
      <c r="H103" s="50">
        <v>1.0</v>
      </c>
      <c r="I103" s="50"/>
      <c r="J103" s="50"/>
      <c r="K103" s="50"/>
      <c r="L103" s="50"/>
      <c r="M103" s="50"/>
      <c r="N103" s="50"/>
      <c r="O103" s="50"/>
      <c r="P103" s="50">
        <v>1.0</v>
      </c>
      <c r="Q103" s="50"/>
      <c r="R103" s="50"/>
      <c r="S103" s="50"/>
      <c r="T103" s="50"/>
      <c r="U103" s="50"/>
      <c r="V103" s="48"/>
      <c r="W103" s="48" t="s">
        <v>643</v>
      </c>
      <c r="X103" s="48" t="s">
        <v>644</v>
      </c>
      <c r="Y103" s="48" t="s">
        <v>645</v>
      </c>
      <c r="Z103" s="48" t="s">
        <v>646</v>
      </c>
      <c r="AA103" s="50"/>
      <c r="AB103" s="50"/>
      <c r="AC103" s="50"/>
      <c r="AD103" s="50"/>
      <c r="AE103" s="50"/>
      <c r="AF103" s="50">
        <v>1.0</v>
      </c>
      <c r="AG103" s="50"/>
      <c r="AH103" s="59"/>
      <c r="AI103" s="51">
        <v>1.0</v>
      </c>
      <c r="AJ103" s="51"/>
      <c r="AK103" s="51"/>
      <c r="AL103" s="51"/>
      <c r="AM103" s="51"/>
      <c r="AN103" s="51"/>
      <c r="AO103" s="51"/>
      <c r="AP103" s="51">
        <v>1.0</v>
      </c>
      <c r="AQ103" s="51">
        <v>1.0</v>
      </c>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row>
    <row r="104" ht="12.75" customHeight="1">
      <c r="A104" s="46" t="s">
        <v>88</v>
      </c>
      <c r="B104" s="53" t="str">
        <f>HYPERLINK("https://drive.google.com/open?id=0B00cIHsghs6UOWE2cmpsUzhVc2c","Klemola2002")</f>
        <v>Klemola2002</v>
      </c>
      <c r="C104" s="48" t="s">
        <v>647</v>
      </c>
      <c r="D104" s="48" t="s">
        <v>648</v>
      </c>
      <c r="E104" s="49">
        <v>2002.0</v>
      </c>
      <c r="F104" s="50"/>
      <c r="G104" s="50">
        <v>1.0</v>
      </c>
      <c r="H104" s="50">
        <v>1.0</v>
      </c>
      <c r="I104" s="50">
        <v>1.0</v>
      </c>
      <c r="J104" s="50">
        <v>1.0</v>
      </c>
      <c r="K104" s="50">
        <v>1.0</v>
      </c>
      <c r="L104" s="50"/>
      <c r="M104" s="50"/>
      <c r="N104" s="50"/>
      <c r="O104" s="50"/>
      <c r="P104" s="50"/>
      <c r="Q104" s="50"/>
      <c r="R104" s="50"/>
      <c r="S104" s="50"/>
      <c r="T104" s="50"/>
      <c r="U104" s="50"/>
      <c r="V104" s="51" t="s">
        <v>649</v>
      </c>
      <c r="W104" s="51" t="s">
        <v>650</v>
      </c>
      <c r="X104" s="51" t="s">
        <v>651</v>
      </c>
      <c r="Y104" s="51" t="s">
        <v>92</v>
      </c>
      <c r="Z104" s="51" t="s">
        <v>137</v>
      </c>
      <c r="AA104" s="50"/>
      <c r="AB104" s="50"/>
      <c r="AC104" s="50"/>
      <c r="AD104" s="50"/>
      <c r="AE104" s="50"/>
      <c r="AF104" s="50">
        <v>1.0</v>
      </c>
      <c r="AG104" s="50"/>
      <c r="AH104" s="51" t="s">
        <v>652</v>
      </c>
      <c r="AI104" s="51">
        <v>1.0</v>
      </c>
      <c r="AJ104" s="51"/>
      <c r="AK104" s="51"/>
      <c r="AL104" s="51"/>
      <c r="AM104" s="51"/>
      <c r="AN104" s="51"/>
      <c r="AO104" s="51"/>
      <c r="AP104" s="51">
        <v>1.0</v>
      </c>
      <c r="AQ104" s="51">
        <v>1.0</v>
      </c>
      <c r="AR104" s="51"/>
      <c r="AS104" s="51"/>
      <c r="AT104" s="51"/>
      <c r="AU104" s="51"/>
      <c r="AV104" s="51"/>
      <c r="AW104" s="51"/>
      <c r="AX104" s="51"/>
      <c r="AY104" s="51"/>
      <c r="AZ104" s="51"/>
      <c r="BA104" s="51"/>
      <c r="BB104" s="51"/>
      <c r="BC104" s="51"/>
      <c r="BD104" s="51"/>
      <c r="BE104" s="51"/>
      <c r="BF104" s="51"/>
      <c r="BG104" s="51"/>
      <c r="BH104" s="51"/>
      <c r="BI104" s="51"/>
      <c r="BJ104" s="51">
        <v>1.0</v>
      </c>
      <c r="BK104" s="51"/>
      <c r="BL104" s="51"/>
      <c r="BM104" s="51"/>
      <c r="BN104" s="51"/>
      <c r="BO104" s="51"/>
      <c r="BP104" s="51"/>
      <c r="BQ104" s="51"/>
      <c r="BR104" s="51"/>
      <c r="BS104" s="51"/>
      <c r="BT104" s="51"/>
      <c r="BU104" s="51"/>
      <c r="BV104" s="51"/>
      <c r="BW104" s="51"/>
      <c r="BX104" s="51"/>
      <c r="BY104" s="51"/>
      <c r="BZ104" s="51"/>
      <c r="CA104" s="51"/>
      <c r="CB104" s="51"/>
    </row>
    <row r="105" ht="12.75" customHeight="1">
      <c r="A105" s="46" t="s">
        <v>124</v>
      </c>
      <c r="B105" s="68" t="str">
        <f>HYPERLINK("https://drive.google.com/open?id=1-T2dKg65bEJaJ51wdz_JGyzrWPUEXwom","Koenemann1991")</f>
        <v>Koenemann1991</v>
      </c>
      <c r="C105" s="48" t="s">
        <v>653</v>
      </c>
      <c r="D105" s="48" t="s">
        <v>654</v>
      </c>
      <c r="E105" s="49">
        <v>1991.0</v>
      </c>
      <c r="F105" s="50"/>
      <c r="G105" s="50"/>
      <c r="H105" s="50"/>
      <c r="I105" s="50">
        <v>1.0</v>
      </c>
      <c r="J105" s="50"/>
      <c r="K105" s="50">
        <v>1.0</v>
      </c>
      <c r="L105" s="50"/>
      <c r="M105" s="50"/>
      <c r="N105" s="50"/>
      <c r="O105" s="50"/>
      <c r="P105" s="50"/>
      <c r="Q105" s="50"/>
      <c r="R105" s="50"/>
      <c r="S105" s="50"/>
      <c r="T105" s="50"/>
      <c r="U105" s="50"/>
      <c r="V105" s="48"/>
      <c r="W105" s="48" t="s">
        <v>239</v>
      </c>
      <c r="X105" s="48" t="s">
        <v>655</v>
      </c>
      <c r="Y105" s="48" t="s">
        <v>656</v>
      </c>
      <c r="Z105" s="48" t="s">
        <v>657</v>
      </c>
      <c r="AA105" s="50"/>
      <c r="AB105" s="50"/>
      <c r="AC105" s="50"/>
      <c r="AD105" s="50">
        <v>1.0</v>
      </c>
      <c r="AE105" s="50"/>
      <c r="AF105" s="50"/>
      <c r="AG105" s="50"/>
      <c r="AH105" s="59"/>
      <c r="AI105" s="51">
        <v>1.0</v>
      </c>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2">
        <v>1.0</v>
      </c>
      <c r="BF105" s="51"/>
      <c r="BG105" s="51"/>
      <c r="BH105" s="51"/>
      <c r="BI105" s="51"/>
      <c r="BJ105" s="52">
        <v>1.0</v>
      </c>
      <c r="BK105" s="51"/>
      <c r="BL105" s="51"/>
      <c r="BM105" s="51"/>
      <c r="BN105" s="51"/>
      <c r="BO105" s="51"/>
      <c r="BP105" s="51"/>
      <c r="BQ105" s="51"/>
      <c r="BR105" s="51"/>
      <c r="BS105" s="51"/>
      <c r="BT105" s="51"/>
      <c r="BU105" s="51"/>
      <c r="BV105" s="51"/>
      <c r="BW105" s="51"/>
      <c r="BX105" s="51"/>
      <c r="BY105" s="51">
        <v>1.0</v>
      </c>
      <c r="BZ105" s="51"/>
      <c r="CA105" s="51"/>
      <c r="CB105" s="51"/>
    </row>
    <row r="106" ht="12.75" customHeight="1">
      <c r="A106" s="46" t="s">
        <v>108</v>
      </c>
      <c r="B106" s="56" t="str">
        <f>HYPERLINK("https://boris.unibe.ch/39356/1/KrancherDibbernICIS2012.pdf","Krancher2012")</f>
        <v>Krancher2012</v>
      </c>
      <c r="C106" s="55" t="s">
        <v>658</v>
      </c>
      <c r="D106" s="55" t="s">
        <v>296</v>
      </c>
      <c r="E106" s="49">
        <v>2012.0</v>
      </c>
      <c r="F106" s="50"/>
      <c r="G106" s="50"/>
      <c r="H106" s="50"/>
      <c r="I106" s="50"/>
      <c r="J106" s="50"/>
      <c r="K106" s="50">
        <v>1.0</v>
      </c>
      <c r="L106" s="50"/>
      <c r="M106" s="50"/>
      <c r="N106" s="50"/>
      <c r="O106" s="50"/>
      <c r="P106" s="50"/>
      <c r="Q106" s="50"/>
      <c r="R106" s="50"/>
      <c r="S106" s="50"/>
      <c r="T106" s="50"/>
      <c r="U106" s="50"/>
      <c r="V106" s="48" t="s">
        <v>353</v>
      </c>
      <c r="W106" s="74" t="s">
        <v>9</v>
      </c>
      <c r="X106" s="48" t="s">
        <v>221</v>
      </c>
      <c r="Y106" s="48" t="s">
        <v>659</v>
      </c>
      <c r="Z106" s="48" t="s">
        <v>542</v>
      </c>
      <c r="AA106" s="50"/>
      <c r="AB106" s="50">
        <v>1.0</v>
      </c>
      <c r="AC106" s="50"/>
      <c r="AD106" s="50">
        <v>1.0</v>
      </c>
      <c r="AE106" s="50"/>
      <c r="AF106" s="50"/>
      <c r="AG106" s="50"/>
      <c r="AH106" s="51"/>
      <c r="AI106" s="51">
        <v>1.0</v>
      </c>
      <c r="AJ106" s="51"/>
      <c r="AK106" s="51"/>
      <c r="AL106" s="51"/>
      <c r="AM106" s="51"/>
      <c r="AN106" s="51"/>
      <c r="AO106" s="51"/>
      <c r="AP106" s="51"/>
      <c r="AQ106" s="51"/>
      <c r="AR106" s="51">
        <v>1.0</v>
      </c>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row>
    <row r="107" ht="12.75" customHeight="1">
      <c r="A107" s="46" t="s">
        <v>124</v>
      </c>
      <c r="B107" s="56" t="str">
        <f>HYPERLINK("https://drive.google.com/open?id=0B-nn5iJ29NJaQlI1Y2dKTTNOMUE","Krancher2012a")</f>
        <v>Krancher2012a</v>
      </c>
      <c r="C107" s="55" t="s">
        <v>660</v>
      </c>
      <c r="D107" s="55" t="s">
        <v>661</v>
      </c>
      <c r="E107" s="57">
        <v>2012.0</v>
      </c>
      <c r="F107" s="58"/>
      <c r="G107" s="50"/>
      <c r="H107" s="50"/>
      <c r="I107" s="50"/>
      <c r="J107" s="50"/>
      <c r="K107" s="50">
        <v>1.0</v>
      </c>
      <c r="L107" s="50"/>
      <c r="M107" s="50">
        <v>1.0</v>
      </c>
      <c r="N107" s="50"/>
      <c r="O107" s="50"/>
      <c r="P107" s="50"/>
      <c r="Q107" s="50"/>
      <c r="R107" s="50"/>
      <c r="S107" s="50"/>
      <c r="T107" s="50"/>
      <c r="U107" s="50"/>
      <c r="V107" s="48" t="s">
        <v>353</v>
      </c>
      <c r="W107" s="48" t="s">
        <v>662</v>
      </c>
      <c r="X107" s="48"/>
      <c r="Y107" s="48"/>
      <c r="Z107" s="48" t="s">
        <v>663</v>
      </c>
      <c r="AA107" s="50"/>
      <c r="AB107" s="50"/>
      <c r="AC107" s="50"/>
      <c r="AD107" s="50"/>
      <c r="AE107" s="50"/>
      <c r="AF107" s="50">
        <v>1.0</v>
      </c>
      <c r="AG107" s="50">
        <v>1.0</v>
      </c>
      <c r="AH107" s="59"/>
      <c r="AI107" s="51">
        <v>1.0</v>
      </c>
      <c r="AJ107" s="51"/>
      <c r="AK107" s="51"/>
      <c r="AL107" s="51"/>
      <c r="AM107" s="51"/>
      <c r="AN107" s="51"/>
      <c r="AO107" s="51"/>
      <c r="AP107" s="51"/>
      <c r="AQ107" s="51"/>
      <c r="AR107" s="51">
        <v>1.0</v>
      </c>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row>
    <row r="108" ht="12.75" customHeight="1">
      <c r="A108" s="46" t="s">
        <v>124</v>
      </c>
      <c r="B108" s="68" t="str">
        <f>HYPERLINK("https://drive.google.com/open?id=1lMA-zjB4F9V0kvpzCnlFOUv4KwTzGjHJ","Krovi1998")</f>
        <v>Krovi1998</v>
      </c>
      <c r="C108" s="48" t="s">
        <v>664</v>
      </c>
      <c r="D108" s="48" t="s">
        <v>211</v>
      </c>
      <c r="E108" s="49">
        <v>1998.0</v>
      </c>
      <c r="F108" s="50"/>
      <c r="G108" s="50">
        <v>1.0</v>
      </c>
      <c r="H108" s="50">
        <v>1.0</v>
      </c>
      <c r="I108" s="50"/>
      <c r="J108" s="50"/>
      <c r="K108" s="50"/>
      <c r="L108" s="50"/>
      <c r="M108" s="50"/>
      <c r="N108" s="50"/>
      <c r="O108" s="50"/>
      <c r="P108" s="50"/>
      <c r="Q108" s="50">
        <v>1.0</v>
      </c>
      <c r="R108" s="50"/>
      <c r="S108" s="50"/>
      <c r="T108" s="50"/>
      <c r="U108" s="50"/>
      <c r="V108" s="48"/>
      <c r="W108" s="69" t="s">
        <v>665</v>
      </c>
      <c r="X108" s="48" t="s">
        <v>666</v>
      </c>
      <c r="Y108" s="48"/>
      <c r="Z108" s="48" t="s">
        <v>667</v>
      </c>
      <c r="AA108" s="50">
        <v>1.0</v>
      </c>
      <c r="AB108" s="50"/>
      <c r="AC108" s="50"/>
      <c r="AD108" s="50">
        <v>1.0</v>
      </c>
      <c r="AE108" s="50"/>
      <c r="AF108" s="50"/>
      <c r="AG108" s="50"/>
      <c r="AH108" s="59"/>
      <c r="AI108" s="52">
        <v>1.0</v>
      </c>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2">
        <v>1.0</v>
      </c>
      <c r="BK108" s="51"/>
      <c r="BL108" s="52">
        <v>1.0</v>
      </c>
      <c r="BM108" s="51"/>
      <c r="BN108" s="51"/>
      <c r="BO108" s="51"/>
      <c r="BP108" s="51"/>
      <c r="BQ108" s="51"/>
      <c r="BR108" s="51"/>
      <c r="BS108" s="51"/>
      <c r="BT108" s="51"/>
      <c r="BU108" s="51"/>
      <c r="BV108" s="51"/>
      <c r="BW108" s="51"/>
      <c r="BX108" s="51"/>
      <c r="BY108" s="51">
        <v>1.0</v>
      </c>
      <c r="BZ108" s="51"/>
      <c r="CA108" s="51"/>
      <c r="CB108" s="51"/>
    </row>
    <row r="109" ht="12.75" customHeight="1">
      <c r="A109" s="46" t="s">
        <v>124</v>
      </c>
      <c r="B109" s="56" t="str">
        <f>HYPERLINK("https://drive.google.com/open?id=0B-nn5iJ29NJaejlIeGFIMG9VSXc","Kudo2003")</f>
        <v>Kudo2003</v>
      </c>
      <c r="C109" s="55" t="s">
        <v>668</v>
      </c>
      <c r="D109" s="55" t="s">
        <v>669</v>
      </c>
      <c r="E109" s="57">
        <v>2003.0</v>
      </c>
      <c r="F109" s="58"/>
      <c r="G109" s="50"/>
      <c r="H109" s="50"/>
      <c r="I109" s="50"/>
      <c r="J109" s="50"/>
      <c r="K109" s="50"/>
      <c r="L109" s="50"/>
      <c r="M109" s="50"/>
      <c r="N109" s="50">
        <v>1.0</v>
      </c>
      <c r="O109" s="50"/>
      <c r="P109" s="50"/>
      <c r="Q109" s="50"/>
      <c r="R109" s="50"/>
      <c r="S109" s="50"/>
      <c r="T109" s="50"/>
      <c r="U109" s="50"/>
      <c r="V109" s="48"/>
      <c r="W109" s="48" t="s">
        <v>670</v>
      </c>
      <c r="X109" s="48" t="s">
        <v>671</v>
      </c>
      <c r="Y109" s="48" t="s">
        <v>672</v>
      </c>
      <c r="Z109" s="48" t="s">
        <v>673</v>
      </c>
      <c r="AA109" s="50"/>
      <c r="AB109" s="50">
        <v>1.0</v>
      </c>
      <c r="AC109" s="50"/>
      <c r="AD109" s="50">
        <v>1.0</v>
      </c>
      <c r="AE109" s="50"/>
      <c r="AF109" s="50"/>
      <c r="AG109" s="50"/>
      <c r="AH109" s="59"/>
      <c r="AI109" s="51">
        <v>1.0</v>
      </c>
      <c r="AJ109" s="51"/>
      <c r="AK109" s="51"/>
      <c r="AL109" s="51"/>
      <c r="AM109" s="51"/>
      <c r="AN109" s="51"/>
      <c r="AO109" s="51"/>
      <c r="AP109" s="51"/>
      <c r="AQ109" s="51"/>
      <c r="AR109" s="51">
        <v>1.0</v>
      </c>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v>1.0</v>
      </c>
      <c r="BZ109" s="51"/>
      <c r="CA109" s="51"/>
      <c r="CB109" s="51"/>
    </row>
    <row r="110" ht="12.75" customHeight="1">
      <c r="A110" s="46" t="s">
        <v>116</v>
      </c>
      <c r="B110" s="54" t="str">
        <f>HYPERLINK("https://drive.google.com/open?id=0B1GMAYMj9v6rbm95cHhBZ1lCTk0","Leite2015")</f>
        <v>Leite2015</v>
      </c>
      <c r="C110" s="55" t="s">
        <v>674</v>
      </c>
      <c r="D110" s="55" t="s">
        <v>675</v>
      </c>
      <c r="E110" s="49">
        <v>2015.0</v>
      </c>
      <c r="F110" s="50"/>
      <c r="G110" s="50"/>
      <c r="H110" s="50"/>
      <c r="I110" s="50">
        <v>1.0</v>
      </c>
      <c r="J110" s="50"/>
      <c r="K110" s="50">
        <v>1.0</v>
      </c>
      <c r="L110" s="50">
        <v>1.0</v>
      </c>
      <c r="M110" s="50"/>
      <c r="N110" s="50">
        <v>1.0</v>
      </c>
      <c r="O110" s="50"/>
      <c r="P110" s="50"/>
      <c r="Q110" s="50"/>
      <c r="R110" s="50"/>
      <c r="S110" s="50"/>
      <c r="T110" s="50"/>
      <c r="U110" s="50"/>
      <c r="V110" s="51"/>
      <c r="W110" s="51" t="s">
        <v>676</v>
      </c>
      <c r="X110" s="51" t="s">
        <v>677</v>
      </c>
      <c r="Y110" s="51" t="s">
        <v>678</v>
      </c>
      <c r="Z110" s="51" t="s">
        <v>679</v>
      </c>
      <c r="AA110" s="50"/>
      <c r="AB110" s="50">
        <v>1.0</v>
      </c>
      <c r="AC110" s="50"/>
      <c r="AD110" s="50">
        <v>1.0</v>
      </c>
      <c r="AE110" s="50"/>
      <c r="AF110" s="50"/>
      <c r="AG110" s="50"/>
      <c r="AH110" s="51" t="s">
        <v>680</v>
      </c>
      <c r="AI110" s="51">
        <v>1.0</v>
      </c>
      <c r="AJ110" s="52">
        <v>1.0</v>
      </c>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v>1.0</v>
      </c>
      <c r="CB110" s="51"/>
    </row>
    <row r="111" ht="12.75" customHeight="1">
      <c r="A111" s="46" t="s">
        <v>88</v>
      </c>
      <c r="B111" s="53" t="str">
        <f>HYPERLINK("https://drive.google.com/open?id=1b1-uaru5XKH4OO_-qBLoHDbF8brZUp94","Letovsky1987")</f>
        <v>Letovsky1987</v>
      </c>
      <c r="C111" s="48" t="s">
        <v>681</v>
      </c>
      <c r="D111" s="48" t="s">
        <v>682</v>
      </c>
      <c r="E111" s="49">
        <v>1987.0</v>
      </c>
      <c r="F111" s="50"/>
      <c r="G111" s="50"/>
      <c r="H111" s="50"/>
      <c r="I111" s="50">
        <v>1.0</v>
      </c>
      <c r="J111" s="50"/>
      <c r="K111" s="50">
        <v>1.0</v>
      </c>
      <c r="L111" s="50"/>
      <c r="M111" s="50"/>
      <c r="N111" s="50"/>
      <c r="O111" s="50"/>
      <c r="P111" s="50"/>
      <c r="Q111" s="50"/>
      <c r="R111" s="50"/>
      <c r="S111" s="50"/>
      <c r="T111" s="50"/>
      <c r="U111" s="50"/>
      <c r="V111" s="51"/>
      <c r="W111" s="51" t="s">
        <v>683</v>
      </c>
      <c r="X111" s="51" t="s">
        <v>684</v>
      </c>
      <c r="Y111" s="51" t="s">
        <v>685</v>
      </c>
      <c r="Z111" s="51" t="s">
        <v>100</v>
      </c>
      <c r="AA111" s="50"/>
      <c r="AB111" s="50">
        <v>1.0</v>
      </c>
      <c r="AC111" s="50"/>
      <c r="AD111" s="50">
        <v>1.0</v>
      </c>
      <c r="AE111" s="50"/>
      <c r="AF111" s="50"/>
      <c r="AG111" s="50"/>
      <c r="AH111" s="51" t="s">
        <v>686</v>
      </c>
      <c r="AI111" s="51">
        <v>1.0</v>
      </c>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v>1.0</v>
      </c>
      <c r="BF111" s="51"/>
      <c r="BG111" s="51"/>
      <c r="BH111" s="51"/>
      <c r="BI111" s="51"/>
      <c r="BJ111" s="51"/>
      <c r="BK111" s="51"/>
      <c r="BL111" s="51"/>
      <c r="BM111" s="51"/>
      <c r="BN111" s="51"/>
      <c r="BO111" s="51"/>
      <c r="BP111" s="51"/>
      <c r="BQ111" s="51"/>
      <c r="BR111" s="51"/>
      <c r="BS111" s="51"/>
      <c r="BT111" s="51"/>
      <c r="BU111" s="51"/>
      <c r="BV111" s="51">
        <v>1.0</v>
      </c>
      <c r="BW111" s="51"/>
      <c r="BX111" s="51"/>
      <c r="BY111" s="51"/>
      <c r="BZ111" s="51"/>
      <c r="CA111" s="51"/>
      <c r="CB111" s="51"/>
    </row>
    <row r="112" ht="12.75" customHeight="1">
      <c r="A112" s="46" t="s">
        <v>116</v>
      </c>
      <c r="B112" s="56" t="str">
        <f>HYPERLINK("https://drive.google.com/open?id=0B1GMAYMj9v6rUTB5eU43TDVMVGc","Leveson1998")</f>
        <v>Leveson1998</v>
      </c>
      <c r="C112" s="55" t="s">
        <v>687</v>
      </c>
      <c r="D112" s="55" t="s">
        <v>688</v>
      </c>
      <c r="E112" s="49">
        <v>1998.0</v>
      </c>
      <c r="F112" s="50"/>
      <c r="G112" s="50">
        <v>1.0</v>
      </c>
      <c r="H112" s="50">
        <v>1.0</v>
      </c>
      <c r="I112" s="50">
        <v>1.0</v>
      </c>
      <c r="J112" s="50"/>
      <c r="K112" s="50"/>
      <c r="L112" s="50"/>
      <c r="M112" s="50"/>
      <c r="N112" s="50"/>
      <c r="O112" s="50">
        <v>1.0</v>
      </c>
      <c r="P112" s="50"/>
      <c r="Q112" s="50">
        <v>1.0</v>
      </c>
      <c r="R112" s="50"/>
      <c r="S112" s="50"/>
      <c r="T112" s="50"/>
      <c r="U112" s="50"/>
      <c r="V112" s="51"/>
      <c r="W112" s="51" t="s">
        <v>689</v>
      </c>
      <c r="X112" s="51"/>
      <c r="Y112" s="51"/>
      <c r="Z112" s="51" t="s">
        <v>690</v>
      </c>
      <c r="AA112" s="50"/>
      <c r="AB112" s="50"/>
      <c r="AC112" s="50"/>
      <c r="AD112" s="50"/>
      <c r="AE112" s="50"/>
      <c r="AF112" s="50">
        <v>1.0</v>
      </c>
      <c r="AG112" s="50"/>
      <c r="AH112" s="51" t="s">
        <v>691</v>
      </c>
      <c r="AI112" s="51">
        <v>1.0</v>
      </c>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v>1.0</v>
      </c>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row>
    <row r="113" ht="12.75" customHeight="1">
      <c r="A113" s="46" t="s">
        <v>108</v>
      </c>
      <c r="B113" s="54" t="str">
        <f>HYPERLINK("https://drive.google.com/open?id=0B1GMAYMj9v6rUTB5eU43TDVMVGc","Leveson2000")</f>
        <v>Leveson2000</v>
      </c>
      <c r="C113" s="55" t="s">
        <v>687</v>
      </c>
      <c r="D113" s="55" t="s">
        <v>503</v>
      </c>
      <c r="E113" s="49">
        <v>2000.0</v>
      </c>
      <c r="F113" s="50"/>
      <c r="G113" s="50">
        <v>1.0</v>
      </c>
      <c r="H113" s="50">
        <v>1.0</v>
      </c>
      <c r="I113" s="50"/>
      <c r="J113" s="50"/>
      <c r="K113" s="50"/>
      <c r="L113" s="50"/>
      <c r="M113" s="50"/>
      <c r="N113" s="50"/>
      <c r="O113" s="50"/>
      <c r="P113" s="50"/>
      <c r="Q113" s="50"/>
      <c r="R113" s="50"/>
      <c r="S113" s="50"/>
      <c r="T113" s="50"/>
      <c r="U113" s="50"/>
      <c r="V113" s="48" t="s">
        <v>484</v>
      </c>
      <c r="W113" s="48" t="s">
        <v>692</v>
      </c>
      <c r="X113" s="48" t="s">
        <v>693</v>
      </c>
      <c r="Y113" s="48" t="s">
        <v>92</v>
      </c>
      <c r="Z113" s="48" t="s">
        <v>694</v>
      </c>
      <c r="AA113" s="50"/>
      <c r="AB113" s="50">
        <v>1.0</v>
      </c>
      <c r="AC113" s="50">
        <v>1.0</v>
      </c>
      <c r="AD113" s="50"/>
      <c r="AE113" s="50"/>
      <c r="AF113" s="50"/>
      <c r="AG113" s="50"/>
      <c r="AH113" s="51" t="s">
        <v>695</v>
      </c>
      <c r="AI113" s="51">
        <v>1.0</v>
      </c>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2">
        <v>1.0</v>
      </c>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row>
    <row r="114" ht="12.75" customHeight="1">
      <c r="A114" s="46" t="s">
        <v>116</v>
      </c>
      <c r="B114" s="53" t="str">
        <f>HYPERLINK("https://drive.google.com/open?id=0B1GMAYMj9v6rMXR6dVNGYW9QTVk","Ley2008")</f>
        <v>Ley2008</v>
      </c>
      <c r="C114" s="48" t="s">
        <v>696</v>
      </c>
      <c r="D114" s="48" t="s">
        <v>697</v>
      </c>
      <c r="E114" s="49">
        <v>2008.0</v>
      </c>
      <c r="F114" s="50"/>
      <c r="G114" s="50">
        <v>1.0</v>
      </c>
      <c r="H114" s="50"/>
      <c r="I114" s="50"/>
      <c r="J114" s="50"/>
      <c r="K114" s="50"/>
      <c r="L114" s="50"/>
      <c r="M114" s="50"/>
      <c r="N114" s="50"/>
      <c r="O114" s="50"/>
      <c r="P114" s="50"/>
      <c r="Q114" s="50"/>
      <c r="R114" s="50"/>
      <c r="S114" s="50"/>
      <c r="T114" s="50"/>
      <c r="U114" s="50"/>
      <c r="V114" s="51" t="s">
        <v>698</v>
      </c>
      <c r="W114" s="51" t="s">
        <v>699</v>
      </c>
      <c r="X114" s="51" t="s">
        <v>700</v>
      </c>
      <c r="Y114" s="51" t="s">
        <v>701</v>
      </c>
      <c r="Z114" s="51" t="s">
        <v>702</v>
      </c>
      <c r="AA114" s="50"/>
      <c r="AB114" s="50"/>
      <c r="AC114" s="50">
        <v>1.0</v>
      </c>
      <c r="AD114" s="50"/>
      <c r="AE114" s="50"/>
      <c r="AF114" s="50"/>
      <c r="AG114" s="50"/>
      <c r="AH114" s="51" t="s">
        <v>703</v>
      </c>
      <c r="AI114" s="51">
        <v>1.0</v>
      </c>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v>1.0</v>
      </c>
      <c r="BK114" s="51"/>
      <c r="BL114" s="51"/>
      <c r="BM114" s="51"/>
      <c r="BN114" s="51"/>
      <c r="BO114" s="51"/>
      <c r="BP114" s="51"/>
      <c r="BQ114" s="51"/>
      <c r="BR114" s="51"/>
      <c r="BS114" s="51"/>
      <c r="BT114" s="51"/>
      <c r="BU114" s="51">
        <v>1.0</v>
      </c>
      <c r="BV114" s="51"/>
      <c r="BW114" s="51"/>
      <c r="BX114" s="51"/>
      <c r="BY114" s="51"/>
      <c r="BZ114" s="51"/>
      <c r="CA114" s="51"/>
      <c r="CB114" s="51"/>
    </row>
    <row r="115" ht="12.75" customHeight="1">
      <c r="A115" s="46" t="s">
        <v>88</v>
      </c>
      <c r="B115" s="53" t="str">
        <f>HYPERLINK("https://drive.google.com/open?id=1OpaLcsssrao69tyI9meh8jEUc6owWPX0","Lloyd1999")</f>
        <v>Lloyd1999</v>
      </c>
      <c r="C115" s="48" t="s">
        <v>704</v>
      </c>
      <c r="D115" s="48" t="s">
        <v>211</v>
      </c>
      <c r="E115" s="49">
        <v>1999.0</v>
      </c>
      <c r="F115" s="50"/>
      <c r="G115" s="50"/>
      <c r="H115" s="50">
        <v>1.0</v>
      </c>
      <c r="I115" s="50"/>
      <c r="J115" s="50"/>
      <c r="K115" s="50"/>
      <c r="L115" s="50"/>
      <c r="M115" s="50"/>
      <c r="N115" s="50"/>
      <c r="O115" s="50"/>
      <c r="P115" s="50"/>
      <c r="Q115" s="50"/>
      <c r="R115" s="50"/>
      <c r="S115" s="50"/>
      <c r="T115" s="50"/>
      <c r="U115" s="50"/>
      <c r="V115" s="51" t="s">
        <v>705</v>
      </c>
      <c r="W115" s="51" t="s">
        <v>706</v>
      </c>
      <c r="X115" s="51" t="s">
        <v>707</v>
      </c>
      <c r="Y115" s="51" t="s">
        <v>336</v>
      </c>
      <c r="Z115" s="51" t="s">
        <v>100</v>
      </c>
      <c r="AA115" s="50">
        <v>1.0</v>
      </c>
      <c r="AB115" s="50"/>
      <c r="AC115" s="50"/>
      <c r="AD115" s="50">
        <v>1.0</v>
      </c>
      <c r="AE115" s="50"/>
      <c r="AF115" s="50"/>
      <c r="AG115" s="50"/>
      <c r="AH115" s="51" t="s">
        <v>708</v>
      </c>
      <c r="AI115" s="51">
        <v>1.0</v>
      </c>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v>1.0</v>
      </c>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v>1.0</v>
      </c>
      <c r="CB115" s="51"/>
    </row>
    <row r="116" ht="12.75" customHeight="1">
      <c r="A116" s="46" t="s">
        <v>172</v>
      </c>
      <c r="B116" s="67" t="str">
        <f>HYPERLINK("https://drive.google.com/open?id=1wnybH-nhZRcI_fhtD5Xhg0zw6Ggq82ut","Love1977")</f>
        <v>Love1977</v>
      </c>
      <c r="C116" s="63" t="s">
        <v>709</v>
      </c>
      <c r="D116" s="63" t="s">
        <v>710</v>
      </c>
      <c r="E116" s="55">
        <v>1977.0</v>
      </c>
      <c r="F116" s="55"/>
      <c r="G116" s="55"/>
      <c r="H116" s="55"/>
      <c r="I116" s="55"/>
      <c r="J116" s="55"/>
      <c r="K116" s="55">
        <v>1.0</v>
      </c>
      <c r="L116" s="55"/>
      <c r="M116" s="55"/>
      <c r="N116" s="55"/>
      <c r="O116" s="55"/>
      <c r="P116" s="55"/>
      <c r="Q116" s="55"/>
      <c r="R116" s="55"/>
      <c r="S116" s="55"/>
      <c r="T116" s="55"/>
      <c r="U116" s="55"/>
      <c r="V116" s="55"/>
      <c r="W116" s="55" t="s">
        <v>711</v>
      </c>
      <c r="X116" s="55" t="s">
        <v>712</v>
      </c>
      <c r="Y116" s="55" t="s">
        <v>713</v>
      </c>
      <c r="Z116" s="55" t="s">
        <v>100</v>
      </c>
      <c r="AA116" s="55">
        <v>1.0</v>
      </c>
      <c r="AB116" s="55"/>
      <c r="AC116" s="55"/>
      <c r="AD116" s="55">
        <v>1.0</v>
      </c>
      <c r="AE116" s="55"/>
      <c r="AF116" s="55"/>
      <c r="AG116" s="55"/>
      <c r="AH116" s="48" t="s">
        <v>714</v>
      </c>
      <c r="AI116" s="51">
        <v>1.0</v>
      </c>
      <c r="AJ116" s="51"/>
      <c r="AK116" s="51"/>
      <c r="AL116" s="51"/>
      <c r="AM116" s="51"/>
      <c r="AN116" s="51">
        <v>1.0</v>
      </c>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v>1.0</v>
      </c>
      <c r="BK116" s="51"/>
      <c r="BL116" s="51"/>
      <c r="BM116" s="51"/>
      <c r="BN116" s="51"/>
      <c r="BO116" s="51"/>
      <c r="BP116" s="51"/>
      <c r="BQ116" s="51"/>
      <c r="BR116" s="51"/>
      <c r="BS116" s="51"/>
      <c r="BT116" s="51"/>
      <c r="BU116" s="51"/>
      <c r="BV116" s="51"/>
      <c r="BW116" s="51"/>
      <c r="BX116" s="51"/>
      <c r="BY116" s="51">
        <v>1.0</v>
      </c>
      <c r="BZ116" s="51"/>
      <c r="CA116" s="51"/>
      <c r="CB116" s="51"/>
    </row>
    <row r="117" ht="12.75" customHeight="1">
      <c r="A117" s="46" t="s">
        <v>172</v>
      </c>
      <c r="B117" s="67" t="str">
        <f>HYPERLINK("https://drive.google.com/open?id=1HqVyD5-5zkSEXYFgRz5OWioz8Pr87qJW","Maier2014")</f>
        <v>Maier2014</v>
      </c>
      <c r="C117" s="63" t="s">
        <v>715</v>
      </c>
      <c r="D117" s="63" t="s">
        <v>716</v>
      </c>
      <c r="E117" s="55">
        <v>2014.0</v>
      </c>
      <c r="F117" s="55"/>
      <c r="G117" s="55">
        <v>1.0</v>
      </c>
      <c r="H117" s="55">
        <v>1.0</v>
      </c>
      <c r="I117" s="55"/>
      <c r="J117" s="55"/>
      <c r="K117" s="55">
        <v>1.0</v>
      </c>
      <c r="L117" s="55"/>
      <c r="M117" s="55"/>
      <c r="N117" s="55"/>
      <c r="O117" s="55"/>
      <c r="P117" s="55"/>
      <c r="Q117" s="55"/>
      <c r="R117" s="55"/>
      <c r="S117" s="55"/>
      <c r="T117" s="55"/>
      <c r="U117" s="55"/>
      <c r="V117" s="55"/>
      <c r="W117" s="55" t="s">
        <v>717</v>
      </c>
      <c r="X117" s="55" t="s">
        <v>718</v>
      </c>
      <c r="Y117" s="55" t="s">
        <v>719</v>
      </c>
      <c r="Z117" s="55" t="s">
        <v>100</v>
      </c>
      <c r="AA117" s="55">
        <v>1.0</v>
      </c>
      <c r="AB117" s="55"/>
      <c r="AC117" s="55"/>
      <c r="AD117" s="55">
        <v>1.0</v>
      </c>
      <c r="AE117" s="55"/>
      <c r="AF117" s="55"/>
      <c r="AG117" s="55"/>
      <c r="AH117" s="48" t="s">
        <v>720</v>
      </c>
      <c r="AI117" s="51">
        <v>1.0</v>
      </c>
      <c r="AJ117" s="51"/>
      <c r="AK117" s="51"/>
      <c r="AL117" s="51"/>
      <c r="AM117" s="51"/>
      <c r="AN117" s="51"/>
      <c r="AO117" s="51"/>
      <c r="AP117" s="51"/>
      <c r="AQ117" s="51"/>
      <c r="AR117" s="51">
        <v>1.0</v>
      </c>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v>1.0</v>
      </c>
    </row>
    <row r="118" ht="12.75" customHeight="1">
      <c r="A118" s="46" t="s">
        <v>108</v>
      </c>
      <c r="B118" s="78" t="str">
        <f>HYPERLINK("https://drive.google.com/open?id=0B-nn5iJ29NJaRUVlVjdSdDB6LVk","Mair2011")</f>
        <v>Mair2011</v>
      </c>
      <c r="C118" s="48" t="s">
        <v>721</v>
      </c>
      <c r="D118" s="48" t="s">
        <v>196</v>
      </c>
      <c r="E118" s="49">
        <v>2011.0</v>
      </c>
      <c r="F118" s="76"/>
      <c r="G118" s="50"/>
      <c r="H118" s="50"/>
      <c r="I118" s="50"/>
      <c r="J118" s="50"/>
      <c r="K118" s="50"/>
      <c r="L118" s="50"/>
      <c r="M118" s="50">
        <v>1.0</v>
      </c>
      <c r="N118" s="50"/>
      <c r="O118" s="50"/>
      <c r="P118" s="50"/>
      <c r="Q118" s="50"/>
      <c r="R118" s="50">
        <v>1.0</v>
      </c>
      <c r="S118" s="50"/>
      <c r="T118" s="50"/>
      <c r="U118" s="50"/>
      <c r="V118" s="48"/>
      <c r="W118" s="48" t="s">
        <v>722</v>
      </c>
      <c r="X118" s="48"/>
      <c r="Y118" s="48" t="s">
        <v>723</v>
      </c>
      <c r="Z118" s="48" t="s">
        <v>724</v>
      </c>
      <c r="AA118" s="50">
        <v>1.0</v>
      </c>
      <c r="AB118" s="50"/>
      <c r="AC118" s="50"/>
      <c r="AD118" s="50"/>
      <c r="AE118" s="50"/>
      <c r="AF118" s="50"/>
      <c r="AG118" s="50">
        <v>1.0</v>
      </c>
      <c r="AH118" s="51" t="s">
        <v>725</v>
      </c>
      <c r="AI118" s="52">
        <v>1.0</v>
      </c>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2">
        <v>1.0</v>
      </c>
      <c r="BJ118" s="52">
        <v>1.0</v>
      </c>
      <c r="BK118" s="51"/>
      <c r="BL118" s="51"/>
      <c r="BM118" s="51"/>
      <c r="BN118" s="51"/>
      <c r="BO118" s="51"/>
      <c r="BP118" s="51"/>
      <c r="BQ118" s="51"/>
      <c r="BR118" s="51"/>
      <c r="BS118" s="51"/>
      <c r="BT118" s="51"/>
      <c r="BU118" s="51"/>
      <c r="BV118" s="51"/>
      <c r="BW118" s="51"/>
      <c r="BX118" s="51"/>
      <c r="BY118" s="51"/>
      <c r="BZ118" s="51"/>
      <c r="CA118" s="51"/>
      <c r="CB118" s="51"/>
    </row>
    <row r="119" ht="12.75" customHeight="1">
      <c r="A119" s="46" t="s">
        <v>172</v>
      </c>
      <c r="B119" s="68" t="str">
        <f>HYPERLINK("https://drive.google.com/open?id=1FrWZcpMcD9HhHZUuGY5JfjAYJIFnczOF","Malhotra1980")</f>
        <v>Malhotra1980</v>
      </c>
      <c r="C119" s="63" t="s">
        <v>726</v>
      </c>
      <c r="D119" s="63" t="s">
        <v>727</v>
      </c>
      <c r="E119" s="55">
        <v>1980.0</v>
      </c>
      <c r="F119" s="55"/>
      <c r="G119" s="55">
        <v>1.0</v>
      </c>
      <c r="H119" s="55">
        <v>1.0</v>
      </c>
      <c r="I119" s="55"/>
      <c r="J119" s="55"/>
      <c r="K119" s="55"/>
      <c r="L119" s="55"/>
      <c r="M119" s="55"/>
      <c r="N119" s="55"/>
      <c r="O119" s="55"/>
      <c r="P119" s="55"/>
      <c r="Q119" s="55"/>
      <c r="R119" s="55"/>
      <c r="S119" s="55"/>
      <c r="T119" s="55"/>
      <c r="U119" s="55"/>
      <c r="V119" s="55"/>
      <c r="W119" s="55" t="s">
        <v>728</v>
      </c>
      <c r="X119" s="55" t="s">
        <v>729</v>
      </c>
      <c r="Y119" s="55" t="s">
        <v>730</v>
      </c>
      <c r="Z119" s="55" t="s">
        <v>100</v>
      </c>
      <c r="AA119" s="55">
        <v>1.0</v>
      </c>
      <c r="AB119" s="55">
        <v>1.0</v>
      </c>
      <c r="AC119" s="55"/>
      <c r="AD119" s="55">
        <v>1.0</v>
      </c>
      <c r="AE119" s="55"/>
      <c r="AF119" s="55"/>
      <c r="AG119" s="55"/>
      <c r="AH119" s="48" t="s">
        <v>731</v>
      </c>
      <c r="AI119" s="52">
        <v>1.0</v>
      </c>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2">
        <v>1.0</v>
      </c>
      <c r="BF119" s="52">
        <v>1.0</v>
      </c>
      <c r="BG119" s="52">
        <v>1.0</v>
      </c>
      <c r="BH119" s="51"/>
      <c r="BI119" s="51"/>
      <c r="BJ119" s="52">
        <v>1.0</v>
      </c>
      <c r="BK119" s="51"/>
      <c r="BL119" s="51"/>
      <c r="BM119" s="51"/>
      <c r="BN119" s="51"/>
      <c r="BO119" s="51"/>
      <c r="BP119" s="51"/>
      <c r="BQ119" s="51"/>
      <c r="BR119" s="51"/>
      <c r="BS119" s="52">
        <v>1.0</v>
      </c>
      <c r="BT119" s="51"/>
      <c r="BU119" s="51"/>
      <c r="BV119" s="51"/>
      <c r="BW119" s="52">
        <v>1.0</v>
      </c>
      <c r="BX119" s="52">
        <v>1.0</v>
      </c>
      <c r="BY119" s="52">
        <v>1.0</v>
      </c>
      <c r="BZ119" s="51"/>
      <c r="CA119" s="52">
        <v>1.0</v>
      </c>
      <c r="CB119" s="51"/>
    </row>
    <row r="120" ht="12.75" customHeight="1">
      <c r="A120" s="46" t="s">
        <v>172</v>
      </c>
      <c r="B120" s="67" t="str">
        <f>HYPERLINK("https://drive.google.com/open?id=1PiNjew3gWjNn6w4-XfXkAHMjdkppzWpX","McKeithen1981")</f>
        <v>McKeithen1981</v>
      </c>
      <c r="C120" s="63" t="s">
        <v>732</v>
      </c>
      <c r="D120" s="63" t="s">
        <v>733</v>
      </c>
      <c r="E120" s="55">
        <v>1981.0</v>
      </c>
      <c r="F120" s="55"/>
      <c r="G120" s="55"/>
      <c r="H120" s="55"/>
      <c r="I120" s="55"/>
      <c r="J120" s="55"/>
      <c r="K120" s="55">
        <v>1.0</v>
      </c>
      <c r="L120" s="55"/>
      <c r="M120" s="55"/>
      <c r="N120" s="55"/>
      <c r="O120" s="55"/>
      <c r="P120" s="55"/>
      <c r="Q120" s="55"/>
      <c r="R120" s="55"/>
      <c r="S120" s="55"/>
      <c r="T120" s="55"/>
      <c r="U120" s="55"/>
      <c r="V120" s="55"/>
      <c r="W120" s="55" t="s">
        <v>734</v>
      </c>
      <c r="X120" s="55" t="s">
        <v>735</v>
      </c>
      <c r="Y120" s="55" t="s">
        <v>736</v>
      </c>
      <c r="Z120" s="55" t="s">
        <v>100</v>
      </c>
      <c r="AA120" s="55">
        <v>1.0</v>
      </c>
      <c r="AB120" s="55"/>
      <c r="AC120" s="55"/>
      <c r="AD120" s="55">
        <v>1.0</v>
      </c>
      <c r="AE120" s="55"/>
      <c r="AF120" s="55"/>
      <c r="AG120" s="55"/>
      <c r="AH120" s="48" t="s">
        <v>737</v>
      </c>
      <c r="AI120" s="51">
        <v>1.0</v>
      </c>
      <c r="AJ120" s="51"/>
      <c r="AK120" s="51"/>
      <c r="AL120" s="51"/>
      <c r="AM120" s="51"/>
      <c r="AN120" s="51">
        <v>1.0</v>
      </c>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v>1.0</v>
      </c>
      <c r="BK120" s="51"/>
      <c r="BL120" s="51"/>
      <c r="BM120" s="51"/>
      <c r="BN120" s="51"/>
      <c r="BO120" s="51"/>
      <c r="BP120" s="51"/>
      <c r="BQ120" s="51"/>
      <c r="BR120" s="51"/>
      <c r="BS120" s="51"/>
      <c r="BT120" s="51"/>
      <c r="BU120" s="51"/>
      <c r="BV120" s="51"/>
      <c r="BW120" s="51"/>
      <c r="BX120" s="51"/>
      <c r="BY120" s="51">
        <v>1.0</v>
      </c>
      <c r="BZ120" s="51"/>
      <c r="CA120" s="51"/>
      <c r="CB120" s="51"/>
    </row>
    <row r="121" ht="12.75" customHeight="1">
      <c r="A121" s="46" t="s">
        <v>116</v>
      </c>
      <c r="B121" s="68" t="str">
        <f>HYPERLINK("https://drive.google.com/open?id=11Z3p7gDkJUxlh0gZAbm-__jK7uBIbgsq","Miller2004")</f>
        <v>Miller2004</v>
      </c>
      <c r="C121" s="63" t="s">
        <v>738</v>
      </c>
      <c r="D121" s="63" t="s">
        <v>503</v>
      </c>
      <c r="E121" s="49">
        <v>2004.0</v>
      </c>
      <c r="F121" s="50"/>
      <c r="G121" s="50"/>
      <c r="H121" s="50"/>
      <c r="I121" s="50"/>
      <c r="J121" s="50"/>
      <c r="K121" s="50"/>
      <c r="L121" s="50"/>
      <c r="M121" s="50"/>
      <c r="N121" s="50"/>
      <c r="O121" s="50"/>
      <c r="P121" s="50">
        <v>1.0</v>
      </c>
      <c r="Q121" s="50"/>
      <c r="R121" s="50"/>
      <c r="S121" s="50"/>
      <c r="T121" s="50"/>
      <c r="U121" s="50"/>
      <c r="V121" s="51"/>
      <c r="W121" s="51" t="s">
        <v>739</v>
      </c>
      <c r="X121" s="51" t="s">
        <v>740</v>
      </c>
      <c r="Y121" s="51" t="s">
        <v>741</v>
      </c>
      <c r="Z121" s="51" t="s">
        <v>122</v>
      </c>
      <c r="AA121" s="50"/>
      <c r="AB121" s="50">
        <v>1.0</v>
      </c>
      <c r="AC121" s="50"/>
      <c r="AD121" s="50">
        <v>1.0</v>
      </c>
      <c r="AE121" s="50"/>
      <c r="AF121" s="50"/>
      <c r="AG121" s="50"/>
      <c r="AH121" s="51" t="s">
        <v>742</v>
      </c>
      <c r="AI121" s="51">
        <v>1.0</v>
      </c>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2">
        <v>1.0</v>
      </c>
      <c r="BK121" s="51"/>
      <c r="BL121" s="52">
        <v>1.0</v>
      </c>
      <c r="BM121" s="51"/>
      <c r="BN121" s="51"/>
      <c r="BO121" s="51"/>
      <c r="BP121" s="51"/>
      <c r="BQ121" s="51"/>
      <c r="BR121" s="51"/>
      <c r="BS121" s="51"/>
      <c r="BT121" s="51"/>
      <c r="BU121" s="51"/>
      <c r="BV121" s="51"/>
      <c r="BW121" s="51"/>
      <c r="BX121" s="51"/>
      <c r="BY121" s="52">
        <v>1.0</v>
      </c>
      <c r="BZ121" s="51"/>
      <c r="CA121" s="52">
        <v>1.0</v>
      </c>
      <c r="CB121" s="51"/>
    </row>
    <row r="122" ht="12.75" customHeight="1">
      <c r="A122" s="46" t="s">
        <v>88</v>
      </c>
      <c r="B122" s="47" t="str">
        <f>HYPERLINK("https://drive.google.com/open?id=0B00cIHsghs6URHMwUUhRekhaOE0","Moe2008")</f>
        <v>Moe2008</v>
      </c>
      <c r="C122" s="65" t="s">
        <v>743</v>
      </c>
      <c r="D122" s="48" t="s">
        <v>744</v>
      </c>
      <c r="E122" s="49">
        <v>2008.0</v>
      </c>
      <c r="F122" s="72"/>
      <c r="G122" s="50"/>
      <c r="H122" s="50"/>
      <c r="I122" s="50"/>
      <c r="J122" s="50"/>
      <c r="K122" s="50"/>
      <c r="L122" s="50"/>
      <c r="M122" s="50"/>
      <c r="N122" s="50">
        <v>1.0</v>
      </c>
      <c r="O122" s="50"/>
      <c r="P122" s="50"/>
      <c r="Q122" s="50"/>
      <c r="R122" s="50">
        <v>1.0</v>
      </c>
      <c r="S122" s="50"/>
      <c r="T122" s="50"/>
      <c r="U122" s="50"/>
      <c r="V122" s="51"/>
      <c r="W122" s="51" t="s">
        <v>745</v>
      </c>
      <c r="X122" s="51" t="s">
        <v>746</v>
      </c>
      <c r="Y122" s="51" t="s">
        <v>747</v>
      </c>
      <c r="Z122" s="51" t="s">
        <v>137</v>
      </c>
      <c r="AA122" s="50"/>
      <c r="AB122" s="50">
        <v>1.0</v>
      </c>
      <c r="AC122" s="50"/>
      <c r="AD122" s="50">
        <v>1.0</v>
      </c>
      <c r="AE122" s="50"/>
      <c r="AF122" s="50"/>
      <c r="AG122" s="50" t="s">
        <v>748</v>
      </c>
      <c r="AH122" s="51" t="s">
        <v>749</v>
      </c>
      <c r="AI122" s="52">
        <v>1.0</v>
      </c>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row>
    <row r="123" ht="12.75" customHeight="1">
      <c r="A123" s="46" t="s">
        <v>116</v>
      </c>
      <c r="B123" s="56" t="str">
        <f>HYPERLINK("https://drive.google.com/open?id=0B1GMAYMj9v6rQ2FRY0REYVFHQ1E","Mohan2008")</f>
        <v>Mohan2008</v>
      </c>
      <c r="C123" s="55" t="s">
        <v>750</v>
      </c>
      <c r="D123" s="55" t="s">
        <v>751</v>
      </c>
      <c r="E123" s="49">
        <v>2008.0</v>
      </c>
      <c r="F123" s="50"/>
      <c r="G123" s="50">
        <v>1.0</v>
      </c>
      <c r="H123" s="50">
        <v>1.0</v>
      </c>
      <c r="I123" s="50"/>
      <c r="J123" s="50"/>
      <c r="K123" s="50"/>
      <c r="L123" s="50"/>
      <c r="M123" s="50"/>
      <c r="N123" s="50"/>
      <c r="O123" s="50"/>
      <c r="P123" s="50"/>
      <c r="Q123" s="50">
        <v>1.0</v>
      </c>
      <c r="R123" s="50"/>
      <c r="S123" s="50"/>
      <c r="T123" s="50"/>
      <c r="U123" s="50"/>
      <c r="V123" s="51" t="s">
        <v>70</v>
      </c>
      <c r="W123" s="51" t="s">
        <v>752</v>
      </c>
      <c r="X123" s="51" t="s">
        <v>753</v>
      </c>
      <c r="Y123" s="51" t="s">
        <v>754</v>
      </c>
      <c r="Z123" s="51" t="s">
        <v>122</v>
      </c>
      <c r="AA123" s="50"/>
      <c r="AB123" s="50">
        <v>1.0</v>
      </c>
      <c r="AC123" s="50"/>
      <c r="AD123" s="50">
        <v>1.0</v>
      </c>
      <c r="AE123" s="50"/>
      <c r="AF123" s="50"/>
      <c r="AG123" s="50"/>
      <c r="AH123" s="51" t="s">
        <v>755</v>
      </c>
      <c r="AI123" s="51">
        <v>1.0</v>
      </c>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v>1.0</v>
      </c>
      <c r="BJ123" s="51"/>
      <c r="BK123" s="51"/>
      <c r="BL123" s="51"/>
      <c r="BM123" s="51"/>
      <c r="BN123" s="51"/>
      <c r="BO123" s="51"/>
      <c r="BP123" s="51"/>
      <c r="BQ123" s="51"/>
      <c r="BR123" s="51"/>
      <c r="BS123" s="51"/>
      <c r="BT123" s="51"/>
      <c r="BU123" s="51"/>
      <c r="BV123" s="51">
        <v>1.0</v>
      </c>
      <c r="BW123" s="51"/>
      <c r="BX123" s="51"/>
      <c r="BY123" s="51"/>
      <c r="BZ123" s="51"/>
      <c r="CA123" s="51"/>
      <c r="CB123" s="51"/>
    </row>
    <row r="124" ht="12.75" customHeight="1">
      <c r="A124" s="46" t="s">
        <v>88</v>
      </c>
      <c r="B124" s="79" t="str">
        <f>HYPERLINK("https://drive.google.com/open?id=0B00cIHsghs6UTnNuWGNVSE92ZlU","Mohani2014")</f>
        <v>Mohani2014</v>
      </c>
      <c r="C124" s="80" t="s">
        <v>756</v>
      </c>
      <c r="D124" s="80" t="s">
        <v>757</v>
      </c>
      <c r="E124" s="49">
        <v>2014.0</v>
      </c>
      <c r="F124" s="50"/>
      <c r="G124" s="50">
        <v>1.0</v>
      </c>
      <c r="H124" s="50">
        <v>1.0</v>
      </c>
      <c r="I124" s="50"/>
      <c r="J124" s="50"/>
      <c r="K124" s="50"/>
      <c r="L124" s="50"/>
      <c r="M124" s="50"/>
      <c r="N124" s="50"/>
      <c r="O124" s="50"/>
      <c r="P124" s="50"/>
      <c r="Q124" s="50"/>
      <c r="R124" s="50"/>
      <c r="S124" s="50"/>
      <c r="T124" s="50"/>
      <c r="U124" s="50"/>
      <c r="V124" s="51" t="s">
        <v>758</v>
      </c>
      <c r="W124" s="51" t="s">
        <v>359</v>
      </c>
      <c r="X124" s="51" t="s">
        <v>759</v>
      </c>
      <c r="Y124" s="51" t="s">
        <v>760</v>
      </c>
      <c r="Z124" s="51" t="s">
        <v>761</v>
      </c>
      <c r="AA124" s="50">
        <v>1.0</v>
      </c>
      <c r="AB124" s="50"/>
      <c r="AC124" s="50"/>
      <c r="AD124" s="50">
        <v>1.0</v>
      </c>
      <c r="AE124" s="50"/>
      <c r="AF124" s="50"/>
      <c r="AG124" s="50"/>
      <c r="AH124" s="51" t="s">
        <v>762</v>
      </c>
      <c r="AI124" s="51">
        <v>1.0</v>
      </c>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v>1.0</v>
      </c>
      <c r="BJ124" s="51"/>
      <c r="BK124" s="51"/>
      <c r="BL124" s="51"/>
      <c r="BM124" s="51"/>
      <c r="BN124" s="51"/>
      <c r="BO124" s="51"/>
      <c r="BP124" s="51"/>
      <c r="BQ124" s="51"/>
      <c r="BR124" s="51"/>
      <c r="BS124" s="51"/>
      <c r="BT124" s="51"/>
      <c r="BU124" s="51"/>
      <c r="BV124" s="51"/>
      <c r="BW124" s="51"/>
      <c r="BX124" s="51"/>
      <c r="BY124" s="51"/>
      <c r="BZ124" s="51"/>
      <c r="CA124" s="51">
        <v>1.0</v>
      </c>
      <c r="CB124" s="51"/>
    </row>
    <row r="125" ht="12.75" customHeight="1">
      <c r="A125" s="46" t="s">
        <v>116</v>
      </c>
      <c r="B125" s="67" t="str">
        <f>HYPERLINK("https://drive.google.com/open?id=1stBKykgzbLlGMSlBRLOsYZ1Abc7JLvwD","Moody2006")</f>
        <v>Moody2006</v>
      </c>
      <c r="C125" s="63" t="s">
        <v>763</v>
      </c>
      <c r="D125" s="63" t="s">
        <v>764</v>
      </c>
      <c r="E125" s="49">
        <v>2006.0</v>
      </c>
      <c r="F125" s="50"/>
      <c r="G125" s="50">
        <v>1.0</v>
      </c>
      <c r="H125" s="50">
        <v>1.0</v>
      </c>
      <c r="I125" s="50"/>
      <c r="J125" s="50"/>
      <c r="K125" s="50"/>
      <c r="L125" s="50"/>
      <c r="M125" s="50"/>
      <c r="N125" s="50"/>
      <c r="O125" s="50"/>
      <c r="P125" s="50"/>
      <c r="Q125" s="50"/>
      <c r="R125" s="50"/>
      <c r="S125" s="50"/>
      <c r="T125" s="50"/>
      <c r="U125" s="50"/>
      <c r="V125" s="51"/>
      <c r="W125" s="51" t="s">
        <v>765</v>
      </c>
      <c r="X125" s="51" t="s">
        <v>92</v>
      </c>
      <c r="Y125" s="51" t="s">
        <v>92</v>
      </c>
      <c r="Z125" s="51" t="s">
        <v>564</v>
      </c>
      <c r="AA125" s="50"/>
      <c r="AB125" s="50"/>
      <c r="AC125" s="50"/>
      <c r="AD125" s="50"/>
      <c r="AE125" s="50"/>
      <c r="AF125" s="50">
        <v>1.0</v>
      </c>
      <c r="AG125" s="50"/>
      <c r="AH125" s="51" t="s">
        <v>766</v>
      </c>
      <c r="AI125" s="51">
        <v>1.0</v>
      </c>
      <c r="AJ125" s="51"/>
      <c r="AK125" s="51"/>
      <c r="AL125" s="51"/>
      <c r="AM125" s="51"/>
      <c r="AN125" s="51"/>
      <c r="AO125" s="51">
        <v>1.0</v>
      </c>
      <c r="AP125" s="51"/>
      <c r="AQ125" s="51">
        <v>1.0</v>
      </c>
      <c r="AR125" s="51"/>
      <c r="AS125" s="51"/>
      <c r="AT125" s="51"/>
      <c r="AU125" s="51"/>
      <c r="AV125" s="51"/>
      <c r="AW125" s="51"/>
      <c r="AX125" s="51"/>
      <c r="AY125" s="51"/>
      <c r="AZ125" s="51"/>
      <c r="BA125" s="51"/>
      <c r="BB125" s="51"/>
      <c r="BC125" s="51"/>
      <c r="BD125" s="51">
        <v>1.0</v>
      </c>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row>
    <row r="126" ht="12.75" customHeight="1">
      <c r="A126" s="46" t="s">
        <v>116</v>
      </c>
      <c r="B126" s="68" t="str">
        <f>HYPERLINK("https://drive.google.com/open?id=1uhJ5HcG4Z1JqJUUA1mHRDHhoU2yGJUyq","Moody2008")</f>
        <v>Moody2008</v>
      </c>
      <c r="C126" s="63" t="s">
        <v>767</v>
      </c>
      <c r="D126" s="63" t="s">
        <v>768</v>
      </c>
      <c r="E126" s="49">
        <v>2008.0</v>
      </c>
      <c r="F126" s="50"/>
      <c r="G126" s="50"/>
      <c r="H126" s="50">
        <v>1.0</v>
      </c>
      <c r="I126" s="50"/>
      <c r="J126" s="50"/>
      <c r="K126" s="50"/>
      <c r="L126" s="50"/>
      <c r="M126" s="50"/>
      <c r="N126" s="50"/>
      <c r="O126" s="50"/>
      <c r="P126" s="50"/>
      <c r="Q126" s="50"/>
      <c r="R126" s="50"/>
      <c r="S126" s="50"/>
      <c r="T126" s="50"/>
      <c r="U126" s="50"/>
      <c r="V126" s="51"/>
      <c r="W126" s="51" t="s">
        <v>769</v>
      </c>
      <c r="X126" s="51" t="s">
        <v>770</v>
      </c>
      <c r="Y126" s="51" t="s">
        <v>771</v>
      </c>
      <c r="Z126" s="51" t="s">
        <v>122</v>
      </c>
      <c r="AA126" s="50"/>
      <c r="AB126" s="50"/>
      <c r="AC126" s="50"/>
      <c r="AD126" s="50"/>
      <c r="AE126" s="50"/>
      <c r="AF126" s="50">
        <v>1.0</v>
      </c>
      <c r="AG126" s="50"/>
      <c r="AH126" s="51" t="s">
        <v>772</v>
      </c>
      <c r="AI126" s="51">
        <v>1.0</v>
      </c>
      <c r="AJ126" s="51"/>
      <c r="AK126" s="51"/>
      <c r="AL126" s="51"/>
      <c r="AM126" s="51"/>
      <c r="AN126" s="51"/>
      <c r="AO126" s="51"/>
      <c r="AP126" s="51"/>
      <c r="AQ126" s="51"/>
      <c r="AR126" s="52">
        <v>1.0</v>
      </c>
      <c r="AS126" s="51"/>
      <c r="AT126" s="51"/>
      <c r="AU126" s="51"/>
      <c r="AV126" s="51"/>
      <c r="AW126" s="51"/>
      <c r="AX126" s="51"/>
      <c r="AY126" s="51"/>
      <c r="AZ126" s="51"/>
      <c r="BA126" s="51"/>
      <c r="BB126" s="51"/>
      <c r="BC126" s="51"/>
      <c r="BD126" s="52">
        <v>1.0</v>
      </c>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row>
    <row r="127" ht="12.75" customHeight="1">
      <c r="A127" s="46" t="s">
        <v>116</v>
      </c>
      <c r="B127" s="68" t="str">
        <f>HYPERLINK("https://drive.google.com/open?id=1IXVz3XvH97spVMg3e7LtUiM5dq11nlG4","Moody2009")</f>
        <v>Moody2009</v>
      </c>
      <c r="C127" s="63" t="s">
        <v>773</v>
      </c>
      <c r="D127" s="63" t="s">
        <v>503</v>
      </c>
      <c r="E127" s="49">
        <v>2009.0</v>
      </c>
      <c r="F127" s="50"/>
      <c r="G127" s="50"/>
      <c r="H127" s="50">
        <v>1.0</v>
      </c>
      <c r="I127" s="50"/>
      <c r="J127" s="50"/>
      <c r="K127" s="50"/>
      <c r="L127" s="50"/>
      <c r="M127" s="50"/>
      <c r="N127" s="50"/>
      <c r="O127" s="50"/>
      <c r="P127" s="50"/>
      <c r="Q127" s="50"/>
      <c r="R127" s="50"/>
      <c r="S127" s="50"/>
      <c r="T127" s="50"/>
      <c r="U127" s="50"/>
      <c r="V127" s="51"/>
      <c r="W127" s="51" t="s">
        <v>774</v>
      </c>
      <c r="X127" s="51" t="s">
        <v>774</v>
      </c>
      <c r="Y127" s="51" t="s">
        <v>92</v>
      </c>
      <c r="Z127" s="51" t="s">
        <v>122</v>
      </c>
      <c r="AA127" s="50"/>
      <c r="AB127" s="50"/>
      <c r="AC127" s="50">
        <v>1.0</v>
      </c>
      <c r="AD127" s="50"/>
      <c r="AE127" s="50"/>
      <c r="AF127" s="50"/>
      <c r="AG127" s="50"/>
      <c r="AH127" s="51" t="s">
        <v>775</v>
      </c>
      <c r="AI127" s="51">
        <v>1.0</v>
      </c>
      <c r="AJ127" s="51"/>
      <c r="AK127" s="51"/>
      <c r="AL127" s="51"/>
      <c r="AM127" s="51"/>
      <c r="AN127" s="51"/>
      <c r="AO127" s="51"/>
      <c r="AP127" s="51"/>
      <c r="AQ127" s="51"/>
      <c r="AR127" s="52">
        <v>1.0</v>
      </c>
      <c r="AS127" s="51"/>
      <c r="AT127" s="51"/>
      <c r="AU127" s="51"/>
      <c r="AV127" s="51"/>
      <c r="AW127" s="51"/>
      <c r="AX127" s="51"/>
      <c r="AY127" s="51"/>
      <c r="AZ127" s="51"/>
      <c r="BA127" s="51"/>
      <c r="BB127" s="51"/>
      <c r="BC127" s="51"/>
      <c r="BD127" s="52">
        <v>1.0</v>
      </c>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row>
    <row r="128" ht="12.75" customHeight="1">
      <c r="A128" s="46" t="s">
        <v>116</v>
      </c>
      <c r="B128" s="54" t="str">
        <f>HYPERLINK("https://drive.google.com/open?id=0B1GMAYMj9v6rdkVkcVg0SktoeWs","Moody2010")</f>
        <v>Moody2010</v>
      </c>
      <c r="C128" s="55" t="s">
        <v>776</v>
      </c>
      <c r="D128" s="55" t="s">
        <v>777</v>
      </c>
      <c r="E128" s="49">
        <v>2010.0</v>
      </c>
      <c r="F128" s="50"/>
      <c r="G128" s="50">
        <v>1.0</v>
      </c>
      <c r="H128" s="50"/>
      <c r="I128" s="50"/>
      <c r="J128" s="50"/>
      <c r="K128" s="50"/>
      <c r="L128" s="50"/>
      <c r="M128" s="50"/>
      <c r="N128" s="50"/>
      <c r="O128" s="50"/>
      <c r="P128" s="50"/>
      <c r="Q128" s="50"/>
      <c r="R128" s="50"/>
      <c r="S128" s="50"/>
      <c r="T128" s="50"/>
      <c r="U128" s="50"/>
      <c r="V128" s="51" t="s">
        <v>778</v>
      </c>
      <c r="W128" s="51" t="s">
        <v>774</v>
      </c>
      <c r="X128" s="51" t="s">
        <v>779</v>
      </c>
      <c r="Y128" s="51" t="s">
        <v>780</v>
      </c>
      <c r="Z128" s="51" t="s">
        <v>122</v>
      </c>
      <c r="AA128" s="50"/>
      <c r="AB128" s="50"/>
      <c r="AC128" s="50"/>
      <c r="AD128" s="50">
        <v>1.0</v>
      </c>
      <c r="AE128" s="50"/>
      <c r="AF128" s="50"/>
      <c r="AG128" s="50"/>
      <c r="AH128" s="51" t="s">
        <v>781</v>
      </c>
      <c r="AI128" s="51">
        <v>1.0</v>
      </c>
      <c r="AJ128" s="51"/>
      <c r="AK128" s="51"/>
      <c r="AL128" s="51"/>
      <c r="AM128" s="51"/>
      <c r="AN128" s="51"/>
      <c r="AO128" s="51"/>
      <c r="AP128" s="51"/>
      <c r="AQ128" s="51"/>
      <c r="AR128" s="52">
        <v>1.0</v>
      </c>
      <c r="AS128" s="51"/>
      <c r="AT128" s="51"/>
      <c r="AU128" s="51"/>
      <c r="AV128" s="51"/>
      <c r="AW128" s="51"/>
      <c r="AX128" s="51"/>
      <c r="AY128" s="51"/>
      <c r="AZ128" s="51"/>
      <c r="BA128" s="51"/>
      <c r="BB128" s="51"/>
      <c r="BC128" s="51"/>
      <c r="BD128" s="52">
        <v>1.0</v>
      </c>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row>
    <row r="129" ht="12.75" customHeight="1">
      <c r="A129" s="46" t="s">
        <v>108</v>
      </c>
      <c r="B129" s="56" t="str">
        <f>HYPERLINK("https://www.researchgate.net/profile/Senthilrajan_Moorthy/publication/224261850_Program_Comprehension_and_Implications_of_Human_Navigational_Approaches/links/542d96010cf29bbc126d4aa2.pdf","Moorthy2011")</f>
        <v>Moorthy2011</v>
      </c>
      <c r="C129" s="55" t="s">
        <v>782</v>
      </c>
      <c r="D129" s="55" t="s">
        <v>783</v>
      </c>
      <c r="E129" s="55">
        <v>2011.0</v>
      </c>
      <c r="F129" s="50"/>
      <c r="G129" s="50"/>
      <c r="H129" s="50"/>
      <c r="I129" s="50">
        <v>1.0</v>
      </c>
      <c r="J129" s="50"/>
      <c r="K129" s="50"/>
      <c r="L129" s="50"/>
      <c r="M129" s="50"/>
      <c r="N129" s="50"/>
      <c r="O129" s="50"/>
      <c r="P129" s="50"/>
      <c r="Q129" s="50"/>
      <c r="R129" s="50"/>
      <c r="S129" s="50"/>
      <c r="T129" s="50"/>
      <c r="U129" s="50"/>
      <c r="V129" s="48" t="s">
        <v>784</v>
      </c>
      <c r="W129" s="74" t="s">
        <v>785</v>
      </c>
      <c r="X129" s="81" t="s">
        <v>786</v>
      </c>
      <c r="Y129" s="48" t="s">
        <v>787</v>
      </c>
      <c r="Z129" s="48" t="s">
        <v>307</v>
      </c>
      <c r="AA129" s="50">
        <v>1.0</v>
      </c>
      <c r="AB129" s="50"/>
      <c r="AC129" s="50"/>
      <c r="AD129" s="50">
        <v>1.0</v>
      </c>
      <c r="AE129" s="50"/>
      <c r="AF129" s="50"/>
      <c r="AG129" s="50"/>
      <c r="AH129" s="51" t="s">
        <v>788</v>
      </c>
      <c r="AI129" s="51">
        <v>1.0</v>
      </c>
      <c r="AJ129" s="51"/>
      <c r="AK129" s="51"/>
      <c r="AL129" s="51"/>
      <c r="AM129" s="51"/>
      <c r="AN129" s="51">
        <v>1.0</v>
      </c>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v>1.0</v>
      </c>
      <c r="CB129" s="51"/>
    </row>
    <row r="130" ht="12.75" customHeight="1">
      <c r="A130" s="46" t="s">
        <v>88</v>
      </c>
      <c r="B130" s="47" t="str">
        <f>HYPERLINK("https://drive.google.com/open?id=0B00cIHsghs6UYVVPRThpQk5GSjQ","Morris2015")</f>
        <v>Morris2015</v>
      </c>
      <c r="C130" s="48" t="s">
        <v>789</v>
      </c>
      <c r="D130" s="48" t="s">
        <v>790</v>
      </c>
      <c r="E130" s="49">
        <v>2015.0</v>
      </c>
      <c r="F130" s="50"/>
      <c r="G130" s="50"/>
      <c r="H130" s="50"/>
      <c r="I130" s="50"/>
      <c r="J130" s="50"/>
      <c r="K130" s="50"/>
      <c r="L130" s="50"/>
      <c r="M130" s="50">
        <v>1.0</v>
      </c>
      <c r="N130" s="50"/>
      <c r="O130" s="50"/>
      <c r="P130" s="50"/>
      <c r="Q130" s="50">
        <v>1.0</v>
      </c>
      <c r="R130" s="50"/>
      <c r="S130" s="50"/>
      <c r="T130" s="50"/>
      <c r="U130" s="50"/>
      <c r="V130" s="51"/>
      <c r="W130" s="51" t="s">
        <v>791</v>
      </c>
      <c r="X130" s="51" t="s">
        <v>792</v>
      </c>
      <c r="Y130" s="52" t="s">
        <v>793</v>
      </c>
      <c r="Z130" s="51" t="s">
        <v>100</v>
      </c>
      <c r="AA130" s="50"/>
      <c r="AB130" s="50">
        <v>1.0</v>
      </c>
      <c r="AC130" s="50"/>
      <c r="AD130" s="50">
        <v>1.0</v>
      </c>
      <c r="AE130" s="50"/>
      <c r="AF130" s="50"/>
      <c r="AG130" s="50"/>
      <c r="AH130" s="51" t="s">
        <v>794</v>
      </c>
      <c r="AI130" s="51">
        <v>1.0</v>
      </c>
      <c r="AJ130" s="52">
        <v>1.0</v>
      </c>
      <c r="AK130" s="52">
        <v>1.0</v>
      </c>
      <c r="AL130" s="52">
        <v>1.0</v>
      </c>
      <c r="AM130" s="52">
        <v>1.0</v>
      </c>
      <c r="AN130" s="51"/>
      <c r="AO130" s="51"/>
      <c r="AP130" s="51"/>
      <c r="AQ130" s="51"/>
      <c r="AR130" s="51"/>
      <c r="AS130" s="51"/>
      <c r="AT130" s="51"/>
      <c r="AU130" s="52">
        <v>1.0</v>
      </c>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2">
        <v>1.0</v>
      </c>
      <c r="BV130" s="51"/>
      <c r="BW130" s="51"/>
      <c r="BX130" s="51"/>
      <c r="BY130" s="51"/>
      <c r="BZ130" s="51"/>
      <c r="CA130" s="52">
        <v>1.0</v>
      </c>
      <c r="CB130" s="51"/>
    </row>
    <row r="131" ht="12.75" customHeight="1">
      <c r="A131" s="46" t="s">
        <v>108</v>
      </c>
      <c r="B131" s="56" t="str">
        <f>HYPERLINK("https://drive.google.com/open?id=0B3oar8-GeP-IQ1JMc0pkN29KR2c","Murphy2010")</f>
        <v>Murphy2010</v>
      </c>
      <c r="C131" s="55" t="s">
        <v>795</v>
      </c>
      <c r="D131" s="55" t="s">
        <v>796</v>
      </c>
      <c r="E131" s="49">
        <v>2010.0</v>
      </c>
      <c r="F131" s="50"/>
      <c r="G131" s="50"/>
      <c r="H131" s="50">
        <v>1.0</v>
      </c>
      <c r="I131" s="50">
        <v>1.0</v>
      </c>
      <c r="J131" s="50"/>
      <c r="K131" s="50"/>
      <c r="L131" s="50"/>
      <c r="M131" s="50"/>
      <c r="N131" s="50">
        <v>1.0</v>
      </c>
      <c r="O131" s="50"/>
      <c r="P131" s="50"/>
      <c r="Q131" s="50"/>
      <c r="R131" s="50"/>
      <c r="S131" s="50"/>
      <c r="T131" s="50"/>
      <c r="U131" s="50"/>
      <c r="V131" s="48"/>
      <c r="W131" s="48" t="s">
        <v>797</v>
      </c>
      <c r="X131" s="48"/>
      <c r="Y131" s="48"/>
      <c r="Z131" s="48" t="s">
        <v>798</v>
      </c>
      <c r="AA131" s="50">
        <v>1.0</v>
      </c>
      <c r="AB131" s="50"/>
      <c r="AC131" s="50"/>
      <c r="AD131" s="50"/>
      <c r="AE131" s="50"/>
      <c r="AF131" s="50"/>
      <c r="AG131" s="50">
        <v>1.0</v>
      </c>
      <c r="AH131" s="51" t="s">
        <v>799</v>
      </c>
      <c r="AI131" s="51">
        <v>1.0</v>
      </c>
      <c r="AJ131" s="51"/>
      <c r="AK131" s="51"/>
      <c r="AL131" s="51"/>
      <c r="AM131" s="51"/>
      <c r="AN131" s="51"/>
      <c r="AO131" s="51"/>
      <c r="AP131" s="51"/>
      <c r="AQ131" s="51"/>
      <c r="AR131" s="51">
        <v>1.0</v>
      </c>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row>
    <row r="132" ht="12.75" customHeight="1">
      <c r="A132" s="46" t="s">
        <v>88</v>
      </c>
      <c r="B132" s="53" t="str">
        <f>HYPERLINK("https://drive.google.com/open?id=0B00cIHsghs6USUNMRXIwMWdLaHc","Mustafa2010")</f>
        <v>Mustafa2010</v>
      </c>
      <c r="C132" s="48" t="s">
        <v>800</v>
      </c>
      <c r="D132" s="48" t="s">
        <v>801</v>
      </c>
      <c r="E132" s="49">
        <v>2010.0</v>
      </c>
      <c r="F132" s="50"/>
      <c r="G132" s="50">
        <v>1.0</v>
      </c>
      <c r="H132" s="50"/>
      <c r="I132" s="50"/>
      <c r="J132" s="50"/>
      <c r="K132" s="50"/>
      <c r="L132" s="50"/>
      <c r="M132" s="50"/>
      <c r="N132" s="50"/>
      <c r="O132" s="50"/>
      <c r="P132" s="50"/>
      <c r="Q132" s="50"/>
      <c r="R132" s="50"/>
      <c r="S132" s="50"/>
      <c r="T132" s="50"/>
      <c r="U132" s="50"/>
      <c r="V132" s="51" t="s">
        <v>802</v>
      </c>
      <c r="W132" s="51" t="s">
        <v>803</v>
      </c>
      <c r="X132" s="51" t="s">
        <v>804</v>
      </c>
      <c r="Y132" s="51" t="s">
        <v>805</v>
      </c>
      <c r="Z132" s="51" t="s">
        <v>100</v>
      </c>
      <c r="AA132" s="50">
        <v>1.0</v>
      </c>
      <c r="AB132" s="50"/>
      <c r="AC132" s="50"/>
      <c r="AD132" s="50">
        <v>1.0</v>
      </c>
      <c r="AE132" s="50"/>
      <c r="AF132" s="50"/>
      <c r="AG132" s="50"/>
      <c r="AH132" s="51" t="s">
        <v>806</v>
      </c>
      <c r="AI132" s="51">
        <v>1.0</v>
      </c>
      <c r="AJ132" s="51"/>
      <c r="AK132" s="51"/>
      <c r="AL132" s="51"/>
      <c r="AM132" s="51"/>
      <c r="AN132" s="51"/>
      <c r="AO132" s="51">
        <v>1.0</v>
      </c>
      <c r="AP132" s="51"/>
      <c r="AQ132" s="51"/>
      <c r="AR132" s="51"/>
      <c r="AS132" s="51">
        <v>1.0</v>
      </c>
      <c r="AT132" s="51">
        <v>1.0</v>
      </c>
      <c r="AU132" s="51"/>
      <c r="AV132" s="51"/>
      <c r="AW132" s="51"/>
      <c r="AX132" s="51"/>
      <c r="AY132" s="51"/>
      <c r="AZ132" s="51"/>
      <c r="BA132" s="51"/>
      <c r="BB132" s="51"/>
      <c r="BC132" s="51"/>
      <c r="BD132" s="51"/>
      <c r="BE132" s="51"/>
      <c r="BF132" s="51"/>
      <c r="BG132" s="51"/>
      <c r="BH132" s="51"/>
      <c r="BI132" s="51"/>
      <c r="BJ132" s="51">
        <v>1.0</v>
      </c>
      <c r="BK132" s="51"/>
      <c r="BL132" s="51"/>
      <c r="BM132" s="51"/>
      <c r="BN132" s="51"/>
      <c r="BO132" s="51"/>
      <c r="BP132" s="51"/>
      <c r="BQ132" s="51"/>
      <c r="BR132" s="51"/>
      <c r="BS132" s="51"/>
      <c r="BT132" s="51"/>
      <c r="BU132" s="51"/>
      <c r="BV132" s="51"/>
      <c r="BW132" s="51"/>
      <c r="BX132" s="51"/>
      <c r="BY132" s="51">
        <v>1.0</v>
      </c>
      <c r="BZ132" s="51"/>
      <c r="CA132" s="51"/>
      <c r="CB132" s="51"/>
    </row>
    <row r="133" ht="12.75" customHeight="1">
      <c r="A133" s="46" t="s">
        <v>116</v>
      </c>
      <c r="B133" s="54" t="str">
        <f>HYPERLINK("https://drive.google.com/open?id=0B1GMAYMj9v6rNkJYWGVjeGZ1TnM","Nelson2008")</f>
        <v>Nelson2008</v>
      </c>
      <c r="C133" s="55" t="s">
        <v>807</v>
      </c>
      <c r="D133" s="55" t="s">
        <v>321</v>
      </c>
      <c r="E133" s="49">
        <v>2008.0</v>
      </c>
      <c r="F133" s="50"/>
      <c r="G133" s="50"/>
      <c r="H133" s="50"/>
      <c r="I133" s="50">
        <v>1.0</v>
      </c>
      <c r="J133" s="50"/>
      <c r="K133" s="50"/>
      <c r="L133" s="50"/>
      <c r="M133" s="50"/>
      <c r="N133" s="50"/>
      <c r="O133" s="50"/>
      <c r="P133" s="50"/>
      <c r="Q133" s="50">
        <v>1.0</v>
      </c>
      <c r="R133" s="50"/>
      <c r="S133" s="50"/>
      <c r="T133" s="50"/>
      <c r="U133" s="50"/>
      <c r="V133" s="51" t="s">
        <v>808</v>
      </c>
      <c r="W133" s="51"/>
      <c r="X133" s="51" t="s">
        <v>809</v>
      </c>
      <c r="Y133" s="51" t="s">
        <v>810</v>
      </c>
      <c r="Z133" s="51" t="s">
        <v>811</v>
      </c>
      <c r="AA133" s="50"/>
      <c r="AB133" s="50">
        <v>1.0</v>
      </c>
      <c r="AC133" s="50"/>
      <c r="AD133" s="50">
        <v>1.0</v>
      </c>
      <c r="AE133" s="50"/>
      <c r="AF133" s="50"/>
      <c r="AG133" s="50"/>
      <c r="AH133" s="51" t="s">
        <v>812</v>
      </c>
      <c r="AI133" s="51">
        <v>1.0</v>
      </c>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2">
        <v>1.0</v>
      </c>
      <c r="BK133" s="51"/>
      <c r="BL133" s="51"/>
      <c r="BM133" s="52">
        <v>1.0</v>
      </c>
      <c r="BN133" s="51"/>
      <c r="BO133" s="51"/>
      <c r="BP133" s="51"/>
      <c r="BQ133" s="51"/>
      <c r="BR133" s="51"/>
      <c r="BS133" s="51"/>
      <c r="BT133" s="51"/>
      <c r="BU133" s="51"/>
      <c r="BV133" s="51"/>
      <c r="BW133" s="51"/>
      <c r="BX133" s="51"/>
      <c r="BY133" s="51"/>
      <c r="BZ133" s="51"/>
      <c r="CA133" s="51">
        <v>1.0</v>
      </c>
      <c r="CB133" s="51"/>
    </row>
    <row r="134" ht="12.75" customHeight="1">
      <c r="A134" s="46" t="s">
        <v>108</v>
      </c>
      <c r="B134" s="56" t="str">
        <f>HYPERLINK("http://www.daniela.ece.ufl.edu/Research_files/acsac14.pdf","Oliveira2014")</f>
        <v>Oliveira2014</v>
      </c>
      <c r="C134" s="55" t="s">
        <v>813</v>
      </c>
      <c r="D134" s="55" t="s">
        <v>278</v>
      </c>
      <c r="E134" s="49">
        <v>2014.0</v>
      </c>
      <c r="F134" s="50"/>
      <c r="G134" s="50"/>
      <c r="H134" s="50">
        <v>1.0</v>
      </c>
      <c r="I134" s="50">
        <v>1.0</v>
      </c>
      <c r="J134" s="50"/>
      <c r="K134" s="50"/>
      <c r="L134" s="50"/>
      <c r="M134" s="50"/>
      <c r="N134" s="50"/>
      <c r="O134" s="50"/>
      <c r="P134" s="50"/>
      <c r="Q134" s="50"/>
      <c r="R134" s="50"/>
      <c r="S134" s="50"/>
      <c r="T134" s="50"/>
      <c r="U134" s="50"/>
      <c r="V134" s="48" t="s">
        <v>814</v>
      </c>
      <c r="W134" s="74" t="s">
        <v>815</v>
      </c>
      <c r="X134" s="48" t="s">
        <v>221</v>
      </c>
      <c r="Y134" s="48" t="s">
        <v>816</v>
      </c>
      <c r="Z134" s="48"/>
      <c r="AA134" s="50">
        <v>1.0</v>
      </c>
      <c r="AB134" s="50">
        <v>1.0</v>
      </c>
      <c r="AC134" s="50"/>
      <c r="AD134" s="50">
        <v>1.0</v>
      </c>
      <c r="AE134" s="50"/>
      <c r="AF134" s="50"/>
      <c r="AG134" s="50"/>
      <c r="AH134" s="51" t="s">
        <v>817</v>
      </c>
      <c r="AI134" s="51">
        <v>1.0</v>
      </c>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v>1.0</v>
      </c>
      <c r="BH134" s="51"/>
      <c r="BI134" s="51"/>
      <c r="BJ134" s="51"/>
      <c r="BK134" s="51"/>
      <c r="BL134" s="51"/>
      <c r="BM134" s="51"/>
      <c r="BN134" s="51"/>
      <c r="BO134" s="51"/>
      <c r="BP134" s="51"/>
      <c r="BQ134" s="51"/>
      <c r="BR134" s="51"/>
      <c r="BS134" s="51"/>
      <c r="BT134" s="51"/>
      <c r="BU134" s="51">
        <v>1.0</v>
      </c>
      <c r="BV134" s="51"/>
      <c r="BW134" s="51"/>
      <c r="BX134" s="51"/>
      <c r="BY134" s="51"/>
      <c r="BZ134" s="51"/>
      <c r="CA134" s="51"/>
      <c r="CB134" s="51"/>
    </row>
    <row r="135" ht="12.75" customHeight="1">
      <c r="A135" s="46" t="s">
        <v>124</v>
      </c>
      <c r="B135" s="68" t="str">
        <f>HYPERLINK("https://drive.google.com/open?id=1kBDjIrzMdowIpZ06SFOC0yiXXUKwL1wy","Parnin2011")</f>
        <v>Parnin2011</v>
      </c>
      <c r="C135" s="48" t="s">
        <v>818</v>
      </c>
      <c r="D135" s="48" t="s">
        <v>819</v>
      </c>
      <c r="E135" s="49">
        <v>2011.0</v>
      </c>
      <c r="F135" s="50"/>
      <c r="G135" s="50"/>
      <c r="H135" s="50"/>
      <c r="I135" s="50">
        <v>1.0</v>
      </c>
      <c r="J135" s="50"/>
      <c r="K135" s="50"/>
      <c r="L135" s="50"/>
      <c r="M135" s="50"/>
      <c r="N135" s="50"/>
      <c r="O135" s="50"/>
      <c r="P135" s="50"/>
      <c r="Q135" s="50"/>
      <c r="R135" s="50"/>
      <c r="S135" s="50"/>
      <c r="T135" s="50"/>
      <c r="U135" s="50"/>
      <c r="V135" s="48"/>
      <c r="W135" s="48" t="s">
        <v>820</v>
      </c>
      <c r="X135" s="48" t="s">
        <v>821</v>
      </c>
      <c r="Y135" s="48" t="s">
        <v>822</v>
      </c>
      <c r="Z135" s="48" t="s">
        <v>823</v>
      </c>
      <c r="AA135" s="50"/>
      <c r="AB135" s="50"/>
      <c r="AC135" s="50">
        <v>1.0</v>
      </c>
      <c r="AD135" s="50"/>
      <c r="AE135" s="50"/>
      <c r="AF135" s="50"/>
      <c r="AG135" s="50"/>
      <c r="AH135" s="59"/>
      <c r="AI135" s="51">
        <v>1.0</v>
      </c>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2">
        <v>1.0</v>
      </c>
      <c r="BF135" s="51"/>
      <c r="BG135" s="51"/>
      <c r="BH135" s="51"/>
      <c r="BI135" s="51"/>
      <c r="BJ135" s="52">
        <v>1.0</v>
      </c>
      <c r="BK135" s="51"/>
      <c r="BL135" s="51"/>
      <c r="BM135" s="51"/>
      <c r="BN135" s="51"/>
      <c r="BO135" s="51"/>
      <c r="BP135" s="51"/>
      <c r="BQ135" s="51"/>
      <c r="BR135" s="51"/>
      <c r="BS135" s="51"/>
      <c r="BT135" s="51"/>
      <c r="BU135" s="51"/>
      <c r="BV135" s="51"/>
      <c r="BW135" s="51"/>
      <c r="BX135" s="51"/>
      <c r="BY135" s="51"/>
      <c r="BZ135" s="51">
        <v>1.0</v>
      </c>
      <c r="CA135" s="51"/>
      <c r="CB135" s="51"/>
    </row>
    <row r="136" ht="12.75" customHeight="1">
      <c r="A136" s="46" t="s">
        <v>124</v>
      </c>
      <c r="B136" s="67" t="str">
        <f>HYPERLINK("https://drive.google.com/open?id=19ek5m2izjsmBT3dJ6RcXtPcUxd9VYEx8","Parnin2012")</f>
        <v>Parnin2012</v>
      </c>
      <c r="C136" s="48" t="s">
        <v>824</v>
      </c>
      <c r="D136" s="48" t="s">
        <v>819</v>
      </c>
      <c r="E136" s="49">
        <v>2012.0</v>
      </c>
      <c r="F136" s="50"/>
      <c r="G136" s="50"/>
      <c r="H136" s="50"/>
      <c r="I136" s="50">
        <v>1.0</v>
      </c>
      <c r="J136" s="50"/>
      <c r="K136" s="50"/>
      <c r="L136" s="50"/>
      <c r="M136" s="50"/>
      <c r="N136" s="50"/>
      <c r="O136" s="50"/>
      <c r="P136" s="50"/>
      <c r="Q136" s="50"/>
      <c r="R136" s="50"/>
      <c r="S136" s="50"/>
      <c r="T136" s="50"/>
      <c r="U136" s="50"/>
      <c r="V136" s="48" t="s">
        <v>825</v>
      </c>
      <c r="W136" s="48" t="s">
        <v>826</v>
      </c>
      <c r="X136" s="48"/>
      <c r="Y136" s="48"/>
      <c r="Z136" s="48" t="s">
        <v>827</v>
      </c>
      <c r="AA136" s="50"/>
      <c r="AB136" s="50"/>
      <c r="AC136" s="50">
        <v>1.0</v>
      </c>
      <c r="AD136" s="50"/>
      <c r="AE136" s="50"/>
      <c r="AF136" s="50"/>
      <c r="AG136" s="50"/>
      <c r="AH136" s="59"/>
      <c r="AI136" s="51">
        <v>1.0</v>
      </c>
      <c r="AJ136" s="51"/>
      <c r="AK136" s="51"/>
      <c r="AL136" s="51"/>
      <c r="AM136" s="51"/>
      <c r="AN136" s="51">
        <v>1.0</v>
      </c>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row>
    <row r="137" ht="12.75" customHeight="1">
      <c r="A137" s="46" t="s">
        <v>124</v>
      </c>
      <c r="B137" s="68" t="str">
        <f>HYPERLINK("https://drive.google.com/open?id=1Rb-D34Yj2spHsoKkO0qsS3UEQdlDN96q","Parsons2004")</f>
        <v>Parsons2004</v>
      </c>
      <c r="C137" s="48" t="s">
        <v>828</v>
      </c>
      <c r="D137" s="48" t="s">
        <v>829</v>
      </c>
      <c r="E137" s="49">
        <v>2004.0</v>
      </c>
      <c r="F137" s="50"/>
      <c r="G137" s="50"/>
      <c r="H137" s="50">
        <v>1.0</v>
      </c>
      <c r="I137" s="50">
        <v>1.0</v>
      </c>
      <c r="J137" s="50"/>
      <c r="K137" s="50"/>
      <c r="L137" s="50"/>
      <c r="M137" s="50"/>
      <c r="N137" s="50"/>
      <c r="O137" s="50"/>
      <c r="P137" s="50"/>
      <c r="Q137" s="50"/>
      <c r="R137" s="50"/>
      <c r="S137" s="50"/>
      <c r="T137" s="50"/>
      <c r="U137" s="50"/>
      <c r="V137" s="48"/>
      <c r="W137" s="48" t="s">
        <v>830</v>
      </c>
      <c r="X137" s="48" t="s">
        <v>831</v>
      </c>
      <c r="Y137" s="69" t="s">
        <v>832</v>
      </c>
      <c r="Z137" s="48" t="s">
        <v>833</v>
      </c>
      <c r="AA137" s="50"/>
      <c r="AB137" s="50"/>
      <c r="AC137" s="50"/>
      <c r="AD137" s="50">
        <v>1.0</v>
      </c>
      <c r="AE137" s="50"/>
      <c r="AF137" s="50"/>
      <c r="AG137" s="50"/>
      <c r="AH137" s="59"/>
      <c r="AI137" s="51">
        <v>1.0</v>
      </c>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v>1.0</v>
      </c>
      <c r="BI137" s="51"/>
      <c r="BJ137" s="51"/>
      <c r="BK137" s="51"/>
      <c r="BL137" s="51"/>
      <c r="BM137" s="51"/>
      <c r="BN137" s="51"/>
      <c r="BO137" s="51"/>
      <c r="BP137" s="51"/>
      <c r="BQ137" s="51"/>
      <c r="BR137" s="51"/>
      <c r="BS137" s="51"/>
      <c r="BT137" s="51"/>
      <c r="BU137" s="51"/>
      <c r="BV137" s="51"/>
      <c r="BW137" s="51"/>
      <c r="BX137" s="51"/>
      <c r="BY137" s="52">
        <v>1.0</v>
      </c>
      <c r="BZ137" s="51"/>
      <c r="CA137" s="51"/>
      <c r="CB137" s="51"/>
    </row>
    <row r="138" ht="12.75" customHeight="1">
      <c r="A138" s="46" t="s">
        <v>116</v>
      </c>
      <c r="B138" s="56" t="str">
        <f>HYPERLINK("https://drive.google.com/open?id=0B1GMAYMj9v6reUtQU0ZFWDNOMUk","Parviainen2014")</f>
        <v>Parviainen2014</v>
      </c>
      <c r="C138" s="55" t="s">
        <v>834</v>
      </c>
      <c r="D138" s="55" t="s">
        <v>835</v>
      </c>
      <c r="E138" s="49">
        <v>2014.0</v>
      </c>
      <c r="F138" s="50"/>
      <c r="G138" s="50"/>
      <c r="H138" s="50"/>
      <c r="I138" s="50"/>
      <c r="J138" s="50"/>
      <c r="K138" s="50"/>
      <c r="L138" s="50"/>
      <c r="M138" s="50"/>
      <c r="N138" s="50"/>
      <c r="O138" s="50"/>
      <c r="P138" s="50"/>
      <c r="Q138" s="50">
        <v>1.0</v>
      </c>
      <c r="R138" s="50">
        <v>1.0</v>
      </c>
      <c r="S138" s="50"/>
      <c r="T138" s="50"/>
      <c r="U138" s="50"/>
      <c r="V138" s="51" t="s">
        <v>836</v>
      </c>
      <c r="W138" s="51" t="s">
        <v>71</v>
      </c>
      <c r="X138" s="51" t="s">
        <v>837</v>
      </c>
      <c r="Y138" s="51" t="s">
        <v>838</v>
      </c>
      <c r="Z138" s="51" t="s">
        <v>122</v>
      </c>
      <c r="AA138" s="50"/>
      <c r="AB138" s="50">
        <v>1.0</v>
      </c>
      <c r="AC138" s="50"/>
      <c r="AD138" s="50">
        <v>1.0</v>
      </c>
      <c r="AE138" s="50"/>
      <c r="AF138" s="50"/>
      <c r="AG138" s="50"/>
      <c r="AH138" s="51" t="s">
        <v>839</v>
      </c>
      <c r="AI138" s="51">
        <v>1.0</v>
      </c>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v>1.0</v>
      </c>
      <c r="BK138" s="51"/>
      <c r="BL138" s="51"/>
      <c r="BM138" s="51"/>
      <c r="BN138" s="51"/>
      <c r="BO138" s="51"/>
      <c r="BP138" s="51"/>
      <c r="BQ138" s="51"/>
      <c r="BR138" s="51"/>
      <c r="BS138" s="51"/>
      <c r="BT138" s="51"/>
      <c r="BU138" s="51">
        <v>1.0</v>
      </c>
      <c r="BV138" s="51"/>
      <c r="BW138" s="51"/>
      <c r="BX138" s="51"/>
      <c r="BY138" s="51"/>
      <c r="BZ138" s="51"/>
      <c r="CA138" s="51"/>
      <c r="CB138" s="51"/>
    </row>
    <row r="139" ht="12.75" customHeight="1">
      <c r="A139" s="46" t="s">
        <v>88</v>
      </c>
      <c r="B139" s="53" t="str">
        <f>HYPERLINK("https://drive.google.com/open?id=0B00cIHsghs6UaXhwRXYzemh3SEk","Peng2011")</f>
        <v>Peng2011</v>
      </c>
      <c r="C139" s="55" t="s">
        <v>840</v>
      </c>
      <c r="D139" s="55" t="s">
        <v>841</v>
      </c>
      <c r="E139" s="49">
        <v>2011.0</v>
      </c>
      <c r="F139" s="72"/>
      <c r="G139" s="50"/>
      <c r="H139" s="50">
        <v>1.0</v>
      </c>
      <c r="I139" s="50">
        <v>1.0</v>
      </c>
      <c r="J139" s="50"/>
      <c r="K139" s="50"/>
      <c r="L139" s="50"/>
      <c r="M139" s="50">
        <v>1.0</v>
      </c>
      <c r="N139" s="50"/>
      <c r="O139" s="50"/>
      <c r="P139" s="50"/>
      <c r="Q139" s="50"/>
      <c r="R139" s="50"/>
      <c r="S139" s="50"/>
      <c r="T139" s="50"/>
      <c r="U139" s="50"/>
      <c r="V139" s="51"/>
      <c r="W139" s="51" t="s">
        <v>842</v>
      </c>
      <c r="X139" s="51" t="s">
        <v>842</v>
      </c>
      <c r="Y139" s="51" t="s">
        <v>843</v>
      </c>
      <c r="Z139" s="51" t="s">
        <v>844</v>
      </c>
      <c r="AA139" s="50"/>
      <c r="AB139" s="50"/>
      <c r="AC139" s="50"/>
      <c r="AD139" s="50">
        <v>1.0</v>
      </c>
      <c r="AE139" s="50"/>
      <c r="AF139" s="50"/>
      <c r="AG139" s="50"/>
      <c r="AH139" s="51" t="s">
        <v>845</v>
      </c>
      <c r="AI139" s="51">
        <v>1.0</v>
      </c>
      <c r="AJ139" s="51"/>
      <c r="AK139" s="51"/>
      <c r="AL139" s="51"/>
      <c r="AM139" s="51"/>
      <c r="AN139" s="51"/>
      <c r="AO139" s="51"/>
      <c r="AP139" s="51"/>
      <c r="AQ139" s="51"/>
      <c r="AR139" s="51">
        <v>1.0</v>
      </c>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v>1.0</v>
      </c>
      <c r="BY139" s="51"/>
      <c r="BZ139" s="51"/>
      <c r="CA139" s="51"/>
      <c r="CB139" s="51"/>
    </row>
    <row r="140" ht="12.75" customHeight="1">
      <c r="A140" s="46" t="s">
        <v>124</v>
      </c>
      <c r="B140" s="68" t="str">
        <f>HYPERLINK("https://drive.google.com/open?id=1TIoKe6tCHz-e-Sw0Rr0kK_5E5wk4i8cn","Pennington1987a")</f>
        <v>Pennington1987a</v>
      </c>
      <c r="C140" s="48" t="s">
        <v>846</v>
      </c>
      <c r="D140" s="48" t="s">
        <v>733</v>
      </c>
      <c r="E140" s="49">
        <v>1987.0</v>
      </c>
      <c r="F140" s="50"/>
      <c r="G140" s="50"/>
      <c r="H140" s="50"/>
      <c r="I140" s="50">
        <v>1.0</v>
      </c>
      <c r="J140" s="50"/>
      <c r="K140" s="50"/>
      <c r="L140" s="50"/>
      <c r="M140" s="50"/>
      <c r="N140" s="50"/>
      <c r="O140" s="50"/>
      <c r="P140" s="50"/>
      <c r="Q140" s="50"/>
      <c r="R140" s="50"/>
      <c r="S140" s="50"/>
      <c r="T140" s="50"/>
      <c r="U140" s="50"/>
      <c r="V140" s="48"/>
      <c r="W140" s="48" t="s">
        <v>847</v>
      </c>
      <c r="X140" s="48" t="s">
        <v>848</v>
      </c>
      <c r="Y140" s="69" t="s">
        <v>849</v>
      </c>
      <c r="Z140" s="48" t="s">
        <v>850</v>
      </c>
      <c r="AA140" s="50"/>
      <c r="AB140" s="50"/>
      <c r="AC140" s="50"/>
      <c r="AD140" s="50">
        <v>1.0</v>
      </c>
      <c r="AE140" s="50"/>
      <c r="AF140" s="50"/>
      <c r="AG140" s="50"/>
      <c r="AH140" s="59"/>
      <c r="AI140" s="51">
        <v>1.0</v>
      </c>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v>1.0</v>
      </c>
      <c r="BK140" s="51"/>
      <c r="BL140" s="51"/>
      <c r="BM140" s="51"/>
      <c r="BN140" s="51"/>
      <c r="BO140" s="51"/>
      <c r="BP140" s="51"/>
      <c r="BQ140" s="51"/>
      <c r="BR140" s="51"/>
      <c r="BS140" s="51"/>
      <c r="BT140" s="51"/>
      <c r="BU140" s="51"/>
      <c r="BV140" s="51"/>
      <c r="BW140" s="51"/>
      <c r="BX140" s="51"/>
      <c r="BY140" s="52">
        <v>1.0</v>
      </c>
      <c r="BZ140" s="51"/>
      <c r="CA140" s="51"/>
      <c r="CB140" s="51"/>
    </row>
    <row r="141" ht="12.75" customHeight="1">
      <c r="A141" s="46" t="s">
        <v>88</v>
      </c>
      <c r="B141" s="53" t="str">
        <f>HYPERLINK("https://drive.google.com/open?id=1ozJJ0g5boxpDjw1Z_n2fESt5PP_mPeYg","Pennington1995")</f>
        <v>Pennington1995</v>
      </c>
      <c r="C141" s="48" t="s">
        <v>851</v>
      </c>
      <c r="D141" s="65" t="s">
        <v>852</v>
      </c>
      <c r="E141" s="49">
        <v>1995.0</v>
      </c>
      <c r="F141" s="50"/>
      <c r="G141" s="50"/>
      <c r="H141" s="50">
        <v>1.0</v>
      </c>
      <c r="I141" s="50"/>
      <c r="J141" s="50"/>
      <c r="K141" s="50"/>
      <c r="L141" s="50"/>
      <c r="M141" s="50"/>
      <c r="N141" s="50"/>
      <c r="O141" s="50"/>
      <c r="P141" s="50"/>
      <c r="Q141" s="50"/>
      <c r="R141" s="50"/>
      <c r="S141" s="50"/>
      <c r="T141" s="50"/>
      <c r="U141" s="50"/>
      <c r="V141" s="51"/>
      <c r="W141" s="51" t="s">
        <v>853</v>
      </c>
      <c r="X141" s="51" t="s">
        <v>854</v>
      </c>
      <c r="Y141" s="51" t="s">
        <v>685</v>
      </c>
      <c r="Z141" s="51" t="s">
        <v>100</v>
      </c>
      <c r="AA141" s="50"/>
      <c r="AB141" s="50">
        <v>1.0</v>
      </c>
      <c r="AC141" s="50"/>
      <c r="AD141" s="50">
        <v>1.0</v>
      </c>
      <c r="AE141" s="50"/>
      <c r="AF141" s="50"/>
      <c r="AG141" s="50"/>
      <c r="AH141" s="51" t="s">
        <v>855</v>
      </c>
      <c r="AI141" s="51">
        <v>1.0</v>
      </c>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v>1.0</v>
      </c>
      <c r="BF141" s="51"/>
      <c r="BG141" s="51"/>
      <c r="BH141" s="51"/>
      <c r="BI141" s="51"/>
      <c r="BJ141" s="51"/>
      <c r="BK141" s="51"/>
      <c r="BL141" s="51"/>
      <c r="BM141" s="51"/>
      <c r="BN141" s="51"/>
      <c r="BO141" s="51"/>
      <c r="BP141" s="51"/>
      <c r="BQ141" s="51"/>
      <c r="BR141" s="51"/>
      <c r="BS141" s="51"/>
      <c r="BT141" s="51"/>
      <c r="BU141" s="51"/>
      <c r="BV141" s="51">
        <v>1.0</v>
      </c>
      <c r="BW141" s="51"/>
      <c r="BX141" s="51"/>
      <c r="BY141" s="51"/>
      <c r="BZ141" s="51"/>
      <c r="CA141" s="51"/>
      <c r="CB141" s="51"/>
    </row>
    <row r="142" ht="12.75" customHeight="1">
      <c r="A142" s="46" t="s">
        <v>88</v>
      </c>
      <c r="B142" s="53" t="str">
        <f>HYPERLINK("https://drive.google.com/open?id=1PyEN2zttEGQNpQm8RU1gjLrqYxO2nPg6","Petre1997")</f>
        <v>Petre1997</v>
      </c>
      <c r="C142" s="48" t="s">
        <v>856</v>
      </c>
      <c r="D142" s="48" t="s">
        <v>857</v>
      </c>
      <c r="E142" s="49">
        <v>1997.0</v>
      </c>
      <c r="F142" s="50"/>
      <c r="G142" s="50"/>
      <c r="H142" s="50"/>
      <c r="I142" s="50">
        <v>1.0</v>
      </c>
      <c r="J142" s="50"/>
      <c r="K142" s="50"/>
      <c r="L142" s="50"/>
      <c r="M142" s="50"/>
      <c r="N142" s="50"/>
      <c r="O142" s="50"/>
      <c r="P142" s="50"/>
      <c r="Q142" s="50"/>
      <c r="R142" s="50"/>
      <c r="S142" s="50"/>
      <c r="T142" s="50"/>
      <c r="U142" s="50"/>
      <c r="V142" s="51"/>
      <c r="W142" s="51" t="s">
        <v>858</v>
      </c>
      <c r="X142" s="51" t="s">
        <v>92</v>
      </c>
      <c r="Y142" s="51" t="s">
        <v>685</v>
      </c>
      <c r="Z142" s="51" t="s">
        <v>100</v>
      </c>
      <c r="AA142" s="50">
        <v>1.0</v>
      </c>
      <c r="AB142" s="50">
        <v>1.0</v>
      </c>
      <c r="AC142" s="50"/>
      <c r="AD142" s="50">
        <v>1.0</v>
      </c>
      <c r="AE142" s="50"/>
      <c r="AF142" s="50"/>
      <c r="AG142" s="50"/>
      <c r="AH142" s="51" t="s">
        <v>859</v>
      </c>
      <c r="AI142" s="51">
        <v>1.0</v>
      </c>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v>1.0</v>
      </c>
      <c r="BF142" s="51"/>
      <c r="BG142" s="51"/>
      <c r="BH142" s="51"/>
      <c r="BI142" s="51"/>
      <c r="BJ142" s="51"/>
      <c r="BK142" s="51"/>
      <c r="BL142" s="51"/>
      <c r="BM142" s="51"/>
      <c r="BN142" s="51"/>
      <c r="BO142" s="51"/>
      <c r="BP142" s="51"/>
      <c r="BQ142" s="51"/>
      <c r="BR142" s="51"/>
      <c r="BS142" s="51"/>
      <c r="BT142" s="51"/>
      <c r="BU142" s="51"/>
      <c r="BV142" s="51">
        <v>1.0</v>
      </c>
      <c r="BW142" s="51"/>
      <c r="BX142" s="51"/>
      <c r="BY142" s="51"/>
      <c r="BZ142" s="51"/>
      <c r="CA142" s="51"/>
      <c r="CB142" s="51"/>
    </row>
    <row r="143" ht="12.75" customHeight="1">
      <c r="A143" s="46" t="s">
        <v>88</v>
      </c>
      <c r="B143" s="53" t="str">
        <f>HYPERLINK("https://drive.google.com/open?id=1l88QivinnO-3t5cvuZv1_CWM7Fx7jYAu","Petre1999")</f>
        <v>Petre1999</v>
      </c>
      <c r="C143" s="48" t="s">
        <v>860</v>
      </c>
      <c r="D143" s="48" t="s">
        <v>861</v>
      </c>
      <c r="E143" s="49">
        <v>1999.0</v>
      </c>
      <c r="F143" s="50"/>
      <c r="G143" s="50"/>
      <c r="H143" s="50"/>
      <c r="I143" s="50">
        <v>1.0</v>
      </c>
      <c r="J143" s="50"/>
      <c r="K143" s="50"/>
      <c r="L143" s="50"/>
      <c r="M143" s="50"/>
      <c r="N143" s="50"/>
      <c r="O143" s="50"/>
      <c r="P143" s="50"/>
      <c r="Q143" s="50"/>
      <c r="R143" s="50"/>
      <c r="S143" s="50"/>
      <c r="T143" s="50"/>
      <c r="U143" s="50"/>
      <c r="V143" s="51"/>
      <c r="W143" s="51" t="s">
        <v>858</v>
      </c>
      <c r="X143" s="51" t="s">
        <v>92</v>
      </c>
      <c r="Y143" s="51" t="s">
        <v>862</v>
      </c>
      <c r="Z143" s="51" t="s">
        <v>100</v>
      </c>
      <c r="AA143" s="50">
        <v>1.0</v>
      </c>
      <c r="AB143" s="50">
        <v>1.0</v>
      </c>
      <c r="AC143" s="50"/>
      <c r="AD143" s="50">
        <v>1.0</v>
      </c>
      <c r="AE143" s="50"/>
      <c r="AF143" s="50"/>
      <c r="AG143" s="50"/>
      <c r="AH143" s="51" t="s">
        <v>863</v>
      </c>
      <c r="AI143" s="51">
        <v>1.0</v>
      </c>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v>1.0</v>
      </c>
      <c r="BF143" s="51"/>
      <c r="BG143" s="51"/>
      <c r="BH143" s="51"/>
      <c r="BI143" s="51"/>
      <c r="BJ143" s="51"/>
      <c r="BK143" s="51"/>
      <c r="BL143" s="51"/>
      <c r="BM143" s="51"/>
      <c r="BN143" s="51"/>
      <c r="BO143" s="51"/>
      <c r="BP143" s="51"/>
      <c r="BQ143" s="51"/>
      <c r="BR143" s="51"/>
      <c r="BS143" s="51"/>
      <c r="BT143" s="51"/>
      <c r="BU143" s="51"/>
      <c r="BV143" s="51">
        <v>1.0</v>
      </c>
      <c r="BW143" s="51"/>
      <c r="BX143" s="51"/>
      <c r="BY143" s="51"/>
      <c r="BZ143" s="51"/>
      <c r="CA143" s="51"/>
      <c r="CB143" s="51"/>
    </row>
    <row r="144" ht="12.75" customHeight="1">
      <c r="A144" s="46" t="s">
        <v>116</v>
      </c>
      <c r="B144" s="54" t="str">
        <f>HYPERLINK("https://drive.google.com/open?id=0B1GMAYMj9v6rdTZxdU9CSElObzA","Piri2012")</f>
        <v>Piri2012</v>
      </c>
      <c r="C144" s="55" t="s">
        <v>864</v>
      </c>
      <c r="D144" s="55" t="s">
        <v>865</v>
      </c>
      <c r="E144" s="49">
        <v>2012.0</v>
      </c>
      <c r="F144" s="50"/>
      <c r="G144" s="50"/>
      <c r="H144" s="50"/>
      <c r="I144" s="50"/>
      <c r="J144" s="50"/>
      <c r="K144" s="50"/>
      <c r="L144" s="50"/>
      <c r="M144" s="50">
        <v>1.0</v>
      </c>
      <c r="N144" s="50"/>
      <c r="O144" s="50"/>
      <c r="P144" s="50"/>
      <c r="Q144" s="50">
        <v>1.0</v>
      </c>
      <c r="R144" s="50">
        <v>1.0</v>
      </c>
      <c r="S144" s="50"/>
      <c r="T144" s="50"/>
      <c r="U144" s="50"/>
      <c r="V144" s="60"/>
      <c r="W144" s="51" t="s">
        <v>745</v>
      </c>
      <c r="X144" s="51" t="s">
        <v>563</v>
      </c>
      <c r="Y144" s="51" t="s">
        <v>121</v>
      </c>
      <c r="Z144" s="51" t="s">
        <v>866</v>
      </c>
      <c r="AA144" s="50"/>
      <c r="AB144" s="50">
        <v>1.0</v>
      </c>
      <c r="AC144" s="50"/>
      <c r="AD144" s="50">
        <v>1.0</v>
      </c>
      <c r="AE144" s="50"/>
      <c r="AF144" s="50"/>
      <c r="AG144" s="50"/>
      <c r="AH144" s="51" t="s">
        <v>867</v>
      </c>
      <c r="AI144" s="51">
        <v>1.0</v>
      </c>
      <c r="AJ144" s="51"/>
      <c r="AK144" s="51"/>
      <c r="AL144" s="51"/>
      <c r="AM144" s="51"/>
      <c r="AN144" s="51"/>
      <c r="AO144" s="51"/>
      <c r="AP144" s="51"/>
      <c r="AQ144" s="51"/>
      <c r="AR144" s="51"/>
      <c r="AS144" s="51"/>
      <c r="AT144" s="51"/>
      <c r="AU144" s="51"/>
      <c r="AV144" s="51"/>
      <c r="AW144" s="51"/>
      <c r="AX144" s="51"/>
      <c r="AY144" s="51"/>
      <c r="AZ144" s="51"/>
      <c r="BA144" s="51"/>
      <c r="BB144" s="51"/>
      <c r="BC144" s="52">
        <v>1.0</v>
      </c>
      <c r="BD144" s="51"/>
      <c r="BE144" s="51"/>
      <c r="BF144" s="51"/>
      <c r="BG144" s="51"/>
      <c r="BH144" s="51"/>
      <c r="BI144" s="51"/>
      <c r="BJ144" s="51"/>
      <c r="BK144" s="51"/>
      <c r="BL144" s="51"/>
      <c r="BM144" s="51"/>
      <c r="BN144" s="52">
        <v>1.0</v>
      </c>
      <c r="BO144" s="51"/>
      <c r="BP144" s="51"/>
      <c r="BQ144" s="51"/>
      <c r="BR144" s="51"/>
      <c r="BS144" s="51"/>
      <c r="BT144" s="51"/>
      <c r="BU144" s="51">
        <v>1.0</v>
      </c>
      <c r="BV144" s="51"/>
      <c r="BW144" s="51"/>
      <c r="BX144" s="51"/>
      <c r="BY144" s="51"/>
      <c r="BZ144" s="51"/>
      <c r="CA144" s="51"/>
      <c r="CB144" s="51"/>
    </row>
    <row r="145" ht="12.75" customHeight="1">
      <c r="A145" s="46" t="s">
        <v>124</v>
      </c>
      <c r="B145" s="56" t="str">
        <f>HYPERLINK("https://drive.google.com/open?id=0B00cIHsghs6UbXdvMmsxY0RMY0E","Potts1999")</f>
        <v>Potts1999</v>
      </c>
      <c r="C145" s="55" t="s">
        <v>868</v>
      </c>
      <c r="D145" s="55" t="s">
        <v>688</v>
      </c>
      <c r="E145" s="57">
        <v>1999.0</v>
      </c>
      <c r="F145" s="58"/>
      <c r="G145" s="50">
        <v>1.0</v>
      </c>
      <c r="H145" s="50"/>
      <c r="I145" s="50"/>
      <c r="J145" s="50"/>
      <c r="K145" s="50"/>
      <c r="L145" s="50"/>
      <c r="M145" s="50"/>
      <c r="N145" s="50"/>
      <c r="O145" s="50"/>
      <c r="P145" s="50"/>
      <c r="Q145" s="50"/>
      <c r="R145" s="50"/>
      <c r="S145" s="50"/>
      <c r="T145" s="50"/>
      <c r="U145" s="50"/>
      <c r="V145" s="48" t="s">
        <v>869</v>
      </c>
      <c r="W145" s="48"/>
      <c r="X145" s="48"/>
      <c r="Y145" s="48"/>
      <c r="Z145" s="48" t="s">
        <v>870</v>
      </c>
      <c r="AA145" s="50"/>
      <c r="AB145" s="50"/>
      <c r="AC145" s="50">
        <v>1.0</v>
      </c>
      <c r="AD145" s="50"/>
      <c r="AE145" s="50"/>
      <c r="AF145" s="50"/>
      <c r="AG145" s="50"/>
      <c r="AH145" s="59"/>
      <c r="AI145" s="51">
        <v>1.0</v>
      </c>
      <c r="AJ145" s="51"/>
      <c r="AK145" s="51"/>
      <c r="AL145" s="51"/>
      <c r="AM145" s="51"/>
      <c r="AN145" s="51">
        <v>1.0</v>
      </c>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row>
    <row r="146" ht="12.75" customHeight="1">
      <c r="A146" s="46" t="s">
        <v>116</v>
      </c>
      <c r="B146" s="56" t="str">
        <f>HYPERLINK("https://drive.google.com/open?id=0B1GMAYMj9v6rSTY1YWRkVjBlOVE","Ralph2011")</f>
        <v>Ralph2011</v>
      </c>
      <c r="C146" s="55" t="s">
        <v>871</v>
      </c>
      <c r="D146" s="55" t="s">
        <v>661</v>
      </c>
      <c r="E146" s="49">
        <v>2011.0</v>
      </c>
      <c r="F146" s="50"/>
      <c r="G146" s="50">
        <v>1.0</v>
      </c>
      <c r="H146" s="50">
        <v>1.0</v>
      </c>
      <c r="I146" s="50"/>
      <c r="J146" s="50"/>
      <c r="K146" s="50"/>
      <c r="L146" s="50"/>
      <c r="M146" s="50">
        <v>1.0</v>
      </c>
      <c r="N146" s="50">
        <v>1.0</v>
      </c>
      <c r="O146" s="50"/>
      <c r="P146" s="50"/>
      <c r="Q146" s="50">
        <v>1.0</v>
      </c>
      <c r="R146" s="50"/>
      <c r="S146" s="50"/>
      <c r="T146" s="50"/>
      <c r="U146" s="50"/>
      <c r="V146" s="51" t="s">
        <v>70</v>
      </c>
      <c r="W146" s="51" t="s">
        <v>872</v>
      </c>
      <c r="X146" s="51"/>
      <c r="Y146" s="51"/>
      <c r="Z146" s="51" t="s">
        <v>122</v>
      </c>
      <c r="AA146" s="50"/>
      <c r="AB146" s="50"/>
      <c r="AC146" s="50"/>
      <c r="AD146" s="50"/>
      <c r="AE146" s="50"/>
      <c r="AF146" s="50">
        <v>1.0</v>
      </c>
      <c r="AG146" s="50"/>
      <c r="AH146" s="51" t="s">
        <v>873</v>
      </c>
      <c r="AI146" s="51">
        <v>1.0</v>
      </c>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v>1.0</v>
      </c>
      <c r="BJ146" s="51"/>
      <c r="BK146" s="51"/>
      <c r="BL146" s="51"/>
      <c r="BM146" s="51"/>
      <c r="BN146" s="51"/>
      <c r="BO146" s="51"/>
      <c r="BP146" s="51"/>
      <c r="BQ146" s="51"/>
      <c r="BR146" s="51"/>
      <c r="BS146" s="51"/>
      <c r="BT146" s="51"/>
      <c r="BU146" s="51"/>
      <c r="BV146" s="51"/>
      <c r="BW146" s="51"/>
      <c r="BX146" s="51"/>
      <c r="BY146" s="51"/>
      <c r="BZ146" s="51"/>
      <c r="CA146" s="51"/>
      <c r="CB146" s="51"/>
    </row>
    <row r="147" ht="12.75" customHeight="1">
      <c r="A147" s="46" t="s">
        <v>116</v>
      </c>
      <c r="B147" s="54" t="str">
        <f>HYPERLINK("https://drive.google.com/open?id=0B1GMAYMj9v6rOTZBRmRkcUt5LWM","Ralph2016")</f>
        <v>Ralph2016</v>
      </c>
      <c r="C147" s="55" t="s">
        <v>874</v>
      </c>
      <c r="D147" s="55" t="s">
        <v>278</v>
      </c>
      <c r="E147" s="49">
        <v>2016.0</v>
      </c>
      <c r="F147" s="50"/>
      <c r="G147" s="50">
        <v>1.0</v>
      </c>
      <c r="H147" s="50">
        <v>1.0</v>
      </c>
      <c r="I147" s="50"/>
      <c r="J147" s="50"/>
      <c r="K147" s="50"/>
      <c r="L147" s="50"/>
      <c r="M147" s="50">
        <v>1.0</v>
      </c>
      <c r="N147" s="50"/>
      <c r="O147" s="50"/>
      <c r="P147" s="50"/>
      <c r="Q147" s="50">
        <v>1.0</v>
      </c>
      <c r="R147" s="50"/>
      <c r="S147" s="50"/>
      <c r="T147" s="50"/>
      <c r="U147" s="50">
        <v>1.0</v>
      </c>
      <c r="V147" s="51" t="s">
        <v>875</v>
      </c>
      <c r="W147" s="51" t="s">
        <v>876</v>
      </c>
      <c r="X147" s="51" t="s">
        <v>877</v>
      </c>
      <c r="Y147" s="51" t="s">
        <v>878</v>
      </c>
      <c r="Z147" s="51" t="s">
        <v>879</v>
      </c>
      <c r="AA147" s="50"/>
      <c r="AB147" s="50">
        <v>1.0</v>
      </c>
      <c r="AC147" s="50"/>
      <c r="AD147" s="50">
        <v>1.0</v>
      </c>
      <c r="AE147" s="50"/>
      <c r="AF147" s="50"/>
      <c r="AG147" s="50"/>
      <c r="AH147" s="51" t="s">
        <v>880</v>
      </c>
      <c r="AI147" s="51">
        <v>1.0</v>
      </c>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2">
        <v>1.0</v>
      </c>
      <c r="BH147" s="51"/>
      <c r="BI147" s="51">
        <v>1.0</v>
      </c>
      <c r="BJ147" s="51"/>
      <c r="BK147" s="51"/>
      <c r="BL147" s="51"/>
      <c r="BM147" s="51"/>
      <c r="BN147" s="51"/>
      <c r="BO147" s="51"/>
      <c r="BP147" s="51"/>
      <c r="BQ147" s="51"/>
      <c r="BR147" s="51"/>
      <c r="BS147" s="51"/>
      <c r="BT147" s="51">
        <v>1.0</v>
      </c>
      <c r="BU147" s="51"/>
      <c r="BV147" s="51"/>
      <c r="BW147" s="51"/>
      <c r="BX147" s="51"/>
      <c r="BY147" s="51"/>
      <c r="BZ147" s="51"/>
      <c r="CA147" s="51"/>
      <c r="CB147" s="51"/>
    </row>
    <row r="148" ht="12.75" customHeight="1">
      <c r="A148" s="46" t="s">
        <v>116</v>
      </c>
      <c r="B148" s="56" t="str">
        <f>HYPERLINK("https://drive.google.com/open?id=0B1GMAYMj9v6rWEhaTFdjaXFrajA","Read2011")</f>
        <v>Read2011</v>
      </c>
      <c r="C148" s="55" t="s">
        <v>881</v>
      </c>
      <c r="D148" s="55" t="s">
        <v>252</v>
      </c>
      <c r="E148" s="49">
        <v>2011.0</v>
      </c>
      <c r="F148" s="50"/>
      <c r="G148" s="50">
        <v>1.0</v>
      </c>
      <c r="H148" s="50"/>
      <c r="I148" s="50"/>
      <c r="J148" s="50"/>
      <c r="K148" s="50"/>
      <c r="L148" s="50"/>
      <c r="M148" s="50">
        <v>1.0</v>
      </c>
      <c r="N148" s="50">
        <v>1.0</v>
      </c>
      <c r="O148" s="50"/>
      <c r="P148" s="50"/>
      <c r="Q148" s="50">
        <v>1.0</v>
      </c>
      <c r="R148" s="50"/>
      <c r="S148" s="50"/>
      <c r="T148" s="50"/>
      <c r="U148" s="50"/>
      <c r="V148" s="51" t="s">
        <v>882</v>
      </c>
      <c r="W148" s="51"/>
      <c r="X148" s="51" t="s">
        <v>883</v>
      </c>
      <c r="Y148" s="51" t="s">
        <v>884</v>
      </c>
      <c r="Z148" s="51" t="s">
        <v>885</v>
      </c>
      <c r="AA148" s="50"/>
      <c r="AB148" s="50">
        <v>1.0</v>
      </c>
      <c r="AC148" s="50"/>
      <c r="AD148" s="50">
        <v>1.0</v>
      </c>
      <c r="AE148" s="50"/>
      <c r="AF148" s="50"/>
      <c r="AG148" s="50"/>
      <c r="AH148" s="51" t="s">
        <v>886</v>
      </c>
      <c r="AI148" s="51">
        <v>1.0</v>
      </c>
      <c r="AJ148" s="51"/>
      <c r="AK148" s="51"/>
      <c r="AL148" s="51"/>
      <c r="AM148" s="51"/>
      <c r="AN148" s="51"/>
      <c r="AO148" s="51"/>
      <c r="AP148" s="51"/>
      <c r="AQ148" s="51"/>
      <c r="AR148" s="51">
        <v>1.0</v>
      </c>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v>1.0</v>
      </c>
      <c r="BV148" s="51"/>
      <c r="BW148" s="51"/>
      <c r="BX148" s="51"/>
      <c r="BY148" s="51"/>
      <c r="BZ148" s="51"/>
      <c r="CA148" s="51"/>
      <c r="CB148" s="51"/>
    </row>
    <row r="149" ht="12.75" customHeight="1">
      <c r="A149" s="46" t="s">
        <v>172</v>
      </c>
      <c r="B149" s="68" t="str">
        <f>HYPERLINK("https://drive.google.com/open?id=1J0G-4q-o4jLVgqWldTs3OBrQh6Mtzzs1","Ricca2010")</f>
        <v>Ricca2010</v>
      </c>
      <c r="C149" s="63" t="s">
        <v>887</v>
      </c>
      <c r="D149" s="55" t="s">
        <v>829</v>
      </c>
      <c r="E149" s="55">
        <v>2010.0</v>
      </c>
      <c r="F149" s="55"/>
      <c r="G149" s="55"/>
      <c r="H149" s="55"/>
      <c r="I149" s="55"/>
      <c r="J149" s="55"/>
      <c r="K149" s="55">
        <v>1.0</v>
      </c>
      <c r="L149" s="55"/>
      <c r="M149" s="55"/>
      <c r="N149" s="55"/>
      <c r="O149" s="55"/>
      <c r="P149" s="55"/>
      <c r="Q149" s="55"/>
      <c r="R149" s="55"/>
      <c r="S149" s="55"/>
      <c r="T149" s="55"/>
      <c r="U149" s="55"/>
      <c r="V149" s="55"/>
      <c r="W149" s="55" t="s">
        <v>370</v>
      </c>
      <c r="X149" s="55" t="s">
        <v>888</v>
      </c>
      <c r="Y149" s="55" t="s">
        <v>889</v>
      </c>
      <c r="Z149" s="55" t="s">
        <v>100</v>
      </c>
      <c r="AA149" s="55">
        <v>1.0</v>
      </c>
      <c r="AB149" s="55"/>
      <c r="AC149" s="55"/>
      <c r="AD149" s="55">
        <v>1.0</v>
      </c>
      <c r="AE149" s="55"/>
      <c r="AF149" s="55"/>
      <c r="AG149" s="55"/>
      <c r="AH149" s="48" t="s">
        <v>890</v>
      </c>
      <c r="AI149" s="51">
        <v>1.0</v>
      </c>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2">
        <v>1.0</v>
      </c>
      <c r="BK149" s="51"/>
      <c r="BL149" s="51"/>
      <c r="BM149" s="51"/>
      <c r="BN149" s="51"/>
      <c r="BO149" s="51"/>
      <c r="BP149" s="51"/>
      <c r="BQ149" s="51"/>
      <c r="BR149" s="51"/>
      <c r="BS149" s="51"/>
      <c r="BT149" s="51"/>
      <c r="BU149" s="51"/>
      <c r="BV149" s="51"/>
      <c r="BW149" s="51"/>
      <c r="BX149" s="51"/>
      <c r="BY149" s="51">
        <v>1.0</v>
      </c>
      <c r="BZ149" s="51"/>
      <c r="CA149" s="51"/>
      <c r="CB149" s="51"/>
    </row>
    <row r="150" ht="12.75" customHeight="1">
      <c r="A150" s="46" t="s">
        <v>172</v>
      </c>
      <c r="B150" s="67" t="str">
        <f>HYPERLINK("https://drive.google.com/open?id=1Irk-Nr-xegGvbWycBecHkcychEbefqZm","Robillard1999")</f>
        <v>Robillard1999</v>
      </c>
      <c r="C150" s="63" t="s">
        <v>891</v>
      </c>
      <c r="D150" s="55" t="s">
        <v>381</v>
      </c>
      <c r="E150" s="55">
        <v>1999.0</v>
      </c>
      <c r="F150" s="55"/>
      <c r="G150" s="55"/>
      <c r="H150" s="55"/>
      <c r="I150" s="55">
        <v>1.0</v>
      </c>
      <c r="J150" s="55"/>
      <c r="K150" s="55"/>
      <c r="L150" s="55"/>
      <c r="M150" s="55"/>
      <c r="N150" s="55"/>
      <c r="O150" s="55"/>
      <c r="P150" s="55"/>
      <c r="Q150" s="55"/>
      <c r="R150" s="55"/>
      <c r="S150" s="55"/>
      <c r="T150" s="55"/>
      <c r="U150" s="55"/>
      <c r="V150" s="55"/>
      <c r="W150" s="55" t="s">
        <v>892</v>
      </c>
      <c r="X150" s="60"/>
      <c r="Y150" s="55"/>
      <c r="Z150" s="55" t="s">
        <v>100</v>
      </c>
      <c r="AA150" s="55">
        <v>1.0</v>
      </c>
      <c r="AB150" s="55"/>
      <c r="AC150" s="55"/>
      <c r="AD150" s="55"/>
      <c r="AE150" s="55"/>
      <c r="AF150" s="55">
        <v>1.0</v>
      </c>
      <c r="AG150" s="55"/>
      <c r="AH150" s="48" t="s">
        <v>893</v>
      </c>
      <c r="AI150" s="51">
        <v>1.0</v>
      </c>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v>1.0</v>
      </c>
      <c r="BK150" s="51"/>
      <c r="BL150" s="51"/>
      <c r="BM150" s="51"/>
      <c r="BN150" s="51"/>
      <c r="BO150" s="51"/>
      <c r="BP150" s="51"/>
      <c r="BQ150" s="51"/>
      <c r="BR150" s="51"/>
      <c r="BS150" s="51"/>
      <c r="BT150" s="51"/>
      <c r="BU150" s="51"/>
      <c r="BV150" s="51"/>
      <c r="BW150" s="51"/>
      <c r="BX150" s="51"/>
      <c r="BY150" s="51"/>
      <c r="BZ150" s="51"/>
      <c r="CA150" s="51"/>
      <c r="CB150" s="51"/>
    </row>
    <row r="151" ht="12.75" customHeight="1">
      <c r="A151" s="46" t="s">
        <v>172</v>
      </c>
      <c r="B151" s="68" t="str">
        <f>HYPERLINK("https://drive.google.com/open?id=1U_wWs3hw59Qsy0U9jbcv3Y3dudy1Zy0h","Robillard2004")</f>
        <v>Robillard2004</v>
      </c>
      <c r="C151" s="63" t="s">
        <v>894</v>
      </c>
      <c r="D151" s="55" t="s">
        <v>895</v>
      </c>
      <c r="E151" s="55">
        <v>2004.0</v>
      </c>
      <c r="F151" s="55"/>
      <c r="G151" s="55"/>
      <c r="H151" s="55"/>
      <c r="I151" s="55"/>
      <c r="J151" s="55"/>
      <c r="K151" s="55">
        <v>1.0</v>
      </c>
      <c r="L151" s="55"/>
      <c r="M151" s="55"/>
      <c r="N151" s="55"/>
      <c r="O151" s="55"/>
      <c r="P151" s="55"/>
      <c r="Q151" s="55"/>
      <c r="R151" s="55"/>
      <c r="S151" s="55"/>
      <c r="T151" s="55"/>
      <c r="U151" s="55"/>
      <c r="V151" s="55"/>
      <c r="W151" s="55" t="s">
        <v>896</v>
      </c>
      <c r="X151" s="55" t="s">
        <v>897</v>
      </c>
      <c r="Y151" s="55" t="s">
        <v>898</v>
      </c>
      <c r="Z151" s="55" t="s">
        <v>100</v>
      </c>
      <c r="AA151" s="55"/>
      <c r="AB151" s="55"/>
      <c r="AC151" s="55"/>
      <c r="AD151" s="55">
        <v>1.0</v>
      </c>
      <c r="AE151" s="55"/>
      <c r="AF151" s="55"/>
      <c r="AG151" s="55"/>
      <c r="AH151" s="48" t="s">
        <v>899</v>
      </c>
      <c r="AI151" s="51">
        <v>1.0</v>
      </c>
      <c r="AJ151" s="51">
        <v>1.0</v>
      </c>
      <c r="AK151" s="51"/>
      <c r="AL151" s="51"/>
      <c r="AM151" s="51"/>
      <c r="AN151" s="51"/>
      <c r="AO151" s="51"/>
      <c r="AP151" s="51"/>
      <c r="AQ151" s="51"/>
      <c r="AR151" s="51"/>
      <c r="AS151" s="51"/>
      <c r="AT151" s="51"/>
      <c r="AU151" s="51"/>
      <c r="AV151" s="51"/>
      <c r="AW151" s="51"/>
      <c r="AX151" s="51"/>
      <c r="AY151" s="51"/>
      <c r="AZ151" s="51"/>
      <c r="BA151" s="51"/>
      <c r="BB151" s="51"/>
      <c r="BC151" s="51"/>
      <c r="BD151" s="51"/>
      <c r="BE151" s="52"/>
      <c r="BF151" s="51"/>
      <c r="BG151" s="51"/>
      <c r="BH151" s="51"/>
      <c r="BI151" s="51"/>
      <c r="BJ151" s="51"/>
      <c r="BK151" s="51"/>
      <c r="BL151" s="51"/>
      <c r="BM151" s="52">
        <v>1.0</v>
      </c>
      <c r="BN151" s="51"/>
      <c r="BO151" s="51"/>
      <c r="BP151" s="51"/>
      <c r="BQ151" s="51"/>
      <c r="BR151" s="51"/>
      <c r="BS151" s="51"/>
      <c r="BT151" s="51"/>
      <c r="BU151" s="51"/>
      <c r="BV151" s="51"/>
      <c r="BW151" s="51"/>
      <c r="BX151" s="51"/>
      <c r="BY151" s="51"/>
      <c r="BZ151" s="51"/>
      <c r="CA151" s="51"/>
      <c r="CB151" s="51"/>
    </row>
    <row r="152" ht="12.75" customHeight="1">
      <c r="A152" s="46" t="s">
        <v>172</v>
      </c>
      <c r="B152" s="67" t="str">
        <f>HYPERLINK("https://drive.google.com/open?id=1ysEOW9hHePjvp6Pn144PgBmSdeT3hZBf","Rosson1990")</f>
        <v>Rosson1990</v>
      </c>
      <c r="C152" s="63" t="s">
        <v>900</v>
      </c>
      <c r="D152" s="55" t="s">
        <v>852</v>
      </c>
      <c r="E152" s="55">
        <v>1990.0</v>
      </c>
      <c r="F152" s="55"/>
      <c r="G152" s="55"/>
      <c r="H152" s="55">
        <v>1.0</v>
      </c>
      <c r="I152" s="55"/>
      <c r="J152" s="55"/>
      <c r="K152" s="55"/>
      <c r="L152" s="55"/>
      <c r="M152" s="55"/>
      <c r="N152" s="55"/>
      <c r="O152" s="55"/>
      <c r="P152" s="55"/>
      <c r="Q152" s="55"/>
      <c r="R152" s="55"/>
      <c r="S152" s="55"/>
      <c r="T152" s="55"/>
      <c r="U152" s="55"/>
      <c r="V152" s="55"/>
      <c r="W152" s="55" t="s">
        <v>901</v>
      </c>
      <c r="X152" s="55"/>
      <c r="Y152" s="55"/>
      <c r="Z152" s="55" t="s">
        <v>100</v>
      </c>
      <c r="AA152" s="55"/>
      <c r="AB152" s="55"/>
      <c r="AC152" s="55"/>
      <c r="AD152" s="55"/>
      <c r="AE152" s="55"/>
      <c r="AF152" s="55">
        <v>1.0</v>
      </c>
      <c r="AG152" s="55"/>
      <c r="AH152" s="48" t="s">
        <v>902</v>
      </c>
      <c r="AI152" s="51">
        <v>1.0</v>
      </c>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v>1.0</v>
      </c>
      <c r="BF152" s="51"/>
      <c r="BG152" s="51"/>
      <c r="BH152" s="51"/>
      <c r="BI152" s="51"/>
      <c r="BJ152" s="51"/>
      <c r="BK152" s="51"/>
      <c r="BL152" s="51"/>
      <c r="BM152" s="51"/>
      <c r="BN152" s="51"/>
      <c r="BO152" s="51"/>
      <c r="BP152" s="51"/>
      <c r="BQ152" s="51"/>
      <c r="BR152" s="51"/>
      <c r="BS152" s="51"/>
      <c r="BT152" s="51"/>
      <c r="BU152" s="51"/>
      <c r="BV152" s="51"/>
      <c r="BW152" s="51"/>
      <c r="BX152" s="51"/>
      <c r="BY152" s="51"/>
      <c r="BZ152" s="51"/>
      <c r="CA152" s="51"/>
      <c r="CB152" s="51"/>
    </row>
    <row r="153" ht="12.75" customHeight="1">
      <c r="A153" s="46" t="s">
        <v>116</v>
      </c>
      <c r="B153" s="68" t="str">
        <f>HYPERLINK("https://drive.google.com/open?id=1yVyN4VblbfQzXhFRaSYno1I20E7Yq2Zr","Shaffer2015")</f>
        <v>Shaffer2015</v>
      </c>
      <c r="C153" s="63" t="s">
        <v>903</v>
      </c>
      <c r="D153" s="63" t="s">
        <v>904</v>
      </c>
      <c r="E153" s="49">
        <v>2015.0</v>
      </c>
      <c r="F153" s="50"/>
      <c r="G153" s="50"/>
      <c r="H153" s="50"/>
      <c r="I153" s="50">
        <v>1.0</v>
      </c>
      <c r="J153" s="50"/>
      <c r="K153" s="50">
        <v>1.0</v>
      </c>
      <c r="L153" s="50"/>
      <c r="M153" s="50"/>
      <c r="N153" s="50"/>
      <c r="O153" s="50"/>
      <c r="P153" s="50"/>
      <c r="Q153" s="50"/>
      <c r="R153" s="50"/>
      <c r="S153" s="50"/>
      <c r="T153" s="50"/>
      <c r="U153" s="50"/>
      <c r="V153" s="51"/>
      <c r="W153" s="51" t="s">
        <v>905</v>
      </c>
      <c r="X153" s="51" t="s">
        <v>906</v>
      </c>
      <c r="Y153" s="51"/>
      <c r="Z153" s="51" t="s">
        <v>122</v>
      </c>
      <c r="AA153" s="50"/>
      <c r="AB153" s="50"/>
      <c r="AC153" s="50">
        <v>1.0</v>
      </c>
      <c r="AD153" s="50"/>
      <c r="AE153" s="50"/>
      <c r="AF153" s="50"/>
      <c r="AG153" s="50"/>
      <c r="AH153" s="51" t="s">
        <v>907</v>
      </c>
      <c r="AI153" s="51">
        <v>1.0</v>
      </c>
      <c r="AJ153" s="51"/>
      <c r="AK153" s="51"/>
      <c r="AL153" s="51"/>
      <c r="AM153" s="51"/>
      <c r="AN153" s="51"/>
      <c r="AO153" s="51"/>
      <c r="AP153" s="51"/>
      <c r="AQ153" s="51"/>
      <c r="AR153" s="51"/>
      <c r="AS153" s="51"/>
      <c r="AT153" s="51"/>
      <c r="AU153" s="51"/>
      <c r="AV153" s="51"/>
      <c r="AW153" s="51"/>
      <c r="AX153" s="51"/>
      <c r="AY153" s="51"/>
      <c r="AZ153" s="51"/>
      <c r="BA153" s="51"/>
      <c r="BB153" s="51"/>
      <c r="BC153" s="51"/>
      <c r="BD153" s="52">
        <v>1.0</v>
      </c>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2">
        <v>1.0</v>
      </c>
    </row>
    <row r="154" ht="12.75" customHeight="1">
      <c r="A154" s="46" t="s">
        <v>88</v>
      </c>
      <c r="B154" s="53" t="str">
        <f>HYPERLINK("https://drive.google.com/open?id=0B-nn5iJ29NJaTWtVZGpyd0d4eDA","Shaft2006")</f>
        <v>Shaft2006</v>
      </c>
      <c r="C154" s="48" t="s">
        <v>908</v>
      </c>
      <c r="D154" s="48" t="s">
        <v>909</v>
      </c>
      <c r="E154" s="49">
        <v>2006.0</v>
      </c>
      <c r="F154" s="50"/>
      <c r="G154" s="50"/>
      <c r="H154" s="50"/>
      <c r="I154" s="50"/>
      <c r="J154" s="50"/>
      <c r="K154" s="50">
        <v>1.0</v>
      </c>
      <c r="L154" s="50"/>
      <c r="M154" s="50"/>
      <c r="N154" s="50"/>
      <c r="O154" s="50"/>
      <c r="P154" s="50"/>
      <c r="Q154" s="50"/>
      <c r="R154" s="50"/>
      <c r="S154" s="50"/>
      <c r="T154" s="50"/>
      <c r="U154" s="50"/>
      <c r="V154" s="51" t="s">
        <v>910</v>
      </c>
      <c r="W154" s="51" t="s">
        <v>911</v>
      </c>
      <c r="X154" s="51" t="s">
        <v>912</v>
      </c>
      <c r="Y154" s="51" t="s">
        <v>913</v>
      </c>
      <c r="Z154" s="51" t="s">
        <v>914</v>
      </c>
      <c r="AA154" s="50"/>
      <c r="AB154" s="50">
        <v>1.0</v>
      </c>
      <c r="AC154" s="50"/>
      <c r="AD154" s="50">
        <v>1.0</v>
      </c>
      <c r="AE154" s="50"/>
      <c r="AF154" s="50"/>
      <c r="AG154" s="50"/>
      <c r="AH154" s="51" t="s">
        <v>915</v>
      </c>
      <c r="AI154" s="51">
        <v>1.0</v>
      </c>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v>1.0</v>
      </c>
      <c r="BF154" s="51"/>
      <c r="BG154" s="51"/>
      <c r="BH154" s="51"/>
      <c r="BI154" s="51"/>
      <c r="BJ154" s="51"/>
      <c r="BK154" s="51"/>
      <c r="BL154" s="51"/>
      <c r="BM154" s="51"/>
      <c r="BN154" s="51"/>
      <c r="BO154" s="51"/>
      <c r="BP154" s="51"/>
      <c r="BQ154" s="51"/>
      <c r="BR154" s="51"/>
      <c r="BS154" s="51"/>
      <c r="BT154" s="51"/>
      <c r="BU154" s="51"/>
      <c r="BV154" s="51"/>
      <c r="BW154" s="51"/>
      <c r="BX154" s="51"/>
      <c r="BY154" s="51">
        <v>1.0</v>
      </c>
      <c r="BZ154" s="51"/>
      <c r="CA154" s="51">
        <v>1.0</v>
      </c>
      <c r="CB154" s="51"/>
    </row>
    <row r="155" ht="12.75" customHeight="1">
      <c r="A155" s="46" t="s">
        <v>116</v>
      </c>
      <c r="B155" s="68" t="str">
        <f>HYPERLINK("https://drive.google.com/open?id=1QWfHsa38Rz0Hq7wi2vtW3FggtVMBA2-V","Shao2003")</f>
        <v>Shao2003</v>
      </c>
      <c r="C155" s="63" t="s">
        <v>916</v>
      </c>
      <c r="D155" s="63" t="s">
        <v>917</v>
      </c>
      <c r="E155" s="49">
        <v>2003.0</v>
      </c>
      <c r="F155" s="50"/>
      <c r="G155" s="50"/>
      <c r="H155" s="50"/>
      <c r="I155" s="50">
        <v>1.0</v>
      </c>
      <c r="J155" s="50"/>
      <c r="K155" s="50">
        <v>1.0</v>
      </c>
      <c r="L155" s="50"/>
      <c r="M155" s="50"/>
      <c r="N155" s="50"/>
      <c r="O155" s="50"/>
      <c r="P155" s="50"/>
      <c r="Q155" s="50"/>
      <c r="R155" s="50"/>
      <c r="S155" s="50"/>
      <c r="T155" s="50"/>
      <c r="U155" s="50"/>
      <c r="V155" s="51" t="s">
        <v>918</v>
      </c>
      <c r="W155" s="51" t="s">
        <v>919</v>
      </c>
      <c r="X155" s="51" t="s">
        <v>920</v>
      </c>
      <c r="Y155" s="51" t="s">
        <v>921</v>
      </c>
      <c r="Z155" s="51" t="s">
        <v>122</v>
      </c>
      <c r="AA155" s="50"/>
      <c r="AB155" s="50"/>
      <c r="AC155" s="50"/>
      <c r="AD155" s="50">
        <v>1.0</v>
      </c>
      <c r="AE155" s="50"/>
      <c r="AF155" s="50"/>
      <c r="AG155" s="50"/>
      <c r="AH155" s="51" t="s">
        <v>922</v>
      </c>
      <c r="AI155" s="51">
        <v>1.0</v>
      </c>
      <c r="AJ155" s="51"/>
      <c r="AK155" s="51"/>
      <c r="AL155" s="51"/>
      <c r="AM155" s="51"/>
      <c r="AN155" s="51"/>
      <c r="AO155" s="51"/>
      <c r="AP155" s="51"/>
      <c r="AQ155" s="51"/>
      <c r="AR155" s="52">
        <v>1.0</v>
      </c>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c r="CA155" s="51"/>
      <c r="CB155" s="51"/>
    </row>
    <row r="156" ht="12.75" customHeight="1">
      <c r="A156" s="46" t="s">
        <v>124</v>
      </c>
      <c r="B156" s="68" t="str">
        <f>HYPERLINK("https://drive.google.com/open?id=1DIrQztc2iyOXdYbkTtjFYTLktt49lseS","Sharafi2013")</f>
        <v>Sharafi2013</v>
      </c>
      <c r="C156" s="48" t="s">
        <v>923</v>
      </c>
      <c r="D156" s="48" t="s">
        <v>819</v>
      </c>
      <c r="E156" s="49">
        <v>2013.0</v>
      </c>
      <c r="F156" s="50"/>
      <c r="G156" s="50">
        <v>1.0</v>
      </c>
      <c r="H156" s="50"/>
      <c r="I156" s="50"/>
      <c r="J156" s="50"/>
      <c r="K156" s="50"/>
      <c r="L156" s="50"/>
      <c r="M156" s="50"/>
      <c r="N156" s="50"/>
      <c r="O156" s="50"/>
      <c r="P156" s="50"/>
      <c r="Q156" s="50"/>
      <c r="R156" s="50"/>
      <c r="S156" s="50"/>
      <c r="T156" s="50"/>
      <c r="U156" s="50"/>
      <c r="V156" s="48"/>
      <c r="W156" s="48" t="s">
        <v>924</v>
      </c>
      <c r="X156" s="48" t="s">
        <v>925</v>
      </c>
      <c r="Y156" s="48" t="s">
        <v>906</v>
      </c>
      <c r="Z156" s="48" t="s">
        <v>926</v>
      </c>
      <c r="AA156" s="50">
        <v>1.0</v>
      </c>
      <c r="AB156" s="50"/>
      <c r="AC156" s="50"/>
      <c r="AD156" s="50">
        <v>1.0</v>
      </c>
      <c r="AE156" s="50"/>
      <c r="AF156" s="50"/>
      <c r="AG156" s="50"/>
      <c r="AH156" s="59"/>
      <c r="AI156" s="51">
        <v>1.0</v>
      </c>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2">
        <v>1.0</v>
      </c>
      <c r="BF156" s="51"/>
      <c r="BG156" s="51"/>
      <c r="BH156" s="51"/>
      <c r="BI156" s="51"/>
      <c r="BJ156" s="52">
        <v>1.0</v>
      </c>
      <c r="BK156" s="51"/>
      <c r="BL156" s="51"/>
      <c r="BM156" s="51"/>
      <c r="BN156" s="51"/>
      <c r="BO156" s="51"/>
      <c r="BP156" s="51"/>
      <c r="BQ156" s="51"/>
      <c r="BR156" s="51"/>
      <c r="BS156" s="51"/>
      <c r="BT156" s="51"/>
      <c r="BU156" s="51"/>
      <c r="BV156" s="51"/>
      <c r="BW156" s="51"/>
      <c r="BX156" s="51"/>
      <c r="BY156" s="51"/>
      <c r="BZ156" s="51"/>
      <c r="CA156" s="51"/>
      <c r="CB156" s="51">
        <v>1.0</v>
      </c>
    </row>
    <row r="157" ht="12.75" customHeight="1">
      <c r="A157" s="46" t="s">
        <v>124</v>
      </c>
      <c r="B157" s="68" t="str">
        <f>HYPERLINK("https://drive.google.com/open?id=1nBuZnHYAILgH2wb_2DvfsmbG_1xh8meU","Sharif2009a")</f>
        <v>Sharif2009a</v>
      </c>
      <c r="C157" s="48" t="s">
        <v>927</v>
      </c>
      <c r="D157" s="48" t="s">
        <v>819</v>
      </c>
      <c r="E157" s="49">
        <v>2009.0</v>
      </c>
      <c r="F157" s="50"/>
      <c r="G157" s="50"/>
      <c r="H157" s="50">
        <v>1.0</v>
      </c>
      <c r="I157" s="50"/>
      <c r="J157" s="50"/>
      <c r="K157" s="50"/>
      <c r="L157" s="50"/>
      <c r="M157" s="50"/>
      <c r="N157" s="50"/>
      <c r="O157" s="50">
        <v>1.0</v>
      </c>
      <c r="P157" s="50"/>
      <c r="Q157" s="50"/>
      <c r="R157" s="50"/>
      <c r="S157" s="50"/>
      <c r="T157" s="50"/>
      <c r="U157" s="50"/>
      <c r="V157" s="48"/>
      <c r="W157" s="48" t="s">
        <v>928</v>
      </c>
      <c r="X157" s="48" t="s">
        <v>929</v>
      </c>
      <c r="Y157" s="48" t="s">
        <v>930</v>
      </c>
      <c r="Z157" s="48" t="s">
        <v>931</v>
      </c>
      <c r="AA157" s="50">
        <v>1.0</v>
      </c>
      <c r="AB157" s="50"/>
      <c r="AC157" s="50"/>
      <c r="AD157" s="50">
        <v>1.0</v>
      </c>
      <c r="AE157" s="50"/>
      <c r="AF157" s="50"/>
      <c r="AG157" s="50"/>
      <c r="AH157" s="59"/>
      <c r="AI157" s="51">
        <v>1.0</v>
      </c>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2">
        <v>1.0</v>
      </c>
      <c r="BF157" s="51"/>
      <c r="BG157" s="51"/>
      <c r="BH157" s="51"/>
      <c r="BI157" s="51"/>
      <c r="BJ157" s="52">
        <v>1.0</v>
      </c>
      <c r="BK157" s="51"/>
      <c r="BL157" s="51"/>
      <c r="BM157" s="51"/>
      <c r="BN157" s="51"/>
      <c r="BO157" s="51"/>
      <c r="BP157" s="51"/>
      <c r="BQ157" s="51"/>
      <c r="BR157" s="51"/>
      <c r="BS157" s="51"/>
      <c r="BT157" s="51"/>
      <c r="BU157" s="51"/>
      <c r="BV157" s="51"/>
      <c r="BW157" s="51"/>
      <c r="BX157" s="51"/>
      <c r="BY157" s="51">
        <v>1.0</v>
      </c>
      <c r="BZ157" s="51"/>
      <c r="CA157" s="51">
        <v>1.0</v>
      </c>
      <c r="CB157" s="51"/>
    </row>
    <row r="158" ht="12.75" customHeight="1">
      <c r="A158" s="46" t="s">
        <v>124</v>
      </c>
      <c r="B158" s="68" t="str">
        <f>HYPERLINK("https://drive.google.com/open?id=1Akgz5tXhaeoAkZIgnFCinjHoP1_DmziM","Sharif2009b")</f>
        <v>Sharif2009b</v>
      </c>
      <c r="C158" s="48" t="s">
        <v>932</v>
      </c>
      <c r="D158" s="48" t="s">
        <v>933</v>
      </c>
      <c r="E158" s="49">
        <v>2009.0</v>
      </c>
      <c r="F158" s="50"/>
      <c r="G158" s="50"/>
      <c r="H158" s="50">
        <v>1.0</v>
      </c>
      <c r="I158" s="50"/>
      <c r="J158" s="50"/>
      <c r="K158" s="50"/>
      <c r="L158" s="50"/>
      <c r="M158" s="50"/>
      <c r="N158" s="50"/>
      <c r="O158" s="50">
        <v>1.0</v>
      </c>
      <c r="P158" s="50"/>
      <c r="Q158" s="50"/>
      <c r="R158" s="50"/>
      <c r="S158" s="50"/>
      <c r="T158" s="50"/>
      <c r="U158" s="50"/>
      <c r="V158" s="48"/>
      <c r="W158" s="48" t="s">
        <v>934</v>
      </c>
      <c r="X158" s="48" t="s">
        <v>935</v>
      </c>
      <c r="Y158" s="48"/>
      <c r="Z158" s="48" t="s">
        <v>936</v>
      </c>
      <c r="AA158" s="50">
        <v>1.0</v>
      </c>
      <c r="AB158" s="50"/>
      <c r="AC158" s="50"/>
      <c r="AD158" s="50">
        <v>1.0</v>
      </c>
      <c r="AE158" s="50"/>
      <c r="AF158" s="50"/>
      <c r="AG158" s="50"/>
      <c r="AH158" s="59"/>
      <c r="AI158" s="51">
        <v>1.0</v>
      </c>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2">
        <v>1.0</v>
      </c>
      <c r="BF158" s="51"/>
      <c r="BG158" s="51"/>
      <c r="BH158" s="51"/>
      <c r="BI158" s="51"/>
      <c r="BJ158" s="52">
        <v>1.0</v>
      </c>
      <c r="BK158" s="51"/>
      <c r="BL158" s="51"/>
      <c r="BM158" s="51"/>
      <c r="BN158" s="51"/>
      <c r="BO158" s="51"/>
      <c r="BP158" s="51"/>
      <c r="BQ158" s="51"/>
      <c r="BR158" s="51"/>
      <c r="BS158" s="51"/>
      <c r="BT158" s="51"/>
      <c r="BU158" s="51"/>
      <c r="BV158" s="51"/>
      <c r="BW158" s="51"/>
      <c r="BX158" s="51"/>
      <c r="BY158" s="51"/>
      <c r="BZ158" s="51"/>
      <c r="CA158" s="51"/>
      <c r="CB158" s="51"/>
    </row>
    <row r="159" ht="12.75" customHeight="1">
      <c r="A159" s="46" t="s">
        <v>124</v>
      </c>
      <c r="B159" s="67" t="str">
        <f>HYPERLINK("https://drive.google.com/open?id=1Bldk_ahFE2e5ysjUuMhXScrawqCwEnuj","Sharif2010a")</f>
        <v>Sharif2010a</v>
      </c>
      <c r="C159" s="55" t="s">
        <v>937</v>
      </c>
      <c r="D159" s="48" t="s">
        <v>442</v>
      </c>
      <c r="E159" s="49">
        <v>2010.0</v>
      </c>
      <c r="F159" s="50"/>
      <c r="G159" s="50"/>
      <c r="H159" s="50">
        <v>1.0</v>
      </c>
      <c r="I159" s="50"/>
      <c r="J159" s="50"/>
      <c r="K159" s="50"/>
      <c r="L159" s="50"/>
      <c r="M159" s="50"/>
      <c r="N159" s="50"/>
      <c r="O159" s="50"/>
      <c r="P159" s="50"/>
      <c r="Q159" s="50"/>
      <c r="R159" s="50"/>
      <c r="S159" s="50"/>
      <c r="T159" s="50"/>
      <c r="U159" s="50"/>
      <c r="V159" s="48"/>
      <c r="W159" s="48" t="s">
        <v>197</v>
      </c>
      <c r="X159" s="48" t="s">
        <v>938</v>
      </c>
      <c r="Y159" s="48" t="s">
        <v>906</v>
      </c>
      <c r="Z159" s="48" t="s">
        <v>939</v>
      </c>
      <c r="AA159" s="50">
        <v>1.0</v>
      </c>
      <c r="AB159" s="50"/>
      <c r="AC159" s="50"/>
      <c r="AD159" s="50">
        <v>1.0</v>
      </c>
      <c r="AE159" s="50"/>
      <c r="AF159" s="50"/>
      <c r="AG159" s="50"/>
      <c r="AH159" s="59"/>
      <c r="AI159" s="51">
        <v>1.0</v>
      </c>
      <c r="AJ159" s="51"/>
      <c r="AK159" s="51"/>
      <c r="AL159" s="51"/>
      <c r="AM159" s="51"/>
      <c r="AN159" s="51"/>
      <c r="AO159" s="51"/>
      <c r="AP159" s="51"/>
      <c r="AQ159" s="51"/>
      <c r="AR159" s="51">
        <v>1.0</v>
      </c>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c r="BO159" s="51"/>
      <c r="BP159" s="51"/>
      <c r="BQ159" s="51"/>
      <c r="BR159" s="51"/>
      <c r="BS159" s="51"/>
      <c r="BT159" s="51"/>
      <c r="BU159" s="51"/>
      <c r="BV159" s="51"/>
      <c r="BW159" s="51"/>
      <c r="BX159" s="51"/>
      <c r="BY159" s="51"/>
      <c r="BZ159" s="51">
        <v>1.0</v>
      </c>
      <c r="CA159" s="51"/>
      <c r="CB159" s="51"/>
    </row>
    <row r="160" ht="12.75" customHeight="1">
      <c r="A160" s="46" t="s">
        <v>124</v>
      </c>
      <c r="B160" s="68" t="str">
        <f>HYPERLINK("https://drive.google.com/open?id=14xNvnYgrUjeB0bh4M3ixKkxRB6A1lAii","Sharif2010b")</f>
        <v>Sharif2010b</v>
      </c>
      <c r="C160" s="48" t="s">
        <v>940</v>
      </c>
      <c r="D160" s="48" t="s">
        <v>819</v>
      </c>
      <c r="E160" s="49">
        <v>2010.0</v>
      </c>
      <c r="F160" s="50"/>
      <c r="G160" s="50"/>
      <c r="H160" s="50"/>
      <c r="I160" s="50">
        <v>1.0</v>
      </c>
      <c r="J160" s="50"/>
      <c r="K160" s="50"/>
      <c r="L160" s="50"/>
      <c r="M160" s="50"/>
      <c r="N160" s="50"/>
      <c r="O160" s="50"/>
      <c r="P160" s="50"/>
      <c r="Q160" s="50"/>
      <c r="R160" s="50"/>
      <c r="S160" s="50"/>
      <c r="T160" s="50"/>
      <c r="U160" s="50"/>
      <c r="V160" s="48"/>
      <c r="W160" s="48" t="s">
        <v>941</v>
      </c>
      <c r="X160" s="48" t="s">
        <v>942</v>
      </c>
      <c r="Y160" s="48" t="s">
        <v>906</v>
      </c>
      <c r="Z160" s="48" t="s">
        <v>943</v>
      </c>
      <c r="AA160" s="50">
        <v>1.0</v>
      </c>
      <c r="AB160" s="50"/>
      <c r="AC160" s="50"/>
      <c r="AD160" s="50">
        <v>1.0</v>
      </c>
      <c r="AE160" s="50"/>
      <c r="AF160" s="50"/>
      <c r="AG160" s="50"/>
      <c r="AH160" s="59"/>
      <c r="AI160" s="51">
        <v>1.0</v>
      </c>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2">
        <v>1.0</v>
      </c>
      <c r="BF160" s="51"/>
      <c r="BG160" s="51"/>
      <c r="BH160" s="51"/>
      <c r="BI160" s="51"/>
      <c r="BJ160" s="52">
        <v>1.0</v>
      </c>
      <c r="BK160" s="51"/>
      <c r="BL160" s="51"/>
      <c r="BM160" s="51"/>
      <c r="BN160" s="51"/>
      <c r="BO160" s="51"/>
      <c r="BP160" s="51"/>
      <c r="BQ160" s="51"/>
      <c r="BR160" s="51"/>
      <c r="BS160" s="51"/>
      <c r="BT160" s="51"/>
      <c r="BU160" s="51"/>
      <c r="BV160" s="51"/>
      <c r="BW160" s="51"/>
      <c r="BX160" s="51"/>
      <c r="BY160" s="51"/>
      <c r="BZ160" s="51">
        <v>1.0</v>
      </c>
      <c r="CA160" s="51"/>
      <c r="CB160" s="51"/>
    </row>
    <row r="161" ht="12.75" customHeight="1">
      <c r="A161" s="46" t="s">
        <v>124</v>
      </c>
      <c r="B161" s="79" t="str">
        <f>HYPERLINK("https://drive.google.com/open?id=0B-nn5iJ29NJabUROLUNvbE5BMUk","Sharif2016")</f>
        <v>Sharif2016</v>
      </c>
      <c r="C161" s="80" t="s">
        <v>944</v>
      </c>
      <c r="D161" s="80" t="s">
        <v>945</v>
      </c>
      <c r="E161" s="49">
        <v>2016.0</v>
      </c>
      <c r="F161" s="50"/>
      <c r="G161" s="50">
        <v>1.0</v>
      </c>
      <c r="H161" s="50"/>
      <c r="I161" s="50">
        <v>1.0</v>
      </c>
      <c r="J161" s="50"/>
      <c r="K161" s="50">
        <v>1.0</v>
      </c>
      <c r="L161" s="50"/>
      <c r="M161" s="50"/>
      <c r="N161" s="50"/>
      <c r="O161" s="50"/>
      <c r="P161" s="50"/>
      <c r="Q161" s="50"/>
      <c r="R161" s="50"/>
      <c r="S161" s="50"/>
      <c r="T161" s="50"/>
      <c r="U161" s="50"/>
      <c r="V161" s="48"/>
      <c r="W161" s="48" t="s">
        <v>946</v>
      </c>
      <c r="X161" s="48" t="s">
        <v>947</v>
      </c>
      <c r="Y161" s="48" t="s">
        <v>948</v>
      </c>
      <c r="Z161" s="48" t="s">
        <v>949</v>
      </c>
      <c r="AA161" s="50"/>
      <c r="AB161" s="50">
        <v>1.0</v>
      </c>
      <c r="AC161" s="50">
        <v>1.0</v>
      </c>
      <c r="AD161" s="50"/>
      <c r="AE161" s="50"/>
      <c r="AF161" s="50"/>
      <c r="AG161" s="50">
        <v>1.0</v>
      </c>
      <c r="AH161" s="59"/>
      <c r="AI161" s="51">
        <v>1.0</v>
      </c>
      <c r="AJ161" s="51"/>
      <c r="AK161" s="51"/>
      <c r="AL161" s="51"/>
      <c r="AM161" s="51"/>
      <c r="AN161" s="51"/>
      <c r="AO161" s="51"/>
      <c r="AP161" s="51"/>
      <c r="AQ161" s="51"/>
      <c r="AR161" s="51">
        <v>1.0</v>
      </c>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v>1.0</v>
      </c>
    </row>
    <row r="162" ht="12.75" customHeight="1">
      <c r="A162" s="46" t="s">
        <v>88</v>
      </c>
      <c r="B162" s="47" t="str">
        <f>HYPERLINK("https://drive.google.com/open?id=1tgGltRu4TPSGOjLCxP7Z2HXyFZlRjE9t","Sheetz2001")</f>
        <v>Sheetz2001</v>
      </c>
      <c r="C162" s="48" t="s">
        <v>950</v>
      </c>
      <c r="D162" s="48" t="s">
        <v>951</v>
      </c>
      <c r="E162" s="49">
        <v>2001.0</v>
      </c>
      <c r="F162" s="50"/>
      <c r="G162" s="50"/>
      <c r="H162" s="50">
        <v>1.0</v>
      </c>
      <c r="I162" s="50"/>
      <c r="J162" s="50"/>
      <c r="K162" s="50"/>
      <c r="L162" s="50"/>
      <c r="M162" s="50"/>
      <c r="N162" s="50"/>
      <c r="O162" s="50"/>
      <c r="P162" s="50"/>
      <c r="Q162" s="50"/>
      <c r="R162" s="50"/>
      <c r="S162" s="50"/>
      <c r="T162" s="50"/>
      <c r="U162" s="50"/>
      <c r="V162" s="51"/>
      <c r="W162" s="51" t="s">
        <v>952</v>
      </c>
      <c r="X162" s="51" t="s">
        <v>953</v>
      </c>
      <c r="Y162" s="51" t="s">
        <v>954</v>
      </c>
      <c r="Z162" s="51" t="s">
        <v>100</v>
      </c>
      <c r="AA162" s="50">
        <v>1.0</v>
      </c>
      <c r="AB162" s="50"/>
      <c r="AC162" s="50"/>
      <c r="AD162" s="50">
        <v>1.0</v>
      </c>
      <c r="AE162" s="50"/>
      <c r="AF162" s="50"/>
      <c r="AG162" s="50"/>
      <c r="AH162" s="51"/>
      <c r="AI162" s="51">
        <v>1.0</v>
      </c>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v>1.0</v>
      </c>
      <c r="BG162" s="51"/>
      <c r="BH162" s="51"/>
      <c r="BI162" s="51"/>
      <c r="BJ162" s="52">
        <v>1.0</v>
      </c>
      <c r="BK162" s="51"/>
      <c r="BL162" s="51"/>
      <c r="BM162" s="52">
        <v>1.0</v>
      </c>
      <c r="BN162" s="51"/>
      <c r="BO162" s="51"/>
      <c r="BP162" s="51"/>
      <c r="BQ162" s="51"/>
      <c r="BR162" s="51"/>
      <c r="BS162" s="51"/>
      <c r="BT162" s="51"/>
      <c r="BU162" s="51">
        <v>1.0</v>
      </c>
      <c r="BV162" s="51"/>
      <c r="BW162" s="51"/>
      <c r="BX162" s="51"/>
      <c r="BY162" s="51"/>
      <c r="BZ162" s="51"/>
      <c r="CA162" s="51"/>
      <c r="CB162" s="51"/>
    </row>
    <row r="163" ht="12.75" customHeight="1">
      <c r="A163" s="46" t="s">
        <v>108</v>
      </c>
      <c r="B163" s="82" t="str">
        <f>HYPERLINK("https://drive.google.com/open?id=1C879kkuAmjVC34ynYjQ3dn16vinOliiZ","Shmueli2015")</f>
        <v>Shmueli2015</v>
      </c>
      <c r="C163" s="83" t="s">
        <v>955</v>
      </c>
      <c r="D163" s="83" t="s">
        <v>661</v>
      </c>
      <c r="E163" s="84">
        <v>2015.0</v>
      </c>
      <c r="F163" s="72"/>
      <c r="G163" s="72">
        <v>1.0</v>
      </c>
      <c r="H163" s="72"/>
      <c r="I163" s="72"/>
      <c r="J163" s="72"/>
      <c r="K163" s="72"/>
      <c r="L163" s="72"/>
      <c r="M163" s="72">
        <v>1.0</v>
      </c>
      <c r="N163" s="72"/>
      <c r="O163" s="72"/>
      <c r="P163" s="72"/>
      <c r="Q163" s="72"/>
      <c r="R163" s="72"/>
      <c r="S163" s="72"/>
      <c r="T163" s="72"/>
      <c r="U163" s="72"/>
      <c r="V163" s="85"/>
      <c r="W163" s="48" t="s">
        <v>359</v>
      </c>
      <c r="X163" s="85"/>
      <c r="Y163" s="85"/>
      <c r="Z163" s="85" t="s">
        <v>956</v>
      </c>
      <c r="AA163" s="72"/>
      <c r="AB163" s="72"/>
      <c r="AC163" s="72"/>
      <c r="AD163" s="72"/>
      <c r="AE163" s="72"/>
      <c r="AF163" s="72"/>
      <c r="AG163" s="72"/>
      <c r="AH163" s="86"/>
      <c r="AI163" s="51">
        <v>1.0</v>
      </c>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v>1.0</v>
      </c>
      <c r="BJ163" s="51"/>
      <c r="BK163" s="51"/>
      <c r="BL163" s="51"/>
      <c r="BM163" s="51"/>
      <c r="BN163" s="51"/>
      <c r="BO163" s="51"/>
      <c r="BP163" s="51"/>
      <c r="BQ163" s="51"/>
      <c r="BR163" s="51"/>
      <c r="BS163" s="51"/>
      <c r="BT163" s="51"/>
      <c r="BU163" s="51"/>
      <c r="BV163" s="51"/>
      <c r="BW163" s="51"/>
      <c r="BX163" s="51"/>
      <c r="BY163" s="51"/>
      <c r="BZ163" s="51"/>
      <c r="CA163" s="51"/>
      <c r="CB163" s="51"/>
    </row>
    <row r="164" ht="12.75" customHeight="1">
      <c r="A164" s="46" t="s">
        <v>124</v>
      </c>
      <c r="B164" s="56" t="str">
        <f>HYPERLINK("https://drive.google.com/open?id=0B-nn5iJ29NJadmhMQXRBdzEyNWc","Shmueli2016")</f>
        <v>Shmueli2016</v>
      </c>
      <c r="C164" s="55" t="s">
        <v>957</v>
      </c>
      <c r="D164" s="55" t="s">
        <v>181</v>
      </c>
      <c r="E164" s="57">
        <v>2016.0</v>
      </c>
      <c r="F164" s="58"/>
      <c r="G164" s="50"/>
      <c r="H164" s="50"/>
      <c r="I164" s="50"/>
      <c r="J164" s="50"/>
      <c r="K164" s="50"/>
      <c r="L164" s="50"/>
      <c r="M164" s="50">
        <v>1.0</v>
      </c>
      <c r="N164" s="50"/>
      <c r="O164" s="50"/>
      <c r="P164" s="50"/>
      <c r="Q164" s="50"/>
      <c r="R164" s="50"/>
      <c r="S164" s="50"/>
      <c r="T164" s="50"/>
      <c r="U164" s="50"/>
      <c r="V164" s="48" t="s">
        <v>958</v>
      </c>
      <c r="W164" s="48" t="s">
        <v>959</v>
      </c>
      <c r="X164" s="48" t="s">
        <v>960</v>
      </c>
      <c r="Y164" s="48" t="s">
        <v>961</v>
      </c>
      <c r="Z164" s="48" t="s">
        <v>962</v>
      </c>
      <c r="AA164" s="50"/>
      <c r="AB164" s="50">
        <v>1.0</v>
      </c>
      <c r="AC164" s="50"/>
      <c r="AD164" s="50">
        <v>1.0</v>
      </c>
      <c r="AE164" s="50"/>
      <c r="AF164" s="50"/>
      <c r="AG164" s="50"/>
      <c r="AH164" s="59"/>
      <c r="AI164" s="51">
        <v>1.0</v>
      </c>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v>1.0</v>
      </c>
      <c r="BJ164" s="51"/>
      <c r="BK164" s="51"/>
      <c r="BL164" s="51"/>
      <c r="BM164" s="51"/>
      <c r="BN164" s="51"/>
      <c r="BO164" s="51"/>
      <c r="BP164" s="51"/>
      <c r="BQ164" s="51"/>
      <c r="BR164" s="51"/>
      <c r="BS164" s="51"/>
      <c r="BT164" s="51"/>
      <c r="BU164" s="51"/>
      <c r="BV164" s="51"/>
      <c r="BW164" s="51"/>
      <c r="BX164" s="51"/>
      <c r="BY164" s="51">
        <v>1.0</v>
      </c>
      <c r="BZ164" s="51"/>
      <c r="CA164" s="51"/>
      <c r="CB164" s="51"/>
    </row>
    <row r="165" ht="12.75" customHeight="1">
      <c r="A165" s="46" t="s">
        <v>116</v>
      </c>
      <c r="B165" s="67" t="str">
        <f>HYPERLINK("https://drive.google.com/open?id=11X0vA1uM-IcNV3FYu-tvy2akLnL4vZsb","Shneiderman1979")</f>
        <v>Shneiderman1979</v>
      </c>
      <c r="C165" s="63" t="s">
        <v>963</v>
      </c>
      <c r="D165" s="63" t="s">
        <v>964</v>
      </c>
      <c r="E165" s="49">
        <v>1979.0</v>
      </c>
      <c r="F165" s="50"/>
      <c r="G165" s="50"/>
      <c r="H165" s="50"/>
      <c r="I165" s="50">
        <v>1.0</v>
      </c>
      <c r="J165" s="50">
        <v>1.0</v>
      </c>
      <c r="K165" s="50">
        <v>1.0</v>
      </c>
      <c r="L165" s="50"/>
      <c r="M165" s="50"/>
      <c r="N165" s="50"/>
      <c r="O165" s="50"/>
      <c r="P165" s="50"/>
      <c r="Q165" s="50"/>
      <c r="R165" s="50"/>
      <c r="S165" s="50"/>
      <c r="T165" s="50"/>
      <c r="U165" s="50"/>
      <c r="V165" s="51"/>
      <c r="W165" s="51" t="s">
        <v>965</v>
      </c>
      <c r="X165" s="51" t="s">
        <v>966</v>
      </c>
      <c r="Y165" s="51" t="s">
        <v>967</v>
      </c>
      <c r="Z165" s="51" t="s">
        <v>122</v>
      </c>
      <c r="AA165" s="50">
        <v>1.0</v>
      </c>
      <c r="AB165" s="50">
        <v>1.0</v>
      </c>
      <c r="AC165" s="50"/>
      <c r="AD165" s="50">
        <v>1.0</v>
      </c>
      <c r="AE165" s="50"/>
      <c r="AF165" s="50"/>
      <c r="AG165" s="50"/>
      <c r="AH165" s="51" t="s">
        <v>968</v>
      </c>
      <c r="AI165" s="51">
        <v>1.0</v>
      </c>
      <c r="AJ165" s="51"/>
      <c r="AK165" s="51"/>
      <c r="AL165" s="51"/>
      <c r="AM165" s="51"/>
      <c r="AN165" s="51"/>
      <c r="AO165" s="51">
        <v>1.0</v>
      </c>
      <c r="AP165" s="51">
        <v>1.0</v>
      </c>
      <c r="AQ165" s="51">
        <v>1.0</v>
      </c>
      <c r="AR165" s="51"/>
      <c r="AS165" s="51"/>
      <c r="AT165" s="51"/>
      <c r="AU165" s="51"/>
      <c r="AV165" s="51"/>
      <c r="AW165" s="51"/>
      <c r="AX165" s="51"/>
      <c r="AY165" s="51"/>
      <c r="AZ165" s="51"/>
      <c r="BA165" s="51"/>
      <c r="BB165" s="51"/>
      <c r="BC165" s="51"/>
      <c r="BD165" s="51"/>
      <c r="BE165" s="51">
        <v>1.0</v>
      </c>
      <c r="BF165" s="51"/>
      <c r="BG165" s="51"/>
      <c r="BH165" s="51"/>
      <c r="BI165" s="51"/>
      <c r="BJ165" s="51">
        <v>1.0</v>
      </c>
      <c r="BK165" s="51"/>
      <c r="BL165" s="51"/>
      <c r="BM165" s="51"/>
      <c r="BN165" s="51"/>
      <c r="BO165" s="51"/>
      <c r="BP165" s="51"/>
      <c r="BQ165" s="51"/>
      <c r="BR165" s="51"/>
      <c r="BS165" s="51"/>
      <c r="BT165" s="51"/>
      <c r="BU165" s="51"/>
      <c r="BV165" s="51"/>
      <c r="BW165" s="51"/>
      <c r="BX165" s="51"/>
      <c r="BY165" s="51">
        <v>1.0</v>
      </c>
      <c r="BZ165" s="51"/>
      <c r="CA165" s="51"/>
      <c r="CB165" s="51"/>
    </row>
    <row r="166" ht="12.75" customHeight="1">
      <c r="A166" s="46" t="s">
        <v>116</v>
      </c>
      <c r="B166" s="56" t="str">
        <f>HYPERLINK("https://drive.google.com/open?id=0B1GMAYMj9v6rRUFVTUlUbjBpMlU","Shull2013")</f>
        <v>Shull2013</v>
      </c>
      <c r="C166" s="55" t="s">
        <v>969</v>
      </c>
      <c r="D166" s="55" t="s">
        <v>560</v>
      </c>
      <c r="E166" s="57">
        <v>2013.0</v>
      </c>
      <c r="F166" s="50"/>
      <c r="G166" s="50">
        <v>1.0</v>
      </c>
      <c r="H166" s="50">
        <v>1.0</v>
      </c>
      <c r="I166" s="50">
        <v>1.0</v>
      </c>
      <c r="J166" s="50"/>
      <c r="K166" s="50"/>
      <c r="L166" s="50"/>
      <c r="M166" s="50"/>
      <c r="N166" s="50"/>
      <c r="O166" s="50"/>
      <c r="P166" s="50"/>
      <c r="Q166" s="50"/>
      <c r="R166" s="50"/>
      <c r="S166" s="50"/>
      <c r="T166" s="50"/>
      <c r="U166" s="50"/>
      <c r="V166" s="51"/>
      <c r="W166" s="51" t="s">
        <v>70</v>
      </c>
      <c r="X166" s="51"/>
      <c r="Y166" s="51"/>
      <c r="Z166" s="51"/>
      <c r="AA166" s="50"/>
      <c r="AB166" s="50"/>
      <c r="AC166" s="50"/>
      <c r="AD166" s="50"/>
      <c r="AE166" s="50"/>
      <c r="AF166" s="50"/>
      <c r="AG166" s="50">
        <v>1.0</v>
      </c>
      <c r="AH166" s="51" t="s">
        <v>970</v>
      </c>
      <c r="AI166" s="51">
        <v>1.0</v>
      </c>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v>1.0</v>
      </c>
      <c r="BJ166" s="51"/>
      <c r="BK166" s="51"/>
      <c r="BL166" s="51"/>
      <c r="BM166" s="51"/>
      <c r="BN166" s="51"/>
      <c r="BO166" s="51"/>
      <c r="BP166" s="51"/>
      <c r="BQ166" s="51"/>
      <c r="BR166" s="51"/>
      <c r="BS166" s="51"/>
      <c r="BT166" s="51"/>
      <c r="BU166" s="51"/>
      <c r="BV166" s="51"/>
      <c r="BW166" s="51"/>
      <c r="BX166" s="51"/>
      <c r="BY166" s="51"/>
      <c r="BZ166" s="51"/>
      <c r="CA166" s="51"/>
      <c r="CB166" s="51"/>
    </row>
    <row r="167" ht="12.75" customHeight="1">
      <c r="A167" s="46" t="s">
        <v>88</v>
      </c>
      <c r="B167" s="53" t="str">
        <f>HYPERLINK("https://drive.google.com/open?id=1rEBXK4H94pv2rySvtXqs5lUXrEnkw0nX","Shum1997")</f>
        <v>Shum1997</v>
      </c>
      <c r="C167" s="48" t="s">
        <v>971</v>
      </c>
      <c r="D167" s="48" t="s">
        <v>852</v>
      </c>
      <c r="E167" s="49">
        <v>1997.0</v>
      </c>
      <c r="F167" s="50"/>
      <c r="G167" s="50"/>
      <c r="H167" s="50">
        <v>1.0</v>
      </c>
      <c r="I167" s="50"/>
      <c r="J167" s="50"/>
      <c r="K167" s="50"/>
      <c r="L167" s="50"/>
      <c r="M167" s="50"/>
      <c r="N167" s="50"/>
      <c r="O167" s="50"/>
      <c r="P167" s="50"/>
      <c r="Q167" s="50"/>
      <c r="R167" s="50"/>
      <c r="S167" s="50"/>
      <c r="T167" s="50"/>
      <c r="U167" s="50"/>
      <c r="V167" s="51"/>
      <c r="W167" s="51" t="s">
        <v>972</v>
      </c>
      <c r="X167" s="51" t="s">
        <v>92</v>
      </c>
      <c r="Y167" s="51" t="s">
        <v>92</v>
      </c>
      <c r="Z167" s="51" t="s">
        <v>973</v>
      </c>
      <c r="AA167" s="50"/>
      <c r="AB167" s="50"/>
      <c r="AC167" s="50"/>
      <c r="AD167" s="50">
        <v>1.0</v>
      </c>
      <c r="AE167" s="50"/>
      <c r="AF167" s="50"/>
      <c r="AG167" s="50"/>
      <c r="AH167" s="51" t="s">
        <v>974</v>
      </c>
      <c r="AI167" s="51">
        <v>1.0</v>
      </c>
      <c r="AJ167" s="51"/>
      <c r="AK167" s="51"/>
      <c r="AL167" s="51"/>
      <c r="AM167" s="51"/>
      <c r="AN167" s="51"/>
      <c r="AO167" s="51"/>
      <c r="AP167" s="51"/>
      <c r="AQ167" s="51"/>
      <c r="AR167" s="51"/>
      <c r="AS167" s="51"/>
      <c r="AT167" s="51">
        <v>1.0</v>
      </c>
      <c r="AU167" s="51"/>
      <c r="AV167" s="51"/>
      <c r="AW167" s="51"/>
      <c r="AX167" s="51"/>
      <c r="AY167" s="51"/>
      <c r="AZ167" s="51"/>
      <c r="BA167" s="51"/>
      <c r="BB167" s="51"/>
      <c r="BC167" s="51"/>
      <c r="BD167" s="51"/>
      <c r="BE167" s="51"/>
      <c r="BF167" s="51"/>
      <c r="BG167" s="51"/>
      <c r="BH167" s="51"/>
      <c r="BI167" s="51"/>
      <c r="BJ167" s="51"/>
      <c r="BK167" s="51"/>
      <c r="BL167" s="51"/>
      <c r="BM167" s="51"/>
      <c r="BN167" s="51"/>
      <c r="BO167" s="51"/>
      <c r="BP167" s="51"/>
      <c r="BQ167" s="51"/>
      <c r="BR167" s="51"/>
      <c r="BS167" s="51"/>
      <c r="BT167" s="51"/>
      <c r="BU167" s="51"/>
      <c r="BV167" s="51"/>
      <c r="BW167" s="51"/>
      <c r="BX167" s="51"/>
      <c r="BY167" s="51"/>
      <c r="BZ167" s="51"/>
      <c r="CA167" s="51"/>
      <c r="CB167" s="51"/>
    </row>
    <row r="168" ht="12.75" customHeight="1">
      <c r="A168" s="46" t="s">
        <v>116</v>
      </c>
      <c r="B168" s="56" t="str">
        <f>HYPERLINK("https://drive.google.com/open?id=0B1GMAYMj9v6rN1lFRVpJb0tIN00","Shum2006")</f>
        <v>Shum2006</v>
      </c>
      <c r="C168" s="55" t="s">
        <v>975</v>
      </c>
      <c r="D168" s="55" t="s">
        <v>976</v>
      </c>
      <c r="E168" s="49">
        <v>2006.0</v>
      </c>
      <c r="F168" s="50"/>
      <c r="G168" s="50"/>
      <c r="H168" s="50">
        <v>1.0</v>
      </c>
      <c r="I168" s="50"/>
      <c r="J168" s="50"/>
      <c r="K168" s="50"/>
      <c r="L168" s="50"/>
      <c r="M168" s="50"/>
      <c r="N168" s="50"/>
      <c r="O168" s="50"/>
      <c r="P168" s="50"/>
      <c r="Q168" s="50">
        <v>1.0</v>
      </c>
      <c r="R168" s="50"/>
      <c r="S168" s="50"/>
      <c r="T168" s="50"/>
      <c r="U168" s="50"/>
      <c r="V168" s="51" t="s">
        <v>977</v>
      </c>
      <c r="W168" s="51"/>
      <c r="X168" s="51"/>
      <c r="Y168" s="51"/>
      <c r="Z168" s="51" t="s">
        <v>978</v>
      </c>
      <c r="AA168" s="50"/>
      <c r="AB168" s="50"/>
      <c r="AC168" s="50">
        <v>1.0</v>
      </c>
      <c r="AD168" s="50"/>
      <c r="AE168" s="50"/>
      <c r="AF168" s="50"/>
      <c r="AG168" s="50"/>
      <c r="AH168" s="51" t="s">
        <v>979</v>
      </c>
      <c r="AI168" s="51">
        <v>1.0</v>
      </c>
      <c r="AJ168" s="51"/>
      <c r="AK168" s="51"/>
      <c r="AL168" s="51"/>
      <c r="AM168" s="51"/>
      <c r="AN168" s="51"/>
      <c r="AO168" s="51"/>
      <c r="AP168" s="51"/>
      <c r="AQ168" s="51"/>
      <c r="AR168" s="51">
        <v>1.0</v>
      </c>
      <c r="AS168" s="51"/>
      <c r="AT168" s="51"/>
      <c r="AU168" s="51"/>
      <c r="AV168" s="51"/>
      <c r="AW168" s="51"/>
      <c r="AX168" s="51"/>
      <c r="AY168" s="51"/>
      <c r="AZ168" s="51"/>
      <c r="BA168" s="51"/>
      <c r="BB168" s="51"/>
      <c r="BC168" s="51"/>
      <c r="BD168" s="51"/>
      <c r="BE168" s="51"/>
      <c r="BF168" s="51">
        <v>1.0</v>
      </c>
      <c r="BG168" s="51"/>
      <c r="BH168" s="51"/>
      <c r="BI168" s="51"/>
      <c r="BJ168" s="51"/>
      <c r="BK168" s="51"/>
      <c r="BL168" s="51"/>
      <c r="BM168" s="51"/>
      <c r="BN168" s="51"/>
      <c r="BO168" s="51"/>
      <c r="BP168" s="51"/>
      <c r="BQ168" s="51"/>
      <c r="BR168" s="51"/>
      <c r="BS168" s="51"/>
      <c r="BT168" s="51"/>
      <c r="BU168" s="51"/>
      <c r="BV168" s="51"/>
      <c r="BW168" s="51"/>
      <c r="BX168" s="51"/>
      <c r="BY168" s="51"/>
      <c r="BZ168" s="51"/>
      <c r="CA168" s="51"/>
      <c r="CB168" s="51"/>
    </row>
    <row r="169" ht="12.75" customHeight="1">
      <c r="A169" s="46" t="s">
        <v>172</v>
      </c>
      <c r="B169" s="67" t="str">
        <f>HYPERLINK("https://drive.google.com/open?id=17PWH79etvFNbgkdKlNAMyzoeDa-Tsz0v","Siau1996")</f>
        <v>Siau1996</v>
      </c>
      <c r="C169" s="63" t="s">
        <v>980</v>
      </c>
      <c r="D169" s="55" t="s">
        <v>981</v>
      </c>
      <c r="E169" s="55">
        <v>1996.0</v>
      </c>
      <c r="F169" s="55"/>
      <c r="G169" s="55">
        <v>1.0</v>
      </c>
      <c r="H169" s="55"/>
      <c r="I169" s="55"/>
      <c r="J169" s="55"/>
      <c r="K169" s="55"/>
      <c r="L169" s="55"/>
      <c r="M169" s="55"/>
      <c r="N169" s="55"/>
      <c r="O169" s="55"/>
      <c r="P169" s="55"/>
      <c r="Q169" s="55"/>
      <c r="R169" s="55"/>
      <c r="S169" s="55"/>
      <c r="T169" s="55"/>
      <c r="U169" s="55"/>
      <c r="V169" s="55"/>
      <c r="W169" s="55" t="s">
        <v>982</v>
      </c>
      <c r="X169" s="55" t="s">
        <v>983</v>
      </c>
      <c r="Y169" s="55" t="s">
        <v>984</v>
      </c>
      <c r="Z169" s="55" t="s">
        <v>100</v>
      </c>
      <c r="AA169" s="55">
        <v>1.0</v>
      </c>
      <c r="AB169" s="55"/>
      <c r="AC169" s="55"/>
      <c r="AD169" s="55">
        <v>1.0</v>
      </c>
      <c r="AE169" s="55"/>
      <c r="AF169" s="55"/>
      <c r="AG169" s="55"/>
      <c r="AH169" s="48" t="s">
        <v>985</v>
      </c>
      <c r="AI169" s="51">
        <v>1.0</v>
      </c>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v>1.0</v>
      </c>
      <c r="BJ169" s="51"/>
      <c r="BK169" s="51"/>
      <c r="BL169" s="51"/>
      <c r="BM169" s="51"/>
      <c r="BN169" s="51"/>
      <c r="BO169" s="51"/>
      <c r="BP169" s="51"/>
      <c r="BQ169" s="51"/>
      <c r="BR169" s="51"/>
      <c r="BS169" s="51"/>
      <c r="BT169" s="51"/>
      <c r="BU169" s="51"/>
      <c r="BV169" s="51"/>
      <c r="BW169" s="51"/>
      <c r="BX169" s="51"/>
      <c r="BY169" s="51"/>
      <c r="BZ169" s="51"/>
      <c r="CA169" s="51">
        <v>1.0</v>
      </c>
      <c r="CB169" s="51"/>
    </row>
    <row r="170" ht="12.75" customHeight="1">
      <c r="A170" s="46" t="s">
        <v>108</v>
      </c>
      <c r="B170" s="56" t="str">
        <f>HYPERLINK("https://pdfs.semanticscholar.org/b585/4a4953099818013e8ceae9d002e761bd0eb2.pdf","Siau2004")</f>
        <v>Siau2004</v>
      </c>
      <c r="C170" s="55" t="s">
        <v>986</v>
      </c>
      <c r="D170" s="55" t="s">
        <v>987</v>
      </c>
      <c r="E170" s="49">
        <v>2004.0</v>
      </c>
      <c r="F170" s="50"/>
      <c r="G170" s="50"/>
      <c r="H170" s="50">
        <v>1.0</v>
      </c>
      <c r="I170" s="50"/>
      <c r="J170" s="50"/>
      <c r="K170" s="50"/>
      <c r="L170" s="50"/>
      <c r="M170" s="50"/>
      <c r="N170" s="50"/>
      <c r="O170" s="50"/>
      <c r="P170" s="50"/>
      <c r="Q170" s="50"/>
      <c r="R170" s="50"/>
      <c r="S170" s="50"/>
      <c r="T170" s="50"/>
      <c r="U170" s="50"/>
      <c r="V170" s="48" t="s">
        <v>988</v>
      </c>
      <c r="W170" s="48" t="s">
        <v>989</v>
      </c>
      <c r="X170" s="48" t="s">
        <v>221</v>
      </c>
      <c r="Y170" s="48" t="s">
        <v>221</v>
      </c>
      <c r="Z170" s="48" t="s">
        <v>542</v>
      </c>
      <c r="AA170" s="50">
        <v>1.0</v>
      </c>
      <c r="AB170" s="50"/>
      <c r="AC170" s="50">
        <v>1.0</v>
      </c>
      <c r="AD170" s="50"/>
      <c r="AE170" s="50"/>
      <c r="AF170" s="50"/>
      <c r="AG170" s="50"/>
      <c r="AH170" s="51" t="s">
        <v>990</v>
      </c>
      <c r="AI170" s="51">
        <v>1.0</v>
      </c>
      <c r="AJ170" s="51"/>
      <c r="AK170" s="51"/>
      <c r="AL170" s="51"/>
      <c r="AM170" s="51"/>
      <c r="AN170" s="51">
        <v>1.0</v>
      </c>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row>
    <row r="171" ht="12.75" customHeight="1">
      <c r="A171" s="46" t="s">
        <v>172</v>
      </c>
      <c r="B171" s="68" t="str">
        <f>HYPERLINK("https://drive.google.com/open?id=1RPplDpdnmPhn78DHnapSLnM_hg0y1aLs","Siau2005")</f>
        <v>Siau2005</v>
      </c>
      <c r="C171" s="63" t="s">
        <v>991</v>
      </c>
      <c r="D171" s="63" t="s">
        <v>992</v>
      </c>
      <c r="E171" s="55">
        <v>2005.0</v>
      </c>
      <c r="F171" s="71">
        <v>1.0</v>
      </c>
      <c r="G171" s="55">
        <v>1.0</v>
      </c>
      <c r="H171" s="55">
        <v>1.0</v>
      </c>
      <c r="I171" s="55">
        <v>1.0</v>
      </c>
      <c r="J171" s="55"/>
      <c r="K171" s="55"/>
      <c r="L171" s="55"/>
      <c r="M171" s="55"/>
      <c r="N171" s="55"/>
      <c r="O171" s="55"/>
      <c r="P171" s="55"/>
      <c r="Q171" s="55"/>
      <c r="R171" s="55"/>
      <c r="S171" s="55"/>
      <c r="T171" s="55"/>
      <c r="U171" s="55"/>
      <c r="V171" s="55"/>
      <c r="W171" s="55" t="s">
        <v>993</v>
      </c>
      <c r="X171" s="55"/>
      <c r="Y171" s="55"/>
      <c r="Z171" s="55" t="s">
        <v>100</v>
      </c>
      <c r="AA171" s="55">
        <v>1.0</v>
      </c>
      <c r="AB171" s="55"/>
      <c r="AC171" s="55">
        <v>1.0</v>
      </c>
      <c r="AD171" s="55"/>
      <c r="AE171" s="55"/>
      <c r="AF171" s="55"/>
      <c r="AG171" s="55"/>
      <c r="AH171" s="48" t="s">
        <v>994</v>
      </c>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row>
    <row r="172" ht="12.75" customHeight="1">
      <c r="A172" s="46" t="s">
        <v>124</v>
      </c>
      <c r="B172" s="56" t="str">
        <f>HYPERLINK("https://drive.google.com/open?id=0B-nn5iJ29NJaYnVLNkkxVjlXMnc","Siau2010")</f>
        <v>Siau2010</v>
      </c>
      <c r="C172" s="55" t="s">
        <v>995</v>
      </c>
      <c r="D172" s="55" t="s">
        <v>181</v>
      </c>
      <c r="E172" s="57">
        <v>2010.0</v>
      </c>
      <c r="F172" s="58"/>
      <c r="G172" s="50"/>
      <c r="H172" s="50"/>
      <c r="I172" s="50"/>
      <c r="J172" s="50"/>
      <c r="K172" s="50"/>
      <c r="L172" s="50"/>
      <c r="M172" s="50">
        <v>1.0</v>
      </c>
      <c r="N172" s="50"/>
      <c r="O172" s="50"/>
      <c r="P172" s="50"/>
      <c r="Q172" s="50"/>
      <c r="R172" s="50"/>
      <c r="S172" s="50"/>
      <c r="T172" s="50"/>
      <c r="U172" s="50"/>
      <c r="V172" s="48"/>
      <c r="W172" s="48" t="s">
        <v>996</v>
      </c>
      <c r="X172" s="48" t="s">
        <v>997</v>
      </c>
      <c r="Y172" s="48"/>
      <c r="Z172" s="48"/>
      <c r="AA172" s="50"/>
      <c r="AB172" s="50">
        <v>1.0</v>
      </c>
      <c r="AC172" s="50"/>
      <c r="AD172" s="50">
        <v>1.0</v>
      </c>
      <c r="AE172" s="50"/>
      <c r="AF172" s="50"/>
      <c r="AG172" s="50"/>
      <c r="AH172" s="59"/>
      <c r="AI172" s="51">
        <v>1.0</v>
      </c>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v>1.0</v>
      </c>
      <c r="BH172" s="51"/>
      <c r="BI172" s="51"/>
      <c r="BJ172" s="51"/>
      <c r="BK172" s="51"/>
      <c r="BL172" s="51"/>
      <c r="BM172" s="51"/>
      <c r="BN172" s="51"/>
      <c r="BO172" s="51"/>
      <c r="BP172" s="51"/>
      <c r="BQ172" s="51"/>
      <c r="BR172" s="51"/>
      <c r="BS172" s="51"/>
      <c r="BT172" s="51"/>
      <c r="BU172" s="51"/>
      <c r="BV172" s="51"/>
      <c r="BW172" s="51"/>
      <c r="BX172" s="51"/>
      <c r="BY172" s="51"/>
      <c r="BZ172" s="51"/>
      <c r="CA172" s="51"/>
      <c r="CB172" s="51"/>
    </row>
    <row r="173" ht="12.75" customHeight="1">
      <c r="A173" s="46" t="s">
        <v>88</v>
      </c>
      <c r="B173" s="53" t="str">
        <f>HYPERLINK("https://drive.google.com/open?id=0B00cIHsghs6UX1J0NVBWZnNDY28","Siddiqi1988")</f>
        <v>Siddiqi1988</v>
      </c>
      <c r="C173" s="48" t="s">
        <v>998</v>
      </c>
      <c r="D173" s="48" t="s">
        <v>999</v>
      </c>
      <c r="E173" s="49">
        <v>1988.0</v>
      </c>
      <c r="F173" s="50"/>
      <c r="G173" s="50"/>
      <c r="H173" s="50"/>
      <c r="I173" s="50">
        <v>1.0</v>
      </c>
      <c r="J173" s="50"/>
      <c r="K173" s="50"/>
      <c r="L173" s="50"/>
      <c r="M173" s="50"/>
      <c r="N173" s="50"/>
      <c r="O173" s="50"/>
      <c r="P173" s="50"/>
      <c r="Q173" s="50"/>
      <c r="R173" s="50"/>
      <c r="S173" s="50"/>
      <c r="T173" s="50"/>
      <c r="U173" s="50"/>
      <c r="V173" s="51" t="s">
        <v>1000</v>
      </c>
      <c r="W173" s="51" t="s">
        <v>1001</v>
      </c>
      <c r="X173" s="51" t="s">
        <v>1002</v>
      </c>
      <c r="Y173" s="51" t="s">
        <v>92</v>
      </c>
      <c r="Z173" s="51" t="s">
        <v>137</v>
      </c>
      <c r="AA173" s="50">
        <v>1.0</v>
      </c>
      <c r="AB173" s="50"/>
      <c r="AC173" s="50"/>
      <c r="AD173" s="50">
        <v>1.0</v>
      </c>
      <c r="AE173" s="50"/>
      <c r="AF173" s="50"/>
      <c r="AG173" s="50"/>
      <c r="AH173" s="51"/>
      <c r="AI173" s="51">
        <v>1.0</v>
      </c>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v>1.0</v>
      </c>
      <c r="BF173" s="51"/>
      <c r="BG173" s="51"/>
      <c r="BH173" s="51"/>
      <c r="BI173" s="51"/>
      <c r="BJ173" s="51"/>
      <c r="BK173" s="51"/>
      <c r="BL173" s="51"/>
      <c r="BM173" s="51"/>
      <c r="BN173" s="51"/>
      <c r="BO173" s="51"/>
      <c r="BP173" s="51"/>
      <c r="BQ173" s="51"/>
      <c r="BR173" s="51"/>
      <c r="BS173" s="51"/>
      <c r="BT173" s="51"/>
      <c r="BU173" s="51"/>
      <c r="BV173" s="51">
        <v>1.0</v>
      </c>
      <c r="BW173" s="51"/>
      <c r="BX173" s="51"/>
      <c r="BY173" s="51"/>
      <c r="BZ173" s="51"/>
      <c r="CA173" s="51"/>
      <c r="CB173" s="51"/>
    </row>
    <row r="174" ht="12.75" customHeight="1">
      <c r="A174" s="46" t="s">
        <v>172</v>
      </c>
      <c r="B174" s="68" t="str">
        <f>HYPERLINK("https://drive.google.com/open?id=1WPx7gz8zAyR8LuCdxS7mURW9NjFjR7mb","Siegmund2012")</f>
        <v>Siegmund2012</v>
      </c>
      <c r="C174" s="63" t="s">
        <v>1003</v>
      </c>
      <c r="D174" s="63" t="s">
        <v>1004</v>
      </c>
      <c r="E174" s="55">
        <v>2012.0</v>
      </c>
      <c r="F174" s="55"/>
      <c r="G174" s="55"/>
      <c r="H174" s="55"/>
      <c r="I174" s="55"/>
      <c r="J174" s="55"/>
      <c r="K174" s="55">
        <v>1.0</v>
      </c>
      <c r="L174" s="55"/>
      <c r="M174" s="55"/>
      <c r="N174" s="55"/>
      <c r="O174" s="55"/>
      <c r="P174" s="55"/>
      <c r="Q174" s="55"/>
      <c r="R174" s="55"/>
      <c r="S174" s="55"/>
      <c r="T174" s="55"/>
      <c r="U174" s="55"/>
      <c r="V174" s="55"/>
      <c r="W174" s="55" t="s">
        <v>1005</v>
      </c>
      <c r="X174" s="55" t="s">
        <v>1006</v>
      </c>
      <c r="Y174" s="55" t="s">
        <v>1007</v>
      </c>
      <c r="Z174" s="55" t="s">
        <v>100</v>
      </c>
      <c r="AA174" s="55"/>
      <c r="AB174" s="55"/>
      <c r="AC174" s="55"/>
      <c r="AD174" s="55">
        <v>1.0</v>
      </c>
      <c r="AE174" s="55"/>
      <c r="AF174" s="55"/>
      <c r="AG174" s="55"/>
      <c r="AH174" s="48" t="s">
        <v>1008</v>
      </c>
      <c r="AI174" s="51">
        <v>1.0</v>
      </c>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2">
        <v>1.0</v>
      </c>
      <c r="BK174" s="51"/>
      <c r="BL174" s="51"/>
      <c r="BM174" s="51"/>
      <c r="BN174" s="51"/>
      <c r="BO174" s="51"/>
      <c r="BP174" s="51"/>
      <c r="BQ174" s="51"/>
      <c r="BR174" s="51"/>
      <c r="BS174" s="51"/>
      <c r="BT174" s="51"/>
      <c r="BU174" s="51"/>
      <c r="BV174" s="51"/>
      <c r="BW174" s="51"/>
      <c r="BX174" s="51"/>
      <c r="BY174" s="51"/>
      <c r="BZ174" s="51">
        <v>1.0</v>
      </c>
      <c r="CA174" s="51"/>
      <c r="CB174" s="51"/>
    </row>
    <row r="175" ht="12.75" customHeight="1">
      <c r="A175" s="46" t="s">
        <v>88</v>
      </c>
      <c r="B175" s="53" t="str">
        <f>HYPERLINK("https://drive.google.com/open?id=0B00cIHsghs6UVHljWmNPMkF6WVE","Siegmund2014")</f>
        <v>Siegmund2014</v>
      </c>
      <c r="C175" s="48" t="s">
        <v>1009</v>
      </c>
      <c r="D175" s="48" t="s">
        <v>196</v>
      </c>
      <c r="E175" s="49">
        <v>2014.0</v>
      </c>
      <c r="F175" s="50"/>
      <c r="G175" s="50"/>
      <c r="H175" s="50"/>
      <c r="I175" s="50"/>
      <c r="J175" s="50"/>
      <c r="K175" s="50">
        <v>1.0</v>
      </c>
      <c r="L175" s="50"/>
      <c r="M175" s="50"/>
      <c r="N175" s="50"/>
      <c r="O175" s="50"/>
      <c r="P175" s="50"/>
      <c r="Q175" s="50"/>
      <c r="R175" s="50"/>
      <c r="S175" s="50"/>
      <c r="T175" s="50"/>
      <c r="U175" s="50"/>
      <c r="V175" s="51"/>
      <c r="W175" s="51" t="s">
        <v>1010</v>
      </c>
      <c r="X175" s="51" t="s">
        <v>239</v>
      </c>
      <c r="Y175" s="51" t="s">
        <v>1011</v>
      </c>
      <c r="Z175" s="51" t="s">
        <v>137</v>
      </c>
      <c r="AA175" s="50">
        <v>1.0</v>
      </c>
      <c r="AB175" s="50"/>
      <c r="AC175" s="50"/>
      <c r="AD175" s="50">
        <v>1.0</v>
      </c>
      <c r="AE175" s="50"/>
      <c r="AF175" s="50"/>
      <c r="AG175" s="50"/>
      <c r="AH175" s="51" t="s">
        <v>1012</v>
      </c>
      <c r="AI175" s="51">
        <v>1.0</v>
      </c>
      <c r="AJ175" s="51">
        <v>1.0</v>
      </c>
      <c r="AK175" s="51"/>
      <c r="AL175" s="51"/>
      <c r="AM175" s="51"/>
      <c r="AN175" s="51"/>
      <c r="AO175" s="51">
        <v>1.0</v>
      </c>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c r="BY175" s="51"/>
      <c r="BZ175" s="51">
        <v>1.0</v>
      </c>
      <c r="CA175" s="51"/>
      <c r="CB175" s="51"/>
    </row>
    <row r="176" ht="12.75" customHeight="1">
      <c r="A176" s="46" t="s">
        <v>116</v>
      </c>
      <c r="B176" s="67" t="str">
        <f>HYPERLINK("https://drive.google.com/open?id=1a5fyu6gI5BaVZw8S5nyXzy99-Y9gNm6f","Sime1973")</f>
        <v>Sime1973</v>
      </c>
      <c r="C176" s="63" t="s">
        <v>1013</v>
      </c>
      <c r="D176" s="63" t="s">
        <v>1014</v>
      </c>
      <c r="E176" s="49">
        <v>1973.0</v>
      </c>
      <c r="F176" s="50"/>
      <c r="G176" s="50"/>
      <c r="H176" s="50"/>
      <c r="I176" s="50">
        <v>1.0</v>
      </c>
      <c r="J176" s="50"/>
      <c r="K176" s="50"/>
      <c r="L176" s="50"/>
      <c r="M176" s="50"/>
      <c r="N176" s="50"/>
      <c r="O176" s="50"/>
      <c r="P176" s="50"/>
      <c r="Q176" s="50"/>
      <c r="R176" s="50"/>
      <c r="S176" s="50"/>
      <c r="T176" s="50"/>
      <c r="U176" s="50"/>
      <c r="V176" s="51"/>
      <c r="W176" s="51" t="s">
        <v>1015</v>
      </c>
      <c r="X176" s="51" t="s">
        <v>1016</v>
      </c>
      <c r="Y176" s="51" t="s">
        <v>1017</v>
      </c>
      <c r="Z176" s="51" t="s">
        <v>122</v>
      </c>
      <c r="AA176" s="50">
        <v>1.0</v>
      </c>
      <c r="AB176" s="50"/>
      <c r="AC176" s="50"/>
      <c r="AD176" s="50">
        <v>1.0</v>
      </c>
      <c r="AE176" s="50"/>
      <c r="AF176" s="50"/>
      <c r="AG176" s="50"/>
      <c r="AH176" s="51" t="s">
        <v>1018</v>
      </c>
      <c r="AI176" s="51">
        <v>1.0</v>
      </c>
      <c r="AJ176" s="51"/>
      <c r="AK176" s="51"/>
      <c r="AL176" s="51"/>
      <c r="AM176" s="51"/>
      <c r="AN176" s="51">
        <v>1.0</v>
      </c>
      <c r="AO176" s="51"/>
      <c r="AP176" s="51">
        <v>1.0</v>
      </c>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c r="BX176" s="51"/>
      <c r="BY176" s="51">
        <v>1.0</v>
      </c>
      <c r="BZ176" s="51"/>
      <c r="CA176" s="51"/>
      <c r="CB176" s="51"/>
    </row>
    <row r="177" ht="12.75" customHeight="1">
      <c r="A177" s="46" t="s">
        <v>116</v>
      </c>
      <c r="B177" s="68" t="str">
        <f>HYPERLINK("https://drive.google.com/open?id=1G4SMkm62vmvZlE_IjLUt_ERomg689lZD","Sinha1992")</f>
        <v>Sinha1992</v>
      </c>
      <c r="C177" s="63" t="s">
        <v>1019</v>
      </c>
      <c r="D177" s="63" t="s">
        <v>1020</v>
      </c>
      <c r="E177" s="49">
        <v>1992.0</v>
      </c>
      <c r="F177" s="50"/>
      <c r="G177" s="50"/>
      <c r="H177" s="50"/>
      <c r="I177" s="50">
        <v>1.0</v>
      </c>
      <c r="J177" s="50"/>
      <c r="K177" s="50"/>
      <c r="L177" s="50"/>
      <c r="M177" s="50"/>
      <c r="N177" s="50"/>
      <c r="O177" s="50"/>
      <c r="P177" s="50"/>
      <c r="Q177" s="50"/>
      <c r="R177" s="50"/>
      <c r="S177" s="50"/>
      <c r="T177" s="50"/>
      <c r="U177" s="50"/>
      <c r="V177" s="51" t="s">
        <v>1021</v>
      </c>
      <c r="W177" s="51" t="s">
        <v>1022</v>
      </c>
      <c r="X177" s="51" t="s">
        <v>1023</v>
      </c>
      <c r="Y177" s="51" t="s">
        <v>1024</v>
      </c>
      <c r="Z177" s="51" t="s">
        <v>122</v>
      </c>
      <c r="AA177" s="50">
        <v>1.0</v>
      </c>
      <c r="AB177" s="50"/>
      <c r="AC177" s="50"/>
      <c r="AD177" s="50">
        <v>1.0</v>
      </c>
      <c r="AE177" s="50"/>
      <c r="AF177" s="50"/>
      <c r="AG177" s="50"/>
      <c r="AH177" s="51" t="s">
        <v>1025</v>
      </c>
      <c r="AI177" s="51">
        <v>1.0</v>
      </c>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v>1.0</v>
      </c>
      <c r="BF177" s="51"/>
      <c r="BG177" s="51"/>
      <c r="BH177" s="51"/>
      <c r="BI177" s="51"/>
      <c r="BJ177" s="51"/>
      <c r="BK177" s="51"/>
      <c r="BL177" s="51"/>
      <c r="BM177" s="52">
        <v>1.0</v>
      </c>
      <c r="BN177" s="51"/>
      <c r="BO177" s="51"/>
      <c r="BP177" s="51"/>
      <c r="BQ177" s="51"/>
      <c r="BR177" s="51"/>
      <c r="BS177" s="51"/>
      <c r="BT177" s="51"/>
      <c r="BU177" s="51"/>
      <c r="BV177" s="51"/>
      <c r="BW177" s="51"/>
      <c r="BX177" s="51"/>
      <c r="BY177" s="51">
        <v>1.0</v>
      </c>
      <c r="BZ177" s="51"/>
      <c r="CA177" s="52">
        <v>1.0</v>
      </c>
      <c r="CB177" s="51"/>
    </row>
    <row r="178" ht="12.75" customHeight="1">
      <c r="A178" s="46" t="s">
        <v>108</v>
      </c>
      <c r="B178" s="54" t="str">
        <f>HYPERLINK("https://drive.google.com/open?id=0B3oar8-GeP-IT0N2dFFNc2lKZ0U","Sinha2015")</f>
        <v>Sinha2015</v>
      </c>
      <c r="C178" s="55" t="s">
        <v>1026</v>
      </c>
      <c r="D178" s="55" t="s">
        <v>211</v>
      </c>
      <c r="E178" s="49">
        <v>2015.0</v>
      </c>
      <c r="F178" s="50"/>
      <c r="G178" s="50"/>
      <c r="H178" s="50">
        <v>1.0</v>
      </c>
      <c r="I178" s="50"/>
      <c r="J178" s="50"/>
      <c r="K178" s="50"/>
      <c r="L178" s="50"/>
      <c r="M178" s="50"/>
      <c r="N178" s="50"/>
      <c r="O178" s="50"/>
      <c r="P178" s="50"/>
      <c r="Q178" s="50"/>
      <c r="R178" s="50"/>
      <c r="S178" s="50"/>
      <c r="T178" s="50"/>
      <c r="U178" s="50"/>
      <c r="V178" s="48" t="s">
        <v>1027</v>
      </c>
      <c r="W178" s="48" t="s">
        <v>1028</v>
      </c>
      <c r="X178" s="48" t="s">
        <v>1029</v>
      </c>
      <c r="Y178" s="48" t="s">
        <v>1030</v>
      </c>
      <c r="Z178" s="48" t="s">
        <v>1031</v>
      </c>
      <c r="AA178" s="50"/>
      <c r="AB178" s="50">
        <v>1.0</v>
      </c>
      <c r="AC178" s="50"/>
      <c r="AD178" s="50">
        <v>1.0</v>
      </c>
      <c r="AE178" s="50"/>
      <c r="AF178" s="50"/>
      <c r="AG178" s="50"/>
      <c r="AH178" s="51" t="s">
        <v>1032</v>
      </c>
      <c r="AI178" s="51">
        <v>1.0</v>
      </c>
      <c r="AJ178" s="51"/>
      <c r="AK178" s="51"/>
      <c r="AL178" s="51"/>
      <c r="AM178" s="51"/>
      <c r="AN178" s="51">
        <v>1.0</v>
      </c>
      <c r="AO178" s="51"/>
      <c r="AP178" s="51"/>
      <c r="AQ178" s="51"/>
      <c r="AR178" s="51"/>
      <c r="AS178" s="51"/>
      <c r="AT178" s="51"/>
      <c r="AU178" s="51"/>
      <c r="AV178" s="51"/>
      <c r="AW178" s="51"/>
      <c r="AX178" s="51"/>
      <c r="AY178" s="51"/>
      <c r="AZ178" s="51"/>
      <c r="BA178" s="51"/>
      <c r="BB178" s="51"/>
      <c r="BC178" s="51"/>
      <c r="BD178" s="51"/>
      <c r="BE178" s="52">
        <v>1.0</v>
      </c>
      <c r="BF178" s="51"/>
      <c r="BG178" s="51"/>
      <c r="BH178" s="51"/>
      <c r="BI178" s="51"/>
      <c r="BJ178" s="52"/>
      <c r="BK178" s="51"/>
      <c r="BL178" s="51"/>
      <c r="BM178" s="51"/>
      <c r="BN178" s="51"/>
      <c r="BO178" s="51"/>
      <c r="BP178" s="51"/>
      <c r="BQ178" s="51"/>
      <c r="BR178" s="51"/>
      <c r="BS178" s="51"/>
      <c r="BT178" s="51"/>
      <c r="BU178" s="51"/>
      <c r="BV178" s="51"/>
      <c r="BW178" s="51"/>
      <c r="BX178" s="51"/>
      <c r="BY178" s="51">
        <v>1.0</v>
      </c>
      <c r="BZ178" s="51"/>
      <c r="CA178" s="51"/>
      <c r="CB178" s="51"/>
    </row>
    <row r="179" ht="12.75" customHeight="1">
      <c r="A179" s="46" t="s">
        <v>108</v>
      </c>
      <c r="B179" s="56" t="str">
        <f>HYPERLINK("https://drive.google.com/open?id=0B3oar8-GeP-IUUNiU0lndVRoemc","Snodgrass1988")</f>
        <v>Snodgrass1988</v>
      </c>
      <c r="C179" s="55" t="s">
        <v>1033</v>
      </c>
      <c r="D179" s="48"/>
      <c r="E179" s="49">
        <v>1988.0</v>
      </c>
      <c r="F179" s="50"/>
      <c r="G179" s="50">
        <v>1.0</v>
      </c>
      <c r="H179" s="50">
        <v>1.0</v>
      </c>
      <c r="I179" s="50"/>
      <c r="J179" s="50"/>
      <c r="K179" s="50"/>
      <c r="L179" s="50"/>
      <c r="M179" s="50"/>
      <c r="N179" s="50"/>
      <c r="O179" s="50"/>
      <c r="P179" s="50"/>
      <c r="Q179" s="50"/>
      <c r="R179" s="50"/>
      <c r="S179" s="50"/>
      <c r="T179" s="50"/>
      <c r="U179" s="50"/>
      <c r="V179" s="48" t="s">
        <v>1034</v>
      </c>
      <c r="W179" s="48" t="s">
        <v>1035</v>
      </c>
      <c r="X179" s="48" t="s">
        <v>221</v>
      </c>
      <c r="Y179" s="48" t="s">
        <v>1036</v>
      </c>
      <c r="Z179" s="48" t="s">
        <v>542</v>
      </c>
      <c r="AA179" s="50"/>
      <c r="AB179" s="50">
        <v>1.0</v>
      </c>
      <c r="AC179" s="50"/>
      <c r="AD179" s="50">
        <v>1.0</v>
      </c>
      <c r="AE179" s="50"/>
      <c r="AF179" s="50"/>
      <c r="AG179" s="50"/>
      <c r="AH179" s="51" t="s">
        <v>1037</v>
      </c>
      <c r="AI179" s="51">
        <v>1.0</v>
      </c>
      <c r="AJ179" s="51"/>
      <c r="AK179" s="51"/>
      <c r="AL179" s="51"/>
      <c r="AM179" s="51"/>
      <c r="AN179" s="51">
        <v>1.0</v>
      </c>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c r="CA179" s="51"/>
      <c r="CB179" s="51"/>
    </row>
    <row r="180" ht="12.75" customHeight="1">
      <c r="A180" s="46" t="s">
        <v>116</v>
      </c>
      <c r="B180" s="68" t="str">
        <f>HYPERLINK("https://drive.google.com/open?id=1AIQ_UPI0BDhrlQigcGGESRFSXoOpbBa5","Snow2007")</f>
        <v>Snow2007</v>
      </c>
      <c r="C180" s="63" t="s">
        <v>1038</v>
      </c>
      <c r="D180" s="63" t="s">
        <v>261</v>
      </c>
      <c r="E180" s="49">
        <v>2007.0</v>
      </c>
      <c r="F180" s="61">
        <v>1.0</v>
      </c>
      <c r="G180" s="50"/>
      <c r="H180" s="50"/>
      <c r="I180" s="50"/>
      <c r="J180" s="50"/>
      <c r="K180" s="50"/>
      <c r="L180" s="50"/>
      <c r="M180" s="50">
        <v>1.0</v>
      </c>
      <c r="N180" s="50"/>
      <c r="O180" s="50"/>
      <c r="P180" s="50"/>
      <c r="Q180" s="50"/>
      <c r="R180" s="50"/>
      <c r="S180" s="50"/>
      <c r="T180" s="50"/>
      <c r="U180" s="50"/>
      <c r="V180" s="51"/>
      <c r="W180" s="51" t="s">
        <v>1039</v>
      </c>
      <c r="X180" s="51" t="s">
        <v>1040</v>
      </c>
      <c r="Y180" s="51" t="s">
        <v>1041</v>
      </c>
      <c r="Z180" s="51"/>
      <c r="AA180" s="50"/>
      <c r="AB180" s="50">
        <v>1.0</v>
      </c>
      <c r="AC180" s="50"/>
      <c r="AD180" s="50">
        <v>1.0</v>
      </c>
      <c r="AE180" s="50"/>
      <c r="AF180" s="50"/>
      <c r="AG180" s="50"/>
      <c r="AH180" s="51" t="s">
        <v>1042</v>
      </c>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row>
    <row r="181" ht="12.75" customHeight="1">
      <c r="A181" s="46" t="s">
        <v>116</v>
      </c>
      <c r="B181" s="68" t="str">
        <f>HYPERLINK("https://drive.google.com/open?id=1clK8ZshWd4s51QYTtFGtEJqImlpE4uiz","Soloway1983")</f>
        <v>Soloway1983</v>
      </c>
      <c r="C181" s="63" t="s">
        <v>1043</v>
      </c>
      <c r="D181" s="63" t="s">
        <v>1044</v>
      </c>
      <c r="E181" s="49">
        <v>1983.0</v>
      </c>
      <c r="F181" s="50"/>
      <c r="G181" s="50"/>
      <c r="H181" s="50"/>
      <c r="I181" s="50">
        <v>1.0</v>
      </c>
      <c r="J181" s="50"/>
      <c r="K181" s="50"/>
      <c r="L181" s="50"/>
      <c r="M181" s="50"/>
      <c r="N181" s="50"/>
      <c r="O181" s="50"/>
      <c r="P181" s="50"/>
      <c r="Q181" s="50"/>
      <c r="R181" s="50"/>
      <c r="S181" s="50"/>
      <c r="T181" s="50"/>
      <c r="U181" s="50"/>
      <c r="V181" s="51"/>
      <c r="W181" s="51" t="s">
        <v>1045</v>
      </c>
      <c r="X181" s="51" t="s">
        <v>1046</v>
      </c>
      <c r="Y181" s="51" t="s">
        <v>1047</v>
      </c>
      <c r="Z181" s="51" t="s">
        <v>122</v>
      </c>
      <c r="AA181" s="50">
        <v>1.0</v>
      </c>
      <c r="AB181" s="50"/>
      <c r="AC181" s="50"/>
      <c r="AD181" s="50">
        <v>1.0</v>
      </c>
      <c r="AE181" s="50"/>
      <c r="AF181" s="50"/>
      <c r="AG181" s="50"/>
      <c r="AH181" s="51" t="s">
        <v>1048</v>
      </c>
      <c r="AI181" s="51">
        <v>1.0</v>
      </c>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c r="BK181" s="52">
        <v>1.0</v>
      </c>
      <c r="BL181" s="51"/>
      <c r="BM181" s="52">
        <v>1.0</v>
      </c>
      <c r="BN181" s="51"/>
      <c r="BO181" s="51"/>
      <c r="BP181" s="51"/>
      <c r="BQ181" s="51"/>
      <c r="BR181" s="51"/>
      <c r="BS181" s="51"/>
      <c r="BT181" s="51"/>
      <c r="BU181" s="51"/>
      <c r="BV181" s="51"/>
      <c r="BW181" s="51"/>
      <c r="BX181" s="51"/>
      <c r="BY181" s="51">
        <v>1.0</v>
      </c>
      <c r="BZ181" s="51"/>
      <c r="CA181" s="51"/>
      <c r="CB181" s="51"/>
    </row>
    <row r="182" ht="12.75" customHeight="1">
      <c r="A182" s="46" t="s">
        <v>124</v>
      </c>
      <c r="B182" s="67" t="str">
        <f>HYPERLINK("https://drive.google.com/open?id=1yN4ki3bfd77330PH4epO_duZmVENiZc7","Soloway1984a")</f>
        <v>Soloway1984a</v>
      </c>
      <c r="C182" s="48" t="s">
        <v>1049</v>
      </c>
      <c r="D182" s="48" t="s">
        <v>503</v>
      </c>
      <c r="E182" s="49">
        <v>1984.0</v>
      </c>
      <c r="F182" s="50"/>
      <c r="G182" s="50"/>
      <c r="H182" s="50"/>
      <c r="I182" s="50">
        <v>1.0</v>
      </c>
      <c r="J182" s="50"/>
      <c r="K182" s="50"/>
      <c r="L182" s="50"/>
      <c r="M182" s="50"/>
      <c r="N182" s="50"/>
      <c r="O182" s="50"/>
      <c r="P182" s="50"/>
      <c r="Q182" s="50"/>
      <c r="R182" s="50"/>
      <c r="S182" s="50"/>
      <c r="T182" s="50"/>
      <c r="U182" s="50"/>
      <c r="V182" s="48"/>
      <c r="W182" s="48" t="s">
        <v>1050</v>
      </c>
      <c r="X182" s="48" t="s">
        <v>1051</v>
      </c>
      <c r="Y182" s="48" t="s">
        <v>1052</v>
      </c>
      <c r="Z182" s="48" t="s">
        <v>1053</v>
      </c>
      <c r="AA182" s="50"/>
      <c r="AB182" s="50">
        <v>1.0</v>
      </c>
      <c r="AC182" s="50"/>
      <c r="AD182" s="50">
        <v>1.0</v>
      </c>
      <c r="AE182" s="50"/>
      <c r="AF182" s="50"/>
      <c r="AG182" s="50"/>
      <c r="AH182" s="59"/>
      <c r="AI182" s="51">
        <v>1.0</v>
      </c>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v>1.0</v>
      </c>
      <c r="BK182" s="51"/>
      <c r="BL182" s="51"/>
      <c r="BM182" s="51"/>
      <c r="BN182" s="51"/>
      <c r="BO182" s="51"/>
      <c r="BP182" s="51"/>
      <c r="BQ182" s="51"/>
      <c r="BR182" s="51"/>
      <c r="BS182" s="51"/>
      <c r="BT182" s="51"/>
      <c r="BU182" s="51"/>
      <c r="BV182" s="51"/>
      <c r="BW182" s="51"/>
      <c r="BX182" s="51"/>
      <c r="BY182" s="51">
        <v>1.0</v>
      </c>
      <c r="BZ182" s="51"/>
      <c r="CA182" s="51"/>
      <c r="CB182" s="51"/>
    </row>
    <row r="183" ht="12.75" customHeight="1">
      <c r="A183" s="46" t="s">
        <v>124</v>
      </c>
      <c r="B183" s="68" t="str">
        <f>HYPERLINK("https://drive.google.com/open?id=1qWgLTNbcbDrJp-zekxwBBZAD0ntbvZc4","Soloway1984b")</f>
        <v>Soloway1984b</v>
      </c>
      <c r="C183" s="48" t="s">
        <v>1054</v>
      </c>
      <c r="D183" s="48" t="s">
        <v>1055</v>
      </c>
      <c r="E183" s="49">
        <v>1984.0</v>
      </c>
      <c r="F183" s="50"/>
      <c r="G183" s="50"/>
      <c r="H183" s="50"/>
      <c r="I183" s="50">
        <v>1.0</v>
      </c>
      <c r="J183" s="50"/>
      <c r="K183" s="50"/>
      <c r="L183" s="50"/>
      <c r="M183" s="50"/>
      <c r="N183" s="50"/>
      <c r="O183" s="50"/>
      <c r="P183" s="50"/>
      <c r="Q183" s="50"/>
      <c r="R183" s="50"/>
      <c r="S183" s="50"/>
      <c r="T183" s="50"/>
      <c r="U183" s="50"/>
      <c r="V183" s="48"/>
      <c r="W183" s="48" t="s">
        <v>1021</v>
      </c>
      <c r="X183" s="48"/>
      <c r="Y183" s="48"/>
      <c r="Z183" s="48" t="s">
        <v>1056</v>
      </c>
      <c r="AA183" s="50"/>
      <c r="AB183" s="50"/>
      <c r="AC183" s="50">
        <v>1.0</v>
      </c>
      <c r="AD183" s="50"/>
      <c r="AE183" s="50"/>
      <c r="AF183" s="50"/>
      <c r="AG183" s="50"/>
      <c r="AH183" s="59"/>
      <c r="AI183" s="52">
        <v>1.0</v>
      </c>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2">
        <v>1.0</v>
      </c>
      <c r="BK183" s="51"/>
      <c r="BL183" s="51"/>
      <c r="BM183" s="51"/>
      <c r="BN183" s="51"/>
      <c r="BO183" s="51"/>
      <c r="BP183" s="51"/>
      <c r="BQ183" s="51"/>
      <c r="BR183" s="51"/>
      <c r="BS183" s="51"/>
      <c r="BT183" s="51"/>
      <c r="BU183" s="51"/>
      <c r="BV183" s="51"/>
      <c r="BW183" s="51"/>
      <c r="BX183" s="51"/>
      <c r="BY183" s="51"/>
      <c r="BZ183" s="51"/>
      <c r="CA183" s="51"/>
      <c r="CB183" s="51"/>
    </row>
    <row r="184" ht="12.75" customHeight="1">
      <c r="A184" s="46" t="s">
        <v>88</v>
      </c>
      <c r="B184" s="53" t="str">
        <f>HYPERLINK("https://drive.google.com/open?id=0B-nn5iJ29NJaWXpmaTZHbVlUM28","Sonnentag1994")</f>
        <v>Sonnentag1994</v>
      </c>
      <c r="C184" s="48" t="s">
        <v>1057</v>
      </c>
      <c r="D184" s="48" t="s">
        <v>1058</v>
      </c>
      <c r="E184" s="49">
        <v>1994.0</v>
      </c>
      <c r="F184" s="50"/>
      <c r="G184" s="50">
        <v>1.0</v>
      </c>
      <c r="H184" s="50">
        <v>1.0</v>
      </c>
      <c r="I184" s="50">
        <v>1.0</v>
      </c>
      <c r="J184" s="50">
        <v>1.0</v>
      </c>
      <c r="K184" s="50">
        <v>1.0</v>
      </c>
      <c r="L184" s="50"/>
      <c r="M184" s="50">
        <v>1.0</v>
      </c>
      <c r="N184" s="50"/>
      <c r="O184" s="50"/>
      <c r="P184" s="50"/>
      <c r="Q184" s="50"/>
      <c r="R184" s="50"/>
      <c r="S184" s="50"/>
      <c r="T184" s="50"/>
      <c r="U184" s="50"/>
      <c r="V184" s="51"/>
      <c r="W184" s="51" t="s">
        <v>1059</v>
      </c>
      <c r="X184" s="51" t="s">
        <v>1060</v>
      </c>
      <c r="Y184" s="51" t="s">
        <v>372</v>
      </c>
      <c r="Z184" s="51" t="s">
        <v>1061</v>
      </c>
      <c r="AA184" s="50"/>
      <c r="AB184" s="50">
        <v>1.0</v>
      </c>
      <c r="AC184" s="50"/>
      <c r="AD184" s="50">
        <v>1.0</v>
      </c>
      <c r="AE184" s="50"/>
      <c r="AF184" s="50"/>
      <c r="AG184" s="50"/>
      <c r="AH184" s="51" t="s">
        <v>1062</v>
      </c>
      <c r="AI184" s="51">
        <v>1.0</v>
      </c>
      <c r="AJ184" s="51"/>
      <c r="AK184" s="51"/>
      <c r="AL184" s="51"/>
      <c r="AM184" s="51"/>
      <c r="AN184" s="51"/>
      <c r="AO184" s="51"/>
      <c r="AP184" s="51"/>
      <c r="AQ184" s="51"/>
      <c r="AR184" s="51"/>
      <c r="AS184" s="51"/>
      <c r="AT184" s="51"/>
      <c r="AU184" s="51"/>
      <c r="AV184" s="51"/>
      <c r="AW184" s="51"/>
      <c r="AX184" s="51"/>
      <c r="AY184" s="51">
        <v>1.0</v>
      </c>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c r="BZ184" s="51"/>
      <c r="CA184" s="51">
        <v>1.0</v>
      </c>
      <c r="CB184" s="51"/>
    </row>
    <row r="185" ht="12.75" customHeight="1">
      <c r="A185" s="46" t="s">
        <v>108</v>
      </c>
      <c r="B185" s="54" t="str">
        <f>HYPERLINK("https://drive.google.com/open?id=0B3oar8-GeP-IREU3TDZ4aFUyOVU","Stacy1995")</f>
        <v>Stacy1995</v>
      </c>
      <c r="C185" s="55" t="s">
        <v>1063</v>
      </c>
      <c r="D185" s="55" t="s">
        <v>751</v>
      </c>
      <c r="E185" s="49">
        <v>1995.0</v>
      </c>
      <c r="F185" s="61">
        <v>1.0</v>
      </c>
      <c r="G185" s="50"/>
      <c r="H185" s="50">
        <v>1.0</v>
      </c>
      <c r="I185" s="50"/>
      <c r="J185" s="50">
        <v>1.0</v>
      </c>
      <c r="K185" s="50"/>
      <c r="L185" s="50"/>
      <c r="M185" s="50">
        <v>1.0</v>
      </c>
      <c r="N185" s="50">
        <v>1.0</v>
      </c>
      <c r="O185" s="50"/>
      <c r="P185" s="50"/>
      <c r="Q185" s="50"/>
      <c r="R185" s="50"/>
      <c r="S185" s="50"/>
      <c r="T185" s="50"/>
      <c r="U185" s="50"/>
      <c r="V185" s="48"/>
      <c r="W185" s="48" t="s">
        <v>359</v>
      </c>
      <c r="X185" s="48" t="s">
        <v>221</v>
      </c>
      <c r="Y185" s="48" t="s">
        <v>221</v>
      </c>
      <c r="Z185" s="48" t="s">
        <v>1064</v>
      </c>
      <c r="AA185" s="50">
        <v>1.0</v>
      </c>
      <c r="AB185" s="50"/>
      <c r="AC185" s="50"/>
      <c r="AD185" s="50"/>
      <c r="AE185" s="50"/>
      <c r="AF185" s="50"/>
      <c r="AG185" s="50">
        <v>1.0</v>
      </c>
      <c r="AH185" s="51" t="s">
        <v>1065</v>
      </c>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c r="BO185" s="51"/>
      <c r="BP185" s="51"/>
      <c r="BQ185" s="51"/>
      <c r="BR185" s="51"/>
      <c r="BS185" s="51"/>
      <c r="BT185" s="51"/>
      <c r="BU185" s="51"/>
      <c r="BV185" s="51"/>
      <c r="BW185" s="51"/>
      <c r="BX185" s="51"/>
      <c r="BY185" s="51"/>
      <c r="BZ185" s="51"/>
      <c r="CA185" s="51"/>
      <c r="CB185" s="51"/>
    </row>
    <row r="186" ht="12.75" customHeight="1">
      <c r="A186" s="46" t="s">
        <v>124</v>
      </c>
      <c r="B186" s="68" t="str">
        <f>HYPERLINK("https://drive.google.com/open?id=1lYlzQ_3ly6Cz6Ln8T2uSAtFmZnFrFLOA","Storey1999")</f>
        <v>Storey1999</v>
      </c>
      <c r="C186" s="48" t="s">
        <v>1066</v>
      </c>
      <c r="D186" s="48" t="s">
        <v>211</v>
      </c>
      <c r="E186" s="49">
        <v>1999.0</v>
      </c>
      <c r="F186" s="50"/>
      <c r="G186" s="50"/>
      <c r="H186" s="50">
        <v>1.0</v>
      </c>
      <c r="I186" s="50">
        <v>1.0</v>
      </c>
      <c r="J186" s="50"/>
      <c r="K186" s="50"/>
      <c r="L186" s="50"/>
      <c r="M186" s="50"/>
      <c r="N186" s="50"/>
      <c r="O186" s="50"/>
      <c r="P186" s="50"/>
      <c r="Q186" s="50"/>
      <c r="R186" s="50"/>
      <c r="S186" s="50"/>
      <c r="T186" s="50"/>
      <c r="U186" s="50"/>
      <c r="V186" s="69" t="s">
        <v>1067</v>
      </c>
      <c r="W186" s="48" t="s">
        <v>1068</v>
      </c>
      <c r="X186" s="48"/>
      <c r="Y186" s="48"/>
      <c r="Z186" s="48" t="s">
        <v>1069</v>
      </c>
      <c r="AA186" s="50"/>
      <c r="AB186" s="50"/>
      <c r="AC186" s="50"/>
      <c r="AD186" s="50"/>
      <c r="AE186" s="50"/>
      <c r="AF186" s="50"/>
      <c r="AG186" s="50">
        <v>1.0</v>
      </c>
      <c r="AH186" s="59"/>
      <c r="AI186" s="51">
        <v>1.0</v>
      </c>
      <c r="AJ186" s="51"/>
      <c r="AK186" s="51"/>
      <c r="AL186" s="51"/>
      <c r="AM186" s="51"/>
      <c r="AN186" s="51"/>
      <c r="AO186" s="51"/>
      <c r="AP186" s="51"/>
      <c r="AQ186" s="51"/>
      <c r="AR186" s="51">
        <v>1.0</v>
      </c>
      <c r="AS186" s="51"/>
      <c r="AT186" s="51"/>
      <c r="AU186" s="51"/>
      <c r="AV186" s="51"/>
      <c r="AW186" s="51"/>
      <c r="AX186" s="51"/>
      <c r="AY186" s="51"/>
      <c r="AZ186" s="51"/>
      <c r="BA186" s="51"/>
      <c r="BB186" s="51"/>
      <c r="BC186" s="51"/>
      <c r="BD186" s="51"/>
      <c r="BE186" s="51"/>
      <c r="BF186" s="51"/>
      <c r="BG186" s="51"/>
      <c r="BH186" s="51"/>
      <c r="BI186" s="51"/>
      <c r="BJ186" s="52">
        <v>1.0</v>
      </c>
      <c r="BK186" s="51"/>
      <c r="BL186" s="51"/>
      <c r="BM186" s="51"/>
      <c r="BN186" s="51"/>
      <c r="BO186" s="51"/>
      <c r="BP186" s="51"/>
      <c r="BQ186" s="51"/>
      <c r="BR186" s="51"/>
      <c r="BS186" s="51"/>
      <c r="BT186" s="51"/>
      <c r="BU186" s="51"/>
      <c r="BV186" s="51"/>
      <c r="BW186" s="51"/>
      <c r="BX186" s="51"/>
      <c r="BY186" s="51"/>
      <c r="BZ186" s="51"/>
      <c r="CA186" s="51"/>
      <c r="CB186" s="51"/>
    </row>
    <row r="187" ht="12.75" customHeight="1">
      <c r="A187" s="46" t="s">
        <v>116</v>
      </c>
      <c r="B187" s="56" t="str">
        <f>HYPERLINK("https://drive.google.com/open?id=0B1GMAYMj9v6rekp2WkxkWjd2bmM","Storrle2011")</f>
        <v>Storrle2011</v>
      </c>
      <c r="C187" s="55" t="s">
        <v>1070</v>
      </c>
      <c r="D187" s="55" t="s">
        <v>1071</v>
      </c>
      <c r="E187" s="49">
        <v>2011.0</v>
      </c>
      <c r="F187" s="50"/>
      <c r="G187" s="50">
        <v>1.0</v>
      </c>
      <c r="H187" s="50"/>
      <c r="I187" s="50"/>
      <c r="J187" s="50"/>
      <c r="K187" s="50"/>
      <c r="L187" s="50"/>
      <c r="M187" s="50"/>
      <c r="N187" s="50"/>
      <c r="O187" s="50">
        <v>1.0</v>
      </c>
      <c r="P187" s="50"/>
      <c r="Q187" s="50"/>
      <c r="R187" s="50"/>
      <c r="S187" s="50"/>
      <c r="T187" s="50"/>
      <c r="U187" s="50"/>
      <c r="V187" s="51" t="s">
        <v>9</v>
      </c>
      <c r="W187" s="51"/>
      <c r="X187" s="51" t="s">
        <v>1072</v>
      </c>
      <c r="Y187" s="51" t="s">
        <v>1073</v>
      </c>
      <c r="Z187" s="51" t="s">
        <v>122</v>
      </c>
      <c r="AA187" s="50">
        <v>1.0</v>
      </c>
      <c r="AB187" s="50"/>
      <c r="AC187" s="50"/>
      <c r="AD187" s="50">
        <v>1.0</v>
      </c>
      <c r="AE187" s="50"/>
      <c r="AF187" s="50"/>
      <c r="AG187" s="50"/>
      <c r="AH187" s="51" t="s">
        <v>1074</v>
      </c>
      <c r="AI187" s="51">
        <v>1.0</v>
      </c>
      <c r="AJ187" s="51"/>
      <c r="AK187" s="51"/>
      <c r="AL187" s="51"/>
      <c r="AM187" s="51"/>
      <c r="AN187" s="51"/>
      <c r="AO187" s="51"/>
      <c r="AP187" s="51"/>
      <c r="AQ187" s="51"/>
      <c r="AR187" s="51">
        <v>1.0</v>
      </c>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c r="BO187" s="51"/>
      <c r="BP187" s="51"/>
      <c r="BQ187" s="51"/>
      <c r="BR187" s="51"/>
      <c r="BS187" s="51"/>
      <c r="BT187" s="51"/>
      <c r="BU187" s="51"/>
      <c r="BV187" s="51"/>
      <c r="BW187" s="51"/>
      <c r="BX187" s="51"/>
      <c r="BY187" s="51"/>
      <c r="BZ187" s="51"/>
      <c r="CA187" s="51">
        <v>1.0</v>
      </c>
      <c r="CB187" s="51"/>
    </row>
    <row r="188" ht="12.75" customHeight="1">
      <c r="A188" s="46" t="s">
        <v>108</v>
      </c>
      <c r="B188" s="56" t="str">
        <f>HYPERLINK("https://drive.google.com/open?id=0B3oar8-GeP-IYk9CYTBHSDBDT0E","Storrle2013")</f>
        <v>Storrle2013</v>
      </c>
      <c r="C188" s="55" t="s">
        <v>1075</v>
      </c>
      <c r="D188" s="55" t="s">
        <v>588</v>
      </c>
      <c r="E188" s="49">
        <v>2013.0</v>
      </c>
      <c r="F188" s="50"/>
      <c r="G188" s="50"/>
      <c r="H188" s="50">
        <v>1.0</v>
      </c>
      <c r="I188" s="50"/>
      <c r="J188" s="50"/>
      <c r="K188" s="50"/>
      <c r="L188" s="50"/>
      <c r="M188" s="50"/>
      <c r="N188" s="50"/>
      <c r="O188" s="50"/>
      <c r="P188" s="50"/>
      <c r="Q188" s="50"/>
      <c r="R188" s="50"/>
      <c r="S188" s="50"/>
      <c r="T188" s="50"/>
      <c r="U188" s="50"/>
      <c r="V188" s="48"/>
      <c r="W188" s="48" t="s">
        <v>9</v>
      </c>
      <c r="X188" s="74" t="s">
        <v>221</v>
      </c>
      <c r="Y188" s="48" t="s">
        <v>1076</v>
      </c>
      <c r="Z188" s="48" t="s">
        <v>1077</v>
      </c>
      <c r="AA188" s="50">
        <v>1.0</v>
      </c>
      <c r="AB188" s="50">
        <v>1.0</v>
      </c>
      <c r="AC188" s="50"/>
      <c r="AD188" s="50">
        <v>1.0</v>
      </c>
      <c r="AE188" s="50"/>
      <c r="AF188" s="50"/>
      <c r="AG188" s="50"/>
      <c r="AH188" s="51" t="s">
        <v>1078</v>
      </c>
      <c r="AI188" s="51">
        <v>1.0</v>
      </c>
      <c r="AJ188" s="51"/>
      <c r="AK188" s="51"/>
      <c r="AL188" s="51"/>
      <c r="AM188" s="51"/>
      <c r="AN188" s="51"/>
      <c r="AO188" s="51"/>
      <c r="AP188" s="51"/>
      <c r="AQ188" s="51"/>
      <c r="AR188" s="51">
        <v>1.0</v>
      </c>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c r="BO188" s="51"/>
      <c r="BP188" s="51"/>
      <c r="BQ188" s="51"/>
      <c r="BR188" s="51"/>
      <c r="BS188" s="51"/>
      <c r="BT188" s="51"/>
      <c r="BU188" s="51"/>
      <c r="BV188" s="51"/>
      <c r="BW188" s="51"/>
      <c r="BX188" s="51"/>
      <c r="BY188" s="51"/>
      <c r="BZ188" s="51"/>
      <c r="CA188" s="51">
        <v>1.0</v>
      </c>
      <c r="CB188" s="51"/>
    </row>
    <row r="189" ht="12.75" customHeight="1">
      <c r="A189" s="46" t="s">
        <v>88</v>
      </c>
      <c r="B189" s="53" t="str">
        <f>HYPERLINK("https://drive.google.com/open?id=0B00cIHsghs6UMjhMNklGS1JNREE","Storrle2016")</f>
        <v>Storrle2016</v>
      </c>
      <c r="C189" s="48" t="s">
        <v>1079</v>
      </c>
      <c r="D189" s="48" t="s">
        <v>1080</v>
      </c>
      <c r="E189" s="49">
        <v>2016.0</v>
      </c>
      <c r="F189" s="50"/>
      <c r="G189" s="50">
        <v>1.0</v>
      </c>
      <c r="H189" s="50"/>
      <c r="I189" s="50"/>
      <c r="J189" s="50"/>
      <c r="K189" s="50"/>
      <c r="L189" s="50"/>
      <c r="M189" s="50"/>
      <c r="N189" s="50"/>
      <c r="O189" s="50">
        <v>1.0</v>
      </c>
      <c r="P189" s="50"/>
      <c r="Q189" s="50"/>
      <c r="R189" s="50"/>
      <c r="S189" s="50"/>
      <c r="T189" s="50"/>
      <c r="U189" s="50"/>
      <c r="V189" s="51" t="s">
        <v>1081</v>
      </c>
      <c r="W189" s="51" t="s">
        <v>1082</v>
      </c>
      <c r="X189" s="51" t="s">
        <v>9</v>
      </c>
      <c r="Y189" s="51" t="s">
        <v>1083</v>
      </c>
      <c r="Z189" s="51" t="s">
        <v>1084</v>
      </c>
      <c r="AA189" s="50">
        <v>1.0</v>
      </c>
      <c r="AB189" s="50"/>
      <c r="AC189" s="50"/>
      <c r="AD189" s="50">
        <v>1.0</v>
      </c>
      <c r="AE189" s="50"/>
      <c r="AF189" s="50"/>
      <c r="AG189" s="50"/>
      <c r="AH189" s="51" t="s">
        <v>1085</v>
      </c>
      <c r="AI189" s="51">
        <v>1.0</v>
      </c>
      <c r="AJ189" s="51"/>
      <c r="AK189" s="51"/>
      <c r="AL189" s="51"/>
      <c r="AM189" s="51"/>
      <c r="AN189" s="51"/>
      <c r="AO189" s="51"/>
      <c r="AP189" s="51"/>
      <c r="AQ189" s="51"/>
      <c r="AR189" s="51">
        <v>1.0</v>
      </c>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c r="BO189" s="51"/>
      <c r="BP189" s="51"/>
      <c r="BQ189" s="51"/>
      <c r="BR189" s="51"/>
      <c r="BS189" s="51"/>
      <c r="BT189" s="51"/>
      <c r="BU189" s="51"/>
      <c r="BV189" s="51"/>
      <c r="BW189" s="51"/>
      <c r="BX189" s="51"/>
      <c r="BY189" s="51"/>
      <c r="BZ189" s="51"/>
      <c r="CA189" s="51">
        <v>1.0</v>
      </c>
      <c r="CB189" s="51"/>
    </row>
    <row r="190" ht="12.75" customHeight="1">
      <c r="A190" s="46" t="s">
        <v>124</v>
      </c>
      <c r="B190" s="54" t="str">
        <f>HYPERLINK("https://drive.google.com/open?id=0B-nn5iJ29NJabndoY1ZFUVpLRW8","Swan2005")</f>
        <v>Swan2005</v>
      </c>
      <c r="C190" s="55" t="s">
        <v>1086</v>
      </c>
      <c r="D190" s="55" t="s">
        <v>1087</v>
      </c>
      <c r="E190" s="57">
        <v>2005.0</v>
      </c>
      <c r="F190" s="58"/>
      <c r="G190" s="50"/>
      <c r="H190" s="50">
        <v>1.0</v>
      </c>
      <c r="I190" s="50"/>
      <c r="J190" s="50"/>
      <c r="K190" s="50"/>
      <c r="L190" s="50"/>
      <c r="M190" s="50"/>
      <c r="N190" s="50"/>
      <c r="O190" s="50"/>
      <c r="P190" s="50"/>
      <c r="Q190" s="50"/>
      <c r="R190" s="50"/>
      <c r="S190" s="50"/>
      <c r="T190" s="50"/>
      <c r="U190" s="50"/>
      <c r="V190" s="48"/>
      <c r="W190" s="48" t="s">
        <v>1088</v>
      </c>
      <c r="X190" s="48"/>
      <c r="Y190" s="48"/>
      <c r="Z190" s="48" t="s">
        <v>1089</v>
      </c>
      <c r="AA190" s="50">
        <v>1.0</v>
      </c>
      <c r="AB190" s="50"/>
      <c r="AC190" s="50"/>
      <c r="AD190" s="50">
        <v>1.0</v>
      </c>
      <c r="AE190" s="50"/>
      <c r="AF190" s="50"/>
      <c r="AG190" s="50"/>
      <c r="AH190" s="59"/>
      <c r="AI190" s="52">
        <v>1.0</v>
      </c>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2">
        <v>1.0</v>
      </c>
      <c r="BK190" s="51"/>
      <c r="BL190" s="52">
        <v>1.0</v>
      </c>
      <c r="BM190" s="52">
        <v>1.0</v>
      </c>
      <c r="BN190" s="51"/>
      <c r="BO190" s="51"/>
      <c r="BP190" s="51"/>
      <c r="BQ190" s="51"/>
      <c r="BR190" s="51"/>
      <c r="BS190" s="51"/>
      <c r="BT190" s="51"/>
      <c r="BU190" s="51"/>
      <c r="BW190" s="52"/>
      <c r="BX190" s="51"/>
      <c r="BY190" s="52">
        <v>1.0</v>
      </c>
      <c r="BZ190" s="51"/>
      <c r="CA190" s="51"/>
      <c r="CB190" s="51"/>
    </row>
    <row r="191" ht="12.75" customHeight="1">
      <c r="A191" s="46" t="s">
        <v>108</v>
      </c>
      <c r="B191" s="55" t="s">
        <v>1090</v>
      </c>
      <c r="C191" s="55" t="s">
        <v>1091</v>
      </c>
      <c r="D191" s="55" t="s">
        <v>987</v>
      </c>
      <c r="E191" s="49">
        <v>2013.0</v>
      </c>
      <c r="F191" s="61">
        <v>1.0</v>
      </c>
      <c r="G191" s="50"/>
      <c r="H191" s="50"/>
      <c r="I191" s="50"/>
      <c r="J191" s="50"/>
      <c r="K191" s="50"/>
      <c r="L191" s="50"/>
      <c r="M191" s="50"/>
      <c r="N191" s="50"/>
      <c r="O191" s="50"/>
      <c r="P191" s="50"/>
      <c r="Q191" s="50"/>
      <c r="R191" s="50"/>
      <c r="S191" s="50"/>
      <c r="T191" s="50"/>
      <c r="U191" s="50"/>
      <c r="V191" s="48"/>
      <c r="W191" s="48"/>
      <c r="X191" s="48"/>
      <c r="Y191" s="48"/>
      <c r="Z191" s="48"/>
      <c r="AA191" s="50"/>
      <c r="AB191" s="50"/>
      <c r="AC191" s="50"/>
      <c r="AD191" s="50"/>
      <c r="AE191" s="50"/>
      <c r="AF191" s="50"/>
      <c r="AG191" s="50"/>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c r="BO191" s="51"/>
      <c r="BP191" s="51"/>
      <c r="BQ191" s="51"/>
      <c r="BR191" s="51"/>
      <c r="BS191" s="51"/>
      <c r="BT191" s="51"/>
      <c r="BU191" s="51"/>
      <c r="BV191" s="51"/>
      <c r="BW191" s="51"/>
      <c r="BX191" s="51"/>
      <c r="BY191" s="51"/>
      <c r="BZ191" s="51"/>
      <c r="CA191" s="51"/>
      <c r="CB191" s="51"/>
    </row>
    <row r="192" ht="12.75" customHeight="1">
      <c r="A192" s="46" t="s">
        <v>108</v>
      </c>
      <c r="B192" s="56" t="str">
        <f>HYPERLINK("https://drive.google.com/open?id=0B3oar8-GeP-IRXVORktFek45bHM","Tang2011")</f>
        <v>Tang2011</v>
      </c>
      <c r="C192" s="55" t="s">
        <v>1092</v>
      </c>
      <c r="D192" s="55" t="s">
        <v>196</v>
      </c>
      <c r="E192" s="49">
        <v>2011.0</v>
      </c>
      <c r="F192" s="50"/>
      <c r="G192" s="50"/>
      <c r="H192" s="50">
        <v>1.0</v>
      </c>
      <c r="I192" s="50"/>
      <c r="J192" s="50"/>
      <c r="K192" s="50"/>
      <c r="L192" s="50"/>
      <c r="M192" s="50"/>
      <c r="N192" s="50"/>
      <c r="O192" s="50"/>
      <c r="P192" s="50"/>
      <c r="Q192" s="50"/>
      <c r="R192" s="50"/>
      <c r="S192" s="50"/>
      <c r="T192" s="50"/>
      <c r="U192" s="50"/>
      <c r="V192" s="48"/>
      <c r="W192" s="48" t="s">
        <v>359</v>
      </c>
      <c r="X192" s="48" t="s">
        <v>221</v>
      </c>
      <c r="Y192" s="48" t="s">
        <v>221</v>
      </c>
      <c r="Z192" s="48" t="s">
        <v>1093</v>
      </c>
      <c r="AA192" s="50">
        <v>1.0</v>
      </c>
      <c r="AB192" s="50"/>
      <c r="AC192" s="50"/>
      <c r="AD192" s="50"/>
      <c r="AE192" s="50"/>
      <c r="AF192" s="50">
        <v>1.0</v>
      </c>
      <c r="AG192" s="50"/>
      <c r="AH192" s="51" t="s">
        <v>1094</v>
      </c>
      <c r="AI192" s="51">
        <v>1.0</v>
      </c>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v>1.0</v>
      </c>
      <c r="BJ192" s="51"/>
      <c r="BK192" s="51"/>
      <c r="BL192" s="51"/>
      <c r="BM192" s="51"/>
      <c r="BN192" s="51"/>
      <c r="BO192" s="51"/>
      <c r="BP192" s="51"/>
      <c r="BQ192" s="51"/>
      <c r="BR192" s="51"/>
      <c r="BS192" s="51"/>
      <c r="BT192" s="51"/>
      <c r="BU192" s="51"/>
      <c r="BV192" s="51"/>
      <c r="BW192" s="51"/>
      <c r="BX192" s="51"/>
      <c r="BY192" s="51"/>
      <c r="BZ192" s="51"/>
      <c r="CA192" s="51"/>
      <c r="CB192" s="51"/>
    </row>
    <row r="193" ht="12.75" customHeight="1">
      <c r="A193" s="46" t="s">
        <v>124</v>
      </c>
      <c r="B193" s="54" t="str">
        <f>HYPERLINK("https://drive.google.com/open?id=0B-nn5iJ29NJaNWZ0YlZkdElhcDA","Teasley1994")</f>
        <v>Teasley1994</v>
      </c>
      <c r="C193" s="55" t="s">
        <v>1095</v>
      </c>
      <c r="D193" s="55" t="s">
        <v>1096</v>
      </c>
      <c r="E193" s="57">
        <v>1994.0</v>
      </c>
      <c r="F193" s="58"/>
      <c r="G193" s="50"/>
      <c r="H193" s="50"/>
      <c r="I193" s="50">
        <v>1.0</v>
      </c>
      <c r="J193" s="50"/>
      <c r="K193" s="50"/>
      <c r="L193" s="50"/>
      <c r="M193" s="50"/>
      <c r="N193" s="50"/>
      <c r="O193" s="50"/>
      <c r="P193" s="50"/>
      <c r="Q193" s="50"/>
      <c r="R193" s="50"/>
      <c r="S193" s="50"/>
      <c r="T193" s="50"/>
      <c r="U193" s="50"/>
      <c r="V193" s="48" t="s">
        <v>1097</v>
      </c>
      <c r="W193" s="48" t="s">
        <v>479</v>
      </c>
      <c r="X193" s="48" t="s">
        <v>1098</v>
      </c>
      <c r="Y193" s="48" t="s">
        <v>1099</v>
      </c>
      <c r="Z193" s="48" t="s">
        <v>1100</v>
      </c>
      <c r="AA193" s="50">
        <v>1.0</v>
      </c>
      <c r="AB193" s="50"/>
      <c r="AC193" s="50"/>
      <c r="AD193" s="50">
        <v>1.0</v>
      </c>
      <c r="AE193" s="50"/>
      <c r="AF193" s="50"/>
      <c r="AG193" s="50"/>
      <c r="AH193" s="59"/>
      <c r="AI193" s="51">
        <v>1.0</v>
      </c>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2">
        <v>1.0</v>
      </c>
      <c r="BF193" s="51"/>
      <c r="BG193" s="51"/>
      <c r="BH193" s="51"/>
      <c r="BI193" s="51"/>
      <c r="BJ193" s="52">
        <v>1.0</v>
      </c>
      <c r="BK193" s="51"/>
      <c r="BL193" s="51"/>
      <c r="BM193" s="51"/>
      <c r="BN193" s="51"/>
      <c r="BO193" s="51"/>
      <c r="BP193" s="51"/>
      <c r="BQ193" s="51"/>
      <c r="BR193" s="51"/>
      <c r="BS193" s="51"/>
      <c r="BT193" s="51"/>
      <c r="BU193" s="51"/>
      <c r="BV193" s="52"/>
      <c r="BW193" s="51"/>
      <c r="BX193" s="51"/>
      <c r="BY193" s="51">
        <v>1.0</v>
      </c>
      <c r="BZ193" s="51"/>
      <c r="CB193" s="51"/>
    </row>
    <row r="194" ht="12.75" customHeight="1">
      <c r="A194" s="46" t="s">
        <v>88</v>
      </c>
      <c r="B194" s="53" t="str">
        <f>HYPERLINK("https://drive.google.com/open?id=1RegAOKR5Pjgxu9_B8rtL4pZg9P-xIU5z","Teasley1994")</f>
        <v>Teasley1994</v>
      </c>
      <c r="C194" s="48" t="s">
        <v>1101</v>
      </c>
      <c r="D194" s="65" t="s">
        <v>1102</v>
      </c>
      <c r="E194" s="49">
        <v>1994.0</v>
      </c>
      <c r="F194" s="50"/>
      <c r="G194" s="50"/>
      <c r="H194" s="50"/>
      <c r="I194" s="50"/>
      <c r="J194" s="50">
        <v>1.0</v>
      </c>
      <c r="K194" s="50"/>
      <c r="L194" s="50"/>
      <c r="M194" s="50"/>
      <c r="N194" s="50"/>
      <c r="O194" s="50"/>
      <c r="P194" s="50"/>
      <c r="Q194" s="50"/>
      <c r="R194" s="50"/>
      <c r="S194" s="50"/>
      <c r="T194" s="50"/>
      <c r="U194" s="50"/>
      <c r="V194" s="51"/>
      <c r="W194" s="51" t="s">
        <v>304</v>
      </c>
      <c r="X194" s="51" t="s">
        <v>1103</v>
      </c>
      <c r="Y194" s="51" t="s">
        <v>1104</v>
      </c>
      <c r="Z194" s="51" t="s">
        <v>973</v>
      </c>
      <c r="AA194" s="50">
        <v>1.0</v>
      </c>
      <c r="AB194" s="50"/>
      <c r="AC194" s="50"/>
      <c r="AD194" s="50">
        <v>1.0</v>
      </c>
      <c r="AE194" s="50"/>
      <c r="AF194" s="50"/>
      <c r="AG194" s="50"/>
      <c r="AH194" s="51"/>
      <c r="AI194" s="51">
        <v>1.0</v>
      </c>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v>1.0</v>
      </c>
      <c r="BJ194" s="51"/>
      <c r="BK194" s="51"/>
      <c r="BL194" s="51"/>
      <c r="BM194" s="51"/>
      <c r="BN194" s="51"/>
      <c r="BO194" s="51"/>
      <c r="BP194" s="51"/>
      <c r="BQ194" s="51"/>
      <c r="BR194" s="51"/>
      <c r="BS194" s="51"/>
      <c r="BT194" s="51"/>
      <c r="BU194" s="51"/>
      <c r="BV194" s="51"/>
      <c r="BW194" s="51"/>
      <c r="BX194" s="51"/>
      <c r="BY194" s="51">
        <v>1.0</v>
      </c>
      <c r="BZ194" s="51"/>
      <c r="CA194" s="51"/>
      <c r="CB194" s="51"/>
    </row>
    <row r="195" ht="12.75" customHeight="1">
      <c r="A195" s="46" t="s">
        <v>88</v>
      </c>
      <c r="B195" s="47" t="str">
        <f>HYPERLINK("https://drive.google.com/open?id=1rQISHos-ScmfiMxgckPhTdc1Taw8sqgq","Tegarden2001")</f>
        <v>Tegarden2001</v>
      </c>
      <c r="C195" s="48" t="s">
        <v>1105</v>
      </c>
      <c r="D195" s="48" t="s">
        <v>861</v>
      </c>
      <c r="E195" s="49">
        <v>2001.0</v>
      </c>
      <c r="F195" s="50"/>
      <c r="G195" s="50"/>
      <c r="H195" s="50">
        <v>1.0</v>
      </c>
      <c r="I195" s="50"/>
      <c r="J195" s="50"/>
      <c r="K195" s="50"/>
      <c r="L195" s="50"/>
      <c r="M195" s="50"/>
      <c r="N195" s="50"/>
      <c r="O195" s="50"/>
      <c r="P195" s="50"/>
      <c r="Q195" s="50"/>
      <c r="R195" s="50"/>
      <c r="S195" s="50"/>
      <c r="T195" s="50"/>
      <c r="U195" s="50"/>
      <c r="V195" s="51"/>
      <c r="W195" s="51" t="s">
        <v>1106</v>
      </c>
      <c r="X195" s="51" t="s">
        <v>1107</v>
      </c>
      <c r="Y195" s="51" t="s">
        <v>1108</v>
      </c>
      <c r="Z195" s="51" t="s">
        <v>100</v>
      </c>
      <c r="AA195" s="50">
        <v>1.0</v>
      </c>
      <c r="AB195" s="50"/>
      <c r="AC195" s="50"/>
      <c r="AD195" s="50">
        <v>1.0</v>
      </c>
      <c r="AE195" s="50"/>
      <c r="AF195" s="50"/>
      <c r="AG195" s="50"/>
      <c r="AH195" s="51" t="s">
        <v>1109</v>
      </c>
      <c r="AI195" s="51">
        <v>1.0</v>
      </c>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v>1.0</v>
      </c>
      <c r="BG195" s="51"/>
      <c r="BH195" s="51"/>
      <c r="BI195" s="51"/>
      <c r="BJ195" s="52">
        <v>1.0</v>
      </c>
      <c r="BK195" s="51"/>
      <c r="BL195" s="51"/>
      <c r="BM195" s="52">
        <v>1.0</v>
      </c>
      <c r="BN195" s="51"/>
      <c r="BO195" s="51"/>
      <c r="BP195" s="51"/>
      <c r="BQ195" s="51"/>
      <c r="BR195" s="51"/>
      <c r="BS195" s="51"/>
      <c r="BT195" s="51"/>
      <c r="BU195" s="51">
        <v>1.0</v>
      </c>
      <c r="BV195" s="51"/>
      <c r="BW195" s="51"/>
      <c r="BX195" s="51"/>
      <c r="BY195" s="51"/>
      <c r="BZ195" s="51"/>
      <c r="CA195" s="51"/>
      <c r="CB195" s="51"/>
    </row>
    <row r="196" ht="12.75" customHeight="1">
      <c r="A196" s="46" t="s">
        <v>108</v>
      </c>
      <c r="B196" s="55" t="s">
        <v>1110</v>
      </c>
      <c r="C196" s="55" t="s">
        <v>1111</v>
      </c>
      <c r="D196" s="55" t="s">
        <v>1112</v>
      </c>
      <c r="E196" s="49">
        <v>1997.0</v>
      </c>
      <c r="F196" s="61">
        <v>1.0</v>
      </c>
      <c r="G196" s="50"/>
      <c r="H196" s="50">
        <v>1.0</v>
      </c>
      <c r="I196" s="50">
        <v>1.0</v>
      </c>
      <c r="J196" s="50"/>
      <c r="K196" s="50"/>
      <c r="L196" s="50"/>
      <c r="M196" s="50"/>
      <c r="N196" s="50"/>
      <c r="O196" s="50"/>
      <c r="P196" s="50"/>
      <c r="Q196" s="50"/>
      <c r="R196" s="50"/>
      <c r="S196" s="50"/>
      <c r="T196" s="50"/>
      <c r="U196" s="50"/>
      <c r="V196" s="48" t="s">
        <v>1113</v>
      </c>
      <c r="W196" s="48"/>
      <c r="X196" s="48"/>
      <c r="Y196" s="48"/>
      <c r="Z196" s="48" t="s">
        <v>1114</v>
      </c>
      <c r="AA196" s="50">
        <v>1.0</v>
      </c>
      <c r="AB196" s="50"/>
      <c r="AC196" s="50"/>
      <c r="AD196" s="50"/>
      <c r="AE196" s="50"/>
      <c r="AF196" s="50">
        <v>1.0</v>
      </c>
      <c r="AG196" s="50"/>
      <c r="AH196" s="51" t="s">
        <v>1115</v>
      </c>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c r="BO196" s="51"/>
      <c r="BP196" s="51"/>
      <c r="BQ196" s="51"/>
      <c r="BR196" s="51"/>
      <c r="BS196" s="51"/>
      <c r="BT196" s="51"/>
      <c r="BU196" s="51"/>
      <c r="BV196" s="51"/>
      <c r="BW196" s="51"/>
      <c r="BX196" s="51"/>
      <c r="BY196" s="51"/>
      <c r="BZ196" s="51"/>
      <c r="CA196" s="51"/>
      <c r="CB196" s="51"/>
    </row>
    <row r="197" ht="12.75" customHeight="1">
      <c r="A197" s="46" t="s">
        <v>172</v>
      </c>
      <c r="B197" s="68" t="str">
        <f>HYPERLINK("https://drive.google.com/open?id=1rDKNduLMosW3kAtjRPg3ysBMESXet2O7","Thummadi2011")</f>
        <v>Thummadi2011</v>
      </c>
      <c r="C197" s="63" t="s">
        <v>1116</v>
      </c>
      <c r="D197" s="63" t="s">
        <v>1117</v>
      </c>
      <c r="E197" s="55">
        <v>2011.0</v>
      </c>
      <c r="F197" s="71">
        <v>1.0</v>
      </c>
      <c r="G197" s="55">
        <v>1.0</v>
      </c>
      <c r="H197" s="55"/>
      <c r="I197" s="55"/>
      <c r="J197" s="55"/>
      <c r="K197" s="55"/>
      <c r="L197" s="55"/>
      <c r="M197" s="55"/>
      <c r="N197" s="55"/>
      <c r="O197" s="55"/>
      <c r="P197" s="55"/>
      <c r="Q197" s="55"/>
      <c r="R197" s="55"/>
      <c r="S197" s="55"/>
      <c r="T197" s="55"/>
      <c r="U197" s="55"/>
      <c r="V197" s="55" t="s">
        <v>1118</v>
      </c>
      <c r="W197" s="55" t="s">
        <v>1119</v>
      </c>
      <c r="X197" s="55"/>
      <c r="Y197" s="55"/>
      <c r="Z197" s="55" t="s">
        <v>100</v>
      </c>
      <c r="AA197" s="55"/>
      <c r="AB197" s="55"/>
      <c r="AC197" s="55"/>
      <c r="AD197" s="55"/>
      <c r="AE197" s="55"/>
      <c r="AF197" s="55">
        <v>1.0</v>
      </c>
      <c r="AG197" s="55"/>
      <c r="AH197" s="48" t="s">
        <v>1120</v>
      </c>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row>
    <row r="198" ht="12.75" customHeight="1">
      <c r="A198" s="46" t="s">
        <v>108</v>
      </c>
      <c r="B198" s="56" t="str">
        <f>HYPERLINK("https://drive.google.com/open?id=0B3oar8-GeP-IQ05qUUhRU1dxeXc","Toomim2004")</f>
        <v>Toomim2004</v>
      </c>
      <c r="C198" s="55" t="s">
        <v>1121</v>
      </c>
      <c r="D198" s="55" t="s">
        <v>490</v>
      </c>
      <c r="E198" s="49">
        <v>2004.0</v>
      </c>
      <c r="F198" s="50"/>
      <c r="G198" s="50"/>
      <c r="H198" s="50"/>
      <c r="I198" s="50">
        <v>1.0</v>
      </c>
      <c r="J198" s="50"/>
      <c r="K198" s="50"/>
      <c r="L198" s="50"/>
      <c r="M198" s="50"/>
      <c r="N198" s="50"/>
      <c r="O198" s="50"/>
      <c r="P198" s="50"/>
      <c r="Q198" s="50"/>
      <c r="R198" s="50"/>
      <c r="S198" s="50"/>
      <c r="T198" s="50"/>
      <c r="U198" s="50"/>
      <c r="V198" s="48" t="s">
        <v>1122</v>
      </c>
      <c r="W198" s="48" t="s">
        <v>842</v>
      </c>
      <c r="X198" s="48" t="s">
        <v>1123</v>
      </c>
      <c r="Y198" s="48" t="s">
        <v>1124</v>
      </c>
      <c r="Z198" s="48" t="s">
        <v>1125</v>
      </c>
      <c r="AA198" s="50">
        <v>1.0</v>
      </c>
      <c r="AB198" s="50"/>
      <c r="AC198" s="50"/>
      <c r="AD198" s="50">
        <v>1.0</v>
      </c>
      <c r="AE198" s="50"/>
      <c r="AF198" s="50"/>
      <c r="AG198" s="50"/>
      <c r="AH198" s="51" t="s">
        <v>1126</v>
      </c>
      <c r="AI198" s="51">
        <v>1.0</v>
      </c>
      <c r="AJ198" s="51"/>
      <c r="AK198" s="51"/>
      <c r="AL198" s="51"/>
      <c r="AM198" s="51"/>
      <c r="AN198" s="51"/>
      <c r="AO198" s="51"/>
      <c r="AP198" s="51"/>
      <c r="AQ198" s="51"/>
      <c r="AR198" s="51">
        <v>1.0</v>
      </c>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c r="BO198" s="51"/>
      <c r="BP198" s="51"/>
      <c r="BQ198" s="51"/>
      <c r="BR198" s="51"/>
      <c r="BS198" s="51"/>
      <c r="BT198" s="51"/>
      <c r="BU198" s="51"/>
      <c r="BV198" s="51"/>
      <c r="BW198" s="51"/>
      <c r="BX198" s="51"/>
      <c r="BY198" s="51">
        <v>1.0</v>
      </c>
      <c r="BZ198" s="51"/>
      <c r="CA198" s="51">
        <v>1.0</v>
      </c>
      <c r="CB198" s="51"/>
    </row>
    <row r="199" ht="12.75" customHeight="1">
      <c r="A199" s="46" t="s">
        <v>172</v>
      </c>
      <c r="B199" s="68" t="str">
        <f>HYPERLINK("https://drive.google.com/open?id=1R24oUzjijPz5IRLu2_4URJOaQwYK9iCT","Tracz1979")</f>
        <v>Tracz1979</v>
      </c>
      <c r="C199" s="63" t="s">
        <v>1127</v>
      </c>
      <c r="D199" s="63" t="s">
        <v>1128</v>
      </c>
      <c r="E199" s="55">
        <v>1979.0</v>
      </c>
      <c r="F199" s="55"/>
      <c r="G199" s="55"/>
      <c r="H199" s="55"/>
      <c r="I199" s="55">
        <v>1.0</v>
      </c>
      <c r="J199" s="55"/>
      <c r="K199" s="55"/>
      <c r="L199" s="55"/>
      <c r="M199" s="55"/>
      <c r="N199" s="55"/>
      <c r="O199" s="55"/>
      <c r="P199" s="55"/>
      <c r="Q199" s="55"/>
      <c r="R199" s="55"/>
      <c r="S199" s="55"/>
      <c r="T199" s="55"/>
      <c r="U199" s="55"/>
      <c r="V199" s="55"/>
      <c r="W199" s="55"/>
      <c r="X199" s="55"/>
      <c r="Y199" s="55"/>
      <c r="Z199" s="55"/>
      <c r="AA199" s="55">
        <v>1.0</v>
      </c>
      <c r="AB199" s="55"/>
      <c r="AC199" s="55"/>
      <c r="AD199" s="55"/>
      <c r="AE199" s="55"/>
      <c r="AF199" s="55">
        <v>1.0</v>
      </c>
      <c r="AG199" s="55"/>
      <c r="AH199" s="48" t="s">
        <v>1129</v>
      </c>
      <c r="AI199" s="52">
        <v>1.0</v>
      </c>
      <c r="AJ199" s="52">
        <v>1.0</v>
      </c>
      <c r="AK199" s="51"/>
      <c r="AL199" s="51"/>
      <c r="AM199" s="51"/>
      <c r="AN199" s="52">
        <v>1.0</v>
      </c>
      <c r="AO199" s="52">
        <v>1.0</v>
      </c>
      <c r="AP199" s="52">
        <v>1.0</v>
      </c>
      <c r="AQ199" s="52">
        <v>1.0</v>
      </c>
      <c r="AR199" s="51"/>
      <c r="AS199" s="51"/>
      <c r="AT199" s="51"/>
      <c r="AU199" s="51"/>
      <c r="AV199" s="51"/>
      <c r="AW199" s="51"/>
      <c r="AX199" s="51"/>
      <c r="AY199" s="51"/>
      <c r="AZ199" s="51"/>
      <c r="BA199" s="51"/>
      <c r="BB199" s="51"/>
      <c r="BC199" s="51"/>
      <c r="BD199" s="52">
        <v>1.0</v>
      </c>
      <c r="BE199" s="52">
        <v>1.0</v>
      </c>
      <c r="BF199" s="52">
        <v>1.0</v>
      </c>
      <c r="BG199" s="52">
        <v>1.0</v>
      </c>
      <c r="BH199" s="52">
        <v>1.0</v>
      </c>
      <c r="BI199" s="52">
        <v>1.0</v>
      </c>
      <c r="BJ199" s="51"/>
      <c r="BK199" s="52">
        <v>1.0</v>
      </c>
      <c r="BL199" s="51"/>
      <c r="BM199" s="52">
        <v>1.0</v>
      </c>
      <c r="BN199" s="51"/>
      <c r="BO199" s="51"/>
      <c r="BP199" s="51"/>
      <c r="BQ199" s="51"/>
      <c r="BR199" s="51"/>
      <c r="BS199" s="51"/>
      <c r="BT199" s="51"/>
      <c r="BU199" s="51"/>
      <c r="BV199" s="51"/>
      <c r="BW199" s="51"/>
      <c r="BX199" s="51"/>
      <c r="BY199" s="51"/>
      <c r="BZ199" s="51"/>
      <c r="CA199" s="51"/>
      <c r="CB199" s="51"/>
    </row>
    <row r="200" ht="12.75" customHeight="1">
      <c r="A200" s="46" t="s">
        <v>172</v>
      </c>
      <c r="B200" s="68" t="str">
        <f>HYPERLINK("https://drive.google.com/open?id=1mhzXbBgQTIpD2ZYPpIiuQvYhFKyDjqaY","Treude2010")</f>
        <v>Treude2010</v>
      </c>
      <c r="C200" s="63" t="s">
        <v>1130</v>
      </c>
      <c r="D200" s="55" t="s">
        <v>1131</v>
      </c>
      <c r="E200" s="55">
        <v>2010.0</v>
      </c>
      <c r="F200" s="71">
        <v>1.0</v>
      </c>
      <c r="G200" s="55"/>
      <c r="H200" s="55"/>
      <c r="I200" s="55"/>
      <c r="J200" s="55"/>
      <c r="K200" s="55"/>
      <c r="L200" s="55"/>
      <c r="M200" s="55">
        <v>1.0</v>
      </c>
      <c r="N200" s="55">
        <v>1.0</v>
      </c>
      <c r="O200" s="55"/>
      <c r="P200" s="55"/>
      <c r="Q200" s="55"/>
      <c r="R200" s="55"/>
      <c r="S200" s="55"/>
      <c r="T200" s="55"/>
      <c r="U200" s="55"/>
      <c r="V200" s="55"/>
      <c r="W200" s="55"/>
      <c r="X200" s="55"/>
      <c r="Y200" s="55"/>
      <c r="Z200" s="55"/>
      <c r="AA200" s="55"/>
      <c r="AB200" s="55">
        <v>1.0</v>
      </c>
      <c r="AC200" s="55"/>
      <c r="AD200" s="55">
        <v>1.0</v>
      </c>
      <c r="AE200" s="55"/>
      <c r="AF200" s="55"/>
      <c r="AG200" s="55"/>
      <c r="AH200" s="48" t="s">
        <v>1132</v>
      </c>
      <c r="AI200" s="52">
        <v>1.0</v>
      </c>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row>
    <row r="201" ht="12.75" customHeight="1">
      <c r="A201" s="46" t="s">
        <v>88</v>
      </c>
      <c r="B201" s="53" t="str">
        <f>HYPERLINK("https://drive.google.com/open?id=0B00cIHsghs6UckpJWlhwNmhGbkE","Tudoreanu2003")</f>
        <v>Tudoreanu2003</v>
      </c>
      <c r="C201" s="48" t="s">
        <v>1133</v>
      </c>
      <c r="D201" s="48" t="s">
        <v>1134</v>
      </c>
      <c r="E201" s="49">
        <v>2003.0</v>
      </c>
      <c r="F201" s="50"/>
      <c r="G201" s="50"/>
      <c r="H201" s="50"/>
      <c r="I201" s="50"/>
      <c r="J201" s="50">
        <v>1.0</v>
      </c>
      <c r="K201" s="50"/>
      <c r="L201" s="50"/>
      <c r="M201" s="50"/>
      <c r="N201" s="50"/>
      <c r="O201" s="50"/>
      <c r="P201" s="50"/>
      <c r="Q201" s="50"/>
      <c r="R201" s="50"/>
      <c r="S201" s="50"/>
      <c r="T201" s="50"/>
      <c r="U201" s="50"/>
      <c r="V201" s="51"/>
      <c r="W201" s="51" t="s">
        <v>1135</v>
      </c>
      <c r="X201" s="51" t="s">
        <v>92</v>
      </c>
      <c r="Y201" s="51" t="s">
        <v>1136</v>
      </c>
      <c r="Z201" s="51" t="s">
        <v>137</v>
      </c>
      <c r="AA201" s="50"/>
      <c r="AB201" s="50"/>
      <c r="AC201" s="50">
        <v>1.0</v>
      </c>
      <c r="AD201" s="50"/>
      <c r="AE201" s="50"/>
      <c r="AF201" s="50"/>
      <c r="AG201" s="50"/>
      <c r="AH201" s="51" t="s">
        <v>1137</v>
      </c>
      <c r="AI201" s="51">
        <v>1.0</v>
      </c>
      <c r="AJ201" s="51"/>
      <c r="AK201" s="51"/>
      <c r="AL201" s="51"/>
      <c r="AM201" s="51"/>
      <c r="AN201" s="51"/>
      <c r="AO201" s="51"/>
      <c r="AP201" s="51"/>
      <c r="AQ201" s="51"/>
      <c r="AR201" s="51">
        <v>1.0</v>
      </c>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c r="BO201" s="51"/>
      <c r="BP201" s="51"/>
      <c r="BQ201" s="51"/>
      <c r="BR201" s="51"/>
      <c r="BS201" s="51"/>
      <c r="BT201" s="51"/>
      <c r="BU201" s="51"/>
      <c r="BV201" s="51"/>
      <c r="BW201" s="51"/>
      <c r="BX201" s="51"/>
      <c r="BY201" s="51">
        <v>1.0</v>
      </c>
      <c r="BZ201" s="51"/>
      <c r="CA201" s="51"/>
      <c r="CB201" s="51"/>
    </row>
    <row r="202" ht="12.75" customHeight="1">
      <c r="A202" s="46" t="s">
        <v>124</v>
      </c>
      <c r="B202" s="54" t="str">
        <f>HYPERLINK("https://drive.google.com/open?id=0B-nn5iJ29NJaME5ka1NmWS1zems","Unkelos-Shpigel2015")</f>
        <v>Unkelos-Shpigel2015</v>
      </c>
      <c r="C202" s="55" t="s">
        <v>1138</v>
      </c>
      <c r="D202" s="55" t="s">
        <v>1139</v>
      </c>
      <c r="E202" s="57">
        <v>2015.0</v>
      </c>
      <c r="F202" s="70">
        <v>1.0</v>
      </c>
      <c r="G202" s="50"/>
      <c r="H202" s="50"/>
      <c r="I202" s="50">
        <v>1.0</v>
      </c>
      <c r="J202" s="50"/>
      <c r="K202" s="50"/>
      <c r="L202" s="50"/>
      <c r="M202" s="50"/>
      <c r="N202" s="50"/>
      <c r="O202" s="50"/>
      <c r="P202" s="50"/>
      <c r="Q202" s="50"/>
      <c r="R202" s="50"/>
      <c r="S202" s="50"/>
      <c r="T202" s="50"/>
      <c r="U202" s="50"/>
      <c r="V202" s="48" t="s">
        <v>1140</v>
      </c>
      <c r="W202" s="48"/>
      <c r="X202" s="48"/>
      <c r="Y202" s="48"/>
      <c r="Z202" s="48" t="s">
        <v>1141</v>
      </c>
      <c r="AA202" s="50"/>
      <c r="AB202" s="50"/>
      <c r="AC202" s="50">
        <v>1.0</v>
      </c>
      <c r="AD202" s="50"/>
      <c r="AE202" s="50"/>
      <c r="AF202" s="50"/>
      <c r="AG202" s="50"/>
      <c r="AH202" s="59"/>
      <c r="AI202" s="52">
        <v>1.0</v>
      </c>
      <c r="AJ202" s="51"/>
      <c r="AK202" s="51"/>
      <c r="AL202" s="51"/>
      <c r="AM202" s="51"/>
      <c r="AN202" s="51"/>
      <c r="AO202" s="51"/>
      <c r="AP202" s="51"/>
      <c r="AQ202" s="51"/>
      <c r="AR202" s="51"/>
      <c r="AS202" s="51"/>
      <c r="AT202" s="51"/>
      <c r="AU202" s="51"/>
      <c r="AV202" s="52">
        <v>1.0</v>
      </c>
      <c r="AW202" s="51"/>
      <c r="AX202" s="51"/>
      <c r="AY202" s="51"/>
      <c r="AZ202" s="51"/>
      <c r="BA202" s="51"/>
      <c r="BB202" s="51"/>
      <c r="BC202" s="51"/>
      <c r="BD202" s="51"/>
      <c r="BE202" s="51"/>
      <c r="BF202" s="51"/>
      <c r="BG202" s="51"/>
      <c r="BH202" s="51"/>
      <c r="BI202" s="51"/>
      <c r="BJ202" s="51"/>
      <c r="BK202" s="51"/>
      <c r="BL202" s="51"/>
      <c r="BM202" s="51"/>
      <c r="BN202" s="51"/>
      <c r="BO202" s="51"/>
      <c r="BP202" s="51"/>
      <c r="BQ202" s="51"/>
      <c r="BR202" s="51"/>
      <c r="BS202" s="51"/>
      <c r="BT202" s="51"/>
      <c r="BU202" s="51"/>
      <c r="BV202" s="51"/>
      <c r="BW202" s="51"/>
      <c r="BX202" s="51"/>
      <c r="BY202" s="51"/>
      <c r="BZ202" s="51"/>
      <c r="CA202" s="51"/>
      <c r="CB202" s="51"/>
    </row>
    <row r="203" ht="12.75" customHeight="1">
      <c r="A203" s="46" t="s">
        <v>116</v>
      </c>
      <c r="B203" s="54" t="str">
        <f>HYPERLINK("https://drive.google.com/open?id=0B1GMAYMj9v6rMS1DZGlCNXV1VTQ","Urbach2010")</f>
        <v>Urbach2010</v>
      </c>
      <c r="C203" s="55" t="s">
        <v>1142</v>
      </c>
      <c r="D203" s="55" t="s">
        <v>1058</v>
      </c>
      <c r="E203" s="49">
        <v>2010.0</v>
      </c>
      <c r="F203" s="61">
        <v>1.0</v>
      </c>
      <c r="G203" s="50"/>
      <c r="H203" s="50"/>
      <c r="I203" s="50"/>
      <c r="J203" s="50"/>
      <c r="K203" s="50"/>
      <c r="L203" s="50"/>
      <c r="M203" s="50"/>
      <c r="N203" s="50"/>
      <c r="O203" s="50"/>
      <c r="P203" s="50"/>
      <c r="Q203" s="50">
        <v>1.0</v>
      </c>
      <c r="R203" s="50"/>
      <c r="S203" s="50"/>
      <c r="T203" s="50"/>
      <c r="U203" s="50"/>
      <c r="V203" s="60"/>
      <c r="W203" s="51" t="s">
        <v>1143</v>
      </c>
      <c r="X203" s="51" t="s">
        <v>1144</v>
      </c>
      <c r="Y203" s="51" t="s">
        <v>336</v>
      </c>
      <c r="Z203" s="51" t="s">
        <v>122</v>
      </c>
      <c r="AA203" s="50"/>
      <c r="AB203" s="50">
        <v>1.0</v>
      </c>
      <c r="AC203" s="50"/>
      <c r="AD203" s="50">
        <v>1.0</v>
      </c>
      <c r="AE203" s="50"/>
      <c r="AF203" s="50"/>
      <c r="AG203" s="50"/>
      <c r="AH203" s="51" t="s">
        <v>1145</v>
      </c>
      <c r="AI203" s="52">
        <v>1.0</v>
      </c>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c r="BO203" s="51"/>
      <c r="BP203" s="51"/>
      <c r="BQ203" s="51"/>
      <c r="BR203" s="51"/>
      <c r="BS203" s="51"/>
      <c r="BT203" s="51"/>
      <c r="BU203" s="51"/>
      <c r="BV203" s="51"/>
      <c r="BW203" s="51"/>
      <c r="BX203" s="51"/>
      <c r="BY203" s="51"/>
      <c r="BZ203" s="51"/>
      <c r="CA203" s="51"/>
      <c r="CB203" s="51"/>
    </row>
    <row r="204" ht="12.75" customHeight="1">
      <c r="A204" s="46" t="s">
        <v>124</v>
      </c>
      <c r="B204" s="54" t="str">
        <f>HYPERLINK("https://drive.google.com/open?id=0B-nn5iJ29NJaS0dmc3dPN1pZZlU","Vasilescu2016")</f>
        <v>Vasilescu2016</v>
      </c>
      <c r="C204" s="55" t="s">
        <v>1146</v>
      </c>
      <c r="D204" s="55" t="s">
        <v>196</v>
      </c>
      <c r="E204" s="57">
        <v>2016.0</v>
      </c>
      <c r="F204" s="58"/>
      <c r="G204" s="50"/>
      <c r="H204" s="50"/>
      <c r="I204" s="50">
        <v>1.0</v>
      </c>
      <c r="J204" s="50"/>
      <c r="K204" s="50"/>
      <c r="L204" s="50"/>
      <c r="M204" s="50"/>
      <c r="N204" s="50"/>
      <c r="O204" s="50"/>
      <c r="P204" s="50"/>
      <c r="Q204" s="50"/>
      <c r="R204" s="50"/>
      <c r="S204" s="50"/>
      <c r="T204" s="50"/>
      <c r="U204" s="50"/>
      <c r="V204" s="60"/>
      <c r="W204" s="48" t="s">
        <v>842</v>
      </c>
      <c r="X204" s="48" t="s">
        <v>1147</v>
      </c>
      <c r="Y204" s="69" t="s">
        <v>1148</v>
      </c>
      <c r="Z204" s="48"/>
      <c r="AA204" s="50"/>
      <c r="AB204" s="50">
        <v>1.0</v>
      </c>
      <c r="AC204" s="50"/>
      <c r="AD204" s="50">
        <v>1.0</v>
      </c>
      <c r="AE204" s="50"/>
      <c r="AF204" s="50"/>
      <c r="AG204" s="50"/>
      <c r="AH204" s="59"/>
      <c r="AI204" s="51">
        <v>1.0</v>
      </c>
      <c r="AJ204" s="51"/>
      <c r="AK204" s="51"/>
      <c r="AL204" s="51"/>
      <c r="AM204" s="51"/>
      <c r="AN204" s="51"/>
      <c r="AO204" s="51"/>
      <c r="AP204" s="51"/>
      <c r="AQ204" s="51"/>
      <c r="AR204" s="51">
        <v>1.0</v>
      </c>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c r="BP204" s="51"/>
      <c r="BQ204" s="51"/>
      <c r="BR204" s="51"/>
      <c r="BS204" s="52">
        <v>1.0</v>
      </c>
      <c r="BT204" s="51"/>
      <c r="BU204" s="51"/>
      <c r="BV204" s="51"/>
      <c r="BW204" s="51"/>
      <c r="BX204" s="52">
        <v>1.0</v>
      </c>
      <c r="BY204" s="51"/>
      <c r="BZ204" s="51"/>
      <c r="CA204" s="51"/>
      <c r="CB204" s="51"/>
    </row>
    <row r="205" ht="12.75" customHeight="1">
      <c r="A205" s="46" t="s">
        <v>172</v>
      </c>
      <c r="B205" s="67" t="str">
        <f>HYPERLINK("https://drive.google.com/open?id=1iUtQKNl545xhvh7IjKcWTzz1vM_SpUF0","Vessey1985")</f>
        <v>Vessey1985</v>
      </c>
      <c r="C205" s="63" t="s">
        <v>1149</v>
      </c>
      <c r="D205" s="63" t="s">
        <v>727</v>
      </c>
      <c r="E205" s="55">
        <v>1985.0</v>
      </c>
      <c r="F205" s="55"/>
      <c r="G205" s="55"/>
      <c r="H205" s="55"/>
      <c r="I205" s="55"/>
      <c r="J205" s="55"/>
      <c r="K205" s="55">
        <v>1.0</v>
      </c>
      <c r="L205" s="55"/>
      <c r="M205" s="55"/>
      <c r="N205" s="55"/>
      <c r="O205" s="55"/>
      <c r="P205" s="55"/>
      <c r="Q205" s="55"/>
      <c r="R205" s="55"/>
      <c r="S205" s="55"/>
      <c r="T205" s="55"/>
      <c r="U205" s="55"/>
      <c r="V205" s="55"/>
      <c r="W205" s="55" t="s">
        <v>1150</v>
      </c>
      <c r="X205" s="55" t="s">
        <v>1151</v>
      </c>
      <c r="Y205" s="55" t="s">
        <v>1152</v>
      </c>
      <c r="Z205" s="55"/>
      <c r="AA205" s="55"/>
      <c r="AB205" s="55"/>
      <c r="AC205" s="55">
        <v>1.0</v>
      </c>
      <c r="AD205" s="55">
        <v>1.0</v>
      </c>
      <c r="AE205" s="55"/>
      <c r="AF205" s="55"/>
      <c r="AG205" s="55"/>
      <c r="AH205" s="48" t="s">
        <v>1153</v>
      </c>
      <c r="AI205" s="51">
        <v>1.0</v>
      </c>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v>1.0</v>
      </c>
      <c r="BF205" s="51"/>
      <c r="BG205" s="51"/>
      <c r="BH205" s="51"/>
      <c r="BI205" s="51"/>
      <c r="BJ205" s="51"/>
      <c r="BK205" s="51"/>
      <c r="BL205" s="51"/>
      <c r="BM205" s="51"/>
      <c r="BN205" s="51"/>
      <c r="BO205" s="51"/>
      <c r="BP205" s="51"/>
      <c r="BQ205" s="51"/>
      <c r="BR205" s="51"/>
      <c r="BS205" s="51"/>
      <c r="BT205" s="51"/>
      <c r="BU205" s="51"/>
      <c r="BV205" s="51">
        <v>1.0</v>
      </c>
      <c r="BW205" s="51"/>
      <c r="BX205" s="51"/>
      <c r="BY205" s="51"/>
      <c r="BZ205" s="51"/>
      <c r="CA205" s="51"/>
      <c r="CB205" s="51"/>
    </row>
    <row r="206" ht="12.75" customHeight="1">
      <c r="A206" s="46" t="s">
        <v>116</v>
      </c>
      <c r="B206" s="68" t="str">
        <f>HYPERLINK("https://drive.google.com/open?id=1ArI5I0hor3NTQ2JEVcOKsegsClGWDyXD","vonMayrhauser1993a")</f>
        <v>vonMayrhauser1993a</v>
      </c>
      <c r="C206" s="63" t="s">
        <v>1154</v>
      </c>
      <c r="D206" s="63" t="s">
        <v>1155</v>
      </c>
      <c r="E206" s="49">
        <v>1993.0</v>
      </c>
      <c r="F206" s="50"/>
      <c r="G206" s="50"/>
      <c r="H206" s="50"/>
      <c r="I206" s="50"/>
      <c r="J206" s="50"/>
      <c r="K206" s="50">
        <v>1.0</v>
      </c>
      <c r="L206" s="50"/>
      <c r="M206" s="50"/>
      <c r="N206" s="50"/>
      <c r="O206" s="50"/>
      <c r="P206" s="50"/>
      <c r="Q206" s="50"/>
      <c r="R206" s="50"/>
      <c r="S206" s="50"/>
      <c r="T206" s="50"/>
      <c r="U206" s="50"/>
      <c r="V206" s="51"/>
      <c r="W206" s="51" t="s">
        <v>1156</v>
      </c>
      <c r="X206" s="51" t="s">
        <v>1157</v>
      </c>
      <c r="Y206" s="51" t="s">
        <v>1158</v>
      </c>
      <c r="Z206" s="51" t="s">
        <v>1159</v>
      </c>
      <c r="AA206" s="50"/>
      <c r="AB206" s="50">
        <v>1.0</v>
      </c>
      <c r="AC206" s="50"/>
      <c r="AD206" s="50">
        <v>1.0</v>
      </c>
      <c r="AE206" s="50"/>
      <c r="AF206" s="50"/>
      <c r="AG206" s="50"/>
      <c r="AH206" s="51" t="s">
        <v>1160</v>
      </c>
      <c r="AI206" s="51">
        <v>1.0</v>
      </c>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2">
        <v>1.0</v>
      </c>
      <c r="BK206" s="52">
        <v>1.0</v>
      </c>
      <c r="BL206" s="51"/>
      <c r="BM206" s="52">
        <v>1.0</v>
      </c>
      <c r="BN206" s="51"/>
      <c r="BO206" s="51"/>
      <c r="BP206" s="51"/>
      <c r="BQ206" s="51"/>
      <c r="BR206" s="51"/>
      <c r="BS206" s="51"/>
      <c r="BT206" s="51"/>
      <c r="BU206" s="51"/>
      <c r="BV206" s="51">
        <v>1.0</v>
      </c>
      <c r="BW206" s="51"/>
      <c r="BX206" s="51"/>
      <c r="BY206" s="51"/>
      <c r="BZ206" s="51"/>
      <c r="CA206" s="51"/>
      <c r="CB206" s="51"/>
    </row>
    <row r="207" ht="12.75" customHeight="1">
      <c r="A207" s="46" t="s">
        <v>116</v>
      </c>
      <c r="B207" s="68" t="str">
        <f>HYPERLINK("https://drive.google.com/open?id=1HUnekh2ZZQt8nP5LS2oeqbswNhqfmVfP","vonMayrhauser1994")</f>
        <v>vonMayrhauser1994</v>
      </c>
      <c r="C207" s="63" t="s">
        <v>1161</v>
      </c>
      <c r="D207" s="63" t="s">
        <v>1162</v>
      </c>
      <c r="E207" s="49">
        <v>1994.0</v>
      </c>
      <c r="F207" s="50"/>
      <c r="G207" s="50"/>
      <c r="H207" s="50"/>
      <c r="I207" s="50"/>
      <c r="J207" s="50"/>
      <c r="K207" s="50">
        <v>1.0</v>
      </c>
      <c r="L207" s="50"/>
      <c r="M207" s="50"/>
      <c r="N207" s="50"/>
      <c r="O207" s="50"/>
      <c r="P207" s="50"/>
      <c r="Q207" s="50"/>
      <c r="R207" s="50"/>
      <c r="S207" s="50"/>
      <c r="T207" s="50"/>
      <c r="U207" s="50"/>
      <c r="V207" s="51"/>
      <c r="W207" s="51" t="s">
        <v>1163</v>
      </c>
      <c r="X207" s="51" t="s">
        <v>1157</v>
      </c>
      <c r="Y207" s="51" t="s">
        <v>1158</v>
      </c>
      <c r="Z207" s="51" t="s">
        <v>1159</v>
      </c>
      <c r="AA207" s="50"/>
      <c r="AB207" s="50">
        <v>1.0</v>
      </c>
      <c r="AC207" s="50"/>
      <c r="AD207" s="50">
        <v>1.0</v>
      </c>
      <c r="AE207" s="50"/>
      <c r="AF207" s="50"/>
      <c r="AG207" s="50"/>
      <c r="AH207" s="51" t="s">
        <v>1164</v>
      </c>
      <c r="AI207" s="51">
        <v>1.0</v>
      </c>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2">
        <v>1.0</v>
      </c>
      <c r="BK207" s="52">
        <v>1.0</v>
      </c>
      <c r="BL207" s="51"/>
      <c r="BM207" s="52">
        <v>1.0</v>
      </c>
      <c r="BN207" s="51"/>
      <c r="BO207" s="51"/>
      <c r="BP207" s="51"/>
      <c r="BQ207" s="51"/>
      <c r="BR207" s="51"/>
      <c r="BS207" s="51"/>
      <c r="BT207" s="51"/>
      <c r="BU207" s="51"/>
      <c r="BV207" s="51">
        <v>1.0</v>
      </c>
      <c r="BW207" s="51"/>
      <c r="BX207" s="51"/>
      <c r="BY207" s="51"/>
      <c r="BZ207" s="51"/>
      <c r="CA207" s="51"/>
      <c r="CB207" s="51"/>
    </row>
    <row r="208" ht="12.75" customHeight="1">
      <c r="A208" s="46" t="s">
        <v>124</v>
      </c>
      <c r="B208" s="67" t="str">
        <f>HYPERLINK("https://drive.google.com/open?id=1qBfWIf6NF2EbEqPuF7iqxli5VPgD5zrw","vonMayrhauser1996a")</f>
        <v>vonMayrhauser1996a</v>
      </c>
      <c r="C208" s="48" t="s">
        <v>1165</v>
      </c>
      <c r="D208" s="48" t="s">
        <v>1166</v>
      </c>
      <c r="E208" s="49">
        <v>1996.0</v>
      </c>
      <c r="F208" s="50"/>
      <c r="G208" s="50"/>
      <c r="H208" s="50"/>
      <c r="I208" s="50">
        <v>1.0</v>
      </c>
      <c r="J208" s="50"/>
      <c r="K208" s="50">
        <v>1.0</v>
      </c>
      <c r="L208" s="50"/>
      <c r="M208" s="50"/>
      <c r="N208" s="50"/>
      <c r="O208" s="50"/>
      <c r="P208" s="50"/>
      <c r="Q208" s="50"/>
      <c r="R208" s="50"/>
      <c r="S208" s="50"/>
      <c r="T208" s="50"/>
      <c r="U208" s="50"/>
      <c r="V208" s="48" t="s">
        <v>1167</v>
      </c>
      <c r="W208" s="48" t="s">
        <v>1168</v>
      </c>
      <c r="X208" s="48" t="s">
        <v>1169</v>
      </c>
      <c r="Y208" s="48"/>
      <c r="Z208" s="48" t="s">
        <v>1170</v>
      </c>
      <c r="AA208" s="50"/>
      <c r="AB208" s="50">
        <v>1.0</v>
      </c>
      <c r="AC208" s="50"/>
      <c r="AD208" s="50">
        <v>1.0</v>
      </c>
      <c r="AE208" s="50"/>
      <c r="AF208" s="50"/>
      <c r="AG208" s="50"/>
      <c r="AH208" s="59"/>
      <c r="AI208" s="51">
        <v>1.0</v>
      </c>
      <c r="AJ208" s="51"/>
      <c r="AK208" s="51"/>
      <c r="AL208" s="51"/>
      <c r="AM208" s="51"/>
      <c r="AN208" s="51"/>
      <c r="AO208" s="51"/>
      <c r="AP208" s="51"/>
      <c r="AQ208" s="51">
        <v>1.0</v>
      </c>
      <c r="AR208" s="51">
        <v>1.0</v>
      </c>
      <c r="AS208" s="51"/>
      <c r="AT208" s="51"/>
      <c r="AU208" s="51"/>
      <c r="AV208" s="51"/>
      <c r="AW208" s="51"/>
      <c r="AX208" s="51"/>
      <c r="AY208" s="51"/>
      <c r="AZ208" s="51"/>
      <c r="BA208" s="51"/>
      <c r="BB208" s="51"/>
      <c r="BC208" s="51"/>
      <c r="BD208" s="51"/>
      <c r="BE208" s="51"/>
      <c r="BF208" s="51"/>
      <c r="BG208" s="51"/>
      <c r="BH208" s="51"/>
      <c r="BI208" s="51"/>
      <c r="BJ208" s="51">
        <v>1.0</v>
      </c>
      <c r="BK208" s="51"/>
      <c r="BL208" s="51"/>
      <c r="BM208" s="51"/>
      <c r="BN208" s="51"/>
      <c r="BO208" s="51"/>
      <c r="BP208" s="51"/>
      <c r="BQ208" s="51"/>
      <c r="BR208" s="51"/>
      <c r="BS208" s="51"/>
      <c r="BT208" s="51">
        <v>1.0</v>
      </c>
      <c r="BU208" s="51"/>
      <c r="BV208" s="51"/>
      <c r="BW208" s="51"/>
      <c r="BX208" s="51"/>
      <c r="BY208" s="51"/>
      <c r="BZ208" s="51"/>
      <c r="CA208" s="51"/>
      <c r="CB208" s="51"/>
    </row>
    <row r="209" ht="12.75" customHeight="1">
      <c r="A209" s="46" t="s">
        <v>124</v>
      </c>
      <c r="B209" s="67" t="str">
        <f>HYPERLINK("https://drive.google.com/open?id=1PqDf-Q7T0XjMWbIH5DV0VAZWAs36sz4z","vonMayrhauser1996b")</f>
        <v>vonMayrhauser1996b</v>
      </c>
      <c r="C209" s="48" t="s">
        <v>1171</v>
      </c>
      <c r="D209" s="48" t="s">
        <v>819</v>
      </c>
      <c r="E209" s="49">
        <v>1996.0</v>
      </c>
      <c r="F209" s="50"/>
      <c r="G209" s="50"/>
      <c r="H209" s="50"/>
      <c r="I209" s="50">
        <v>1.0</v>
      </c>
      <c r="J209" s="50"/>
      <c r="K209" s="50">
        <v>1.0</v>
      </c>
      <c r="L209" s="50"/>
      <c r="M209" s="50"/>
      <c r="N209" s="50"/>
      <c r="O209" s="50"/>
      <c r="P209" s="50"/>
      <c r="Q209" s="50"/>
      <c r="R209" s="50"/>
      <c r="S209" s="50"/>
      <c r="T209" s="50"/>
      <c r="U209" s="50"/>
      <c r="V209" s="48"/>
      <c r="W209" s="48" t="s">
        <v>1172</v>
      </c>
      <c r="X209" s="48" t="s">
        <v>1173</v>
      </c>
      <c r="Y209" s="48"/>
      <c r="Z209" s="48" t="s">
        <v>1174</v>
      </c>
      <c r="AA209" s="50"/>
      <c r="AB209" s="50">
        <v>1.0</v>
      </c>
      <c r="AC209" s="50"/>
      <c r="AD209" s="50">
        <v>1.0</v>
      </c>
      <c r="AE209" s="50"/>
      <c r="AF209" s="50"/>
      <c r="AG209" s="50"/>
      <c r="AH209" s="59"/>
      <c r="AI209" s="51">
        <v>1.0</v>
      </c>
      <c r="AJ209" s="51"/>
      <c r="AK209" s="51"/>
      <c r="AL209" s="51"/>
      <c r="AM209" s="51"/>
      <c r="AN209" s="51"/>
      <c r="AO209" s="51"/>
      <c r="AP209" s="51"/>
      <c r="AQ209" s="51"/>
      <c r="AR209" s="51">
        <v>1.0</v>
      </c>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c r="BO209" s="51"/>
      <c r="BP209" s="51"/>
      <c r="BQ209" s="51"/>
      <c r="BR209" s="51"/>
      <c r="BS209" s="51"/>
      <c r="BT209" s="51">
        <v>1.0</v>
      </c>
      <c r="BU209" s="51"/>
      <c r="BV209" s="51"/>
      <c r="BW209" s="51"/>
      <c r="BX209" s="51"/>
      <c r="BY209" s="51"/>
      <c r="BZ209" s="51"/>
      <c r="CA209" s="51"/>
      <c r="CB209" s="51"/>
    </row>
    <row r="210" ht="12.75" customHeight="1">
      <c r="A210" s="46" t="s">
        <v>124</v>
      </c>
      <c r="B210" s="67" t="str">
        <f>HYPERLINK("https://drive.google.com/open?id=1gWS2KFYPMz1l7HMp-rEPLNRYGJ61nmKg","vonMayrhauser1996c")</f>
        <v>vonMayrhauser1996c</v>
      </c>
      <c r="C210" s="48" t="s">
        <v>1175</v>
      </c>
      <c r="D210" s="48" t="s">
        <v>503</v>
      </c>
      <c r="E210" s="49">
        <v>1996.0</v>
      </c>
      <c r="F210" s="50"/>
      <c r="G210" s="50"/>
      <c r="H210" s="50"/>
      <c r="I210" s="50">
        <v>1.0</v>
      </c>
      <c r="J210" s="50"/>
      <c r="K210" s="50">
        <v>1.0</v>
      </c>
      <c r="L210" s="50"/>
      <c r="M210" s="50"/>
      <c r="N210" s="50"/>
      <c r="O210" s="50"/>
      <c r="P210" s="50"/>
      <c r="Q210" s="50"/>
      <c r="R210" s="50"/>
      <c r="S210" s="50"/>
      <c r="T210" s="50"/>
      <c r="U210" s="50"/>
      <c r="V210" s="48" t="s">
        <v>1167</v>
      </c>
      <c r="W210" s="48" t="s">
        <v>1168</v>
      </c>
      <c r="X210" s="48"/>
      <c r="Y210" s="48" t="s">
        <v>1176</v>
      </c>
      <c r="Z210" s="48" t="s">
        <v>1177</v>
      </c>
      <c r="AA210" s="50"/>
      <c r="AB210" s="50">
        <v>1.0</v>
      </c>
      <c r="AC210" s="50"/>
      <c r="AD210" s="50">
        <v>1.0</v>
      </c>
      <c r="AE210" s="50"/>
      <c r="AF210" s="50"/>
      <c r="AG210" s="50"/>
      <c r="AH210" s="59"/>
      <c r="AI210" s="51">
        <v>1.0</v>
      </c>
      <c r="AJ210" s="51"/>
      <c r="AK210" s="51"/>
      <c r="AL210" s="51"/>
      <c r="AM210" s="51"/>
      <c r="AN210" s="51"/>
      <c r="AO210" s="51"/>
      <c r="AP210" s="51"/>
      <c r="AQ210" s="51">
        <v>1.0</v>
      </c>
      <c r="AR210" s="51">
        <v>1.0</v>
      </c>
      <c r="AS210" s="51"/>
      <c r="AT210" s="51"/>
      <c r="AU210" s="51"/>
      <c r="AV210" s="51"/>
      <c r="AW210" s="51"/>
      <c r="AX210" s="51"/>
      <c r="AY210" s="51"/>
      <c r="AZ210" s="51"/>
      <c r="BA210" s="51"/>
      <c r="BB210" s="51"/>
      <c r="BC210" s="51"/>
      <c r="BD210" s="51"/>
      <c r="BE210" s="51"/>
      <c r="BF210" s="51"/>
      <c r="BG210" s="51"/>
      <c r="BH210" s="51"/>
      <c r="BI210" s="51"/>
      <c r="BJ210" s="51">
        <v>1.0</v>
      </c>
      <c r="BK210" s="51"/>
      <c r="BL210" s="51"/>
      <c r="BM210" s="51"/>
      <c r="BN210" s="51"/>
      <c r="BO210" s="51"/>
      <c r="BP210" s="51"/>
      <c r="BQ210" s="51"/>
      <c r="BR210" s="51"/>
      <c r="BS210" s="51"/>
      <c r="BT210" s="51">
        <v>1.0</v>
      </c>
      <c r="BU210" s="51"/>
      <c r="BV210" s="51"/>
      <c r="BW210" s="51"/>
      <c r="BX210" s="51"/>
      <c r="BY210" s="51"/>
      <c r="BZ210" s="51"/>
      <c r="CA210" s="51"/>
      <c r="CB210" s="51"/>
    </row>
    <row r="211" ht="12.75" customHeight="1">
      <c r="A211" s="46" t="s">
        <v>88</v>
      </c>
      <c r="B211" s="53" t="str">
        <f>HYPERLINK("https://drive.google.com/open?id=0B00cIHsghs6UNDBNdEQ2VHdNanc","VonMayrhauser1997")</f>
        <v>VonMayrhauser1997</v>
      </c>
      <c r="C211" s="48" t="s">
        <v>1178</v>
      </c>
      <c r="D211" s="48" t="s">
        <v>1179</v>
      </c>
      <c r="E211" s="49">
        <v>1997.0</v>
      </c>
      <c r="F211" s="50"/>
      <c r="G211" s="50"/>
      <c r="H211" s="50"/>
      <c r="I211" s="50"/>
      <c r="J211" s="50"/>
      <c r="K211" s="50">
        <v>1.0</v>
      </c>
      <c r="L211" s="50"/>
      <c r="M211" s="50"/>
      <c r="N211" s="50"/>
      <c r="O211" s="50"/>
      <c r="P211" s="50"/>
      <c r="Q211" s="50"/>
      <c r="R211" s="50"/>
      <c r="S211" s="50"/>
      <c r="T211" s="50"/>
      <c r="U211" s="50"/>
      <c r="V211" s="51" t="s">
        <v>1180</v>
      </c>
      <c r="W211" s="51" t="s">
        <v>1181</v>
      </c>
      <c r="X211" s="51" t="s">
        <v>1182</v>
      </c>
      <c r="Y211" s="51" t="s">
        <v>1183</v>
      </c>
      <c r="Z211" s="51" t="s">
        <v>137</v>
      </c>
      <c r="AA211" s="50"/>
      <c r="AB211" s="50">
        <v>1.0</v>
      </c>
      <c r="AC211" s="50"/>
      <c r="AD211" s="50">
        <v>1.0</v>
      </c>
      <c r="AE211" s="50"/>
      <c r="AF211" s="50"/>
      <c r="AG211" s="50"/>
      <c r="AH211" s="51" t="s">
        <v>1184</v>
      </c>
      <c r="AI211" s="51">
        <v>1.0</v>
      </c>
      <c r="AJ211" s="51"/>
      <c r="AK211" s="51"/>
      <c r="AL211" s="51"/>
      <c r="AM211" s="51"/>
      <c r="AN211" s="51"/>
      <c r="AO211" s="51"/>
      <c r="AP211" s="51">
        <v>1.0</v>
      </c>
      <c r="AQ211" s="51">
        <v>1.0</v>
      </c>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c r="BO211" s="51"/>
      <c r="BP211" s="51"/>
      <c r="BQ211" s="51"/>
      <c r="BR211" s="51"/>
      <c r="BS211" s="51"/>
      <c r="BT211" s="51"/>
      <c r="BU211" s="51"/>
      <c r="BV211" s="51">
        <v>1.0</v>
      </c>
      <c r="BW211" s="51"/>
      <c r="BX211" s="51"/>
      <c r="BY211" s="51"/>
      <c r="BZ211" s="51"/>
      <c r="CA211" s="51"/>
      <c r="CB211" s="51"/>
    </row>
    <row r="212" ht="12.75" customHeight="1">
      <c r="A212" s="46" t="s">
        <v>124</v>
      </c>
      <c r="B212" s="67" t="str">
        <f>HYPERLINK("https://drive.google.com/open?id=1lM288i6mVd-PiTawN33KaPd_mWHkzmBC","vonMayrhauser1997a")</f>
        <v>vonMayrhauser1997a</v>
      </c>
      <c r="C212" s="48" t="s">
        <v>1185</v>
      </c>
      <c r="D212" s="48" t="s">
        <v>1186</v>
      </c>
      <c r="E212" s="49">
        <v>1997.0</v>
      </c>
      <c r="F212" s="50"/>
      <c r="G212" s="50"/>
      <c r="H212" s="50"/>
      <c r="I212" s="50">
        <v>1.0</v>
      </c>
      <c r="J212" s="50"/>
      <c r="K212" s="50">
        <v>1.0</v>
      </c>
      <c r="L212" s="50"/>
      <c r="M212" s="50"/>
      <c r="N212" s="50"/>
      <c r="O212" s="50"/>
      <c r="P212" s="50"/>
      <c r="Q212" s="50"/>
      <c r="R212" s="50"/>
      <c r="S212" s="50"/>
      <c r="T212" s="50"/>
      <c r="U212" s="50"/>
      <c r="V212" s="48" t="s">
        <v>1167</v>
      </c>
      <c r="W212" s="48" t="s">
        <v>1168</v>
      </c>
      <c r="X212" s="48"/>
      <c r="Y212" s="48" t="s">
        <v>1176</v>
      </c>
      <c r="Z212" s="48" t="s">
        <v>1177</v>
      </c>
      <c r="AA212" s="50"/>
      <c r="AB212" s="50">
        <v>1.0</v>
      </c>
      <c r="AC212" s="50"/>
      <c r="AD212" s="50">
        <v>1.0</v>
      </c>
      <c r="AE212" s="50"/>
      <c r="AF212" s="50"/>
      <c r="AG212" s="50"/>
      <c r="AH212" s="59"/>
      <c r="AI212" s="51">
        <v>1.0</v>
      </c>
      <c r="AJ212" s="51"/>
      <c r="AK212" s="51"/>
      <c r="AL212" s="51"/>
      <c r="AM212" s="51"/>
      <c r="AN212" s="51"/>
      <c r="AO212" s="51"/>
      <c r="AP212" s="51"/>
      <c r="AQ212" s="51">
        <v>1.0</v>
      </c>
      <c r="AR212" s="51">
        <v>1.0</v>
      </c>
      <c r="AS212" s="51"/>
      <c r="AT212" s="51"/>
      <c r="AU212" s="51"/>
      <c r="AV212" s="51"/>
      <c r="AW212" s="51"/>
      <c r="AX212" s="51"/>
      <c r="AY212" s="51"/>
      <c r="AZ212" s="51"/>
      <c r="BA212" s="51"/>
      <c r="BB212" s="51"/>
      <c r="BC212" s="51"/>
      <c r="BD212" s="51"/>
      <c r="BE212" s="51"/>
      <c r="BF212" s="51"/>
      <c r="BG212" s="51"/>
      <c r="BH212" s="51"/>
      <c r="BI212" s="51"/>
      <c r="BJ212" s="51">
        <v>1.0</v>
      </c>
      <c r="BK212" s="51"/>
      <c r="BL212" s="51"/>
      <c r="BM212" s="51"/>
      <c r="BN212" s="51"/>
      <c r="BO212" s="51"/>
      <c r="BP212" s="51"/>
      <c r="BQ212" s="51"/>
      <c r="BR212" s="51"/>
      <c r="BS212" s="51"/>
      <c r="BT212" s="51">
        <v>1.0</v>
      </c>
      <c r="BU212" s="51"/>
      <c r="BV212" s="51"/>
      <c r="BW212" s="51"/>
      <c r="BX212" s="51"/>
      <c r="BY212" s="51"/>
      <c r="BZ212" s="51"/>
      <c r="CA212" s="51"/>
      <c r="CB212" s="51"/>
    </row>
    <row r="213" ht="12.75" customHeight="1">
      <c r="A213" s="46" t="s">
        <v>124</v>
      </c>
      <c r="B213" s="67" t="str">
        <f>HYPERLINK("https://drive.google.com/open?id=1l3YccjdgI1kqFNob1XtK5owypHubY7ss","vonMayrhauser1997b")</f>
        <v>vonMayrhauser1997b</v>
      </c>
      <c r="C213" s="48" t="s">
        <v>1187</v>
      </c>
      <c r="D213" s="48" t="s">
        <v>442</v>
      </c>
      <c r="E213" s="49">
        <v>1997.0</v>
      </c>
      <c r="F213" s="50"/>
      <c r="G213" s="50"/>
      <c r="H213" s="50"/>
      <c r="I213" s="50">
        <v>1.0</v>
      </c>
      <c r="J213" s="50"/>
      <c r="K213" s="50">
        <v>1.0</v>
      </c>
      <c r="L213" s="50"/>
      <c r="M213" s="50"/>
      <c r="N213" s="50"/>
      <c r="O213" s="50"/>
      <c r="P213" s="50"/>
      <c r="Q213" s="50"/>
      <c r="R213" s="50"/>
      <c r="S213" s="50"/>
      <c r="T213" s="50"/>
      <c r="U213" s="50"/>
      <c r="V213" s="48" t="s">
        <v>1167</v>
      </c>
      <c r="W213" s="48" t="s">
        <v>1168</v>
      </c>
      <c r="X213" s="48"/>
      <c r="Y213" s="48" t="s">
        <v>1176</v>
      </c>
      <c r="Z213" s="48" t="s">
        <v>1177</v>
      </c>
      <c r="AA213" s="50"/>
      <c r="AB213" s="50">
        <v>1.0</v>
      </c>
      <c r="AC213" s="50"/>
      <c r="AD213" s="50">
        <v>1.0</v>
      </c>
      <c r="AE213" s="50"/>
      <c r="AF213" s="50"/>
      <c r="AG213" s="50"/>
      <c r="AH213" s="59"/>
      <c r="AI213" s="51">
        <v>1.0</v>
      </c>
      <c r="AJ213" s="51"/>
      <c r="AK213" s="51"/>
      <c r="AL213" s="51"/>
      <c r="AM213" s="51"/>
      <c r="AN213" s="51"/>
      <c r="AO213" s="51"/>
      <c r="AP213" s="51"/>
      <c r="AQ213" s="51">
        <v>1.0</v>
      </c>
      <c r="AR213" s="51">
        <v>1.0</v>
      </c>
      <c r="AS213" s="51"/>
      <c r="AT213" s="51"/>
      <c r="AU213" s="51"/>
      <c r="AV213" s="51"/>
      <c r="AW213" s="51"/>
      <c r="AX213" s="51"/>
      <c r="AY213" s="51"/>
      <c r="AZ213" s="51"/>
      <c r="BA213" s="51"/>
      <c r="BB213" s="51"/>
      <c r="BC213" s="51"/>
      <c r="BD213" s="51"/>
      <c r="BE213" s="51"/>
      <c r="BF213" s="51"/>
      <c r="BG213" s="51"/>
      <c r="BH213" s="51"/>
      <c r="BI213" s="51"/>
      <c r="BJ213" s="51">
        <v>1.0</v>
      </c>
      <c r="BK213" s="51"/>
      <c r="BL213" s="51"/>
      <c r="BM213" s="51"/>
      <c r="BN213" s="51"/>
      <c r="BO213" s="51"/>
      <c r="BP213" s="51"/>
      <c r="BQ213" s="51"/>
      <c r="BR213" s="51"/>
      <c r="BS213" s="51"/>
      <c r="BT213" s="51">
        <v>1.0</v>
      </c>
      <c r="BU213" s="51"/>
      <c r="BV213" s="51"/>
      <c r="BW213" s="51"/>
      <c r="BX213" s="51"/>
      <c r="BY213" s="51"/>
      <c r="BZ213" s="51"/>
      <c r="CA213" s="51"/>
      <c r="CB213" s="51"/>
    </row>
    <row r="214" ht="12.75" customHeight="1">
      <c r="A214" s="46" t="s">
        <v>124</v>
      </c>
      <c r="B214" s="68" t="str">
        <f>HYPERLINK("https://drive.google.com/open?id=1u1aBFyFg8PIHdg32ko1vBCzMGp6cCHgo","Walenstein2003")</f>
        <v>Walenstein2003</v>
      </c>
      <c r="C214" s="48" t="s">
        <v>1188</v>
      </c>
      <c r="D214" s="48" t="s">
        <v>1189</v>
      </c>
      <c r="E214" s="49">
        <v>2003.0</v>
      </c>
      <c r="F214" s="50"/>
      <c r="G214" s="50"/>
      <c r="H214" s="50"/>
      <c r="I214" s="50">
        <v>1.0</v>
      </c>
      <c r="J214" s="50"/>
      <c r="K214" s="50"/>
      <c r="L214" s="50"/>
      <c r="M214" s="50"/>
      <c r="N214" s="50"/>
      <c r="O214" s="50"/>
      <c r="P214" s="50"/>
      <c r="Q214" s="50"/>
      <c r="R214" s="50"/>
      <c r="S214" s="50"/>
      <c r="T214" s="50"/>
      <c r="U214" s="50"/>
      <c r="V214" s="48" t="s">
        <v>1190</v>
      </c>
      <c r="W214" s="48" t="s">
        <v>1191</v>
      </c>
      <c r="X214" s="48"/>
      <c r="Y214" s="48" t="s">
        <v>1192</v>
      </c>
      <c r="Z214" s="48" t="s">
        <v>1193</v>
      </c>
      <c r="AA214" s="50"/>
      <c r="AB214" s="50">
        <v>1.0</v>
      </c>
      <c r="AC214" s="50"/>
      <c r="AD214" s="50">
        <v>1.0</v>
      </c>
      <c r="AE214" s="50"/>
      <c r="AF214" s="50"/>
      <c r="AG214" s="50"/>
      <c r="AH214" s="59"/>
      <c r="AI214" s="51">
        <v>1.0</v>
      </c>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2">
        <v>1.0</v>
      </c>
      <c r="BF214" s="51"/>
      <c r="BG214" s="51"/>
      <c r="BH214" s="51"/>
      <c r="BI214" s="51"/>
      <c r="BJ214" s="52">
        <v>1.0</v>
      </c>
      <c r="BK214" s="51"/>
      <c r="BL214" s="51"/>
      <c r="BM214" s="51"/>
      <c r="BN214" s="51"/>
      <c r="BO214" s="51"/>
      <c r="BP214" s="51"/>
      <c r="BQ214" s="51"/>
      <c r="BR214" s="51"/>
      <c r="BS214" s="51"/>
      <c r="BT214" s="51"/>
      <c r="BU214" s="51"/>
      <c r="BV214" s="51"/>
      <c r="BW214" s="51"/>
      <c r="BX214" s="51"/>
      <c r="BY214" s="51"/>
      <c r="BZ214" s="51"/>
      <c r="CA214" s="51"/>
      <c r="CB214" s="51">
        <v>1.0</v>
      </c>
    </row>
    <row r="215" ht="12.75" customHeight="1">
      <c r="A215" s="46" t="s">
        <v>116</v>
      </c>
      <c r="B215" s="56" t="str">
        <f>HYPERLINK("https://drive.google.com/open?id=0B1GMAYMj9v6rV2hrT0I1ZDFFQVk","Walia2013")</f>
        <v>Walia2013</v>
      </c>
      <c r="C215" s="55" t="s">
        <v>1194</v>
      </c>
      <c r="D215" s="55" t="s">
        <v>268</v>
      </c>
      <c r="E215" s="49">
        <v>2013.0</v>
      </c>
      <c r="F215" s="50"/>
      <c r="G215" s="50">
        <v>1.0</v>
      </c>
      <c r="H215" s="50"/>
      <c r="I215" s="50"/>
      <c r="J215" s="50"/>
      <c r="K215" s="50"/>
      <c r="L215" s="50"/>
      <c r="M215" s="50"/>
      <c r="N215" s="50"/>
      <c r="O215" s="50"/>
      <c r="P215" s="50"/>
      <c r="Q215" s="50"/>
      <c r="R215" s="50"/>
      <c r="S215" s="50"/>
      <c r="T215" s="50"/>
      <c r="U215" s="50"/>
      <c r="V215" s="51"/>
      <c r="W215" s="51" t="s">
        <v>1195</v>
      </c>
      <c r="X215" s="51" t="s">
        <v>1196</v>
      </c>
      <c r="Y215" s="51" t="s">
        <v>1197</v>
      </c>
      <c r="Z215" s="51" t="s">
        <v>1198</v>
      </c>
      <c r="AA215" s="50">
        <v>1.0</v>
      </c>
      <c r="AB215" s="50"/>
      <c r="AC215" s="50"/>
      <c r="AD215" s="50">
        <v>1.0</v>
      </c>
      <c r="AE215" s="50"/>
      <c r="AF215" s="50"/>
      <c r="AG215" s="50"/>
      <c r="AH215" s="51" t="s">
        <v>1199</v>
      </c>
      <c r="AI215" s="51">
        <v>1.0</v>
      </c>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v>1.0</v>
      </c>
      <c r="BI215" s="51"/>
      <c r="BJ215" s="51"/>
      <c r="BK215" s="51"/>
      <c r="BL215" s="51"/>
      <c r="BM215" s="51"/>
      <c r="BN215" s="51"/>
      <c r="BO215" s="51"/>
      <c r="BP215" s="51"/>
      <c r="BQ215" s="51"/>
      <c r="BR215" s="51"/>
      <c r="BS215" s="51"/>
      <c r="BT215" s="51"/>
      <c r="BU215" s="51"/>
      <c r="BV215" s="51"/>
      <c r="BW215" s="51"/>
      <c r="BX215" s="51"/>
      <c r="BY215" s="51">
        <v>1.0</v>
      </c>
      <c r="BZ215" s="51"/>
      <c r="CA215" s="51"/>
      <c r="CB215" s="51"/>
    </row>
    <row r="216" ht="12.75" customHeight="1">
      <c r="A216" s="46" t="s">
        <v>116</v>
      </c>
      <c r="B216" s="56" t="str">
        <f>HYPERLINK("https://drive.google.com/open?id=0B1GMAYMj9v6rTU9zZ2NfcWd1ZVk","Wanderley2015")</f>
        <v>Wanderley2015</v>
      </c>
      <c r="C216" s="55" t="s">
        <v>1200</v>
      </c>
      <c r="D216" s="55" t="s">
        <v>1201</v>
      </c>
      <c r="E216" s="49">
        <v>2015.0</v>
      </c>
      <c r="F216" s="50"/>
      <c r="G216" s="50">
        <v>1.0</v>
      </c>
      <c r="H216" s="50"/>
      <c r="I216" s="50"/>
      <c r="J216" s="50"/>
      <c r="K216" s="50"/>
      <c r="L216" s="50"/>
      <c r="M216" s="50"/>
      <c r="N216" s="50"/>
      <c r="O216" s="50"/>
      <c r="P216" s="50"/>
      <c r="Q216" s="50"/>
      <c r="R216" s="50"/>
      <c r="S216" s="50"/>
      <c r="T216" s="50"/>
      <c r="U216" s="50"/>
      <c r="V216" s="51" t="s">
        <v>9</v>
      </c>
      <c r="W216" s="51" t="s">
        <v>197</v>
      </c>
      <c r="X216" s="51" t="s">
        <v>197</v>
      </c>
      <c r="Y216" s="51" t="s">
        <v>1202</v>
      </c>
      <c r="Z216" s="51" t="s">
        <v>122</v>
      </c>
      <c r="AA216" s="50" t="s">
        <v>1203</v>
      </c>
      <c r="AB216" s="50" t="s">
        <v>1203</v>
      </c>
      <c r="AC216" s="50"/>
      <c r="AD216" s="50">
        <v>1.0</v>
      </c>
      <c r="AE216" s="50"/>
      <c r="AF216" s="50"/>
      <c r="AG216" s="50"/>
      <c r="AH216" s="51" t="s">
        <v>1204</v>
      </c>
      <c r="AI216" s="51">
        <v>1.0</v>
      </c>
      <c r="AJ216" s="51"/>
      <c r="AK216" s="51"/>
      <c r="AL216" s="51"/>
      <c r="AM216" s="51"/>
      <c r="AN216" s="51"/>
      <c r="AO216" s="51"/>
      <c r="AP216" s="51"/>
      <c r="AQ216" s="51"/>
      <c r="AR216" s="51">
        <v>1.0</v>
      </c>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c r="BO216" s="51"/>
      <c r="BP216" s="51"/>
      <c r="BQ216" s="51"/>
      <c r="BR216" s="51"/>
      <c r="BS216" s="51"/>
      <c r="BT216" s="51"/>
      <c r="BU216" s="51"/>
      <c r="BV216" s="51"/>
      <c r="BW216" s="51"/>
      <c r="BX216" s="51"/>
      <c r="BY216" s="51"/>
      <c r="BZ216" s="51"/>
      <c r="CA216" s="51">
        <v>1.0</v>
      </c>
      <c r="CB216" s="51"/>
    </row>
    <row r="217" ht="12.75" customHeight="1">
      <c r="A217" s="46" t="s">
        <v>172</v>
      </c>
      <c r="B217" s="67" t="str">
        <f>HYPERLINK("https://drive.google.com/open?id=1UPKh9g6W_YTNpHdP9lTJ2ViyYkqxITqp","Weidenbeck1986")</f>
        <v>Weidenbeck1986</v>
      </c>
      <c r="C217" s="63" t="s">
        <v>1205</v>
      </c>
      <c r="D217" s="55" t="s">
        <v>727</v>
      </c>
      <c r="E217" s="55">
        <v>1986.0</v>
      </c>
      <c r="F217" s="55"/>
      <c r="G217" s="55"/>
      <c r="H217" s="55"/>
      <c r="I217" s="55"/>
      <c r="J217" s="55"/>
      <c r="K217" s="55">
        <v>1.0</v>
      </c>
      <c r="L217" s="55"/>
      <c r="M217" s="55"/>
      <c r="N217" s="55"/>
      <c r="O217" s="55"/>
      <c r="P217" s="55"/>
      <c r="Q217" s="55"/>
      <c r="R217" s="55"/>
      <c r="S217" s="55"/>
      <c r="T217" s="55"/>
      <c r="U217" s="55"/>
      <c r="V217" s="55" t="s">
        <v>1206</v>
      </c>
      <c r="W217" s="55" t="s">
        <v>239</v>
      </c>
      <c r="X217" s="55" t="s">
        <v>1207</v>
      </c>
      <c r="Y217" s="55" t="s">
        <v>1208</v>
      </c>
      <c r="Z217" s="55"/>
      <c r="AA217" s="55">
        <v>1.0</v>
      </c>
      <c r="AB217" s="55"/>
      <c r="AC217" s="55"/>
      <c r="AD217" s="55">
        <v>1.0</v>
      </c>
      <c r="AE217" s="55"/>
      <c r="AF217" s="55"/>
      <c r="AG217" s="55"/>
      <c r="AH217" s="48" t="s">
        <v>1209</v>
      </c>
      <c r="AI217" s="51">
        <v>1.0</v>
      </c>
      <c r="AJ217" s="51"/>
      <c r="AK217" s="51"/>
      <c r="AL217" s="51"/>
      <c r="AM217" s="51"/>
      <c r="AN217" s="51">
        <v>1.0</v>
      </c>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v>1.0</v>
      </c>
      <c r="BZ217" s="51"/>
      <c r="CA217" s="51"/>
      <c r="CB217" s="51"/>
    </row>
    <row r="218" ht="12.75" customHeight="1">
      <c r="A218" s="46" t="s">
        <v>172</v>
      </c>
      <c r="B218" s="68" t="str">
        <f>HYPERLINK("https://drive.google.com/open?id=1taG4GbpAlVxV5OupUBF889K4Gh75rSgA","Weidenbeck1991")</f>
        <v>Weidenbeck1991</v>
      </c>
      <c r="C218" s="63" t="s">
        <v>1210</v>
      </c>
      <c r="D218" s="55" t="s">
        <v>727</v>
      </c>
      <c r="E218" s="55">
        <v>1991.0</v>
      </c>
      <c r="F218" s="55"/>
      <c r="G218" s="55"/>
      <c r="H218" s="55"/>
      <c r="I218" s="55"/>
      <c r="J218" s="55"/>
      <c r="K218" s="55">
        <v>1.0</v>
      </c>
      <c r="L218" s="55"/>
      <c r="M218" s="55"/>
      <c r="N218" s="55"/>
      <c r="O218" s="55"/>
      <c r="P218" s="55"/>
      <c r="Q218" s="55"/>
      <c r="R218" s="55"/>
      <c r="S218" s="55"/>
      <c r="T218" s="55"/>
      <c r="U218" s="55"/>
      <c r="V218" s="55"/>
      <c r="W218" s="55" t="s">
        <v>1211</v>
      </c>
      <c r="X218" s="55" t="s">
        <v>1207</v>
      </c>
      <c r="Y218" s="55" t="s">
        <v>1212</v>
      </c>
      <c r="Z218" s="55"/>
      <c r="AA218" s="55">
        <v>1.0</v>
      </c>
      <c r="AB218" s="55"/>
      <c r="AC218" s="55"/>
      <c r="AD218" s="55">
        <v>1.0</v>
      </c>
      <c r="AE218" s="55"/>
      <c r="AF218" s="55"/>
      <c r="AG218" s="55"/>
      <c r="AH218" s="48" t="s">
        <v>1213</v>
      </c>
      <c r="AI218" s="51">
        <v>1.0</v>
      </c>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2">
        <v>1.0</v>
      </c>
      <c r="BK218" s="51"/>
      <c r="BL218" s="51"/>
      <c r="BM218" s="52">
        <v>1.0</v>
      </c>
      <c r="BN218" s="51"/>
      <c r="BO218" s="51"/>
      <c r="BP218" s="51"/>
      <c r="BQ218" s="51"/>
      <c r="BR218" s="51"/>
      <c r="BS218" s="51"/>
      <c r="BT218" s="51"/>
      <c r="BU218" s="51"/>
      <c r="BV218" s="51"/>
      <c r="BW218" s="51"/>
      <c r="BX218" s="51"/>
      <c r="BY218" s="51">
        <v>1.0</v>
      </c>
      <c r="BZ218" s="51"/>
      <c r="CA218" s="51">
        <v>1.0</v>
      </c>
      <c r="CB218" s="51"/>
    </row>
    <row r="219" ht="12.75" customHeight="1">
      <c r="A219" s="46" t="s">
        <v>116</v>
      </c>
      <c r="B219" s="56" t="str">
        <f>HYPERLINK("https://drive.google.com/open?id=0B1GMAYMj9v6rc2xFZ3JoU1J5czg","Wein1992")</f>
        <v>Wein1992</v>
      </c>
      <c r="C219" s="55" t="s">
        <v>1214</v>
      </c>
      <c r="D219" s="55" t="s">
        <v>1215</v>
      </c>
      <c r="E219" s="49">
        <v>1992.0</v>
      </c>
      <c r="F219" s="50"/>
      <c r="G219" s="50"/>
      <c r="H219" s="50"/>
      <c r="I219" s="50"/>
      <c r="J219" s="50"/>
      <c r="K219" s="50"/>
      <c r="L219" s="50">
        <v>1.0</v>
      </c>
      <c r="M219" s="50"/>
      <c r="N219" s="50"/>
      <c r="O219" s="50"/>
      <c r="P219" s="50"/>
      <c r="Q219" s="50"/>
      <c r="R219" s="50"/>
      <c r="S219" s="50"/>
      <c r="T219" s="50"/>
      <c r="U219" s="50"/>
      <c r="V219" s="51" t="s">
        <v>9</v>
      </c>
      <c r="W219" s="51"/>
      <c r="X219" s="51"/>
      <c r="Y219" s="51"/>
      <c r="Z219" s="51" t="s">
        <v>1216</v>
      </c>
      <c r="AA219" s="50"/>
      <c r="AB219" s="50"/>
      <c r="AC219" s="50">
        <v>1.0</v>
      </c>
      <c r="AD219" s="50"/>
      <c r="AE219" s="50"/>
      <c r="AF219" s="50"/>
      <c r="AG219" s="50"/>
      <c r="AH219" s="51" t="s">
        <v>1217</v>
      </c>
      <c r="AI219" s="51">
        <v>1.0</v>
      </c>
      <c r="AJ219" s="51"/>
      <c r="AK219" s="51"/>
      <c r="AL219" s="51"/>
      <c r="AM219" s="51"/>
      <c r="AN219" s="51"/>
      <c r="AO219" s="51"/>
      <c r="AP219" s="51"/>
      <c r="AQ219" s="51"/>
      <c r="AR219" s="51">
        <v>1.0</v>
      </c>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c r="BO219" s="51"/>
      <c r="BP219" s="51"/>
      <c r="BQ219" s="51"/>
      <c r="BR219" s="51"/>
      <c r="BS219" s="51"/>
      <c r="BT219" s="51"/>
      <c r="BU219" s="51"/>
      <c r="BV219" s="51"/>
      <c r="BW219" s="51"/>
      <c r="BX219" s="51"/>
      <c r="BY219" s="51"/>
      <c r="BZ219" s="51"/>
      <c r="CA219" s="51"/>
      <c r="CB219" s="51"/>
    </row>
    <row r="220" ht="12.75" customHeight="1">
      <c r="A220" s="46" t="s">
        <v>172</v>
      </c>
      <c r="B220" s="68" t="str">
        <f>HYPERLINK("https://drive.google.com/open?id=1QaR_VNIg4cEN7qkGqgO7VCHqwEFtgZxZ","Welty1981")</f>
        <v>Welty1981</v>
      </c>
      <c r="C220" s="63" t="s">
        <v>1218</v>
      </c>
      <c r="D220" s="63" t="s">
        <v>1219</v>
      </c>
      <c r="E220" s="55">
        <v>1981.0</v>
      </c>
      <c r="F220" s="55"/>
      <c r="G220" s="55"/>
      <c r="H220" s="55"/>
      <c r="I220" s="55">
        <v>1.0</v>
      </c>
      <c r="J220" s="55"/>
      <c r="K220" s="55"/>
      <c r="L220" s="55"/>
      <c r="M220" s="55"/>
      <c r="N220" s="55"/>
      <c r="O220" s="55"/>
      <c r="P220" s="55"/>
      <c r="Q220" s="55"/>
      <c r="R220" s="55"/>
      <c r="S220" s="55"/>
      <c r="T220" s="55"/>
      <c r="U220" s="55"/>
      <c r="V220" s="55"/>
      <c r="W220" s="55"/>
      <c r="X220" s="55" t="s">
        <v>1220</v>
      </c>
      <c r="Y220" s="55" t="s">
        <v>1221</v>
      </c>
      <c r="Z220" s="55"/>
      <c r="AA220" s="55">
        <v>1.0</v>
      </c>
      <c r="AB220" s="55"/>
      <c r="AC220" s="55"/>
      <c r="AD220" s="55">
        <v>1.0</v>
      </c>
      <c r="AE220" s="55"/>
      <c r="AF220" s="55"/>
      <c r="AG220" s="55"/>
      <c r="AH220" s="48" t="s">
        <v>1222</v>
      </c>
      <c r="AI220" s="52">
        <v>1.0</v>
      </c>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2">
        <v>1.0</v>
      </c>
      <c r="BK220" s="51"/>
      <c r="BL220" s="51"/>
      <c r="BM220" s="52">
        <v>1.0</v>
      </c>
      <c r="BN220" s="51"/>
      <c r="BO220" s="51"/>
      <c r="BP220" s="51"/>
      <c r="BQ220" s="51"/>
      <c r="BR220" s="51"/>
      <c r="BS220" s="51"/>
      <c r="BT220" s="51"/>
      <c r="BU220" s="51"/>
      <c r="BV220" s="51"/>
      <c r="BW220" s="51"/>
      <c r="BX220" s="51"/>
      <c r="BY220" s="52">
        <v>1.0</v>
      </c>
      <c r="BZ220" s="51"/>
      <c r="CA220" s="51"/>
      <c r="CB220" s="51"/>
    </row>
    <row r="221" ht="12.75" customHeight="1">
      <c r="A221" s="46" t="s">
        <v>172</v>
      </c>
      <c r="B221" s="68" t="str">
        <f>HYPERLINK("https://drive.google.com/open?id=1CDq5caygS5RK64-BvTDxfbO51qhspKpi","Whatton1992")</f>
        <v>Whatton1992</v>
      </c>
      <c r="C221" s="63" t="s">
        <v>1223</v>
      </c>
      <c r="D221" s="55" t="s">
        <v>1224</v>
      </c>
      <c r="E221" s="55">
        <v>1992.0</v>
      </c>
      <c r="F221" s="71">
        <v>1.0</v>
      </c>
      <c r="G221" s="55"/>
      <c r="H221" s="55"/>
      <c r="I221" s="55">
        <v>1.0</v>
      </c>
      <c r="J221" s="55"/>
      <c r="K221" s="55"/>
      <c r="L221" s="55"/>
      <c r="M221" s="55"/>
      <c r="N221" s="55"/>
      <c r="O221" s="55"/>
      <c r="P221" s="55"/>
      <c r="Q221" s="55"/>
      <c r="R221" s="55"/>
      <c r="S221" s="55"/>
      <c r="T221" s="55"/>
      <c r="U221" s="55"/>
      <c r="V221" s="55" t="s">
        <v>1225</v>
      </c>
      <c r="W221" s="55" t="s">
        <v>1226</v>
      </c>
      <c r="X221" s="55"/>
      <c r="Y221" s="55"/>
      <c r="Z221" s="55"/>
      <c r="AA221" s="55">
        <v>1.0</v>
      </c>
      <c r="AB221" s="55"/>
      <c r="AC221" s="55"/>
      <c r="AD221" s="55"/>
      <c r="AE221" s="55">
        <v>1.0</v>
      </c>
      <c r="AF221" s="55"/>
      <c r="AG221" s="55"/>
      <c r="AH221" s="48" t="s">
        <v>1227</v>
      </c>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c r="BK221" s="51"/>
      <c r="BL221" s="51"/>
      <c r="BM221" s="51"/>
      <c r="BN221" s="51"/>
      <c r="BO221" s="51"/>
      <c r="BP221" s="51"/>
      <c r="BQ221" s="51"/>
      <c r="BR221" s="51"/>
      <c r="BS221" s="51"/>
      <c r="BT221" s="51"/>
      <c r="BU221" s="51"/>
      <c r="BV221" s="51"/>
      <c r="BW221" s="51"/>
      <c r="BX221" s="51"/>
      <c r="BY221" s="51"/>
      <c r="BZ221" s="51"/>
      <c r="CA221" s="51"/>
      <c r="CB221" s="51"/>
    </row>
    <row r="222" ht="12.75" customHeight="1">
      <c r="A222" s="46" t="s">
        <v>116</v>
      </c>
      <c r="B222" s="54" t="str">
        <f>HYPERLINK("https://drive.google.com/open?id=0B1GMAYMj9v6rZGVNMkVUUEoyZEE","White2005")</f>
        <v>White2005</v>
      </c>
      <c r="C222" s="55" t="s">
        <v>1228</v>
      </c>
      <c r="D222" s="55" t="s">
        <v>1229</v>
      </c>
      <c r="E222" s="49">
        <v>2005.0</v>
      </c>
      <c r="F222" s="61"/>
      <c r="G222" s="50"/>
      <c r="H222" s="50"/>
      <c r="I222" s="50">
        <v>1.0</v>
      </c>
      <c r="J222" s="50"/>
      <c r="K222" s="50"/>
      <c r="L222" s="50"/>
      <c r="M222" s="50"/>
      <c r="N222" s="50"/>
      <c r="O222" s="50"/>
      <c r="P222" s="50"/>
      <c r="Q222" s="50"/>
      <c r="R222" s="50"/>
      <c r="S222" s="50"/>
      <c r="T222" s="50"/>
      <c r="U222" s="50"/>
      <c r="V222" s="51"/>
      <c r="W222" s="51" t="s">
        <v>1230</v>
      </c>
      <c r="X222" s="51" t="s">
        <v>1231</v>
      </c>
      <c r="Y222" s="51" t="s">
        <v>1232</v>
      </c>
      <c r="Z222" s="51" t="s">
        <v>122</v>
      </c>
      <c r="AA222" s="50">
        <v>1.0</v>
      </c>
      <c r="AB222" s="50"/>
      <c r="AC222" s="50"/>
      <c r="AD222" s="50">
        <v>1.0</v>
      </c>
      <c r="AE222" s="50"/>
      <c r="AF222" s="50"/>
      <c r="AG222" s="50"/>
      <c r="AH222" s="51" t="s">
        <v>1233</v>
      </c>
      <c r="AI222" s="51">
        <v>1.0</v>
      </c>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2">
        <v>1.0</v>
      </c>
      <c r="BK222" s="52">
        <v>1.0</v>
      </c>
      <c r="BL222" s="51"/>
      <c r="BM222" s="52">
        <v>1.0</v>
      </c>
      <c r="BN222" s="51"/>
      <c r="BO222" s="51"/>
      <c r="BP222" s="51"/>
      <c r="BQ222" s="51"/>
      <c r="BR222" s="51"/>
      <c r="BS222" s="51"/>
      <c r="BT222" s="51"/>
      <c r="BU222" s="51"/>
      <c r="BV222" s="51"/>
      <c r="BW222" s="51"/>
      <c r="BX222" s="51"/>
      <c r="BY222" s="52">
        <v>1.0</v>
      </c>
      <c r="BZ222" s="51"/>
      <c r="CA222" s="52">
        <v>1.0</v>
      </c>
      <c r="CB222" s="51"/>
    </row>
    <row r="223" ht="12.75" customHeight="1">
      <c r="A223" s="46" t="s">
        <v>116</v>
      </c>
      <c r="B223" s="67" t="str">
        <f>HYPERLINK("https://drive.google.com/open?id=1gdH66z-EzY4T-OGAKLPzPDf9xW8NDLay","Wiedenbeck1993")</f>
        <v>Wiedenbeck1993</v>
      </c>
      <c r="C223" s="63" t="s">
        <v>1234</v>
      </c>
      <c r="D223" s="63" t="s">
        <v>1235</v>
      </c>
      <c r="E223" s="49">
        <v>1993.0</v>
      </c>
      <c r="F223" s="50"/>
      <c r="G223" s="50"/>
      <c r="H223" s="50"/>
      <c r="I223" s="50"/>
      <c r="J223" s="50"/>
      <c r="K223" s="50"/>
      <c r="L223" s="50"/>
      <c r="M223" s="50"/>
      <c r="N223" s="50"/>
      <c r="O223" s="50"/>
      <c r="P223" s="50"/>
      <c r="Q223" s="50">
        <v>1.0</v>
      </c>
      <c r="R223" s="50"/>
      <c r="S223" s="50"/>
      <c r="T223" s="50"/>
      <c r="U223" s="50"/>
      <c r="V223" s="51"/>
      <c r="W223" s="51" t="s">
        <v>1236</v>
      </c>
      <c r="X223" s="51" t="s">
        <v>1237</v>
      </c>
      <c r="Y223" s="51" t="s">
        <v>1238</v>
      </c>
      <c r="Z223" s="51" t="s">
        <v>122</v>
      </c>
      <c r="AA223" s="50">
        <v>1.0</v>
      </c>
      <c r="AB223" s="50">
        <v>1.0</v>
      </c>
      <c r="AC223" s="50"/>
      <c r="AD223" s="50">
        <v>1.0</v>
      </c>
      <c r="AE223" s="50"/>
      <c r="AF223" s="50"/>
      <c r="AG223" s="50"/>
      <c r="AH223" s="51" t="s">
        <v>1239</v>
      </c>
      <c r="AI223" s="51">
        <v>1.0</v>
      </c>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t="s">
        <v>1240</v>
      </c>
      <c r="BF223" s="51"/>
      <c r="BG223" s="51"/>
      <c r="BH223" s="51"/>
      <c r="BI223" s="51"/>
      <c r="BJ223" s="51"/>
      <c r="BK223" s="51"/>
      <c r="BL223" s="51"/>
      <c r="BM223" s="51"/>
      <c r="BN223" s="51"/>
      <c r="BO223" s="51"/>
      <c r="BP223" s="51"/>
      <c r="BQ223" s="51"/>
      <c r="BR223" s="51"/>
      <c r="BS223" s="51"/>
      <c r="BT223" s="51"/>
      <c r="BU223" s="51"/>
      <c r="BV223" s="51"/>
      <c r="BW223" s="51"/>
      <c r="BX223" s="51"/>
      <c r="BY223" s="51">
        <v>1.0</v>
      </c>
      <c r="BZ223" s="51"/>
      <c r="CA223" s="51"/>
      <c r="CB223" s="51"/>
    </row>
    <row r="224" ht="12.75" customHeight="1">
      <c r="A224" s="46" t="s">
        <v>124</v>
      </c>
      <c r="B224" s="56" t="str">
        <f>HYPERLINK("https://drive.google.com/open?id=0B-nn5iJ29NJaWlVzQzZlUTVvc1E","Wirfs-Brock2007")</f>
        <v>Wirfs-Brock2007</v>
      </c>
      <c r="C224" s="55" t="s">
        <v>1241</v>
      </c>
      <c r="D224" s="55" t="s">
        <v>560</v>
      </c>
      <c r="E224" s="57">
        <v>2007.0</v>
      </c>
      <c r="F224" s="58"/>
      <c r="G224" s="50"/>
      <c r="H224" s="50">
        <v>1.0</v>
      </c>
      <c r="I224" s="50"/>
      <c r="J224" s="50"/>
      <c r="K224" s="50"/>
      <c r="L224" s="50"/>
      <c r="M224" s="50"/>
      <c r="N224" s="50"/>
      <c r="O224" s="50"/>
      <c r="P224" s="50"/>
      <c r="Q224" s="50"/>
      <c r="R224" s="50"/>
      <c r="S224" s="50"/>
      <c r="T224" s="50"/>
      <c r="U224" s="50"/>
      <c r="V224" s="48"/>
      <c r="W224" s="48" t="s">
        <v>70</v>
      </c>
      <c r="X224" s="60"/>
      <c r="Y224" s="48"/>
      <c r="Z224" s="48" t="s">
        <v>1242</v>
      </c>
      <c r="AA224" s="50"/>
      <c r="AB224" s="50"/>
      <c r="AC224" s="50"/>
      <c r="AD224" s="50"/>
      <c r="AE224" s="50"/>
      <c r="AF224" s="50"/>
      <c r="AG224" s="50">
        <v>1.0</v>
      </c>
      <c r="AH224" s="59"/>
      <c r="AI224" s="51">
        <v>1.0</v>
      </c>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v>1.0</v>
      </c>
      <c r="BJ224" s="51"/>
      <c r="BK224" s="51"/>
      <c r="BL224" s="51"/>
      <c r="BM224" s="51"/>
      <c r="BN224" s="51"/>
      <c r="BO224" s="51"/>
      <c r="BP224" s="51"/>
      <c r="BQ224" s="51"/>
      <c r="BR224" s="51"/>
      <c r="BS224" s="51"/>
      <c r="BT224" s="51"/>
      <c r="BU224" s="51"/>
      <c r="BV224" s="51"/>
      <c r="BW224" s="51"/>
      <c r="BX224" s="51"/>
      <c r="BY224" s="51"/>
      <c r="BZ224" s="51"/>
      <c r="CA224" s="51"/>
      <c r="CB224" s="51"/>
    </row>
    <row r="225" ht="12.75" customHeight="1">
      <c r="A225" s="46" t="s">
        <v>116</v>
      </c>
      <c r="B225" s="67" t="str">
        <f>HYPERLINK("https://drive.google.com/open?id=1Wh75j21c7F84HooWAXw1zCsCdB3owCm9","Wong2006")</f>
        <v>Wong2006</v>
      </c>
      <c r="C225" s="63" t="s">
        <v>1243</v>
      </c>
      <c r="D225" s="63" t="s">
        <v>1244</v>
      </c>
      <c r="E225" s="49">
        <v>2006.0</v>
      </c>
      <c r="F225" s="50"/>
      <c r="G225" s="50"/>
      <c r="H225" s="50"/>
      <c r="I225" s="50"/>
      <c r="J225" s="50"/>
      <c r="K225" s="50"/>
      <c r="L225" s="50"/>
      <c r="M225" s="50"/>
      <c r="N225" s="50"/>
      <c r="O225" s="50"/>
      <c r="P225" s="50"/>
      <c r="Q225" s="50">
        <v>1.0</v>
      </c>
      <c r="R225" s="50"/>
      <c r="S225" s="50"/>
      <c r="T225" s="50"/>
      <c r="U225" s="50"/>
      <c r="V225" s="51" t="s">
        <v>1245</v>
      </c>
      <c r="W225" s="51" t="s">
        <v>1246</v>
      </c>
      <c r="X225" s="51" t="s">
        <v>1247</v>
      </c>
      <c r="Y225" s="51" t="s">
        <v>1248</v>
      </c>
      <c r="Z225" s="51" t="s">
        <v>122</v>
      </c>
      <c r="AA225" s="50"/>
      <c r="AB225" s="50"/>
      <c r="AC225" s="50"/>
      <c r="AD225" s="50"/>
      <c r="AE225" s="50"/>
      <c r="AF225" s="50">
        <v>1.0</v>
      </c>
      <c r="AG225" s="50"/>
      <c r="AH225" s="51" t="s">
        <v>1249</v>
      </c>
      <c r="AI225" s="51">
        <v>1.0</v>
      </c>
      <c r="AJ225" s="51"/>
      <c r="AK225" s="51"/>
      <c r="AL225" s="51"/>
      <c r="AM225" s="51"/>
      <c r="AN225" s="51"/>
      <c r="AO225" s="51"/>
      <c r="AP225" s="51"/>
      <c r="AQ225" s="51"/>
      <c r="AR225" s="51"/>
      <c r="AS225" s="51"/>
      <c r="AT225" s="51"/>
      <c r="AU225" s="51"/>
      <c r="AV225" s="51"/>
      <c r="AW225" s="51"/>
      <c r="AX225" s="51"/>
      <c r="AY225" s="51"/>
      <c r="AZ225" s="51"/>
      <c r="BA225" s="51"/>
      <c r="BB225" s="51"/>
      <c r="BC225" s="51"/>
      <c r="BD225" s="51">
        <v>1.0</v>
      </c>
      <c r="BE225" s="51"/>
      <c r="BF225" s="51"/>
      <c r="BG225" s="51"/>
      <c r="BH225" s="51"/>
      <c r="BI225" s="51"/>
      <c r="BJ225" s="51"/>
      <c r="BK225" s="51"/>
      <c r="BL225" s="51"/>
      <c r="BM225" s="51"/>
      <c r="BN225" s="51"/>
      <c r="BO225" s="51"/>
      <c r="BP225" s="51"/>
      <c r="BQ225" s="51"/>
      <c r="BR225" s="51"/>
      <c r="BS225" s="51"/>
      <c r="BT225" s="51"/>
      <c r="BU225" s="51"/>
      <c r="BV225" s="51"/>
      <c r="BW225" s="51"/>
      <c r="BX225" s="51"/>
      <c r="BY225" s="51"/>
      <c r="BZ225" s="51"/>
      <c r="CA225" s="51">
        <v>1.0</v>
      </c>
      <c r="CB225" s="51"/>
    </row>
    <row r="226" ht="12.75" customHeight="1">
      <c r="A226" s="46" t="s">
        <v>124</v>
      </c>
      <c r="B226" s="56" t="str">
        <f>HYPERLINK("https://drive.google.com/open?id=0B-nn5iJ29NJabW9SRk9LanB5MFE","Xiao2013")</f>
        <v>Xiao2013</v>
      </c>
      <c r="C226" s="55" t="s">
        <v>1250</v>
      </c>
      <c r="D226" s="55" t="s">
        <v>1251</v>
      </c>
      <c r="E226" s="57">
        <v>2013.0</v>
      </c>
      <c r="F226" s="58"/>
      <c r="G226" s="50">
        <v>1.0</v>
      </c>
      <c r="H226" s="50"/>
      <c r="I226" s="50"/>
      <c r="J226" s="50"/>
      <c r="K226" s="50"/>
      <c r="L226" s="50"/>
      <c r="M226" s="50"/>
      <c r="N226" s="50"/>
      <c r="O226" s="50"/>
      <c r="P226" s="50"/>
      <c r="Q226" s="50"/>
      <c r="R226" s="50"/>
      <c r="S226" s="50"/>
      <c r="T226" s="50"/>
      <c r="U226" s="50"/>
      <c r="V226" s="48" t="s">
        <v>1252</v>
      </c>
      <c r="W226" s="48" t="s">
        <v>1253</v>
      </c>
      <c r="X226" s="48" t="s">
        <v>1254</v>
      </c>
      <c r="Y226" s="48"/>
      <c r="Z226" s="48" t="s">
        <v>1255</v>
      </c>
      <c r="AA226" s="50"/>
      <c r="AB226" s="50">
        <v>1.0</v>
      </c>
      <c r="AC226" s="50"/>
      <c r="AD226" s="50">
        <v>1.0</v>
      </c>
      <c r="AE226" s="50"/>
      <c r="AF226" s="50"/>
      <c r="AG226" s="60"/>
      <c r="AH226" s="59"/>
      <c r="AI226" s="51">
        <v>1.0</v>
      </c>
      <c r="AJ226" s="51"/>
      <c r="AK226" s="51"/>
      <c r="AL226" s="51"/>
      <c r="AM226" s="51"/>
      <c r="AN226" s="51">
        <v>1.0</v>
      </c>
      <c r="AO226" s="51"/>
      <c r="AP226" s="51"/>
      <c r="AQ226" s="51"/>
      <c r="AR226" s="51"/>
      <c r="AS226" s="51"/>
      <c r="AT226" s="51"/>
      <c r="AU226" s="51"/>
      <c r="AV226" s="51"/>
      <c r="AW226" s="51"/>
      <c r="AX226" s="51"/>
      <c r="AY226" s="51"/>
      <c r="AZ226" s="51"/>
      <c r="BA226" s="51"/>
      <c r="BB226" s="51"/>
      <c r="BC226" s="51"/>
      <c r="BD226" s="51">
        <v>1.0</v>
      </c>
      <c r="BE226" s="51">
        <v>1.0</v>
      </c>
      <c r="BF226" s="51"/>
      <c r="BG226" s="51">
        <v>1.0</v>
      </c>
      <c r="BH226" s="51"/>
      <c r="BI226" s="51"/>
      <c r="BJ226" s="51"/>
      <c r="BK226" s="51"/>
      <c r="BL226" s="51"/>
      <c r="BM226" s="51"/>
      <c r="BN226" s="51"/>
      <c r="BO226" s="51"/>
      <c r="BP226" s="51"/>
      <c r="BQ226" s="51"/>
      <c r="BR226" s="51"/>
      <c r="BS226" s="51"/>
      <c r="BT226" s="51"/>
      <c r="BU226" s="51"/>
      <c r="BV226" s="51"/>
      <c r="BW226" s="51"/>
      <c r="BX226" s="51"/>
      <c r="BY226" s="51"/>
      <c r="BZ226" s="51"/>
      <c r="CA226" s="51"/>
      <c r="CB226" s="51"/>
    </row>
    <row r="227" ht="12.75" customHeight="1">
      <c r="A227" s="46" t="s">
        <v>124</v>
      </c>
      <c r="B227" s="54" t="str">
        <f>HYPERLINK("https://drive.google.com/open?id=0B-nn5iJ29NJaR1NZblBibG9RQjg","Xie2011")</f>
        <v>Xie2011</v>
      </c>
      <c r="C227" s="55" t="s">
        <v>1256</v>
      </c>
      <c r="D227" s="55" t="s">
        <v>588</v>
      </c>
      <c r="E227" s="57">
        <v>2011.0</v>
      </c>
      <c r="F227" s="58"/>
      <c r="G227" s="50"/>
      <c r="H227" s="50"/>
      <c r="I227" s="50">
        <v>1.0</v>
      </c>
      <c r="J227" s="50"/>
      <c r="K227" s="50"/>
      <c r="L227" s="50"/>
      <c r="M227" s="50"/>
      <c r="N227" s="50"/>
      <c r="O227" s="50"/>
      <c r="P227" s="50"/>
      <c r="Q227" s="50"/>
      <c r="R227" s="50"/>
      <c r="S227" s="50"/>
      <c r="T227" s="50"/>
      <c r="U227" s="50"/>
      <c r="V227" s="69" t="s">
        <v>670</v>
      </c>
      <c r="W227" s="48" t="s">
        <v>1257</v>
      </c>
      <c r="X227" s="48"/>
      <c r="Y227" s="48" t="s">
        <v>1258</v>
      </c>
      <c r="Z227" s="48" t="s">
        <v>1259</v>
      </c>
      <c r="AA227" s="50"/>
      <c r="AB227" s="50"/>
      <c r="AC227" s="50"/>
      <c r="AD227" s="50">
        <v>1.0</v>
      </c>
      <c r="AE227" s="50"/>
      <c r="AF227" s="50"/>
      <c r="AG227" s="50"/>
      <c r="AH227" s="59"/>
      <c r="AI227" s="52">
        <v>1.0</v>
      </c>
      <c r="AJ227" s="51"/>
      <c r="AK227" s="51"/>
      <c r="AL227" s="51"/>
      <c r="AM227" s="51"/>
      <c r="AN227" s="51"/>
      <c r="AO227" s="51"/>
      <c r="AP227" s="51"/>
      <c r="AQ227" s="51"/>
      <c r="AR227" s="52">
        <v>1.0</v>
      </c>
      <c r="AS227" s="51"/>
      <c r="AT227" s="51"/>
      <c r="AU227" s="51"/>
      <c r="AV227" s="51"/>
      <c r="AW227" s="51"/>
      <c r="AX227" s="51"/>
      <c r="AY227" s="51"/>
      <c r="AZ227" s="51"/>
      <c r="BA227" s="51"/>
      <c r="BB227" s="51"/>
      <c r="BC227" s="51"/>
      <c r="BD227" s="51"/>
      <c r="BE227" s="51"/>
      <c r="BF227" s="51"/>
      <c r="BG227" s="51"/>
      <c r="BH227" s="51"/>
      <c r="BI227" s="51"/>
      <c r="BJ227" s="52">
        <v>1.0</v>
      </c>
      <c r="BK227" s="51"/>
      <c r="BL227" s="51"/>
      <c r="BM227" s="51"/>
      <c r="BN227" s="51"/>
      <c r="BO227" s="51"/>
      <c r="BP227" s="51"/>
      <c r="BQ227" s="51"/>
      <c r="BR227" s="51"/>
      <c r="BS227" s="51"/>
      <c r="BT227" s="51"/>
      <c r="BU227" s="51"/>
      <c r="BV227" s="51"/>
      <c r="BW227" s="51"/>
      <c r="BX227" s="52"/>
      <c r="BY227" s="52">
        <v>1.0</v>
      </c>
      <c r="BZ227" s="51"/>
      <c r="CA227" s="51"/>
      <c r="CB227" s="51"/>
    </row>
    <row r="228" ht="12.75" customHeight="1">
      <c r="A228" s="46" t="s">
        <v>108</v>
      </c>
      <c r="B228" s="56" t="str">
        <f>HYPERLINK("https://drive.google.com/open?id=0B3oar8-GeP-IbHFVZjN2TUhKbms","Xu2010")</f>
        <v>Xu2010</v>
      </c>
      <c r="C228" s="55" t="s">
        <v>1260</v>
      </c>
      <c r="D228" s="55" t="s">
        <v>166</v>
      </c>
      <c r="E228" s="49">
        <v>2010.0</v>
      </c>
      <c r="F228" s="50"/>
      <c r="G228" s="50"/>
      <c r="H228" s="50">
        <v>1.0</v>
      </c>
      <c r="I228" s="50">
        <v>1.0</v>
      </c>
      <c r="J228" s="50">
        <v>1.0</v>
      </c>
      <c r="K228" s="50"/>
      <c r="L228" s="50"/>
      <c r="M228" s="50"/>
      <c r="N228" s="50"/>
      <c r="O228" s="50"/>
      <c r="P228" s="50"/>
      <c r="Q228" s="50"/>
      <c r="R228" s="50"/>
      <c r="S228" s="50"/>
      <c r="T228" s="50"/>
      <c r="U228" s="50"/>
      <c r="V228" s="48"/>
      <c r="W228" s="48" t="s">
        <v>1261</v>
      </c>
      <c r="X228" s="87" t="s">
        <v>1262</v>
      </c>
      <c r="Y228" s="48" t="s">
        <v>1263</v>
      </c>
      <c r="Z228" s="48" t="s">
        <v>542</v>
      </c>
      <c r="AA228" s="50">
        <v>1.0</v>
      </c>
      <c r="AB228" s="50"/>
      <c r="AC228" s="50"/>
      <c r="AD228" s="50">
        <v>1.0</v>
      </c>
      <c r="AE228" s="50"/>
      <c r="AF228" s="50"/>
      <c r="AG228" s="50"/>
      <c r="AH228" s="51" t="s">
        <v>1264</v>
      </c>
      <c r="AI228" s="51">
        <v>1.0</v>
      </c>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v>1.0</v>
      </c>
      <c r="BK228" s="51"/>
      <c r="BL228" s="51"/>
      <c r="BM228" s="51"/>
      <c r="BN228" s="51"/>
      <c r="BO228" s="51"/>
      <c r="BP228" s="51"/>
      <c r="BQ228" s="51"/>
      <c r="BR228" s="51"/>
      <c r="BS228" s="51"/>
      <c r="BT228" s="51"/>
      <c r="BU228" s="51"/>
      <c r="BV228" s="51"/>
      <c r="BW228" s="51"/>
      <c r="BX228" s="51"/>
      <c r="BY228" s="51"/>
      <c r="BZ228" s="51"/>
      <c r="CA228" s="51">
        <v>1.0</v>
      </c>
      <c r="CB228" s="51"/>
    </row>
    <row r="229" ht="12.75" customHeight="1">
      <c r="A229" s="46" t="s">
        <v>88</v>
      </c>
      <c r="B229" s="47" t="str">
        <f>HYPERLINK("https://drive.google.com/open?id=0B00cIHsghs6UTU5GSzlmQzlCQUk","Yang1996")</f>
        <v>Yang1996</v>
      </c>
      <c r="C229" s="48" t="s">
        <v>1265</v>
      </c>
      <c r="D229" s="48" t="s">
        <v>1266</v>
      </c>
      <c r="E229" s="49">
        <v>1996.0</v>
      </c>
      <c r="F229" s="61">
        <v>1.0</v>
      </c>
      <c r="G229" s="50"/>
      <c r="H229" s="50"/>
      <c r="I229" s="50">
        <v>1.0</v>
      </c>
      <c r="J229" s="50"/>
      <c r="K229" s="50"/>
      <c r="L229" s="50"/>
      <c r="M229" s="50"/>
      <c r="N229" s="50"/>
      <c r="O229" s="50"/>
      <c r="P229" s="50"/>
      <c r="Q229" s="50"/>
      <c r="R229" s="50"/>
      <c r="S229" s="50"/>
      <c r="T229" s="50"/>
      <c r="U229" s="50"/>
      <c r="V229" s="51"/>
      <c r="W229" s="51" t="s">
        <v>1267</v>
      </c>
      <c r="X229" s="51" t="s">
        <v>1268</v>
      </c>
      <c r="Y229" s="51" t="s">
        <v>92</v>
      </c>
      <c r="Z229" s="51" t="s">
        <v>100</v>
      </c>
      <c r="AA229" s="50">
        <v>1.0</v>
      </c>
      <c r="AB229" s="50">
        <v>1.0</v>
      </c>
      <c r="AC229" s="50"/>
      <c r="AD229" s="50"/>
      <c r="AE229" s="50"/>
      <c r="AF229" s="50">
        <v>1.0</v>
      </c>
      <c r="AG229" s="50"/>
      <c r="AH229" s="51" t="s">
        <v>1269</v>
      </c>
      <c r="AI229" s="52"/>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c r="BK229" s="51"/>
      <c r="BL229" s="51"/>
      <c r="BM229" s="51"/>
      <c r="BN229" s="51"/>
      <c r="BO229" s="51"/>
      <c r="BP229" s="51"/>
      <c r="BQ229" s="51"/>
      <c r="BR229" s="51"/>
      <c r="BS229" s="51"/>
      <c r="BT229" s="51"/>
      <c r="BU229" s="51"/>
      <c r="BV229" s="51"/>
      <c r="BW229" s="51"/>
      <c r="BX229" s="51"/>
      <c r="BY229" s="51"/>
      <c r="BZ229" s="51"/>
      <c r="CA229" s="51"/>
      <c r="CB229" s="51"/>
    </row>
    <row r="230" ht="12.75" customHeight="1">
      <c r="A230" s="46" t="s">
        <v>124</v>
      </c>
      <c r="B230" s="68" t="str">
        <f>HYPERLINK("https://drive.google.com/open?id=19su574uGkFt0od3POC4PFongwP80oqAv","Yusuf2007")</f>
        <v>Yusuf2007</v>
      </c>
      <c r="C230" s="48" t="s">
        <v>1270</v>
      </c>
      <c r="D230" s="48" t="s">
        <v>819</v>
      </c>
      <c r="E230" s="49">
        <v>2007.0</v>
      </c>
      <c r="F230" s="50"/>
      <c r="G230" s="50"/>
      <c r="H230" s="50">
        <v>1.0</v>
      </c>
      <c r="I230" s="50"/>
      <c r="J230" s="50"/>
      <c r="K230" s="50"/>
      <c r="L230" s="50"/>
      <c r="M230" s="50"/>
      <c r="N230" s="50"/>
      <c r="O230" s="50">
        <v>1.0</v>
      </c>
      <c r="P230" s="50"/>
      <c r="Q230" s="50"/>
      <c r="R230" s="50"/>
      <c r="S230" s="50"/>
      <c r="T230" s="50"/>
      <c r="U230" s="50"/>
      <c r="V230" s="60"/>
      <c r="W230" s="48" t="s">
        <v>1271</v>
      </c>
      <c r="X230" s="48" t="s">
        <v>1272</v>
      </c>
      <c r="Y230" s="48" t="s">
        <v>1273</v>
      </c>
      <c r="Z230" s="48" t="s">
        <v>1274</v>
      </c>
      <c r="AA230" s="50">
        <v>1.0</v>
      </c>
      <c r="AB230" s="50"/>
      <c r="AC230" s="50"/>
      <c r="AD230" s="50">
        <v>1.0</v>
      </c>
      <c r="AE230" s="50"/>
      <c r="AF230" s="50"/>
      <c r="AG230" s="50"/>
      <c r="AH230" s="59"/>
      <c r="AI230" s="51">
        <v>1.0</v>
      </c>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2">
        <v>1.0</v>
      </c>
      <c r="BF230" s="51"/>
      <c r="BG230" s="51"/>
      <c r="BH230" s="51"/>
      <c r="BI230" s="51"/>
      <c r="BJ230" s="52">
        <v>1.0</v>
      </c>
      <c r="BK230" s="51"/>
      <c r="BL230" s="51"/>
      <c r="BM230" s="51"/>
      <c r="BN230" s="51"/>
      <c r="BO230" s="51"/>
      <c r="BP230" s="51"/>
      <c r="BQ230" s="51"/>
      <c r="BR230" s="51"/>
      <c r="BS230" s="51"/>
      <c r="BT230" s="51"/>
      <c r="BU230" s="51"/>
      <c r="BV230" s="51"/>
      <c r="BW230" s="51"/>
      <c r="BX230" s="51"/>
      <c r="BY230" s="51"/>
      <c r="BZ230" s="51">
        <v>1.0</v>
      </c>
      <c r="CA230" s="51"/>
      <c r="CB230" s="51"/>
    </row>
    <row r="231" ht="12.75" customHeight="1">
      <c r="A231" s="46" t="s">
        <v>88</v>
      </c>
      <c r="B231" s="53" t="str">
        <f>HYPERLINK("https://drive.google.com/open?id=0B00cIHsghs6UNzRka1l5V29fRlE","Zayour2001")</f>
        <v>Zayour2001</v>
      </c>
      <c r="C231" s="48" t="s">
        <v>1275</v>
      </c>
      <c r="D231" s="48" t="s">
        <v>1276</v>
      </c>
      <c r="E231" s="49">
        <v>2001.0</v>
      </c>
      <c r="F231" s="50"/>
      <c r="G231" s="50"/>
      <c r="H231" s="50"/>
      <c r="I231" s="50"/>
      <c r="J231" s="50"/>
      <c r="K231" s="50">
        <v>1.0</v>
      </c>
      <c r="L231" s="50"/>
      <c r="M231" s="50"/>
      <c r="N231" s="50"/>
      <c r="O231" s="50"/>
      <c r="P231" s="50"/>
      <c r="Q231" s="50"/>
      <c r="R231" s="50"/>
      <c r="S231" s="50"/>
      <c r="T231" s="50"/>
      <c r="U231" s="50"/>
      <c r="V231" s="51"/>
      <c r="W231" s="51" t="s">
        <v>1277</v>
      </c>
      <c r="X231" s="51" t="s">
        <v>92</v>
      </c>
      <c r="Y231" s="51" t="s">
        <v>92</v>
      </c>
      <c r="Z231" s="51" t="s">
        <v>100</v>
      </c>
      <c r="AA231" s="50"/>
      <c r="AB231" s="50">
        <v>1.0</v>
      </c>
      <c r="AC231" s="50">
        <v>1.0</v>
      </c>
      <c r="AD231" s="50"/>
      <c r="AE231" s="50"/>
      <c r="AF231" s="50"/>
      <c r="AG231" s="50"/>
      <c r="AH231" s="51" t="s">
        <v>1278</v>
      </c>
      <c r="AI231" s="51">
        <v>1.0</v>
      </c>
      <c r="AJ231" s="51"/>
      <c r="AK231" s="51"/>
      <c r="AL231" s="51"/>
      <c r="AM231" s="51"/>
      <c r="AN231" s="51"/>
      <c r="AO231" s="51">
        <v>1.0</v>
      </c>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row>
    <row r="232" ht="12.75" customHeight="1">
      <c r="A232" s="46" t="s">
        <v>116</v>
      </c>
      <c r="B232" s="88" t="str">
        <f>HYPERLINK("https://drive.google.com/open?id=0B1GMAYMj9v6rLXZRSWNiNk82Nms","Zayour2013")</f>
        <v>Zayour2013</v>
      </c>
      <c r="C232" s="55" t="s">
        <v>1279</v>
      </c>
      <c r="D232" s="55" t="s">
        <v>187</v>
      </c>
      <c r="E232" s="49">
        <v>2013.0</v>
      </c>
      <c r="F232" s="50"/>
      <c r="G232" s="50"/>
      <c r="H232" s="50"/>
      <c r="I232" s="50">
        <v>1.0</v>
      </c>
      <c r="J232" s="50"/>
      <c r="K232" s="50">
        <v>1.0</v>
      </c>
      <c r="L232" s="50"/>
      <c r="M232" s="50"/>
      <c r="N232" s="50"/>
      <c r="O232" s="50"/>
      <c r="P232" s="50"/>
      <c r="Q232" s="50">
        <v>1.0</v>
      </c>
      <c r="R232" s="50"/>
      <c r="S232" s="50"/>
      <c r="T232" s="50"/>
      <c r="U232" s="50"/>
      <c r="V232" s="51" t="s">
        <v>9</v>
      </c>
      <c r="W232" s="51" t="s">
        <v>53</v>
      </c>
      <c r="X232" s="51" t="s">
        <v>1280</v>
      </c>
      <c r="Y232" s="51" t="s">
        <v>1281</v>
      </c>
      <c r="Z232" s="51" t="s">
        <v>122</v>
      </c>
      <c r="AA232" s="50"/>
      <c r="AB232" s="50">
        <v>1.0</v>
      </c>
      <c r="AC232" s="50"/>
      <c r="AD232" s="50">
        <v>1.0</v>
      </c>
      <c r="AE232" s="50"/>
      <c r="AF232" s="50"/>
      <c r="AG232" s="50"/>
      <c r="AH232" s="51" t="s">
        <v>1282</v>
      </c>
      <c r="AI232" s="51">
        <v>1.0</v>
      </c>
      <c r="AJ232" s="51"/>
      <c r="AK232" s="51"/>
      <c r="AL232" s="51"/>
      <c r="AM232" s="51"/>
      <c r="AN232" s="51"/>
      <c r="AO232" s="51">
        <v>1.0</v>
      </c>
      <c r="AP232" s="51"/>
      <c r="AQ232" s="51"/>
      <c r="AR232" s="51">
        <v>1.0</v>
      </c>
      <c r="AS232" s="51"/>
      <c r="AT232" s="51"/>
      <c r="AU232" s="51"/>
      <c r="AV232" s="51"/>
      <c r="AW232" s="51"/>
      <c r="AX232" s="51"/>
      <c r="AY232" s="51"/>
      <c r="AZ232" s="51"/>
      <c r="BA232" s="51"/>
      <c r="BB232" s="51"/>
      <c r="BC232" s="51"/>
      <c r="BD232" s="51"/>
      <c r="BE232" s="51"/>
      <c r="BF232" s="51"/>
      <c r="BG232" s="51"/>
      <c r="BH232" s="51"/>
      <c r="BI232" s="51"/>
      <c r="BJ232" s="51"/>
      <c r="BK232" s="51"/>
      <c r="BL232" s="51"/>
      <c r="BM232" s="51"/>
      <c r="BN232" s="51"/>
      <c r="BO232" s="51"/>
      <c r="BP232" s="51"/>
      <c r="BQ232" s="51"/>
      <c r="BR232" s="51"/>
      <c r="BS232" s="51"/>
      <c r="BT232" s="51"/>
      <c r="BU232" s="51"/>
      <c r="BV232" s="51">
        <v>1.0</v>
      </c>
      <c r="BW232" s="51"/>
      <c r="BX232" s="51"/>
      <c r="BY232" s="51"/>
      <c r="BZ232" s="51"/>
      <c r="CA232" s="51"/>
      <c r="CB232" s="51"/>
    </row>
    <row r="233" ht="12.75" customHeight="1">
      <c r="A233" s="46" t="s">
        <v>108</v>
      </c>
      <c r="B233" s="54" t="str">
        <f>HYPERLINK("https://drive.google.com/open?id=0B3oar8-GeP-IY3lHc3Z3NUdERUE","Zhan2012")</f>
        <v>Zhan2012</v>
      </c>
      <c r="C233" s="55" t="s">
        <v>1283</v>
      </c>
      <c r="D233" s="55" t="s">
        <v>613</v>
      </c>
      <c r="E233" s="49">
        <v>2012.0</v>
      </c>
      <c r="F233" s="61">
        <v>1.0</v>
      </c>
      <c r="G233" s="50"/>
      <c r="H233" s="50"/>
      <c r="I233" s="50"/>
      <c r="J233" s="50"/>
      <c r="K233" s="50"/>
      <c r="L233" s="50"/>
      <c r="M233" s="50">
        <v>1.0</v>
      </c>
      <c r="N233" s="50">
        <v>1.0</v>
      </c>
      <c r="O233" s="50"/>
      <c r="P233" s="50"/>
      <c r="Q233" s="50"/>
      <c r="R233" s="50"/>
      <c r="S233" s="50"/>
      <c r="T233" s="50"/>
      <c r="U233" s="50"/>
      <c r="V233" s="48" t="s">
        <v>1284</v>
      </c>
      <c r="W233" s="48"/>
      <c r="X233" s="48" t="s">
        <v>1285</v>
      </c>
      <c r="Y233" s="60"/>
      <c r="Z233" s="48" t="s">
        <v>1286</v>
      </c>
      <c r="AA233" s="50"/>
      <c r="AB233" s="50">
        <v>1.0</v>
      </c>
      <c r="AC233" s="50"/>
      <c r="AD233" s="50">
        <v>1.0</v>
      </c>
      <c r="AE233" s="50"/>
      <c r="AF233" s="50"/>
      <c r="AG233" s="50"/>
      <c r="AH233" s="51" t="s">
        <v>1287</v>
      </c>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c r="BK233" s="51"/>
      <c r="BL233" s="51"/>
      <c r="BM233" s="51"/>
      <c r="BN233" s="51"/>
      <c r="BO233" s="51"/>
      <c r="BP233" s="51"/>
      <c r="BQ233" s="51"/>
      <c r="BR233" s="51"/>
      <c r="BS233" s="51"/>
      <c r="BT233" s="51"/>
      <c r="BU233" s="51"/>
      <c r="BV233" s="51"/>
      <c r="BW233" s="51"/>
      <c r="BX233" s="51"/>
      <c r="BY233" s="51"/>
      <c r="BZ233" s="51"/>
      <c r="CA233" s="51"/>
      <c r="CB233" s="51"/>
    </row>
    <row r="234" ht="12.75" customHeight="1">
      <c r="A234" s="46" t="s">
        <v>88</v>
      </c>
      <c r="B234" s="53" t="str">
        <f>HYPERLINK("https://drive.google.com/open?id=0B00cIHsghs6UUjlHem9FWDZOZm8","Zhou2010")</f>
        <v>Zhou2010</v>
      </c>
      <c r="C234" s="48" t="s">
        <v>1288</v>
      </c>
      <c r="D234" s="48" t="s">
        <v>1289</v>
      </c>
      <c r="E234" s="49">
        <v>2010.0</v>
      </c>
      <c r="F234" s="50"/>
      <c r="G234" s="50"/>
      <c r="H234" s="50"/>
      <c r="I234" s="50"/>
      <c r="J234" s="50"/>
      <c r="K234" s="50"/>
      <c r="L234" s="50"/>
      <c r="M234" s="50">
        <v>1.0</v>
      </c>
      <c r="N234" s="50"/>
      <c r="O234" s="50"/>
      <c r="P234" s="50"/>
      <c r="Q234" s="50"/>
      <c r="R234" s="50"/>
      <c r="S234" s="50"/>
      <c r="T234" s="50"/>
      <c r="U234" s="50"/>
      <c r="V234" s="51"/>
      <c r="W234" s="51" t="s">
        <v>1290</v>
      </c>
      <c r="X234" s="51" t="s">
        <v>1291</v>
      </c>
      <c r="Y234" s="51" t="s">
        <v>1292</v>
      </c>
      <c r="Z234" s="51" t="s">
        <v>1293</v>
      </c>
      <c r="AA234" s="50"/>
      <c r="AB234" s="50">
        <v>1.0</v>
      </c>
      <c r="AC234" s="50"/>
      <c r="AD234" s="50">
        <v>1.0</v>
      </c>
      <c r="AE234" s="50"/>
      <c r="AF234" s="50"/>
      <c r="AG234" s="50"/>
      <c r="AH234" s="51" t="s">
        <v>1294</v>
      </c>
      <c r="AI234" s="51">
        <v>1.0</v>
      </c>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v>1.0</v>
      </c>
      <c r="BN234" s="51"/>
      <c r="BO234" s="51"/>
      <c r="BP234" s="51"/>
      <c r="BQ234" s="51"/>
      <c r="BR234" s="51"/>
      <c r="BS234" s="51"/>
      <c r="BT234" s="51"/>
      <c r="BU234" s="51"/>
      <c r="BV234" s="51"/>
      <c r="BW234" s="51"/>
      <c r="BX234" s="51"/>
      <c r="BY234" s="51">
        <v>1.0</v>
      </c>
      <c r="BZ234" s="51"/>
      <c r="CA234" s="51"/>
      <c r="CB234" s="51"/>
    </row>
    <row r="235" ht="12.75" customHeight="1">
      <c r="A235" s="46" t="s">
        <v>124</v>
      </c>
      <c r="B235" s="68" t="str">
        <f>HYPERLINK("https://drive.google.com/open?id=1q1BGIo6YzI8f6kEKYd1vQK_6mWmFZtbG","Zhuge1997")</f>
        <v>Zhuge1997</v>
      </c>
      <c r="C235" s="48" t="s">
        <v>1295</v>
      </c>
      <c r="D235" s="48" t="s">
        <v>310</v>
      </c>
      <c r="E235" s="49">
        <v>1997.0</v>
      </c>
      <c r="F235" s="50"/>
      <c r="G235" s="50"/>
      <c r="H235" s="50"/>
      <c r="I235" s="50"/>
      <c r="J235" s="50"/>
      <c r="K235" s="50"/>
      <c r="L235" s="50"/>
      <c r="M235" s="50"/>
      <c r="N235" s="50">
        <v>1.0</v>
      </c>
      <c r="O235" s="50"/>
      <c r="P235" s="50"/>
      <c r="Q235" s="50"/>
      <c r="R235" s="50"/>
      <c r="S235" s="50"/>
      <c r="T235" s="50"/>
      <c r="U235" s="50"/>
      <c r="V235" s="48" t="s">
        <v>1296</v>
      </c>
      <c r="W235" s="48" t="s">
        <v>1297</v>
      </c>
      <c r="X235" s="48"/>
      <c r="Y235" s="48"/>
      <c r="Z235" s="48" t="s">
        <v>1298</v>
      </c>
      <c r="AA235" s="50"/>
      <c r="AB235" s="50"/>
      <c r="AC235" s="50">
        <v>1.0</v>
      </c>
      <c r="AD235" s="50"/>
      <c r="AE235" s="50"/>
      <c r="AF235" s="50"/>
      <c r="AG235" s="50"/>
      <c r="AH235" s="59"/>
      <c r="AI235" s="51">
        <v>1.0</v>
      </c>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2">
        <v>1.0</v>
      </c>
      <c r="BF235" s="51"/>
      <c r="BG235" s="51"/>
      <c r="BH235" s="51"/>
      <c r="BI235" s="51"/>
      <c r="BJ235" s="51">
        <v>1.0</v>
      </c>
      <c r="BK235" s="51"/>
      <c r="BL235" s="51"/>
      <c r="BM235" s="51"/>
      <c r="BN235" s="51"/>
      <c r="BO235" s="51"/>
      <c r="BP235" s="51"/>
      <c r="BQ235" s="51"/>
      <c r="BR235" s="51"/>
      <c r="BS235" s="51"/>
      <c r="BT235" s="51"/>
      <c r="BU235" s="51"/>
      <c r="BV235" s="51"/>
      <c r="BW235" s="51"/>
      <c r="BX235" s="51"/>
      <c r="BY235" s="51"/>
      <c r="BZ235" s="51"/>
      <c r="CA235" s="51"/>
      <c r="CB235" s="51"/>
    </row>
    <row r="236" ht="12.75" customHeight="1">
      <c r="A236" s="46" t="s">
        <v>124</v>
      </c>
      <c r="B236" s="68" t="str">
        <f>HYPERLINK("https://drive.google.com/open?id=1oDSryRWIMcDT_zE2rayrYOZhVBGuwoMp","Zhuge2003")</f>
        <v>Zhuge2003</v>
      </c>
      <c r="C236" s="48" t="s">
        <v>1299</v>
      </c>
      <c r="D236" s="48" t="s">
        <v>261</v>
      </c>
      <c r="E236" s="49">
        <v>2003.0</v>
      </c>
      <c r="F236" s="50"/>
      <c r="G236" s="50"/>
      <c r="H236" s="50"/>
      <c r="I236" s="50"/>
      <c r="J236" s="50"/>
      <c r="K236" s="50"/>
      <c r="L236" s="50"/>
      <c r="M236" s="50">
        <v>1.0</v>
      </c>
      <c r="N236" s="50"/>
      <c r="O236" s="50"/>
      <c r="P236" s="50"/>
      <c r="Q236" s="50">
        <v>1.0</v>
      </c>
      <c r="R236" s="50"/>
      <c r="S236" s="50"/>
      <c r="T236" s="50"/>
      <c r="U236" s="50"/>
      <c r="V236" s="48" t="s">
        <v>1300</v>
      </c>
      <c r="W236" s="48" t="s">
        <v>1301</v>
      </c>
      <c r="X236" s="48"/>
      <c r="Y236" s="48"/>
      <c r="Z236" s="69" t="s">
        <v>1302</v>
      </c>
      <c r="AA236" s="50"/>
      <c r="AB236" s="50"/>
      <c r="AC236" s="50"/>
      <c r="AD236" s="50">
        <v>1.0</v>
      </c>
      <c r="AE236" s="50"/>
      <c r="AF236" s="50"/>
      <c r="AG236" s="50"/>
      <c r="AH236" s="59"/>
      <c r="AI236" s="52">
        <v>1.0</v>
      </c>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2">
        <v>1.0</v>
      </c>
      <c r="BF236" s="51"/>
      <c r="BG236" s="51"/>
      <c r="BH236" s="51"/>
      <c r="BI236" s="51"/>
      <c r="BJ236" s="51"/>
      <c r="BK236" s="51"/>
      <c r="BL236" s="51"/>
      <c r="BM236" s="51"/>
      <c r="BN236" s="51"/>
      <c r="BO236" s="51"/>
      <c r="BP236" s="51"/>
      <c r="BQ236" s="51"/>
      <c r="BR236" s="51"/>
      <c r="BS236" s="51"/>
      <c r="BT236" s="51"/>
      <c r="BU236" s="51"/>
      <c r="BV236" s="51"/>
      <c r="BW236" s="51"/>
      <c r="BX236" s="52"/>
      <c r="BY236" s="52">
        <v>1.0</v>
      </c>
      <c r="BZ236" s="51"/>
      <c r="CA236" s="51"/>
      <c r="CB236" s="51"/>
    </row>
    <row r="237" ht="12.75" customHeight="1">
      <c r="A237" s="46" t="s">
        <v>88</v>
      </c>
      <c r="B237" s="53" t="str">
        <f>HYPERLINK("https://drive.google.com/open?id=0B00cIHsghs6UMzBmYVVTYmh5NEE","Zugal2012")</f>
        <v>Zugal2012</v>
      </c>
      <c r="C237" s="48" t="s">
        <v>1303</v>
      </c>
      <c r="D237" s="48" t="s">
        <v>588</v>
      </c>
      <c r="E237" s="49">
        <v>2012.0</v>
      </c>
      <c r="F237" s="50"/>
      <c r="G237" s="50"/>
      <c r="H237" s="50">
        <v>1.0</v>
      </c>
      <c r="I237" s="50"/>
      <c r="J237" s="50"/>
      <c r="K237" s="50"/>
      <c r="L237" s="50"/>
      <c r="M237" s="50"/>
      <c r="N237" s="50"/>
      <c r="O237" s="50"/>
      <c r="P237" s="50"/>
      <c r="Q237" s="50"/>
      <c r="R237" s="50"/>
      <c r="S237" s="50"/>
      <c r="T237" s="50"/>
      <c r="U237" s="50"/>
      <c r="V237" s="51" t="s">
        <v>353</v>
      </c>
      <c r="W237" s="51" t="s">
        <v>1304</v>
      </c>
      <c r="X237" s="51" t="s">
        <v>1305</v>
      </c>
      <c r="Y237" s="51" t="s">
        <v>1306</v>
      </c>
      <c r="Z237" s="51" t="s">
        <v>100</v>
      </c>
      <c r="AA237" s="50"/>
      <c r="AB237" s="50"/>
      <c r="AC237" s="50"/>
      <c r="AD237" s="50"/>
      <c r="AE237" s="50"/>
      <c r="AF237" s="50">
        <v>1.0</v>
      </c>
      <c r="AG237" s="50"/>
      <c r="AH237" s="51" t="s">
        <v>1307</v>
      </c>
      <c r="AI237" s="51">
        <v>1.0</v>
      </c>
      <c r="AJ237" s="51"/>
      <c r="AK237" s="51"/>
      <c r="AL237" s="51">
        <v>1.0</v>
      </c>
      <c r="AM237" s="51"/>
      <c r="AN237" s="51"/>
      <c r="AO237" s="51">
        <v>1.0</v>
      </c>
      <c r="AP237" s="51"/>
      <c r="AQ237" s="51"/>
      <c r="AR237" s="51">
        <v>1.0</v>
      </c>
      <c r="AS237" s="51"/>
      <c r="AT237" s="51"/>
      <c r="AU237" s="51"/>
      <c r="AV237" s="51"/>
      <c r="AW237" s="51"/>
      <c r="AX237" s="51"/>
      <c r="AY237" s="51"/>
      <c r="AZ237" s="51"/>
      <c r="BA237" s="51"/>
      <c r="BB237" s="51"/>
      <c r="BC237" s="51"/>
      <c r="BD237" s="51"/>
      <c r="BE237" s="51">
        <v>1.0</v>
      </c>
      <c r="BF237" s="51"/>
      <c r="BG237" s="51"/>
      <c r="BH237" s="51"/>
      <c r="BI237" s="51"/>
      <c r="BJ237" s="51"/>
      <c r="BK237" s="51"/>
      <c r="BL237" s="51"/>
      <c r="BM237" s="51"/>
      <c r="BN237" s="51"/>
      <c r="BO237" s="51"/>
      <c r="BP237" s="51"/>
      <c r="BQ237" s="51"/>
      <c r="BR237" s="51"/>
      <c r="BS237" s="51"/>
      <c r="BT237" s="51"/>
      <c r="BU237" s="51"/>
      <c r="BV237" s="51"/>
      <c r="BW237" s="51"/>
      <c r="BX237" s="51"/>
      <c r="BY237" s="51">
        <v>1.0</v>
      </c>
      <c r="BZ237" s="51"/>
      <c r="CA237" s="51"/>
      <c r="CB237" s="51"/>
    </row>
    <row r="238">
      <c r="C238" s="106"/>
      <c r="D238" s="106"/>
      <c r="F238" t="str">
        <f>ROWS(F3:F237)&amp;" ("&amp;ROWS(F3:F237)-sum(F3:F237)&amp;"/"&amp;sum(F3:F237)&amp;")"</f>
        <v>235 (217/18)</v>
      </c>
      <c r="AH238" s="107"/>
      <c r="AI238">
        <f>sum(AI3:AI237)</f>
        <v>219</v>
      </c>
    </row>
    <row r="239">
      <c r="C239" s="106"/>
      <c r="D239" s="106"/>
      <c r="AH239" s="107"/>
    </row>
    <row r="240">
      <c r="C240" s="106"/>
      <c r="D240" s="106"/>
      <c r="AH240" s="107"/>
    </row>
    <row r="241">
      <c r="C241" s="106"/>
      <c r="D241" s="106"/>
      <c r="AH241" s="107"/>
    </row>
    <row r="242">
      <c r="C242" s="106"/>
      <c r="D242" s="106"/>
      <c r="AH242" s="107"/>
    </row>
    <row r="243">
      <c r="C243" s="106"/>
      <c r="D243" s="106"/>
      <c r="AH243" s="107"/>
    </row>
    <row r="244">
      <c r="C244" s="106"/>
      <c r="D244" s="106"/>
      <c r="AH244" s="107"/>
    </row>
    <row r="245">
      <c r="C245" s="106"/>
      <c r="D245" s="106"/>
      <c r="AH245" s="107"/>
    </row>
    <row r="246">
      <c r="C246" s="106"/>
      <c r="D246" s="106"/>
      <c r="AH246" s="107"/>
    </row>
    <row r="247">
      <c r="C247" s="106"/>
      <c r="D247" s="106"/>
      <c r="AH247" s="107"/>
    </row>
    <row r="248">
      <c r="C248" s="106"/>
      <c r="D248" s="106"/>
      <c r="AH248" s="107"/>
    </row>
    <row r="249">
      <c r="C249" s="106"/>
      <c r="D249" s="106"/>
      <c r="AH249" s="107"/>
    </row>
    <row r="250">
      <c r="C250" s="106"/>
      <c r="D250" s="106"/>
      <c r="AH250" s="107"/>
    </row>
    <row r="251">
      <c r="C251" s="106"/>
      <c r="D251" s="106"/>
      <c r="AH251" s="107"/>
    </row>
    <row r="252">
      <c r="C252" s="106"/>
      <c r="D252" s="106"/>
      <c r="AH252" s="107"/>
    </row>
    <row r="253">
      <c r="C253" s="106"/>
      <c r="D253" s="106"/>
      <c r="AH253" s="107"/>
    </row>
    <row r="254">
      <c r="C254" s="106"/>
      <c r="D254" s="106"/>
      <c r="AH254" s="107"/>
    </row>
    <row r="255">
      <c r="C255" s="106"/>
      <c r="D255" s="106"/>
      <c r="AH255" s="107"/>
    </row>
    <row r="256">
      <c r="C256" s="106"/>
      <c r="D256" s="106"/>
      <c r="AH256" s="107"/>
    </row>
    <row r="257">
      <c r="C257" s="106"/>
      <c r="D257" s="106"/>
      <c r="AH257" s="107"/>
    </row>
    <row r="258">
      <c r="C258" s="106"/>
      <c r="D258" s="106"/>
      <c r="AH258" s="107"/>
    </row>
    <row r="259">
      <c r="C259" s="106"/>
      <c r="D259" s="106"/>
      <c r="AH259" s="107"/>
    </row>
    <row r="260">
      <c r="C260" s="106"/>
      <c r="D260" s="106"/>
      <c r="AH260" s="107"/>
    </row>
    <row r="261">
      <c r="C261" s="106"/>
      <c r="D261" s="106"/>
      <c r="AH261" s="107"/>
    </row>
    <row r="262">
      <c r="C262" s="106"/>
      <c r="D262" s="106"/>
      <c r="AH262" s="107"/>
    </row>
    <row r="263">
      <c r="C263" s="106"/>
      <c r="D263" s="106"/>
      <c r="AH263" s="107"/>
    </row>
    <row r="264">
      <c r="C264" s="106"/>
      <c r="D264" s="106"/>
      <c r="AH264" s="107"/>
    </row>
    <row r="265">
      <c r="C265" s="106"/>
      <c r="D265" s="106"/>
      <c r="AH265" s="107"/>
    </row>
    <row r="266">
      <c r="C266" s="106"/>
      <c r="D266" s="106"/>
      <c r="AH266" s="107"/>
    </row>
    <row r="267">
      <c r="C267" s="106"/>
      <c r="D267" s="106"/>
      <c r="AH267" s="107"/>
    </row>
    <row r="268">
      <c r="C268" s="106"/>
      <c r="D268" s="106"/>
      <c r="AH268" s="107"/>
    </row>
    <row r="269">
      <c r="C269" s="106"/>
      <c r="D269" s="106"/>
      <c r="AH269" s="107"/>
    </row>
    <row r="270">
      <c r="C270" s="106"/>
      <c r="D270" s="106"/>
      <c r="AH270" s="107"/>
    </row>
    <row r="271">
      <c r="C271" s="106"/>
      <c r="D271" s="106"/>
      <c r="AH271" s="107"/>
    </row>
    <row r="272">
      <c r="C272" s="106"/>
      <c r="D272" s="106"/>
      <c r="AH272" s="107"/>
    </row>
    <row r="273">
      <c r="C273" s="106"/>
      <c r="D273" s="106"/>
      <c r="AH273" s="107"/>
    </row>
    <row r="274">
      <c r="C274" s="106"/>
      <c r="D274" s="106"/>
      <c r="AH274" s="107"/>
    </row>
    <row r="275">
      <c r="C275" s="106"/>
      <c r="D275" s="106"/>
      <c r="AH275" s="107"/>
    </row>
    <row r="276">
      <c r="C276" s="106"/>
      <c r="D276" s="106"/>
      <c r="AH276" s="107"/>
    </row>
    <row r="277">
      <c r="C277" s="106"/>
      <c r="D277" s="106"/>
      <c r="AH277" s="107"/>
    </row>
    <row r="278">
      <c r="C278" s="106"/>
      <c r="D278" s="106"/>
      <c r="AH278" s="107"/>
    </row>
    <row r="279">
      <c r="C279" s="106"/>
      <c r="D279" s="106"/>
      <c r="AH279" s="107"/>
    </row>
    <row r="280">
      <c r="C280" s="106"/>
      <c r="D280" s="106"/>
      <c r="AH280" s="107"/>
    </row>
    <row r="281">
      <c r="C281" s="106"/>
      <c r="D281" s="106"/>
      <c r="AH281" s="107"/>
    </row>
    <row r="282">
      <c r="C282" s="106"/>
      <c r="D282" s="106"/>
      <c r="AH282" s="107"/>
    </row>
    <row r="283">
      <c r="C283" s="106"/>
      <c r="D283" s="106"/>
      <c r="AH283" s="107"/>
    </row>
    <row r="284">
      <c r="C284" s="106"/>
      <c r="D284" s="106"/>
      <c r="AH284" s="107"/>
    </row>
    <row r="285">
      <c r="C285" s="106"/>
      <c r="D285" s="106"/>
      <c r="AH285" s="107"/>
    </row>
    <row r="286">
      <c r="C286" s="106"/>
      <c r="D286" s="106"/>
      <c r="AH286" s="107"/>
    </row>
    <row r="287">
      <c r="C287" s="106"/>
      <c r="D287" s="106"/>
      <c r="AH287" s="107"/>
    </row>
    <row r="288">
      <c r="C288" s="106"/>
      <c r="D288" s="106"/>
      <c r="AH288" s="107"/>
    </row>
    <row r="289">
      <c r="C289" s="106"/>
      <c r="D289" s="106"/>
      <c r="AH289" s="107"/>
    </row>
    <row r="290">
      <c r="C290" s="106"/>
      <c r="D290" s="106"/>
      <c r="AH290" s="107"/>
    </row>
    <row r="291">
      <c r="C291" s="106"/>
      <c r="D291" s="106"/>
      <c r="AH291" s="107"/>
    </row>
    <row r="292">
      <c r="C292" s="106"/>
      <c r="D292" s="106"/>
      <c r="AH292" s="107"/>
    </row>
    <row r="293">
      <c r="C293" s="106"/>
      <c r="D293" s="106"/>
      <c r="AH293" s="107"/>
    </row>
    <row r="294">
      <c r="C294" s="106"/>
      <c r="D294" s="106"/>
      <c r="AH294" s="107"/>
    </row>
    <row r="295">
      <c r="C295" s="106"/>
      <c r="D295" s="106"/>
      <c r="AH295" s="107"/>
    </row>
    <row r="296">
      <c r="C296" s="106"/>
      <c r="D296" s="106"/>
      <c r="AH296" s="107"/>
    </row>
    <row r="297">
      <c r="C297" s="106"/>
      <c r="D297" s="106"/>
      <c r="AH297" s="107"/>
    </row>
    <row r="298">
      <c r="C298" s="106"/>
      <c r="D298" s="106"/>
      <c r="AH298" s="107"/>
    </row>
    <row r="299">
      <c r="C299" s="106"/>
      <c r="D299" s="106"/>
      <c r="AH299" s="107"/>
    </row>
    <row r="300">
      <c r="C300" s="106"/>
      <c r="D300" s="106"/>
      <c r="AH300" s="107"/>
    </row>
    <row r="301">
      <c r="C301" s="106"/>
      <c r="D301" s="106"/>
      <c r="AH301" s="107"/>
    </row>
    <row r="302">
      <c r="C302" s="106"/>
      <c r="D302" s="106"/>
      <c r="AH302" s="107"/>
    </row>
    <row r="303">
      <c r="C303" s="106"/>
      <c r="D303" s="106"/>
      <c r="AH303" s="107"/>
    </row>
    <row r="304">
      <c r="C304" s="106"/>
      <c r="D304" s="106"/>
      <c r="AH304" s="107"/>
    </row>
    <row r="305">
      <c r="C305" s="106"/>
      <c r="D305" s="106"/>
      <c r="AH305" s="107"/>
    </row>
    <row r="306">
      <c r="C306" s="106"/>
      <c r="D306" s="106"/>
      <c r="AH306" s="107"/>
    </row>
    <row r="307">
      <c r="C307" s="106"/>
      <c r="D307" s="106"/>
      <c r="AH307" s="107"/>
    </row>
    <row r="308">
      <c r="C308" s="106"/>
      <c r="D308" s="106"/>
      <c r="AH308" s="107"/>
    </row>
    <row r="309">
      <c r="C309" s="106"/>
      <c r="D309" s="106"/>
      <c r="AH309" s="107"/>
    </row>
    <row r="310">
      <c r="C310" s="106"/>
      <c r="D310" s="106"/>
      <c r="AH310" s="107"/>
    </row>
    <row r="311">
      <c r="C311" s="106"/>
      <c r="D311" s="106"/>
      <c r="AH311" s="107"/>
    </row>
    <row r="312">
      <c r="C312" s="106"/>
      <c r="D312" s="106"/>
      <c r="AH312" s="107"/>
    </row>
    <row r="313">
      <c r="C313" s="106"/>
      <c r="D313" s="106"/>
      <c r="AH313" s="107"/>
    </row>
    <row r="314">
      <c r="C314" s="106"/>
      <c r="D314" s="106"/>
      <c r="AH314" s="107"/>
    </row>
    <row r="315">
      <c r="C315" s="106"/>
      <c r="D315" s="106"/>
      <c r="AH315" s="107"/>
    </row>
    <row r="316">
      <c r="C316" s="106"/>
      <c r="D316" s="106"/>
      <c r="AH316" s="107"/>
    </row>
    <row r="317">
      <c r="C317" s="106"/>
      <c r="D317" s="106"/>
      <c r="AH317" s="107"/>
    </row>
    <row r="318">
      <c r="C318" s="106"/>
      <c r="D318" s="106"/>
      <c r="AH318" s="107"/>
    </row>
    <row r="319">
      <c r="C319" s="106"/>
      <c r="D319" s="106"/>
      <c r="AH319" s="107"/>
    </row>
    <row r="320">
      <c r="C320" s="106"/>
      <c r="D320" s="106"/>
      <c r="AH320" s="107"/>
    </row>
    <row r="321">
      <c r="C321" s="106"/>
      <c r="D321" s="106"/>
      <c r="AH321" s="107"/>
    </row>
    <row r="322">
      <c r="C322" s="106"/>
      <c r="D322" s="106"/>
      <c r="AH322" s="107"/>
    </row>
    <row r="323">
      <c r="C323" s="106"/>
      <c r="D323" s="106"/>
      <c r="AH323" s="107"/>
    </row>
    <row r="324">
      <c r="C324" s="106"/>
      <c r="D324" s="106"/>
      <c r="AH324" s="107"/>
    </row>
    <row r="325">
      <c r="C325" s="106"/>
      <c r="D325" s="106"/>
      <c r="AH325" s="107"/>
    </row>
    <row r="326">
      <c r="C326" s="106"/>
      <c r="D326" s="106"/>
      <c r="AH326" s="107"/>
    </row>
    <row r="327">
      <c r="C327" s="106"/>
      <c r="D327" s="106"/>
      <c r="AH327" s="107"/>
    </row>
    <row r="328">
      <c r="C328" s="106"/>
      <c r="D328" s="106"/>
      <c r="AH328" s="107"/>
    </row>
    <row r="329">
      <c r="C329" s="106"/>
      <c r="D329" s="106"/>
      <c r="AH329" s="107"/>
    </row>
    <row r="330">
      <c r="C330" s="106"/>
      <c r="D330" s="106"/>
      <c r="AH330" s="107"/>
    </row>
    <row r="331">
      <c r="C331" s="106"/>
      <c r="D331" s="106"/>
      <c r="AH331" s="107"/>
    </row>
    <row r="332">
      <c r="C332" s="106"/>
      <c r="D332" s="106"/>
      <c r="AH332" s="107"/>
    </row>
    <row r="333">
      <c r="C333" s="106"/>
      <c r="D333" s="106"/>
      <c r="AH333" s="107"/>
    </row>
    <row r="334">
      <c r="C334" s="106"/>
      <c r="D334" s="106"/>
      <c r="AH334" s="107"/>
    </row>
    <row r="335">
      <c r="C335" s="106"/>
      <c r="D335" s="106"/>
      <c r="AH335" s="107"/>
    </row>
    <row r="336">
      <c r="C336" s="106"/>
      <c r="D336" s="106"/>
      <c r="AH336" s="107"/>
    </row>
    <row r="337">
      <c r="C337" s="106"/>
      <c r="D337" s="106"/>
      <c r="AH337" s="107"/>
    </row>
    <row r="338">
      <c r="C338" s="106"/>
      <c r="D338" s="106"/>
      <c r="AH338" s="107"/>
    </row>
    <row r="339">
      <c r="C339" s="106"/>
      <c r="D339" s="106"/>
      <c r="AH339" s="107"/>
    </row>
    <row r="340">
      <c r="C340" s="106"/>
      <c r="D340" s="106"/>
      <c r="AH340" s="107"/>
    </row>
    <row r="341">
      <c r="C341" s="106"/>
      <c r="D341" s="106"/>
      <c r="AH341" s="107"/>
    </row>
    <row r="342">
      <c r="C342" s="106"/>
      <c r="D342" s="106"/>
      <c r="AH342" s="107"/>
    </row>
    <row r="343">
      <c r="C343" s="106"/>
      <c r="D343" s="106"/>
      <c r="AH343" s="107"/>
    </row>
    <row r="344">
      <c r="C344" s="106"/>
      <c r="D344" s="106"/>
      <c r="AH344" s="107"/>
    </row>
    <row r="345">
      <c r="C345" s="106"/>
      <c r="D345" s="106"/>
      <c r="AH345" s="107"/>
    </row>
    <row r="346">
      <c r="C346" s="106"/>
      <c r="D346" s="106"/>
      <c r="AH346" s="107"/>
    </row>
    <row r="347">
      <c r="C347" s="106"/>
      <c r="D347" s="106"/>
      <c r="AH347" s="107"/>
    </row>
    <row r="348">
      <c r="C348" s="106"/>
      <c r="D348" s="106"/>
      <c r="AH348" s="107"/>
    </row>
    <row r="349">
      <c r="C349" s="106"/>
      <c r="D349" s="106"/>
      <c r="AH349" s="107"/>
    </row>
    <row r="350">
      <c r="C350" s="106"/>
      <c r="D350" s="106"/>
      <c r="AH350" s="107"/>
    </row>
    <row r="351">
      <c r="C351" s="106"/>
      <c r="D351" s="106"/>
      <c r="AH351" s="107"/>
    </row>
    <row r="352">
      <c r="C352" s="106"/>
      <c r="D352" s="106"/>
      <c r="AH352" s="107"/>
    </row>
    <row r="353">
      <c r="C353" s="106"/>
      <c r="D353" s="106"/>
      <c r="AH353" s="107"/>
    </row>
    <row r="354">
      <c r="C354" s="106"/>
      <c r="D354" s="106"/>
      <c r="AH354" s="107"/>
    </row>
    <row r="355">
      <c r="C355" s="106"/>
      <c r="D355" s="106"/>
      <c r="AH355" s="107"/>
    </row>
    <row r="356">
      <c r="C356" s="106"/>
      <c r="D356" s="106"/>
      <c r="AH356" s="107"/>
    </row>
    <row r="357">
      <c r="C357" s="106"/>
      <c r="D357" s="106"/>
      <c r="AH357" s="107"/>
    </row>
    <row r="358">
      <c r="C358" s="106"/>
      <c r="D358" s="106"/>
      <c r="AH358" s="107"/>
    </row>
    <row r="359">
      <c r="C359" s="106"/>
      <c r="D359" s="106"/>
      <c r="AH359" s="107"/>
    </row>
    <row r="360">
      <c r="C360" s="106"/>
      <c r="D360" s="106"/>
      <c r="AH360" s="107"/>
    </row>
    <row r="361">
      <c r="C361" s="106"/>
      <c r="D361" s="106"/>
      <c r="AH361" s="107"/>
    </row>
    <row r="362">
      <c r="C362" s="106"/>
      <c r="D362" s="106"/>
      <c r="AH362" s="107"/>
    </row>
    <row r="363">
      <c r="C363" s="106"/>
      <c r="D363" s="106"/>
      <c r="AH363" s="107"/>
    </row>
    <row r="364">
      <c r="C364" s="106"/>
      <c r="D364" s="106"/>
      <c r="AH364" s="107"/>
    </row>
    <row r="365">
      <c r="C365" s="106"/>
      <c r="D365" s="106"/>
      <c r="AH365" s="107"/>
    </row>
    <row r="366">
      <c r="C366" s="106"/>
      <c r="D366" s="106"/>
      <c r="AH366" s="107"/>
    </row>
    <row r="367">
      <c r="C367" s="106"/>
      <c r="D367" s="106"/>
      <c r="AH367" s="107"/>
    </row>
    <row r="368">
      <c r="C368" s="106"/>
      <c r="D368" s="106"/>
      <c r="AH368" s="107"/>
    </row>
    <row r="369">
      <c r="C369" s="106"/>
      <c r="D369" s="106"/>
      <c r="AH369" s="107"/>
    </row>
    <row r="370">
      <c r="C370" s="106"/>
      <c r="D370" s="106"/>
      <c r="AH370" s="107"/>
    </row>
    <row r="371">
      <c r="C371" s="106"/>
      <c r="D371" s="106"/>
      <c r="AH371" s="107"/>
    </row>
    <row r="372">
      <c r="C372" s="106"/>
      <c r="D372" s="106"/>
      <c r="AH372" s="107"/>
    </row>
    <row r="373">
      <c r="C373" s="106"/>
      <c r="D373" s="106"/>
      <c r="AH373" s="107"/>
    </row>
    <row r="374">
      <c r="C374" s="106"/>
      <c r="D374" s="106"/>
      <c r="AH374" s="107"/>
    </row>
    <row r="375">
      <c r="C375" s="106"/>
      <c r="D375" s="106"/>
      <c r="AH375" s="107"/>
    </row>
    <row r="376">
      <c r="C376" s="106"/>
      <c r="D376" s="106"/>
      <c r="AH376" s="107"/>
    </row>
    <row r="377">
      <c r="C377" s="106"/>
      <c r="D377" s="106"/>
      <c r="AH377" s="107"/>
    </row>
    <row r="378">
      <c r="C378" s="106"/>
      <c r="D378" s="106"/>
      <c r="AH378" s="107"/>
    </row>
    <row r="379">
      <c r="C379" s="106"/>
      <c r="D379" s="106"/>
      <c r="AH379" s="107"/>
    </row>
    <row r="380">
      <c r="C380" s="106"/>
      <c r="D380" s="106"/>
      <c r="AH380" s="107"/>
    </row>
    <row r="381">
      <c r="C381" s="106"/>
      <c r="D381" s="106"/>
      <c r="AH381" s="107"/>
    </row>
    <row r="382">
      <c r="C382" s="106"/>
      <c r="D382" s="106"/>
      <c r="AH382" s="107"/>
    </row>
    <row r="383">
      <c r="C383" s="106"/>
      <c r="D383" s="106"/>
      <c r="AH383" s="107"/>
    </row>
    <row r="384">
      <c r="C384" s="106"/>
      <c r="D384" s="106"/>
      <c r="AH384" s="107"/>
    </row>
    <row r="385">
      <c r="C385" s="106"/>
      <c r="D385" s="106"/>
      <c r="AH385" s="107"/>
    </row>
    <row r="386">
      <c r="C386" s="106"/>
      <c r="D386" s="106"/>
      <c r="AH386" s="107"/>
    </row>
    <row r="387">
      <c r="C387" s="106"/>
      <c r="D387" s="106"/>
      <c r="AH387" s="107"/>
    </row>
    <row r="388">
      <c r="C388" s="106"/>
      <c r="D388" s="106"/>
      <c r="AH388" s="107"/>
    </row>
    <row r="389">
      <c r="C389" s="106"/>
      <c r="D389" s="106"/>
      <c r="AH389" s="107"/>
    </row>
    <row r="390">
      <c r="C390" s="106"/>
      <c r="D390" s="106"/>
      <c r="AH390" s="107"/>
    </row>
    <row r="391">
      <c r="C391" s="106"/>
      <c r="D391" s="106"/>
      <c r="AH391" s="107"/>
    </row>
    <row r="392">
      <c r="C392" s="106"/>
      <c r="D392" s="106"/>
      <c r="AH392" s="107"/>
    </row>
    <row r="393">
      <c r="C393" s="106"/>
      <c r="D393" s="106"/>
      <c r="AH393" s="107"/>
    </row>
    <row r="394">
      <c r="C394" s="106"/>
      <c r="D394" s="106"/>
      <c r="AH394" s="107"/>
    </row>
    <row r="395">
      <c r="C395" s="106"/>
      <c r="D395" s="106"/>
      <c r="AH395" s="107"/>
    </row>
    <row r="396">
      <c r="C396" s="106"/>
      <c r="D396" s="106"/>
      <c r="AH396" s="107"/>
    </row>
    <row r="397">
      <c r="C397" s="106"/>
      <c r="D397" s="106"/>
      <c r="AH397" s="107"/>
    </row>
    <row r="398">
      <c r="C398" s="106"/>
      <c r="D398" s="106"/>
      <c r="AH398" s="107"/>
    </row>
    <row r="399">
      <c r="C399" s="106"/>
      <c r="D399" s="106"/>
      <c r="AH399" s="107"/>
    </row>
    <row r="400">
      <c r="C400" s="106"/>
      <c r="D400" s="106"/>
      <c r="AH400" s="107"/>
    </row>
    <row r="401">
      <c r="C401" s="106"/>
      <c r="D401" s="106"/>
      <c r="AH401" s="107"/>
    </row>
    <row r="402">
      <c r="C402" s="106"/>
      <c r="D402" s="106"/>
      <c r="AH402" s="107"/>
    </row>
    <row r="403">
      <c r="C403" s="106"/>
      <c r="D403" s="106"/>
      <c r="AH403" s="107"/>
    </row>
    <row r="404">
      <c r="C404" s="106"/>
      <c r="D404" s="106"/>
      <c r="AH404" s="107"/>
    </row>
    <row r="405">
      <c r="C405" s="106"/>
      <c r="D405" s="106"/>
      <c r="AH405" s="107"/>
    </row>
    <row r="406">
      <c r="C406" s="106"/>
      <c r="D406" s="106"/>
      <c r="AH406" s="107"/>
    </row>
    <row r="407">
      <c r="C407" s="106"/>
      <c r="D407" s="106"/>
      <c r="AH407" s="107"/>
    </row>
    <row r="408">
      <c r="C408" s="106"/>
      <c r="D408" s="106"/>
      <c r="AH408" s="107"/>
    </row>
    <row r="409">
      <c r="C409" s="106"/>
      <c r="D409" s="106"/>
      <c r="AH409" s="107"/>
    </row>
    <row r="410">
      <c r="C410" s="106"/>
      <c r="D410" s="106"/>
      <c r="AH410" s="107"/>
    </row>
    <row r="411">
      <c r="C411" s="106"/>
      <c r="D411" s="106"/>
      <c r="AH411" s="107"/>
    </row>
    <row r="412">
      <c r="C412" s="106"/>
      <c r="D412" s="106"/>
      <c r="AH412" s="107"/>
    </row>
    <row r="413">
      <c r="C413" s="106"/>
      <c r="D413" s="106"/>
      <c r="AH413" s="107"/>
    </row>
    <row r="414">
      <c r="C414" s="106"/>
      <c r="D414" s="106"/>
      <c r="AH414" s="107"/>
    </row>
    <row r="415">
      <c r="C415" s="106"/>
      <c r="D415" s="106"/>
      <c r="AH415" s="107"/>
    </row>
    <row r="416">
      <c r="C416" s="106"/>
      <c r="D416" s="106"/>
      <c r="AH416" s="107"/>
    </row>
    <row r="417">
      <c r="C417" s="106"/>
      <c r="D417" s="106"/>
      <c r="AH417" s="107"/>
    </row>
    <row r="418">
      <c r="C418" s="106"/>
      <c r="D418" s="106"/>
      <c r="AH418" s="107"/>
    </row>
    <row r="419">
      <c r="C419" s="106"/>
      <c r="D419" s="106"/>
      <c r="AH419" s="107"/>
    </row>
    <row r="420">
      <c r="C420" s="106"/>
      <c r="D420" s="106"/>
      <c r="AH420" s="107"/>
    </row>
    <row r="421">
      <c r="C421" s="106"/>
      <c r="D421" s="106"/>
      <c r="AH421" s="107"/>
    </row>
    <row r="422">
      <c r="C422" s="106"/>
      <c r="D422" s="106"/>
      <c r="AH422" s="107"/>
    </row>
    <row r="423">
      <c r="C423" s="106"/>
      <c r="D423" s="106"/>
      <c r="AH423" s="107"/>
    </row>
    <row r="424">
      <c r="C424" s="106"/>
      <c r="D424" s="106"/>
      <c r="AH424" s="107"/>
    </row>
    <row r="425">
      <c r="C425" s="106"/>
      <c r="D425" s="106"/>
      <c r="AH425" s="107"/>
    </row>
    <row r="426">
      <c r="C426" s="106"/>
      <c r="D426" s="106"/>
      <c r="AH426" s="107"/>
    </row>
    <row r="427">
      <c r="C427" s="106"/>
      <c r="D427" s="106"/>
      <c r="AH427" s="107"/>
    </row>
    <row r="428">
      <c r="C428" s="106"/>
      <c r="D428" s="106"/>
      <c r="AH428" s="107"/>
    </row>
    <row r="429">
      <c r="C429" s="106"/>
      <c r="D429" s="106"/>
      <c r="AH429" s="107"/>
    </row>
    <row r="430">
      <c r="C430" s="106"/>
      <c r="D430" s="106"/>
      <c r="AH430" s="107"/>
    </row>
    <row r="431">
      <c r="C431" s="106"/>
      <c r="D431" s="106"/>
      <c r="AH431" s="107"/>
    </row>
    <row r="432">
      <c r="C432" s="106"/>
      <c r="D432" s="106"/>
      <c r="AH432" s="107"/>
    </row>
    <row r="433">
      <c r="C433" s="106"/>
      <c r="D433" s="106"/>
      <c r="AH433" s="107"/>
    </row>
    <row r="434">
      <c r="C434" s="106"/>
      <c r="D434" s="106"/>
      <c r="AH434" s="107"/>
    </row>
    <row r="435">
      <c r="C435" s="106"/>
      <c r="D435" s="106"/>
      <c r="AH435" s="107"/>
    </row>
    <row r="436">
      <c r="C436" s="106"/>
      <c r="D436" s="106"/>
      <c r="AH436" s="107"/>
    </row>
    <row r="437">
      <c r="C437" s="106"/>
      <c r="D437" s="106"/>
      <c r="AH437" s="107"/>
    </row>
    <row r="438">
      <c r="C438" s="106"/>
      <c r="D438" s="106"/>
      <c r="AH438" s="107"/>
    </row>
    <row r="439">
      <c r="C439" s="106"/>
      <c r="D439" s="106"/>
      <c r="AH439" s="107"/>
    </row>
    <row r="440">
      <c r="C440" s="106"/>
      <c r="D440" s="106"/>
      <c r="AH440" s="107"/>
    </row>
    <row r="441">
      <c r="C441" s="106"/>
      <c r="D441" s="106"/>
      <c r="AH441" s="107"/>
    </row>
    <row r="442">
      <c r="C442" s="106"/>
      <c r="D442" s="106"/>
      <c r="AH442" s="107"/>
    </row>
    <row r="443">
      <c r="C443" s="106"/>
      <c r="D443" s="106"/>
      <c r="AH443" s="107"/>
    </row>
    <row r="444">
      <c r="C444" s="106"/>
      <c r="D444" s="106"/>
      <c r="AH444" s="107"/>
    </row>
    <row r="445">
      <c r="C445" s="106"/>
      <c r="D445" s="106"/>
      <c r="AH445" s="107"/>
    </row>
    <row r="446">
      <c r="C446" s="106"/>
      <c r="D446" s="106"/>
      <c r="AH446" s="107"/>
    </row>
    <row r="447">
      <c r="C447" s="106"/>
      <c r="D447" s="106"/>
      <c r="AH447" s="107"/>
    </row>
    <row r="448">
      <c r="C448" s="106"/>
      <c r="D448" s="106"/>
      <c r="AH448" s="107"/>
    </row>
    <row r="449">
      <c r="C449" s="106"/>
      <c r="D449" s="106"/>
      <c r="AH449" s="107"/>
    </row>
    <row r="450">
      <c r="C450" s="106"/>
      <c r="D450" s="106"/>
      <c r="AH450" s="107"/>
    </row>
    <row r="451">
      <c r="C451" s="106"/>
      <c r="D451" s="106"/>
      <c r="AH451" s="107"/>
    </row>
    <row r="452">
      <c r="C452" s="106"/>
      <c r="D452" s="106"/>
      <c r="AH452" s="107"/>
    </row>
    <row r="453">
      <c r="C453" s="106"/>
      <c r="D453" s="106"/>
      <c r="AH453" s="107"/>
    </row>
    <row r="454">
      <c r="C454" s="106"/>
      <c r="D454" s="106"/>
      <c r="AH454" s="107"/>
    </row>
    <row r="455">
      <c r="C455" s="106"/>
      <c r="D455" s="106"/>
      <c r="AH455" s="107"/>
    </row>
    <row r="456">
      <c r="C456" s="106"/>
      <c r="D456" s="106"/>
      <c r="AH456" s="107"/>
    </row>
    <row r="457">
      <c r="C457" s="106"/>
      <c r="D457" s="106"/>
      <c r="AH457" s="107"/>
    </row>
    <row r="458">
      <c r="C458" s="106"/>
      <c r="D458" s="106"/>
      <c r="AH458" s="107"/>
    </row>
    <row r="459">
      <c r="C459" s="106"/>
      <c r="D459" s="106"/>
      <c r="AH459" s="107"/>
    </row>
    <row r="460">
      <c r="C460" s="106"/>
      <c r="D460" s="106"/>
      <c r="AH460" s="107"/>
    </row>
    <row r="461">
      <c r="C461" s="106"/>
      <c r="D461" s="106"/>
      <c r="AH461" s="107"/>
    </row>
    <row r="462">
      <c r="C462" s="106"/>
      <c r="D462" s="106"/>
      <c r="AH462" s="107"/>
    </row>
    <row r="463">
      <c r="C463" s="106"/>
      <c r="D463" s="106"/>
      <c r="AH463" s="107"/>
    </row>
    <row r="464">
      <c r="C464" s="106"/>
      <c r="D464" s="106"/>
      <c r="AH464" s="107"/>
    </row>
    <row r="465">
      <c r="C465" s="106"/>
      <c r="D465" s="106"/>
      <c r="AH465" s="107"/>
    </row>
    <row r="466">
      <c r="C466" s="106"/>
      <c r="D466" s="106"/>
      <c r="AH466" s="107"/>
    </row>
    <row r="467">
      <c r="C467" s="106"/>
      <c r="D467" s="106"/>
      <c r="AH467" s="107"/>
    </row>
    <row r="468">
      <c r="C468" s="106"/>
      <c r="D468" s="106"/>
      <c r="AH468" s="107"/>
    </row>
    <row r="469">
      <c r="C469" s="106"/>
      <c r="D469" s="106"/>
      <c r="AH469" s="107"/>
    </row>
    <row r="470">
      <c r="C470" s="106"/>
      <c r="D470" s="106"/>
      <c r="AH470" s="107"/>
    </row>
    <row r="471">
      <c r="C471" s="106"/>
      <c r="D471" s="106"/>
      <c r="AH471" s="107"/>
    </row>
    <row r="472">
      <c r="C472" s="106"/>
      <c r="D472" s="106"/>
      <c r="AH472" s="107"/>
    </row>
    <row r="473">
      <c r="C473" s="106"/>
      <c r="D473" s="106"/>
      <c r="AH473" s="107"/>
    </row>
    <row r="474">
      <c r="C474" s="106"/>
      <c r="D474" s="106"/>
      <c r="AH474" s="107"/>
    </row>
    <row r="475">
      <c r="C475" s="106"/>
      <c r="D475" s="106"/>
      <c r="AH475" s="107"/>
    </row>
    <row r="476">
      <c r="C476" s="106"/>
      <c r="D476" s="106"/>
      <c r="AH476" s="107"/>
    </row>
    <row r="477">
      <c r="C477" s="106"/>
      <c r="D477" s="106"/>
      <c r="AH477" s="107"/>
    </row>
    <row r="478">
      <c r="C478" s="106"/>
      <c r="D478" s="106"/>
      <c r="AH478" s="107"/>
    </row>
    <row r="479">
      <c r="C479" s="106"/>
      <c r="D479" s="106"/>
      <c r="AH479" s="107"/>
    </row>
    <row r="480">
      <c r="C480" s="106"/>
      <c r="D480" s="106"/>
      <c r="AH480" s="107"/>
    </row>
    <row r="481">
      <c r="C481" s="106"/>
      <c r="D481" s="106"/>
      <c r="AH481" s="107"/>
    </row>
    <row r="482">
      <c r="C482" s="106"/>
      <c r="D482" s="106"/>
      <c r="AH482" s="107"/>
    </row>
    <row r="483">
      <c r="C483" s="106"/>
      <c r="D483" s="106"/>
      <c r="AH483" s="107"/>
    </row>
    <row r="484">
      <c r="C484" s="106"/>
      <c r="D484" s="106"/>
      <c r="AH484" s="107"/>
    </row>
    <row r="485">
      <c r="C485" s="106"/>
      <c r="D485" s="106"/>
      <c r="AH485" s="107"/>
    </row>
    <row r="486">
      <c r="C486" s="106"/>
      <c r="D486" s="106"/>
      <c r="AH486" s="107"/>
    </row>
    <row r="487">
      <c r="C487" s="106"/>
      <c r="D487" s="106"/>
      <c r="AH487" s="107"/>
    </row>
    <row r="488">
      <c r="C488" s="106"/>
      <c r="D488" s="106"/>
      <c r="AH488" s="107"/>
    </row>
    <row r="489">
      <c r="C489" s="106"/>
      <c r="D489" s="106"/>
      <c r="AH489" s="107"/>
    </row>
    <row r="490">
      <c r="C490" s="106"/>
      <c r="D490" s="106"/>
      <c r="AH490" s="107"/>
    </row>
    <row r="491">
      <c r="C491" s="106"/>
      <c r="D491" s="106"/>
      <c r="AH491" s="107"/>
    </row>
    <row r="492">
      <c r="C492" s="106"/>
      <c r="D492" s="106"/>
      <c r="AH492" s="107"/>
    </row>
    <row r="493">
      <c r="C493" s="106"/>
      <c r="D493" s="106"/>
      <c r="AH493" s="107"/>
    </row>
    <row r="494">
      <c r="C494" s="106"/>
      <c r="D494" s="106"/>
      <c r="AH494" s="107"/>
    </row>
    <row r="495">
      <c r="C495" s="106"/>
      <c r="D495" s="106"/>
      <c r="AH495" s="107"/>
    </row>
    <row r="496">
      <c r="C496" s="106"/>
      <c r="D496" s="106"/>
      <c r="AH496" s="107"/>
    </row>
    <row r="497">
      <c r="C497" s="106"/>
      <c r="D497" s="106"/>
      <c r="AH497" s="107"/>
    </row>
    <row r="498">
      <c r="C498" s="106"/>
      <c r="D498" s="106"/>
      <c r="AH498" s="107"/>
    </row>
    <row r="499">
      <c r="C499" s="106"/>
      <c r="D499" s="106"/>
      <c r="AH499" s="107"/>
    </row>
    <row r="500">
      <c r="C500" s="106"/>
      <c r="D500" s="106"/>
      <c r="AH500" s="107"/>
    </row>
    <row r="501">
      <c r="C501" s="106"/>
      <c r="D501" s="106"/>
      <c r="AH501" s="107"/>
    </row>
    <row r="502">
      <c r="C502" s="106"/>
      <c r="D502" s="106"/>
      <c r="AH502" s="107"/>
    </row>
    <row r="503">
      <c r="C503" s="106"/>
      <c r="D503" s="106"/>
      <c r="AH503" s="107"/>
    </row>
    <row r="504">
      <c r="C504" s="106"/>
      <c r="D504" s="106"/>
      <c r="AH504" s="107"/>
    </row>
    <row r="505">
      <c r="C505" s="106"/>
      <c r="D505" s="106"/>
      <c r="AH505" s="107"/>
    </row>
    <row r="506">
      <c r="C506" s="106"/>
      <c r="D506" s="106"/>
      <c r="AH506" s="107"/>
    </row>
    <row r="507">
      <c r="C507" s="106"/>
      <c r="D507" s="106"/>
      <c r="AH507" s="107"/>
    </row>
    <row r="508">
      <c r="C508" s="106"/>
      <c r="D508" s="106"/>
      <c r="AH508" s="107"/>
    </row>
    <row r="509">
      <c r="C509" s="106"/>
      <c r="D509" s="106"/>
      <c r="AH509" s="107"/>
    </row>
    <row r="510">
      <c r="C510" s="106"/>
      <c r="D510" s="106"/>
      <c r="AH510" s="107"/>
    </row>
    <row r="511">
      <c r="C511" s="106"/>
      <c r="D511" s="106"/>
      <c r="AH511" s="107"/>
    </row>
    <row r="512">
      <c r="C512" s="106"/>
      <c r="D512" s="106"/>
      <c r="AH512" s="107"/>
    </row>
    <row r="513">
      <c r="C513" s="106"/>
      <c r="D513" s="106"/>
      <c r="AH513" s="107"/>
    </row>
    <row r="514">
      <c r="C514" s="106"/>
      <c r="D514" s="106"/>
      <c r="AH514" s="107"/>
    </row>
    <row r="515">
      <c r="C515" s="106"/>
      <c r="D515" s="106"/>
      <c r="AH515" s="107"/>
    </row>
    <row r="516">
      <c r="C516" s="106"/>
      <c r="D516" s="106"/>
      <c r="AH516" s="107"/>
    </row>
    <row r="517">
      <c r="C517" s="106"/>
      <c r="D517" s="106"/>
      <c r="AH517" s="107"/>
    </row>
    <row r="518">
      <c r="C518" s="106"/>
      <c r="D518" s="106"/>
      <c r="AH518" s="107"/>
    </row>
    <row r="519">
      <c r="C519" s="106"/>
      <c r="D519" s="106"/>
      <c r="AH519" s="107"/>
    </row>
    <row r="520">
      <c r="C520" s="106"/>
      <c r="D520" s="106"/>
      <c r="AH520" s="107"/>
    </row>
    <row r="521">
      <c r="C521" s="106"/>
      <c r="D521" s="106"/>
      <c r="AH521" s="107"/>
    </row>
    <row r="522">
      <c r="C522" s="106"/>
      <c r="D522" s="106"/>
      <c r="AH522" s="107"/>
    </row>
    <row r="523">
      <c r="C523" s="106"/>
      <c r="D523" s="106"/>
      <c r="AH523" s="107"/>
    </row>
    <row r="524">
      <c r="C524" s="106"/>
      <c r="D524" s="106"/>
      <c r="AH524" s="107"/>
    </row>
    <row r="525">
      <c r="C525" s="106"/>
      <c r="D525" s="106"/>
      <c r="AH525" s="107"/>
    </row>
    <row r="526">
      <c r="C526" s="106"/>
      <c r="D526" s="106"/>
      <c r="AH526" s="107"/>
    </row>
    <row r="527">
      <c r="C527" s="106"/>
      <c r="D527" s="106"/>
      <c r="AH527" s="107"/>
    </row>
    <row r="528">
      <c r="C528" s="106"/>
      <c r="D528" s="106"/>
      <c r="AH528" s="107"/>
    </row>
    <row r="529">
      <c r="C529" s="106"/>
      <c r="D529" s="106"/>
      <c r="AH529" s="107"/>
    </row>
    <row r="530">
      <c r="C530" s="106"/>
      <c r="D530" s="106"/>
      <c r="AH530" s="107"/>
    </row>
    <row r="531">
      <c r="C531" s="106"/>
      <c r="D531" s="106"/>
      <c r="AH531" s="107"/>
    </row>
    <row r="532">
      <c r="C532" s="106"/>
      <c r="D532" s="106"/>
      <c r="AH532" s="107"/>
    </row>
    <row r="533">
      <c r="C533" s="106"/>
      <c r="D533" s="106"/>
      <c r="AH533" s="107"/>
    </row>
    <row r="534">
      <c r="C534" s="106"/>
      <c r="D534" s="106"/>
      <c r="AH534" s="107"/>
    </row>
    <row r="535">
      <c r="C535" s="106"/>
      <c r="D535" s="106"/>
      <c r="AH535" s="107"/>
    </row>
    <row r="536">
      <c r="C536" s="106"/>
      <c r="D536" s="106"/>
      <c r="AH536" s="107"/>
    </row>
    <row r="537">
      <c r="C537" s="106"/>
      <c r="D537" s="106"/>
      <c r="AH537" s="107"/>
    </row>
    <row r="538">
      <c r="C538" s="106"/>
      <c r="D538" s="106"/>
      <c r="AH538" s="107"/>
    </row>
    <row r="539">
      <c r="C539" s="106"/>
      <c r="D539" s="106"/>
      <c r="AH539" s="107"/>
    </row>
    <row r="540">
      <c r="C540" s="106"/>
      <c r="D540" s="106"/>
      <c r="AH540" s="107"/>
    </row>
    <row r="541">
      <c r="C541" s="106"/>
      <c r="D541" s="106"/>
      <c r="AH541" s="107"/>
    </row>
    <row r="542">
      <c r="C542" s="106"/>
      <c r="D542" s="106"/>
      <c r="AH542" s="107"/>
    </row>
    <row r="543">
      <c r="C543" s="106"/>
      <c r="D543" s="106"/>
      <c r="AH543" s="107"/>
    </row>
    <row r="544">
      <c r="C544" s="106"/>
      <c r="D544" s="106"/>
      <c r="AH544" s="107"/>
    </row>
    <row r="545">
      <c r="C545" s="106"/>
      <c r="D545" s="106"/>
      <c r="AH545" s="107"/>
    </row>
    <row r="546">
      <c r="C546" s="106"/>
      <c r="D546" s="106"/>
      <c r="AH546" s="107"/>
    </row>
    <row r="547">
      <c r="C547" s="106"/>
      <c r="D547" s="106"/>
      <c r="AH547" s="107"/>
    </row>
    <row r="548">
      <c r="C548" s="106"/>
      <c r="D548" s="106"/>
      <c r="AH548" s="107"/>
    </row>
    <row r="549">
      <c r="C549" s="106"/>
      <c r="D549" s="106"/>
      <c r="AH549" s="107"/>
    </row>
    <row r="550">
      <c r="C550" s="106"/>
      <c r="D550" s="106"/>
      <c r="AH550" s="107"/>
    </row>
    <row r="551">
      <c r="C551" s="106"/>
      <c r="D551" s="106"/>
      <c r="AH551" s="107"/>
    </row>
    <row r="552">
      <c r="C552" s="106"/>
      <c r="D552" s="106"/>
      <c r="AH552" s="107"/>
    </row>
    <row r="553">
      <c r="C553" s="106"/>
      <c r="D553" s="106"/>
      <c r="AH553" s="107"/>
    </row>
    <row r="554">
      <c r="C554" s="106"/>
      <c r="D554" s="106"/>
      <c r="AH554" s="107"/>
    </row>
    <row r="555">
      <c r="C555" s="106"/>
      <c r="D555" s="106"/>
      <c r="AH555" s="107"/>
    </row>
    <row r="556">
      <c r="C556" s="106"/>
      <c r="D556" s="106"/>
      <c r="AH556" s="107"/>
    </row>
    <row r="557">
      <c r="C557" s="106"/>
      <c r="D557" s="106"/>
      <c r="AH557" s="107"/>
    </row>
    <row r="558">
      <c r="C558" s="106"/>
      <c r="D558" s="106"/>
      <c r="AH558" s="107"/>
    </row>
    <row r="559">
      <c r="C559" s="106"/>
      <c r="D559" s="106"/>
      <c r="AH559" s="107"/>
    </row>
    <row r="560">
      <c r="C560" s="106"/>
      <c r="D560" s="106"/>
      <c r="AH560" s="107"/>
    </row>
    <row r="561">
      <c r="C561" s="106"/>
      <c r="D561" s="106"/>
      <c r="AH561" s="107"/>
    </row>
    <row r="562">
      <c r="C562" s="106"/>
      <c r="D562" s="106"/>
      <c r="AH562" s="107"/>
    </row>
    <row r="563">
      <c r="C563" s="106"/>
      <c r="D563" s="106"/>
      <c r="AH563" s="107"/>
    </row>
    <row r="564">
      <c r="C564" s="106"/>
      <c r="D564" s="106"/>
      <c r="AH564" s="107"/>
    </row>
    <row r="565">
      <c r="C565" s="106"/>
      <c r="D565" s="106"/>
      <c r="AH565" s="107"/>
    </row>
    <row r="566">
      <c r="C566" s="106"/>
      <c r="D566" s="106"/>
      <c r="AH566" s="107"/>
    </row>
    <row r="567">
      <c r="C567" s="106"/>
      <c r="D567" s="106"/>
      <c r="AH567" s="107"/>
    </row>
    <row r="568">
      <c r="C568" s="106"/>
      <c r="D568" s="106"/>
      <c r="AH568" s="107"/>
    </row>
    <row r="569">
      <c r="C569" s="106"/>
      <c r="D569" s="106"/>
      <c r="AH569" s="107"/>
    </row>
    <row r="570">
      <c r="C570" s="106"/>
      <c r="D570" s="106"/>
      <c r="AH570" s="107"/>
    </row>
    <row r="571">
      <c r="C571" s="106"/>
      <c r="D571" s="106"/>
      <c r="AH571" s="107"/>
    </row>
    <row r="572">
      <c r="C572" s="106"/>
      <c r="D572" s="106"/>
      <c r="AH572" s="107"/>
    </row>
    <row r="573">
      <c r="C573" s="106"/>
      <c r="D573" s="106"/>
      <c r="AH573" s="107"/>
    </row>
    <row r="574">
      <c r="C574" s="106"/>
      <c r="D574" s="106"/>
      <c r="AH574" s="107"/>
    </row>
    <row r="575">
      <c r="C575" s="106"/>
      <c r="D575" s="106"/>
      <c r="AH575" s="107"/>
    </row>
    <row r="576">
      <c r="C576" s="106"/>
      <c r="D576" s="106"/>
      <c r="AH576" s="107"/>
    </row>
    <row r="577">
      <c r="C577" s="106"/>
      <c r="D577" s="106"/>
      <c r="AH577" s="107"/>
    </row>
    <row r="578">
      <c r="C578" s="106"/>
      <c r="D578" s="106"/>
      <c r="AH578" s="107"/>
    </row>
    <row r="579">
      <c r="C579" s="106"/>
      <c r="D579" s="106"/>
      <c r="AH579" s="107"/>
    </row>
    <row r="580">
      <c r="C580" s="106"/>
      <c r="D580" s="106"/>
      <c r="AH580" s="107"/>
    </row>
    <row r="581">
      <c r="C581" s="106"/>
      <c r="D581" s="106"/>
      <c r="AH581" s="107"/>
    </row>
    <row r="582">
      <c r="C582" s="106"/>
      <c r="D582" s="106"/>
      <c r="AH582" s="107"/>
    </row>
    <row r="583">
      <c r="C583" s="106"/>
      <c r="D583" s="106"/>
      <c r="AH583" s="107"/>
    </row>
    <row r="584">
      <c r="C584" s="106"/>
      <c r="D584" s="106"/>
      <c r="AH584" s="107"/>
    </row>
    <row r="585">
      <c r="C585" s="106"/>
      <c r="D585" s="106"/>
      <c r="AH585" s="107"/>
    </row>
    <row r="586">
      <c r="C586" s="106"/>
      <c r="D586" s="106"/>
      <c r="AH586" s="107"/>
    </row>
    <row r="587">
      <c r="C587" s="106"/>
      <c r="D587" s="106"/>
      <c r="AH587" s="107"/>
    </row>
    <row r="588">
      <c r="C588" s="106"/>
      <c r="D588" s="106"/>
      <c r="AH588" s="107"/>
    </row>
    <row r="589">
      <c r="C589" s="106"/>
      <c r="D589" s="106"/>
      <c r="AH589" s="107"/>
    </row>
    <row r="590">
      <c r="C590" s="106"/>
      <c r="D590" s="106"/>
      <c r="AH590" s="107"/>
    </row>
    <row r="591">
      <c r="C591" s="106"/>
      <c r="D591" s="106"/>
      <c r="AH591" s="107"/>
    </row>
    <row r="592">
      <c r="C592" s="106"/>
      <c r="D592" s="106"/>
      <c r="AH592" s="107"/>
    </row>
    <row r="593">
      <c r="C593" s="106"/>
      <c r="D593" s="106"/>
      <c r="AH593" s="107"/>
    </row>
    <row r="594">
      <c r="C594" s="106"/>
      <c r="D594" s="106"/>
      <c r="AH594" s="107"/>
    </row>
    <row r="595">
      <c r="C595" s="106"/>
      <c r="D595" s="106"/>
      <c r="AH595" s="107"/>
    </row>
    <row r="596">
      <c r="C596" s="106"/>
      <c r="D596" s="106"/>
      <c r="AH596" s="107"/>
    </row>
    <row r="597">
      <c r="C597" s="106"/>
      <c r="D597" s="106"/>
      <c r="AH597" s="107"/>
    </row>
    <row r="598">
      <c r="C598" s="106"/>
      <c r="D598" s="106"/>
      <c r="AH598" s="107"/>
    </row>
    <row r="599">
      <c r="C599" s="106"/>
      <c r="D599" s="106"/>
      <c r="AH599" s="107"/>
    </row>
    <row r="600">
      <c r="C600" s="106"/>
      <c r="D600" s="106"/>
      <c r="AH600" s="107"/>
    </row>
    <row r="601">
      <c r="C601" s="106"/>
      <c r="D601" s="106"/>
      <c r="AH601" s="107"/>
    </row>
    <row r="602">
      <c r="C602" s="106"/>
      <c r="D602" s="106"/>
      <c r="AH602" s="107"/>
    </row>
    <row r="603">
      <c r="C603" s="106"/>
      <c r="D603" s="106"/>
      <c r="AH603" s="107"/>
    </row>
    <row r="604">
      <c r="C604" s="106"/>
      <c r="D604" s="106"/>
      <c r="AH604" s="107"/>
    </row>
    <row r="605">
      <c r="C605" s="106"/>
      <c r="D605" s="106"/>
      <c r="AH605" s="107"/>
    </row>
    <row r="606">
      <c r="C606" s="106"/>
      <c r="D606" s="106"/>
      <c r="AH606" s="107"/>
    </row>
    <row r="607">
      <c r="C607" s="106"/>
      <c r="D607" s="106"/>
      <c r="AH607" s="107"/>
    </row>
    <row r="608">
      <c r="C608" s="106"/>
      <c r="D608" s="106"/>
      <c r="AH608" s="107"/>
    </row>
    <row r="609">
      <c r="C609" s="106"/>
      <c r="D609" s="106"/>
      <c r="AH609" s="107"/>
    </row>
    <row r="610">
      <c r="C610" s="106"/>
      <c r="D610" s="106"/>
      <c r="AH610" s="107"/>
    </row>
    <row r="611">
      <c r="C611" s="106"/>
      <c r="D611" s="106"/>
      <c r="AH611" s="107"/>
    </row>
    <row r="612">
      <c r="C612" s="106"/>
      <c r="D612" s="106"/>
      <c r="AH612" s="107"/>
    </row>
    <row r="613">
      <c r="C613" s="106"/>
      <c r="D613" s="106"/>
      <c r="AH613" s="107"/>
    </row>
    <row r="614">
      <c r="C614" s="106"/>
      <c r="D614" s="106"/>
      <c r="AH614" s="107"/>
    </row>
    <row r="615">
      <c r="C615" s="106"/>
      <c r="D615" s="106"/>
      <c r="AH615" s="107"/>
    </row>
    <row r="616">
      <c r="C616" s="106"/>
      <c r="D616" s="106"/>
      <c r="AH616" s="107"/>
    </row>
    <row r="617">
      <c r="C617" s="106"/>
      <c r="D617" s="106"/>
      <c r="AH617" s="107"/>
    </row>
    <row r="618">
      <c r="C618" s="106"/>
      <c r="D618" s="106"/>
      <c r="AH618" s="107"/>
    </row>
    <row r="619">
      <c r="C619" s="106"/>
      <c r="D619" s="106"/>
      <c r="AH619" s="107"/>
    </row>
    <row r="620">
      <c r="C620" s="106"/>
      <c r="D620" s="106"/>
      <c r="AH620" s="107"/>
    </row>
    <row r="621">
      <c r="C621" s="106"/>
      <c r="D621" s="106"/>
      <c r="AH621" s="107"/>
    </row>
    <row r="622">
      <c r="C622" s="106"/>
      <c r="D622" s="106"/>
      <c r="AH622" s="107"/>
    </row>
    <row r="623">
      <c r="C623" s="106"/>
      <c r="D623" s="106"/>
      <c r="AH623" s="107"/>
    </row>
    <row r="624">
      <c r="C624" s="106"/>
      <c r="D624" s="106"/>
      <c r="AH624" s="107"/>
    </row>
    <row r="625">
      <c r="C625" s="106"/>
      <c r="D625" s="106"/>
      <c r="AH625" s="107"/>
    </row>
    <row r="626">
      <c r="C626" s="106"/>
      <c r="D626" s="106"/>
      <c r="AH626" s="107"/>
    </row>
    <row r="627">
      <c r="C627" s="106"/>
      <c r="D627" s="106"/>
      <c r="AH627" s="107"/>
    </row>
    <row r="628">
      <c r="C628" s="106"/>
      <c r="D628" s="106"/>
      <c r="AH628" s="107"/>
    </row>
    <row r="629">
      <c r="C629" s="106"/>
      <c r="D629" s="106"/>
      <c r="AH629" s="107"/>
    </row>
    <row r="630">
      <c r="C630" s="106"/>
      <c r="D630" s="106"/>
      <c r="AH630" s="107"/>
    </row>
    <row r="631">
      <c r="C631" s="106"/>
      <c r="D631" s="106"/>
      <c r="AH631" s="107"/>
    </row>
    <row r="632">
      <c r="C632" s="106"/>
      <c r="D632" s="106"/>
      <c r="AH632" s="107"/>
    </row>
    <row r="633">
      <c r="C633" s="106"/>
      <c r="D633" s="106"/>
      <c r="AH633" s="107"/>
    </row>
    <row r="634">
      <c r="C634" s="106"/>
      <c r="D634" s="106"/>
      <c r="AH634" s="107"/>
    </row>
    <row r="635">
      <c r="C635" s="106"/>
      <c r="D635" s="106"/>
      <c r="AH635" s="107"/>
    </row>
    <row r="636">
      <c r="C636" s="106"/>
      <c r="D636" s="106"/>
      <c r="AH636" s="107"/>
    </row>
    <row r="637">
      <c r="C637" s="106"/>
      <c r="D637" s="106"/>
      <c r="AH637" s="107"/>
    </row>
    <row r="638">
      <c r="C638" s="106"/>
      <c r="D638" s="106"/>
      <c r="AH638" s="107"/>
    </row>
    <row r="639">
      <c r="C639" s="106"/>
      <c r="D639" s="106"/>
      <c r="AH639" s="107"/>
    </row>
    <row r="640">
      <c r="C640" s="106"/>
      <c r="D640" s="106"/>
      <c r="AH640" s="107"/>
    </row>
    <row r="641">
      <c r="C641" s="106"/>
      <c r="D641" s="106"/>
      <c r="AH641" s="107"/>
    </row>
    <row r="642">
      <c r="C642" s="106"/>
      <c r="D642" s="106"/>
      <c r="AH642" s="107"/>
    </row>
    <row r="643">
      <c r="C643" s="106"/>
      <c r="D643" s="106"/>
      <c r="AH643" s="107"/>
    </row>
    <row r="644">
      <c r="C644" s="106"/>
      <c r="D644" s="106"/>
      <c r="AH644" s="107"/>
    </row>
    <row r="645">
      <c r="C645" s="106"/>
      <c r="D645" s="106"/>
      <c r="AH645" s="107"/>
    </row>
    <row r="646">
      <c r="C646" s="106"/>
      <c r="D646" s="106"/>
      <c r="AH646" s="107"/>
    </row>
    <row r="647">
      <c r="C647" s="106"/>
      <c r="D647" s="106"/>
      <c r="AH647" s="107"/>
    </row>
    <row r="648">
      <c r="C648" s="106"/>
      <c r="D648" s="106"/>
      <c r="AH648" s="107"/>
    </row>
    <row r="649">
      <c r="C649" s="106"/>
      <c r="D649" s="106"/>
      <c r="AH649" s="107"/>
    </row>
    <row r="650">
      <c r="C650" s="106"/>
      <c r="D650" s="106"/>
      <c r="AH650" s="107"/>
    </row>
    <row r="651">
      <c r="C651" s="106"/>
      <c r="D651" s="106"/>
      <c r="AH651" s="107"/>
    </row>
    <row r="652">
      <c r="C652" s="106"/>
      <c r="D652" s="106"/>
      <c r="AH652" s="107"/>
    </row>
    <row r="653">
      <c r="C653" s="106"/>
      <c r="D653" s="106"/>
      <c r="AH653" s="107"/>
    </row>
    <row r="654">
      <c r="C654" s="106"/>
      <c r="D654" s="106"/>
      <c r="AH654" s="107"/>
    </row>
    <row r="655">
      <c r="C655" s="106"/>
      <c r="D655" s="106"/>
      <c r="AH655" s="107"/>
    </row>
    <row r="656">
      <c r="C656" s="106"/>
      <c r="D656" s="106"/>
      <c r="AH656" s="107"/>
    </row>
    <row r="657">
      <c r="C657" s="106"/>
      <c r="D657" s="106"/>
      <c r="AH657" s="107"/>
    </row>
    <row r="658">
      <c r="C658" s="106"/>
      <c r="D658" s="106"/>
      <c r="AH658" s="107"/>
    </row>
    <row r="659">
      <c r="C659" s="106"/>
      <c r="D659" s="106"/>
      <c r="AH659" s="107"/>
    </row>
    <row r="660">
      <c r="C660" s="106"/>
      <c r="D660" s="106"/>
      <c r="AH660" s="107"/>
    </row>
    <row r="661">
      <c r="C661" s="106"/>
      <c r="D661" s="106"/>
      <c r="AH661" s="107"/>
    </row>
    <row r="662">
      <c r="C662" s="106"/>
      <c r="D662" s="106"/>
      <c r="AH662" s="107"/>
    </row>
    <row r="663">
      <c r="C663" s="106"/>
      <c r="D663" s="106"/>
      <c r="AH663" s="107"/>
    </row>
    <row r="664">
      <c r="C664" s="106"/>
      <c r="D664" s="106"/>
      <c r="AH664" s="107"/>
    </row>
    <row r="665">
      <c r="C665" s="106"/>
      <c r="D665" s="106"/>
      <c r="AH665" s="107"/>
    </row>
    <row r="666">
      <c r="C666" s="106"/>
      <c r="D666" s="106"/>
      <c r="AH666" s="107"/>
    </row>
    <row r="667">
      <c r="C667" s="106"/>
      <c r="D667" s="106"/>
      <c r="AH667" s="107"/>
    </row>
    <row r="668">
      <c r="C668" s="106"/>
      <c r="D668" s="106"/>
      <c r="AH668" s="107"/>
    </row>
    <row r="669">
      <c r="C669" s="106"/>
      <c r="D669" s="106"/>
      <c r="AH669" s="107"/>
    </row>
    <row r="670">
      <c r="C670" s="106"/>
      <c r="D670" s="106"/>
      <c r="AH670" s="107"/>
    </row>
    <row r="671">
      <c r="C671" s="106"/>
      <c r="D671" s="106"/>
      <c r="AH671" s="107"/>
    </row>
    <row r="672">
      <c r="C672" s="106"/>
      <c r="D672" s="106"/>
      <c r="AH672" s="107"/>
    </row>
    <row r="673">
      <c r="C673" s="106"/>
      <c r="D673" s="106"/>
      <c r="AH673" s="107"/>
    </row>
    <row r="674">
      <c r="C674" s="106"/>
      <c r="D674" s="106"/>
      <c r="AH674" s="107"/>
    </row>
    <row r="675">
      <c r="C675" s="106"/>
      <c r="D675" s="106"/>
      <c r="AH675" s="107"/>
    </row>
    <row r="676">
      <c r="C676" s="106"/>
      <c r="D676" s="106"/>
      <c r="AH676" s="107"/>
    </row>
    <row r="677">
      <c r="C677" s="106"/>
      <c r="D677" s="106"/>
      <c r="AH677" s="107"/>
    </row>
    <row r="678">
      <c r="C678" s="106"/>
      <c r="D678" s="106"/>
      <c r="AH678" s="107"/>
    </row>
    <row r="679">
      <c r="C679" s="106"/>
      <c r="D679" s="106"/>
      <c r="AH679" s="107"/>
    </row>
    <row r="680">
      <c r="C680" s="106"/>
      <c r="D680" s="106"/>
      <c r="AH680" s="107"/>
    </row>
    <row r="681">
      <c r="C681" s="106"/>
      <c r="D681" s="106"/>
      <c r="AH681" s="107"/>
    </row>
    <row r="682">
      <c r="C682" s="106"/>
      <c r="D682" s="106"/>
      <c r="AH682" s="107"/>
    </row>
    <row r="683">
      <c r="C683" s="106"/>
      <c r="D683" s="106"/>
      <c r="AH683" s="107"/>
    </row>
    <row r="684">
      <c r="C684" s="106"/>
      <c r="D684" s="106"/>
      <c r="AH684" s="107"/>
    </row>
    <row r="685">
      <c r="C685" s="106"/>
      <c r="D685" s="106"/>
      <c r="AH685" s="107"/>
    </row>
    <row r="686">
      <c r="C686" s="106"/>
      <c r="D686" s="106"/>
      <c r="AH686" s="107"/>
    </row>
    <row r="687">
      <c r="C687" s="106"/>
      <c r="D687" s="106"/>
      <c r="AH687" s="107"/>
    </row>
    <row r="688">
      <c r="C688" s="106"/>
      <c r="D688" s="106"/>
      <c r="AH688" s="107"/>
    </row>
    <row r="689">
      <c r="C689" s="106"/>
      <c r="D689" s="106"/>
      <c r="AH689" s="107"/>
    </row>
    <row r="690">
      <c r="C690" s="106"/>
      <c r="D690" s="106"/>
      <c r="AH690" s="107"/>
    </row>
    <row r="691">
      <c r="C691" s="106"/>
      <c r="D691" s="106"/>
      <c r="AH691" s="107"/>
    </row>
    <row r="692">
      <c r="C692" s="106"/>
      <c r="D692" s="106"/>
      <c r="AH692" s="107"/>
    </row>
    <row r="693">
      <c r="C693" s="106"/>
      <c r="D693" s="106"/>
      <c r="AH693" s="107"/>
    </row>
    <row r="694">
      <c r="C694" s="106"/>
      <c r="D694" s="106"/>
      <c r="AH694" s="107"/>
    </row>
    <row r="695">
      <c r="C695" s="106"/>
      <c r="D695" s="106"/>
      <c r="AH695" s="107"/>
    </row>
    <row r="696">
      <c r="C696" s="106"/>
      <c r="D696" s="106"/>
      <c r="AH696" s="107"/>
    </row>
    <row r="697">
      <c r="C697" s="106"/>
      <c r="D697" s="106"/>
      <c r="AH697" s="107"/>
    </row>
    <row r="698">
      <c r="C698" s="106"/>
      <c r="D698" s="106"/>
      <c r="AH698" s="107"/>
    </row>
    <row r="699">
      <c r="C699" s="106"/>
      <c r="D699" s="106"/>
      <c r="AH699" s="107"/>
    </row>
    <row r="700">
      <c r="C700" s="106"/>
      <c r="D700" s="106"/>
      <c r="AH700" s="107"/>
    </row>
    <row r="701">
      <c r="C701" s="106"/>
      <c r="D701" s="106"/>
      <c r="AH701" s="107"/>
    </row>
    <row r="702">
      <c r="C702" s="106"/>
      <c r="D702" s="106"/>
      <c r="AH702" s="107"/>
    </row>
    <row r="703">
      <c r="C703" s="106"/>
      <c r="D703" s="106"/>
      <c r="AH703" s="107"/>
    </row>
    <row r="704">
      <c r="C704" s="106"/>
      <c r="D704" s="106"/>
      <c r="AH704" s="107"/>
    </row>
    <row r="705">
      <c r="C705" s="106"/>
      <c r="D705" s="106"/>
      <c r="AH705" s="107"/>
    </row>
    <row r="706">
      <c r="C706" s="106"/>
      <c r="D706" s="106"/>
      <c r="AH706" s="107"/>
    </row>
    <row r="707">
      <c r="C707" s="106"/>
      <c r="D707" s="106"/>
      <c r="AH707" s="107"/>
    </row>
    <row r="708">
      <c r="C708" s="106"/>
      <c r="D708" s="106"/>
      <c r="AH708" s="107"/>
    </row>
    <row r="709">
      <c r="C709" s="106"/>
      <c r="D709" s="106"/>
      <c r="AH709" s="107"/>
    </row>
    <row r="710">
      <c r="C710" s="106"/>
      <c r="D710" s="106"/>
      <c r="AH710" s="107"/>
    </row>
    <row r="711">
      <c r="C711" s="106"/>
      <c r="D711" s="106"/>
      <c r="AH711" s="107"/>
    </row>
    <row r="712">
      <c r="C712" s="106"/>
      <c r="D712" s="106"/>
      <c r="AH712" s="107"/>
    </row>
    <row r="713">
      <c r="C713" s="106"/>
      <c r="D713" s="106"/>
      <c r="AH713" s="107"/>
    </row>
    <row r="714">
      <c r="C714" s="106"/>
      <c r="D714" s="106"/>
      <c r="AH714" s="107"/>
    </row>
    <row r="715">
      <c r="C715" s="106"/>
      <c r="D715" s="106"/>
      <c r="AH715" s="107"/>
    </row>
    <row r="716">
      <c r="C716" s="106"/>
      <c r="D716" s="106"/>
      <c r="AH716" s="107"/>
    </row>
    <row r="717">
      <c r="C717" s="106"/>
      <c r="D717" s="106"/>
      <c r="AH717" s="107"/>
    </row>
    <row r="718">
      <c r="C718" s="106"/>
      <c r="D718" s="106"/>
      <c r="AH718" s="107"/>
    </row>
    <row r="719">
      <c r="C719" s="106"/>
      <c r="D719" s="106"/>
      <c r="AH719" s="107"/>
    </row>
    <row r="720">
      <c r="C720" s="106"/>
      <c r="D720" s="106"/>
      <c r="AH720" s="107"/>
    </row>
    <row r="721">
      <c r="C721" s="106"/>
      <c r="D721" s="106"/>
      <c r="AH721" s="107"/>
    </row>
    <row r="722">
      <c r="C722" s="106"/>
      <c r="D722" s="106"/>
      <c r="AH722" s="107"/>
    </row>
    <row r="723">
      <c r="C723" s="106"/>
      <c r="D723" s="106"/>
      <c r="AH723" s="107"/>
    </row>
    <row r="724">
      <c r="C724" s="106"/>
      <c r="D724" s="106"/>
      <c r="AH724" s="107"/>
    </row>
    <row r="725">
      <c r="C725" s="106"/>
      <c r="D725" s="106"/>
      <c r="AH725" s="107"/>
    </row>
    <row r="726">
      <c r="C726" s="106"/>
      <c r="D726" s="106"/>
      <c r="AH726" s="107"/>
    </row>
    <row r="727">
      <c r="C727" s="106"/>
      <c r="D727" s="106"/>
      <c r="AH727" s="107"/>
    </row>
    <row r="728">
      <c r="C728" s="106"/>
      <c r="D728" s="106"/>
      <c r="AH728" s="107"/>
    </row>
    <row r="729">
      <c r="C729" s="106"/>
      <c r="D729" s="106"/>
      <c r="AH729" s="107"/>
    </row>
    <row r="730">
      <c r="C730" s="106"/>
      <c r="D730" s="106"/>
      <c r="AH730" s="107"/>
    </row>
  </sheetData>
  <mergeCells count="17">
    <mergeCell ref="B1:C1"/>
    <mergeCell ref="D1:E1"/>
    <mergeCell ref="G1:U1"/>
    <mergeCell ref="V1:Z1"/>
    <mergeCell ref="AA1:AB1"/>
    <mergeCell ref="AC1:AG1"/>
    <mergeCell ref="AI1:AI2"/>
    <mergeCell ref="BO1:BQ1"/>
    <mergeCell ref="BS1:BW1"/>
    <mergeCell ref="BX1:CB1"/>
    <mergeCell ref="AJ1:AM1"/>
    <mergeCell ref="AN1:AQ1"/>
    <mergeCell ref="AR1:AT1"/>
    <mergeCell ref="AU1:BC1"/>
    <mergeCell ref="BE1:BG1"/>
    <mergeCell ref="BH1:BI1"/>
    <mergeCell ref="BJ1:BN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86"/>
    <col customWidth="1" min="2" max="2" width="43.86"/>
    <col customWidth="1" min="3" max="3" width="29.0"/>
    <col customWidth="1" min="4" max="4" width="7.86"/>
    <col customWidth="1" min="5" max="5" width="9.43"/>
    <col customWidth="1" min="6" max="19" width="7.57"/>
    <col customWidth="1" min="20" max="20" width="0.43"/>
    <col customWidth="1" min="21" max="23" width="22.71"/>
    <col customWidth="1" min="24" max="25" width="33.29"/>
    <col customWidth="1" min="26" max="26" width="4.29"/>
    <col customWidth="1" min="27" max="27" width="4.43"/>
    <col customWidth="1" min="28" max="28" width="6.43"/>
    <col customWidth="1" min="29" max="29" width="5.29"/>
    <col customWidth="1" min="30" max="30" width="4.57"/>
    <col customWidth="1" min="31" max="31" width="5.71"/>
    <col customWidth="1" min="32" max="32" width="4.43"/>
    <col customWidth="1" min="33" max="33" width="39.86"/>
    <col customWidth="1" min="34" max="35" width="4.0"/>
    <col customWidth="1" min="36" max="37" width="4.29"/>
    <col customWidth="1" min="38" max="68" width="4.43"/>
    <col customWidth="1" min="69" max="69" width="2.0"/>
    <col customWidth="1" min="70" max="79" width="4.43"/>
  </cols>
  <sheetData>
    <row r="1">
      <c r="A1" s="2" t="s">
        <v>0</v>
      </c>
      <c r="C1" s="3" t="s">
        <v>1</v>
      </c>
      <c r="E1" s="4"/>
      <c r="F1" s="5" t="s">
        <v>2</v>
      </c>
      <c r="U1" s="6" t="s">
        <v>3</v>
      </c>
      <c r="Z1" s="7" t="s">
        <v>4</v>
      </c>
      <c r="AB1" s="8" t="s">
        <v>5</v>
      </c>
      <c r="AG1" s="9"/>
      <c r="AH1" s="10" t="s">
        <v>6</v>
      </c>
      <c r="AI1" s="11" t="s">
        <v>7</v>
      </c>
      <c r="AM1" s="12" t="s">
        <v>8</v>
      </c>
      <c r="AQ1" s="13" t="s">
        <v>9</v>
      </c>
      <c r="AT1" s="14" t="s">
        <v>10</v>
      </c>
      <c r="BC1" s="15"/>
      <c r="BD1" s="16" t="s">
        <v>11</v>
      </c>
      <c r="BG1" s="17" t="s">
        <v>4348</v>
      </c>
      <c r="BI1" s="18" t="s">
        <v>12</v>
      </c>
      <c r="BN1" s="19" t="s">
        <v>13</v>
      </c>
      <c r="BQ1" s="21"/>
      <c r="BR1" s="22" t="s">
        <v>14</v>
      </c>
      <c r="BW1" s="23" t="s">
        <v>15</v>
      </c>
    </row>
    <row r="2" ht="24.0" customHeight="1">
      <c r="A2" s="25" t="s">
        <v>17</v>
      </c>
      <c r="B2" s="26" t="s">
        <v>18</v>
      </c>
      <c r="C2" s="27" t="s">
        <v>19</v>
      </c>
      <c r="D2" s="28" t="s">
        <v>20</v>
      </c>
      <c r="E2" s="4" t="s">
        <v>21</v>
      </c>
      <c r="F2" s="15" t="s">
        <v>22</v>
      </c>
      <c r="G2" s="15" t="s">
        <v>23</v>
      </c>
      <c r="H2" s="15" t="s">
        <v>24</v>
      </c>
      <c r="I2" s="15" t="s">
        <v>25</v>
      </c>
      <c r="J2" s="15" t="s">
        <v>26</v>
      </c>
      <c r="K2" s="15" t="s">
        <v>27</v>
      </c>
      <c r="L2" s="15" t="s">
        <v>28</v>
      </c>
      <c r="M2" s="15" t="s">
        <v>29</v>
      </c>
      <c r="N2" s="15" t="s">
        <v>30</v>
      </c>
      <c r="O2" s="15" t="s">
        <v>31</v>
      </c>
      <c r="P2" s="15" t="s">
        <v>32</v>
      </c>
      <c r="Q2" s="15" t="s">
        <v>33</v>
      </c>
      <c r="R2" s="15" t="s">
        <v>34</v>
      </c>
      <c r="S2" s="15" t="s">
        <v>35</v>
      </c>
      <c r="T2" s="15" t="s">
        <v>36</v>
      </c>
      <c r="U2" s="30" t="s">
        <v>37</v>
      </c>
      <c r="V2" s="30" t="s">
        <v>38</v>
      </c>
      <c r="W2" s="30" t="s">
        <v>39</v>
      </c>
      <c r="X2" s="30" t="s">
        <v>40</v>
      </c>
      <c r="Y2" s="30" t="s">
        <v>41</v>
      </c>
      <c r="Z2" s="31" t="s">
        <v>42</v>
      </c>
      <c r="AA2" s="31" t="s">
        <v>43</v>
      </c>
      <c r="AB2" s="32" t="s">
        <v>44</v>
      </c>
      <c r="AC2" s="32" t="s">
        <v>45</v>
      </c>
      <c r="AD2" s="32" t="s">
        <v>46</v>
      </c>
      <c r="AE2" s="32" t="s">
        <v>47</v>
      </c>
      <c r="AF2" s="32" t="s">
        <v>48</v>
      </c>
      <c r="AG2" s="9" t="s">
        <v>49</v>
      </c>
      <c r="AI2" s="33" t="s">
        <v>7</v>
      </c>
      <c r="AJ2" s="33" t="s">
        <v>50</v>
      </c>
      <c r="AK2" s="33" t="s">
        <v>51</v>
      </c>
      <c r="AL2" s="33" t="s">
        <v>52</v>
      </c>
      <c r="AM2" s="34" t="s">
        <v>8</v>
      </c>
      <c r="AN2" s="34" t="s">
        <v>53</v>
      </c>
      <c r="AO2" s="34" t="s">
        <v>54</v>
      </c>
      <c r="AP2" s="34" t="s">
        <v>55</v>
      </c>
      <c r="AQ2" s="35" t="s">
        <v>9</v>
      </c>
      <c r="AR2" s="35" t="s">
        <v>56</v>
      </c>
      <c r="AS2" s="35" t="s">
        <v>57</v>
      </c>
      <c r="AT2" s="36" t="s">
        <v>10</v>
      </c>
      <c r="AU2" s="36" t="s">
        <v>58</v>
      </c>
      <c r="AV2" s="36" t="s">
        <v>59</v>
      </c>
      <c r="AW2" s="36" t="s">
        <v>60</v>
      </c>
      <c r="AX2" s="36" t="s">
        <v>61</v>
      </c>
      <c r="AY2" s="36" t="s">
        <v>62</v>
      </c>
      <c r="AZ2" s="36" t="s">
        <v>63</v>
      </c>
      <c r="BA2" s="36" t="s">
        <v>64</v>
      </c>
      <c r="BB2" s="36" t="s">
        <v>65</v>
      </c>
      <c r="BC2" s="37" t="s">
        <v>66</v>
      </c>
      <c r="BD2" s="38" t="s">
        <v>67</v>
      </c>
      <c r="BE2" s="38" t="s">
        <v>68</v>
      </c>
      <c r="BF2" s="38" t="s">
        <v>69</v>
      </c>
      <c r="BG2" s="39" t="s">
        <v>4348</v>
      </c>
      <c r="BH2" s="39" t="s">
        <v>70</v>
      </c>
      <c r="BI2" s="40" t="s">
        <v>71</v>
      </c>
      <c r="BJ2" s="40" t="s">
        <v>72</v>
      </c>
      <c r="BK2" s="40" t="s">
        <v>73</v>
      </c>
      <c r="BL2" s="40" t="s">
        <v>74</v>
      </c>
      <c r="BM2" s="40" t="s">
        <v>75</v>
      </c>
      <c r="BN2" s="41" t="s">
        <v>76</v>
      </c>
      <c r="BO2" s="41" t="s">
        <v>4349</v>
      </c>
      <c r="BP2" s="41" t="s">
        <v>4350</v>
      </c>
      <c r="BQ2" s="43"/>
      <c r="BR2" s="44" t="s">
        <v>78</v>
      </c>
      <c r="BS2" s="44" t="s">
        <v>79</v>
      </c>
      <c r="BT2" s="44" t="s">
        <v>80</v>
      </c>
      <c r="BU2" s="44" t="s">
        <v>81</v>
      </c>
      <c r="BV2" s="44" t="s">
        <v>82</v>
      </c>
      <c r="BW2" s="45" t="s">
        <v>83</v>
      </c>
      <c r="BX2" s="45" t="s">
        <v>84</v>
      </c>
      <c r="BY2" s="45" t="s">
        <v>85</v>
      </c>
      <c r="BZ2" s="45" t="s">
        <v>86</v>
      </c>
      <c r="CA2" s="45" t="s">
        <v>87</v>
      </c>
    </row>
    <row r="3">
      <c r="A3" s="108" t="str">
        <f>HYPERLINK("https://drive.google.com/open?id=0B-nn5iJ29NJacWpBWkI5Vkl6XzA","Storrle2016")</f>
        <v>Storrle2016</v>
      </c>
      <c r="B3" s="109" t="s">
        <v>1079</v>
      </c>
      <c r="C3" s="109" t="s">
        <v>1080</v>
      </c>
      <c r="D3" s="110">
        <v>2016.0</v>
      </c>
      <c r="E3" s="111"/>
      <c r="F3" s="112"/>
      <c r="G3" s="112"/>
      <c r="H3" s="112"/>
      <c r="I3" s="112"/>
      <c r="J3" s="112"/>
      <c r="K3" s="112"/>
      <c r="L3" s="112"/>
      <c r="M3" s="112"/>
      <c r="N3" s="111">
        <v>1.0</v>
      </c>
      <c r="O3" s="112"/>
      <c r="P3" s="112"/>
      <c r="Q3" s="112"/>
      <c r="R3" s="112"/>
      <c r="S3" s="112"/>
      <c r="T3" s="112"/>
      <c r="U3" s="113"/>
      <c r="V3" s="113" t="s">
        <v>670</v>
      </c>
      <c r="W3" s="113" t="s">
        <v>4351</v>
      </c>
      <c r="X3" s="113" t="s">
        <v>4352</v>
      </c>
      <c r="Y3" s="113" t="s">
        <v>4353</v>
      </c>
      <c r="Z3" s="111">
        <v>1.0</v>
      </c>
      <c r="AA3" s="112"/>
      <c r="AB3" s="112"/>
      <c r="AC3" s="111">
        <v>1.0</v>
      </c>
      <c r="AD3" s="112"/>
      <c r="AE3" s="112"/>
      <c r="AF3" s="112"/>
      <c r="AG3" s="114" t="s">
        <v>4354</v>
      </c>
      <c r="AH3" s="115">
        <v>1.0</v>
      </c>
      <c r="AI3" s="115"/>
      <c r="AJ3" s="115"/>
      <c r="AK3" s="115"/>
      <c r="AL3" s="115"/>
      <c r="AM3" s="115"/>
      <c r="AN3" s="115"/>
      <c r="AO3" s="115"/>
      <c r="AP3" s="115"/>
      <c r="AQ3" s="115">
        <v>1.0</v>
      </c>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c r="BS3" s="115"/>
      <c r="BT3" s="115"/>
      <c r="BU3" s="115"/>
      <c r="BV3" s="115"/>
      <c r="BW3" s="115"/>
      <c r="BX3" s="115"/>
      <c r="BY3" s="115"/>
      <c r="BZ3" s="115">
        <v>1.0</v>
      </c>
      <c r="CA3" s="115"/>
    </row>
    <row r="4">
      <c r="A4" s="116" t="str">
        <f>HYPERLINK("https://drive.google.com/open?id=0B-nn5iJ29NJabUROLUNvbE5BMUk","Sharif2016")</f>
        <v>Sharif2016</v>
      </c>
      <c r="B4" s="109" t="s">
        <v>944</v>
      </c>
      <c r="C4" s="109" t="s">
        <v>945</v>
      </c>
      <c r="D4" s="110">
        <v>2016.0</v>
      </c>
      <c r="E4" s="111"/>
      <c r="F4" s="111">
        <v>1.0</v>
      </c>
      <c r="G4" s="112"/>
      <c r="H4" s="111">
        <v>1.0</v>
      </c>
      <c r="I4" s="112"/>
      <c r="J4" s="111">
        <v>1.0</v>
      </c>
      <c r="K4" s="112"/>
      <c r="L4" s="112"/>
      <c r="M4" s="112"/>
      <c r="N4" s="112"/>
      <c r="O4" s="112"/>
      <c r="P4" s="112"/>
      <c r="Q4" s="112"/>
      <c r="R4" s="112"/>
      <c r="S4" s="112"/>
      <c r="T4" s="112"/>
      <c r="U4" s="113"/>
      <c r="V4" s="113" t="s">
        <v>946</v>
      </c>
      <c r="W4" s="113" t="s">
        <v>947</v>
      </c>
      <c r="X4" s="113" t="s">
        <v>948</v>
      </c>
      <c r="Y4" s="113" t="s">
        <v>949</v>
      </c>
      <c r="Z4" s="111"/>
      <c r="AA4" s="111">
        <v>1.0</v>
      </c>
      <c r="AB4" s="111">
        <v>1.0</v>
      </c>
      <c r="AC4" s="112"/>
      <c r="AD4" s="112"/>
      <c r="AE4" s="112"/>
      <c r="AF4" s="111">
        <v>1.0</v>
      </c>
      <c r="AG4" s="117"/>
      <c r="AH4" s="115">
        <v>1.0</v>
      </c>
      <c r="AI4" s="115"/>
      <c r="AJ4" s="115"/>
      <c r="AK4" s="115"/>
      <c r="AL4" s="115"/>
      <c r="AM4" s="115"/>
      <c r="AN4" s="115"/>
      <c r="AO4" s="115"/>
      <c r="AP4" s="115"/>
      <c r="AQ4" s="115">
        <v>1.0</v>
      </c>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c r="CA4" s="115">
        <v>1.0</v>
      </c>
    </row>
    <row r="5">
      <c r="A5" s="108" t="str">
        <f>HYPERLINK("https://drive.google.com/open?id=0B00cIHsghs6UTnNuWGNVSE92ZlU","Mohani2014")</f>
        <v>Mohani2014</v>
      </c>
      <c r="B5" s="109" t="s">
        <v>4355</v>
      </c>
      <c r="C5" s="109" t="s">
        <v>757</v>
      </c>
      <c r="D5" s="110">
        <v>2014.0</v>
      </c>
      <c r="E5" s="111"/>
      <c r="F5" s="111">
        <v>1.0</v>
      </c>
      <c r="G5" s="111">
        <v>1.0</v>
      </c>
      <c r="H5" s="112"/>
      <c r="I5" s="112"/>
      <c r="J5" s="111"/>
      <c r="K5" s="112"/>
      <c r="L5" s="112"/>
      <c r="M5" s="112"/>
      <c r="N5" s="112"/>
      <c r="O5" s="112"/>
      <c r="P5" s="112"/>
      <c r="Q5" s="112"/>
      <c r="R5" s="112"/>
      <c r="S5" s="112"/>
      <c r="T5" s="112"/>
      <c r="U5" s="113" t="s">
        <v>4356</v>
      </c>
      <c r="V5" s="113" t="s">
        <v>4357</v>
      </c>
      <c r="W5" s="113" t="s">
        <v>4358</v>
      </c>
      <c r="X5" s="113" t="s">
        <v>4359</v>
      </c>
      <c r="Y5" s="113" t="s">
        <v>4360</v>
      </c>
      <c r="Z5" s="111">
        <v>1.0</v>
      </c>
      <c r="AA5" s="112"/>
      <c r="AB5" s="112"/>
      <c r="AC5" s="111">
        <v>1.0</v>
      </c>
      <c r="AD5" s="112"/>
      <c r="AE5" s="112"/>
      <c r="AF5" s="112"/>
      <c r="AG5" s="118" t="s">
        <v>4361</v>
      </c>
      <c r="AH5" s="115">
        <v>1.0</v>
      </c>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v>1.0</v>
      </c>
      <c r="BI5" s="115"/>
      <c r="BJ5" s="115"/>
      <c r="BK5" s="115"/>
      <c r="BL5" s="115"/>
      <c r="BM5" s="115"/>
      <c r="BN5" s="115"/>
      <c r="BO5" s="115"/>
      <c r="BP5" s="115"/>
      <c r="BQ5" s="115"/>
      <c r="BR5" s="115"/>
      <c r="BS5" s="115"/>
      <c r="BT5" s="115"/>
      <c r="BU5" s="115"/>
      <c r="BV5" s="115"/>
      <c r="BW5" s="115"/>
      <c r="BX5" s="115"/>
      <c r="BY5" s="115"/>
      <c r="BZ5" s="115">
        <v>1.0</v>
      </c>
      <c r="CA5" s="115"/>
    </row>
    <row r="6">
      <c r="A6" s="119" t="str">
        <f>HYPERLINK("https://drive.google.com/open?id=0B-nn5iJ29NJaRUVlVjdSdDB6LVk","Mair2011")</f>
        <v>Mair2011</v>
      </c>
      <c r="B6" s="120" t="s">
        <v>721</v>
      </c>
      <c r="C6" s="120" t="s">
        <v>757</v>
      </c>
      <c r="D6" s="110">
        <v>2011.0</v>
      </c>
      <c r="E6" s="111"/>
      <c r="F6" s="112"/>
      <c r="G6" s="112"/>
      <c r="H6" s="112"/>
      <c r="I6" s="112"/>
      <c r="J6" s="112"/>
      <c r="K6" s="112"/>
      <c r="L6" s="111">
        <v>1.0</v>
      </c>
      <c r="M6" s="112"/>
      <c r="N6" s="112"/>
      <c r="O6" s="111"/>
      <c r="P6" s="112"/>
      <c r="Q6" s="111">
        <v>1.0</v>
      </c>
      <c r="R6" s="112"/>
      <c r="S6" s="112"/>
      <c r="T6" s="112"/>
      <c r="U6" s="113"/>
      <c r="V6" s="113" t="s">
        <v>4362</v>
      </c>
      <c r="W6" s="107"/>
      <c r="X6" s="107"/>
      <c r="Y6" s="107"/>
      <c r="Z6" s="111"/>
      <c r="AA6" s="112"/>
      <c r="AB6" s="112"/>
      <c r="AC6" s="112"/>
      <c r="AD6" s="112"/>
      <c r="AE6" s="112"/>
      <c r="AF6" s="111">
        <v>1.0</v>
      </c>
      <c r="AG6" s="117"/>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row>
    <row r="7">
      <c r="A7" s="119" t="str">
        <f>HYPERLINK("https://drive.google.com/open?id=0B-nn5iJ29NJaWXpmaTZHbVlUM28","Sonnentag1994")</f>
        <v>Sonnentag1994</v>
      </c>
      <c r="B7" s="109" t="s">
        <v>4363</v>
      </c>
      <c r="C7" s="113" t="s">
        <v>1058</v>
      </c>
      <c r="D7" s="110">
        <v>1994.0</v>
      </c>
      <c r="E7" s="111"/>
      <c r="F7" s="112"/>
      <c r="G7" s="112"/>
      <c r="H7" s="112"/>
      <c r="I7" s="112"/>
      <c r="J7" s="112"/>
      <c r="K7" s="112"/>
      <c r="L7" s="111">
        <v>1.0</v>
      </c>
      <c r="M7" s="112"/>
      <c r="N7" s="112"/>
      <c r="O7" s="112"/>
      <c r="P7" s="112"/>
      <c r="Q7" s="112"/>
      <c r="R7" s="112"/>
      <c r="S7" s="112"/>
      <c r="T7" s="112"/>
      <c r="U7" s="115" t="s">
        <v>910</v>
      </c>
      <c r="V7" s="113" t="s">
        <v>4364</v>
      </c>
      <c r="W7" s="113" t="s">
        <v>4365</v>
      </c>
      <c r="X7" s="113" t="s">
        <v>4366</v>
      </c>
      <c r="Y7" s="113" t="s">
        <v>4367</v>
      </c>
      <c r="Z7" s="112"/>
      <c r="AA7" s="111">
        <v>1.0</v>
      </c>
      <c r="AB7" s="112"/>
      <c r="AC7" s="111">
        <v>1.0</v>
      </c>
      <c r="AD7" s="112"/>
      <c r="AE7" s="112"/>
      <c r="AF7" s="112"/>
      <c r="AG7" s="117"/>
      <c r="AH7" s="115">
        <v>1.0</v>
      </c>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v>1.0</v>
      </c>
      <c r="BU7" s="115"/>
      <c r="BV7" s="115"/>
      <c r="BW7" s="115"/>
      <c r="BX7" s="115"/>
      <c r="BY7" s="115"/>
      <c r="BZ7" s="115"/>
      <c r="CA7" s="115"/>
    </row>
    <row r="8">
      <c r="A8" s="121" t="str">
        <f>HYPERLINK("https://drive.google.com/open?id=0B-nn5iJ29NJaTWtVZGpyd0d4eDA","Shaft2006")</f>
        <v>Shaft2006</v>
      </c>
      <c r="B8" s="109" t="s">
        <v>908</v>
      </c>
      <c r="C8" s="113" t="s">
        <v>174</v>
      </c>
      <c r="D8" s="110">
        <v>2006.0</v>
      </c>
      <c r="E8" s="111"/>
      <c r="F8" s="112"/>
      <c r="G8" s="112"/>
      <c r="H8" s="112"/>
      <c r="I8" s="112"/>
      <c r="J8" s="111">
        <v>1.0</v>
      </c>
      <c r="K8" s="112"/>
      <c r="L8" s="112"/>
      <c r="M8" s="112"/>
      <c r="N8" s="112"/>
      <c r="O8" s="112"/>
      <c r="P8" s="112"/>
      <c r="Q8" s="112"/>
      <c r="R8" s="112"/>
      <c r="S8" s="112"/>
      <c r="T8" s="112"/>
      <c r="U8" s="113"/>
      <c r="V8" s="113" t="s">
        <v>568</v>
      </c>
      <c r="W8" s="113" t="s">
        <v>4368</v>
      </c>
      <c r="X8" s="113" t="s">
        <v>4369</v>
      </c>
      <c r="Y8" s="113" t="s">
        <v>4370</v>
      </c>
      <c r="Z8" s="111"/>
      <c r="AA8" s="111">
        <v>1.0</v>
      </c>
      <c r="AB8" s="112"/>
      <c r="AC8" s="111">
        <v>1.0</v>
      </c>
      <c r="AD8" s="112"/>
      <c r="AE8" s="112"/>
      <c r="AF8" s="112"/>
      <c r="AG8" s="117"/>
      <c r="AH8" s="115">
        <v>1.0</v>
      </c>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v>1.0</v>
      </c>
      <c r="BY8" s="115"/>
      <c r="BZ8" s="115">
        <v>1.0</v>
      </c>
      <c r="CA8" s="115"/>
    </row>
    <row r="9">
      <c r="A9" s="122" t="str">
        <f>HYPERLINK("https://drive.google.com/open?id=0B-nn5iJ29NJadGxUc194anNTNjA","Rieman1995")</f>
        <v>Rieman1995</v>
      </c>
      <c r="B9" s="123" t="s">
        <v>4371</v>
      </c>
      <c r="C9" s="90" t="s">
        <v>1950</v>
      </c>
      <c r="D9" s="110">
        <v>1995.0</v>
      </c>
      <c r="E9" s="111">
        <v>1.0</v>
      </c>
      <c r="F9" s="112"/>
      <c r="G9" s="112"/>
      <c r="H9" s="112"/>
      <c r="I9" s="112"/>
      <c r="J9" s="112"/>
      <c r="K9" s="112"/>
      <c r="L9" s="112"/>
      <c r="M9" s="112"/>
      <c r="N9" s="112"/>
      <c r="O9" s="112"/>
      <c r="P9" s="112"/>
      <c r="Q9" s="112"/>
      <c r="R9" s="112"/>
      <c r="S9" s="112"/>
      <c r="T9" s="112"/>
      <c r="U9" s="107"/>
      <c r="V9" s="107"/>
      <c r="W9" s="107"/>
      <c r="X9" s="107"/>
      <c r="Y9" s="113"/>
      <c r="Z9" s="112"/>
      <c r="AA9" s="112"/>
      <c r="AB9" s="112"/>
      <c r="AC9" s="112"/>
      <c r="AD9" s="112"/>
      <c r="AE9" s="112"/>
      <c r="AF9" s="112"/>
      <c r="AG9" s="117"/>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row>
    <row r="10">
      <c r="A10" s="125" t="str">
        <f>HYPERLINK("https://drive.google.com/open?id=0B00cIHsghs6USGI2S0FZQXluQnc","Hofman2011")</f>
        <v>Hofman2011</v>
      </c>
      <c r="B10" s="90" t="s">
        <v>580</v>
      </c>
      <c r="C10" s="126" t="s">
        <v>581</v>
      </c>
      <c r="D10" s="110">
        <v>2011.0</v>
      </c>
      <c r="E10" s="112"/>
      <c r="F10" s="112"/>
      <c r="G10" s="112"/>
      <c r="H10" s="112"/>
      <c r="I10" s="112"/>
      <c r="J10" s="112"/>
      <c r="K10" s="112"/>
      <c r="L10" s="112"/>
      <c r="M10" s="112"/>
      <c r="N10" s="112"/>
      <c r="O10" s="111">
        <v>1.0</v>
      </c>
      <c r="P10" s="112"/>
      <c r="Q10" s="112"/>
      <c r="R10" s="112"/>
      <c r="S10" s="112"/>
      <c r="T10" s="112"/>
      <c r="U10" s="113" t="s">
        <v>582</v>
      </c>
      <c r="V10" s="113" t="s">
        <v>583</v>
      </c>
      <c r="W10" s="113" t="s">
        <v>584</v>
      </c>
      <c r="X10" s="113" t="s">
        <v>585</v>
      </c>
      <c r="Y10" s="113" t="s">
        <v>586</v>
      </c>
      <c r="Z10" s="112"/>
      <c r="AA10" s="111">
        <v>1.0</v>
      </c>
      <c r="AB10" s="112"/>
      <c r="AC10" s="111">
        <v>1.0</v>
      </c>
      <c r="AD10" s="112"/>
      <c r="AE10" s="112"/>
      <c r="AF10" s="112"/>
      <c r="AG10" s="117"/>
      <c r="AH10" s="115">
        <v>1.0</v>
      </c>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15">
        <v>1.0</v>
      </c>
      <c r="BJ10" s="124"/>
      <c r="BK10" s="124"/>
      <c r="BL10" s="124"/>
      <c r="BM10" s="124"/>
      <c r="BN10" s="124"/>
      <c r="BO10" s="124"/>
      <c r="BP10" s="124"/>
      <c r="BQ10" s="124"/>
      <c r="BR10" s="124"/>
      <c r="BS10" s="124"/>
      <c r="BT10" s="124"/>
      <c r="BU10" s="124"/>
      <c r="BV10" s="124"/>
      <c r="BW10" s="124"/>
      <c r="BX10" s="124"/>
      <c r="BY10" s="124"/>
      <c r="BZ10" s="115">
        <v>1.0</v>
      </c>
      <c r="CA10" s="124"/>
    </row>
    <row r="11">
      <c r="A11" s="127" t="str">
        <f>HYPERLINK("https://drive.google.com/open?id=0B-nn5iJ29NJaMHBOUFpUYnVCeVk","Carod2007")</f>
        <v>Carod2007</v>
      </c>
      <c r="B11" s="90" t="s">
        <v>313</v>
      </c>
      <c r="C11" s="90" t="s">
        <v>314</v>
      </c>
      <c r="D11" s="110">
        <v>2007.0</v>
      </c>
      <c r="E11" s="112"/>
      <c r="F11" s="111">
        <v>1.0</v>
      </c>
      <c r="G11" s="112"/>
      <c r="H11" s="112"/>
      <c r="I11" s="112"/>
      <c r="J11" s="112"/>
      <c r="K11" s="112"/>
      <c r="L11" s="112"/>
      <c r="M11" s="112"/>
      <c r="N11" s="112"/>
      <c r="O11" s="112"/>
      <c r="P11" s="112"/>
      <c r="Q11" s="112"/>
      <c r="R11" s="112"/>
      <c r="S11" s="112"/>
      <c r="T11" s="112"/>
      <c r="U11" s="113" t="s">
        <v>315</v>
      </c>
      <c r="V11" s="113" t="s">
        <v>316</v>
      </c>
      <c r="W11" s="113" t="s">
        <v>317</v>
      </c>
      <c r="X11" s="113" t="s">
        <v>318</v>
      </c>
      <c r="Y11" s="113" t="s">
        <v>319</v>
      </c>
      <c r="Z11" s="112"/>
      <c r="AA11" s="112"/>
      <c r="AC11" s="111">
        <v>1.0</v>
      </c>
      <c r="AD11" s="112"/>
      <c r="AE11" s="112"/>
      <c r="AF11" s="112"/>
      <c r="AG11" s="117"/>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v>1.0</v>
      </c>
      <c r="CA11" s="115"/>
    </row>
    <row r="12">
      <c r="A12" s="125" t="str">
        <f>HYPERLINK("https://drive.google.com/open?id=0B00cIHsghs6URUFSU3lCLVZYOG8","DeAlwis2007")</f>
        <v>DeAlwis2007</v>
      </c>
      <c r="B12" s="90" t="s">
        <v>402</v>
      </c>
      <c r="C12" s="90" t="s">
        <v>403</v>
      </c>
      <c r="D12" s="110">
        <v>2007.0</v>
      </c>
      <c r="E12" s="112"/>
      <c r="F12" s="112"/>
      <c r="G12" s="112"/>
      <c r="H12" s="111">
        <v>1.0</v>
      </c>
      <c r="I12" s="112"/>
      <c r="J12" s="112"/>
      <c r="K12" s="112"/>
      <c r="L12" s="112"/>
      <c r="M12" s="112"/>
      <c r="N12" s="112"/>
      <c r="O12" s="112"/>
      <c r="P12" s="112"/>
      <c r="Q12" s="112"/>
      <c r="R12" s="112"/>
      <c r="S12" s="112"/>
      <c r="T12" s="112"/>
      <c r="V12" s="113" t="s">
        <v>4372</v>
      </c>
      <c r="W12" s="113" t="s">
        <v>4373</v>
      </c>
      <c r="X12" s="113" t="s">
        <v>4374</v>
      </c>
      <c r="Y12" s="113" t="s">
        <v>4375</v>
      </c>
      <c r="Z12" s="112"/>
      <c r="AA12" s="111">
        <v>1.0</v>
      </c>
      <c r="AB12" s="112"/>
      <c r="AC12" s="111">
        <v>1.0</v>
      </c>
      <c r="AD12" s="112"/>
      <c r="AE12" s="112"/>
      <c r="AF12" s="112"/>
      <c r="AG12" s="117"/>
      <c r="AH12" s="115">
        <v>1.0</v>
      </c>
      <c r="AI12" s="115"/>
      <c r="AJ12" s="115"/>
      <c r="AK12" s="115"/>
      <c r="AL12" s="115"/>
      <c r="AM12" s="115"/>
      <c r="AN12" s="115"/>
      <c r="AO12" s="115"/>
      <c r="AP12" s="115"/>
      <c r="AQ12" s="115">
        <v>1.0</v>
      </c>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v>1.0</v>
      </c>
      <c r="CA12" s="115"/>
    </row>
    <row r="13">
      <c r="A13" s="127" t="str">
        <f>HYPERLINK("https://drive.google.com/open?id=0B-nn5iJ29NJaWXdTQlYteDlReXc","Biegel2015")</f>
        <v>Biegel2015</v>
      </c>
      <c r="B13" s="90" t="s">
        <v>224</v>
      </c>
      <c r="C13" s="90" t="s">
        <v>225</v>
      </c>
      <c r="D13" s="128">
        <v>2015.0</v>
      </c>
      <c r="E13" s="129"/>
      <c r="F13" s="112"/>
      <c r="G13" s="112"/>
      <c r="H13" s="111">
        <v>1.0</v>
      </c>
      <c r="I13" s="112"/>
      <c r="J13" s="112"/>
      <c r="K13" s="112"/>
      <c r="L13" s="112"/>
      <c r="M13" s="112"/>
      <c r="N13" s="112"/>
      <c r="O13" s="112"/>
      <c r="P13" s="112"/>
      <c r="Q13" s="112"/>
      <c r="R13" s="112"/>
      <c r="S13" s="112"/>
      <c r="T13" s="112"/>
      <c r="V13" s="113" t="s">
        <v>226</v>
      </c>
      <c r="W13" s="113" t="s">
        <v>227</v>
      </c>
      <c r="X13" s="113" t="s">
        <v>4376</v>
      </c>
      <c r="Y13" s="113" t="s">
        <v>229</v>
      </c>
      <c r="Z13" s="111">
        <v>1.0</v>
      </c>
      <c r="AA13" s="112"/>
      <c r="AB13" s="112"/>
      <c r="AC13" s="111">
        <v>1.0</v>
      </c>
      <c r="AD13" s="112"/>
      <c r="AE13" s="112"/>
      <c r="AF13" s="112"/>
      <c r="AG13" s="117"/>
      <c r="AH13" s="115" t="s">
        <v>1240</v>
      </c>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c r="A14" s="127" t="str">
        <f>HYPERLINK("https://drive.google.com/open?id=0B-nn5iJ29NJaR2VkeTJIbjdVbEk","Chu2006")</f>
        <v>Chu2006</v>
      </c>
      <c r="B14" s="90" t="s">
        <v>345</v>
      </c>
      <c r="C14" s="90" t="s">
        <v>346</v>
      </c>
      <c r="D14" s="128">
        <v>2006.0</v>
      </c>
      <c r="E14" s="106"/>
      <c r="F14" s="106"/>
      <c r="G14" s="106"/>
      <c r="H14" s="130">
        <v>1.0</v>
      </c>
      <c r="I14" s="106"/>
      <c r="J14" s="106"/>
      <c r="K14" s="106"/>
      <c r="L14" s="106"/>
      <c r="M14" s="106"/>
      <c r="N14" s="106"/>
      <c r="O14" s="106"/>
      <c r="P14" s="106"/>
      <c r="Q14" s="106"/>
      <c r="R14" s="106"/>
      <c r="S14" s="106"/>
      <c r="T14" s="106"/>
      <c r="U14" s="106"/>
      <c r="V14" s="113" t="s">
        <v>347</v>
      </c>
      <c r="W14" s="107"/>
      <c r="X14" s="107"/>
      <c r="Y14" s="113" t="s">
        <v>350</v>
      </c>
      <c r="Z14" s="117"/>
      <c r="AA14" s="130">
        <v>1.0</v>
      </c>
      <c r="AB14" s="117"/>
      <c r="AC14" s="130">
        <v>1.0</v>
      </c>
      <c r="AD14" s="117"/>
      <c r="AE14" s="117"/>
      <c r="AF14" s="117"/>
      <c r="AG14" s="117"/>
      <c r="AH14" s="115">
        <v>1.0</v>
      </c>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t="s">
        <v>1240</v>
      </c>
      <c r="BE14" s="115"/>
      <c r="BF14" s="115"/>
      <c r="BG14" s="115"/>
      <c r="BH14" s="115"/>
      <c r="BI14" s="115" t="s">
        <v>1240</v>
      </c>
      <c r="BJ14" s="115"/>
      <c r="BK14" s="115"/>
      <c r="BL14" s="115"/>
      <c r="BM14" s="115"/>
      <c r="BN14" s="115"/>
      <c r="BO14" s="115"/>
      <c r="BP14" s="115"/>
      <c r="BQ14" s="115"/>
      <c r="BR14" s="115"/>
      <c r="BS14" s="115"/>
      <c r="BT14" s="115"/>
      <c r="BU14" s="115"/>
      <c r="BV14" s="115"/>
      <c r="BW14" s="115"/>
      <c r="BX14" s="115"/>
      <c r="BY14" s="115"/>
      <c r="BZ14" s="115"/>
      <c r="CA14" s="115"/>
    </row>
    <row r="15">
      <c r="A15" s="127" t="str">
        <f>HYPERLINK("https://drive.google.com/open?id=0B-nn5iJ29NJaUkdWb0dFSVZDNE0","Colazo2016")</f>
        <v>Colazo2016</v>
      </c>
      <c r="B15" s="90" t="s">
        <v>351</v>
      </c>
      <c r="C15" s="90" t="s">
        <v>352</v>
      </c>
      <c r="D15" s="128">
        <v>2016.0</v>
      </c>
      <c r="E15" s="129"/>
      <c r="F15" s="112"/>
      <c r="G15" s="111">
        <v>1.0</v>
      </c>
      <c r="H15" s="112"/>
      <c r="I15" s="112"/>
      <c r="J15" s="112"/>
      <c r="K15" s="112"/>
      <c r="L15" s="111">
        <v>1.0</v>
      </c>
      <c r="M15" s="112"/>
      <c r="N15" s="112"/>
      <c r="O15" s="112"/>
      <c r="P15" s="112"/>
      <c r="Q15" s="112"/>
      <c r="R15" s="112"/>
      <c r="S15" s="112"/>
      <c r="T15" s="112"/>
      <c r="U15" s="113" t="s">
        <v>353</v>
      </c>
      <c r="V15" s="113"/>
      <c r="W15" s="107"/>
      <c r="X15" s="107"/>
      <c r="Y15" s="113" t="s">
        <v>356</v>
      </c>
      <c r="Z15" s="112"/>
      <c r="AA15" s="111">
        <v>1.0</v>
      </c>
      <c r="AB15" s="112"/>
      <c r="AC15" s="111">
        <v>1.0</v>
      </c>
      <c r="AD15" s="112"/>
      <c r="AE15" s="112"/>
      <c r="AF15" s="112"/>
      <c r="AG15" s="117"/>
      <c r="AH15" s="115">
        <v>1.0</v>
      </c>
      <c r="AI15" s="115"/>
      <c r="AJ15" s="115"/>
      <c r="AK15" s="115"/>
      <c r="AL15" s="115"/>
      <c r="AM15" s="115"/>
      <c r="AN15" s="115"/>
      <c r="AO15" s="115"/>
      <c r="AP15" s="115"/>
      <c r="AQ15" s="115">
        <v>1.0</v>
      </c>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c r="A16" s="125" t="str">
        <f>HYPERLINK("https://drive.google.com/open?id=0B-nn5iJ29NJaZEhLY0JMWGUtUHM","Duggins2002")</f>
        <v>Duggins2002</v>
      </c>
      <c r="B16" s="90" t="s">
        <v>4377</v>
      </c>
      <c r="C16" s="90" t="s">
        <v>4378</v>
      </c>
      <c r="D16" s="128">
        <v>2002.0</v>
      </c>
      <c r="E16" s="131">
        <v>1.0</v>
      </c>
      <c r="F16" s="112"/>
      <c r="G16" s="112"/>
      <c r="H16" s="112"/>
      <c r="I16" s="112"/>
      <c r="J16" s="112"/>
      <c r="K16" s="112"/>
      <c r="L16" s="112"/>
      <c r="M16" s="112"/>
      <c r="N16" s="112"/>
      <c r="O16" s="112"/>
      <c r="P16" s="112"/>
      <c r="Q16" s="112"/>
      <c r="R16" s="112"/>
      <c r="S16" s="112"/>
      <c r="T16" s="112"/>
      <c r="U16" s="107"/>
      <c r="V16" s="107"/>
      <c r="W16" s="107"/>
      <c r="X16" s="107"/>
      <c r="Y16" s="107"/>
      <c r="Z16" s="112"/>
      <c r="AA16" s="112"/>
      <c r="AB16" s="112"/>
      <c r="AC16" s="112"/>
      <c r="AD16" s="112"/>
      <c r="AE16" s="112"/>
      <c r="AF16" s="112"/>
      <c r="AG16" s="117"/>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c r="A17" s="127" t="str">
        <f>HYPERLINK("https://drive.google.com/open?id=0B-nn5iJ29NJaXzMzOEM0UEVreXM","Chiu2014")</f>
        <v>Chiu2014</v>
      </c>
      <c r="B17" s="90" t="s">
        <v>326</v>
      </c>
      <c r="C17" s="90" t="s">
        <v>327</v>
      </c>
      <c r="D17" s="128">
        <v>2014.0</v>
      </c>
      <c r="E17" s="129"/>
      <c r="F17" s="112"/>
      <c r="G17" s="112"/>
      <c r="H17" s="111"/>
      <c r="I17" s="111">
        <v>1.0</v>
      </c>
      <c r="J17" s="112"/>
      <c r="K17" s="112"/>
      <c r="L17" s="112"/>
      <c r="M17" s="112"/>
      <c r="N17" s="112"/>
      <c r="O17" s="112"/>
      <c r="P17" s="112"/>
      <c r="Q17" s="112"/>
      <c r="R17" s="112"/>
      <c r="S17" s="112"/>
      <c r="T17" s="112"/>
      <c r="U17" s="107"/>
      <c r="V17" s="113" t="s">
        <v>328</v>
      </c>
      <c r="W17" s="113" t="s">
        <v>329</v>
      </c>
      <c r="X17" s="113" t="s">
        <v>330</v>
      </c>
      <c r="Y17" s="113" t="s">
        <v>331</v>
      </c>
      <c r="Z17" s="112"/>
      <c r="AA17" s="112"/>
      <c r="AB17" s="111"/>
      <c r="AC17" s="111">
        <v>1.0</v>
      </c>
      <c r="AD17" s="112"/>
      <c r="AE17" s="112"/>
      <c r="AF17" s="112"/>
      <c r="AG17" s="117"/>
      <c r="AH17" s="115" t="s">
        <v>1240</v>
      </c>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v>1.0</v>
      </c>
      <c r="CA17" s="115"/>
    </row>
    <row r="18">
      <c r="A18" s="125" t="str">
        <f>HYPERLINK("https://drive.google.com/open?id=0B-nn5iJ29NJaYnVLNkkxVjlXMnc","Siau2010")</f>
        <v>Siau2010</v>
      </c>
      <c r="B18" s="90" t="s">
        <v>995</v>
      </c>
      <c r="C18" s="90" t="s">
        <v>181</v>
      </c>
      <c r="D18" s="128">
        <v>2010.0</v>
      </c>
      <c r="E18" s="132"/>
      <c r="F18" s="112"/>
      <c r="G18" s="112"/>
      <c r="H18" s="112"/>
      <c r="I18" s="112"/>
      <c r="J18" s="112"/>
      <c r="K18" s="112"/>
      <c r="L18" s="111">
        <v>1.0</v>
      </c>
      <c r="M18" s="112"/>
      <c r="N18" s="112"/>
      <c r="O18" s="112"/>
      <c r="P18" s="112"/>
      <c r="Q18" s="112"/>
      <c r="R18" s="112"/>
      <c r="S18" s="112"/>
      <c r="T18" s="112"/>
      <c r="U18" s="107"/>
      <c r="V18" s="113" t="s">
        <v>996</v>
      </c>
      <c r="W18" s="113" t="s">
        <v>997</v>
      </c>
      <c r="X18" s="107"/>
      <c r="Y18" s="107"/>
      <c r="Z18" s="112"/>
      <c r="AA18" s="111">
        <v>1.0</v>
      </c>
      <c r="AB18" s="112"/>
      <c r="AC18" s="111">
        <v>1.0</v>
      </c>
      <c r="AD18" s="112"/>
      <c r="AE18" s="112"/>
      <c r="AF18" s="112"/>
      <c r="AG18" s="117"/>
      <c r="AH18" s="115">
        <v>1.0</v>
      </c>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15">
        <v>1.0</v>
      </c>
      <c r="BG18" s="124"/>
      <c r="BH18" s="124"/>
      <c r="BI18" s="124"/>
      <c r="BJ18" s="124"/>
      <c r="BK18" s="124"/>
      <c r="BL18" s="124"/>
      <c r="BM18" s="124"/>
      <c r="BN18" s="124"/>
      <c r="BO18" s="124"/>
      <c r="BP18" s="124"/>
      <c r="BQ18" s="124"/>
      <c r="BR18" s="124"/>
      <c r="BS18" s="124"/>
      <c r="BT18" s="124"/>
      <c r="BU18" s="124"/>
      <c r="BV18" s="124"/>
      <c r="BW18" s="124"/>
      <c r="BX18" s="124"/>
      <c r="BY18" s="124"/>
      <c r="BZ18" s="124"/>
      <c r="CA18" s="124"/>
    </row>
    <row r="19">
      <c r="A19" s="125" t="str">
        <f>HYPERLINK("https://drive.google.com/open?id=0B-nn5iJ29NJaOTdZbWVVSENXLTg","Biegel2014")</f>
        <v>Biegel2014</v>
      </c>
      <c r="B19" s="90" t="s">
        <v>4379</v>
      </c>
      <c r="C19" s="90" t="s">
        <v>4380</v>
      </c>
      <c r="D19" s="128">
        <v>2014.0</v>
      </c>
      <c r="E19" s="131">
        <v>1.0</v>
      </c>
      <c r="F19" s="112"/>
      <c r="G19" s="112"/>
      <c r="H19" s="112"/>
      <c r="I19" s="112"/>
      <c r="J19" s="112"/>
      <c r="K19" s="112"/>
      <c r="L19" s="112"/>
      <c r="M19" s="112"/>
      <c r="N19" s="112"/>
      <c r="O19" s="112"/>
      <c r="P19" s="112"/>
      <c r="Q19" s="112"/>
      <c r="R19" s="112"/>
      <c r="S19" s="112"/>
      <c r="T19" s="112"/>
      <c r="U19" s="107"/>
      <c r="V19" s="107"/>
      <c r="W19" s="107"/>
      <c r="X19" s="107"/>
      <c r="Y19" s="107"/>
      <c r="Z19" s="112"/>
      <c r="AA19" s="112"/>
      <c r="AB19" s="112"/>
      <c r="AC19" s="112"/>
      <c r="AD19" s="112"/>
      <c r="AE19" s="112"/>
      <c r="AF19" s="112"/>
      <c r="AG19" s="117"/>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c r="A20" s="125" t="str">
        <f>HYPERLINK("https://drive.google.com/open?id=0B-nn5iJ29NJaUHMxM1Fnb0xrYzQ","Paudel2009")</f>
        <v>Paudel2009</v>
      </c>
      <c r="B20" s="90" t="s">
        <v>4381</v>
      </c>
      <c r="C20" s="90" t="s">
        <v>442</v>
      </c>
      <c r="D20" s="128">
        <v>2009.0</v>
      </c>
      <c r="E20" s="131">
        <v>1.0</v>
      </c>
      <c r="F20" s="112"/>
      <c r="G20" s="112"/>
      <c r="H20" s="112"/>
      <c r="I20" s="112"/>
      <c r="J20" s="112"/>
      <c r="K20" s="112"/>
      <c r="L20" s="112"/>
      <c r="M20" s="112"/>
      <c r="N20" s="112"/>
      <c r="O20" s="112"/>
      <c r="P20" s="112"/>
      <c r="Q20" s="112"/>
      <c r="R20" s="112"/>
      <c r="S20" s="112"/>
      <c r="T20" s="112"/>
      <c r="U20" s="107"/>
      <c r="V20" s="107"/>
      <c r="W20" s="107"/>
      <c r="X20" s="107"/>
      <c r="Y20" s="107"/>
      <c r="Z20" s="112"/>
      <c r="AA20" s="112"/>
      <c r="AB20" s="112"/>
      <c r="AC20" s="112"/>
      <c r="AD20" s="112"/>
      <c r="AE20" s="112"/>
      <c r="AF20" s="112"/>
      <c r="AG20" s="117"/>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row>
    <row r="21">
      <c r="A21" s="125" t="str">
        <f>HYPERLINK("https://drive.google.com/open?id=0B-nn5iJ29NJaQVBkX1F3dEZpMnc","Dishaw1998")</f>
        <v>Dishaw1998</v>
      </c>
      <c r="B21" s="90" t="s">
        <v>4382</v>
      </c>
      <c r="C21" s="90" t="s">
        <v>4383</v>
      </c>
      <c r="D21" s="128">
        <v>1998.0</v>
      </c>
      <c r="E21" s="133">
        <v>1.0</v>
      </c>
      <c r="F21" s="112"/>
      <c r="G21" s="112"/>
      <c r="H21" s="111">
        <v>1.0</v>
      </c>
      <c r="I21" s="112"/>
      <c r="J21" s="112"/>
      <c r="K21" s="112"/>
      <c r="L21" s="112"/>
      <c r="M21" s="112"/>
      <c r="N21" s="112"/>
      <c r="O21" s="112"/>
      <c r="P21" s="112"/>
      <c r="Q21" s="112"/>
      <c r="R21" s="112"/>
      <c r="S21" s="112"/>
      <c r="T21" s="112"/>
      <c r="U21" s="107"/>
      <c r="V21" s="113" t="s">
        <v>568</v>
      </c>
      <c r="W21" s="107"/>
      <c r="X21" s="107"/>
      <c r="Y21" s="107"/>
      <c r="Z21" s="112"/>
      <c r="AA21" s="112"/>
      <c r="AB21" s="112"/>
      <c r="AC21" s="112"/>
      <c r="AD21" s="112"/>
      <c r="AE21" s="112"/>
      <c r="AF21" s="112"/>
      <c r="AG21" s="117"/>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row>
    <row r="22">
      <c r="A22" s="127" t="str">
        <f>HYPERLINK("https://drive.google.com/open?id=0B-nn5iJ29NJaTkt5NGtXdFRTYkE","Breaux2012")</f>
        <v>Breaux2012</v>
      </c>
      <c r="B22" s="90" t="s">
        <v>246</v>
      </c>
      <c r="C22" s="90" t="s">
        <v>247</v>
      </c>
      <c r="D22" s="128">
        <v>2012.0</v>
      </c>
      <c r="E22" s="131"/>
      <c r="F22" s="111">
        <v>1.0</v>
      </c>
      <c r="G22" s="112"/>
      <c r="H22" s="112"/>
      <c r="I22" s="112"/>
      <c r="J22" s="112"/>
      <c r="K22" s="112"/>
      <c r="L22" s="112"/>
      <c r="M22" s="112"/>
      <c r="N22" s="112"/>
      <c r="O22" s="112"/>
      <c r="P22" s="112"/>
      <c r="Q22" s="112"/>
      <c r="R22" s="112"/>
      <c r="S22" s="112"/>
      <c r="T22" s="112"/>
      <c r="U22" s="113" t="s">
        <v>248</v>
      </c>
      <c r="V22" s="107"/>
      <c r="W22" s="107"/>
      <c r="X22" s="107"/>
      <c r="Y22" s="113" t="s">
        <v>250</v>
      </c>
      <c r="Z22" s="112"/>
      <c r="AA22" s="112"/>
      <c r="AB22" s="112"/>
      <c r="AC22" s="112"/>
      <c r="AD22" s="112"/>
      <c r="AE22" s="112"/>
      <c r="AF22" s="111">
        <v>1.0</v>
      </c>
      <c r="AG22" s="117"/>
      <c r="AH22" s="115" t="s">
        <v>1240</v>
      </c>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c r="A23" s="125" t="str">
        <f>HYPERLINK("https://drive.google.com/open?id=0B-nn5iJ29NJaTXBla0lsdWpUNW8","VonWangenheim2012")</f>
        <v>VonWangenheim2012</v>
      </c>
      <c r="B23" s="90" t="s">
        <v>4384</v>
      </c>
      <c r="C23" s="90" t="s">
        <v>310</v>
      </c>
      <c r="D23" s="128">
        <v>2012.0</v>
      </c>
      <c r="E23" s="133">
        <v>1.0</v>
      </c>
      <c r="F23" s="112"/>
      <c r="G23" s="112"/>
      <c r="H23" s="112"/>
      <c r="I23" s="112"/>
      <c r="J23" s="112"/>
      <c r="K23" s="112"/>
      <c r="L23" s="112"/>
      <c r="M23" s="112"/>
      <c r="N23" s="112"/>
      <c r="O23" s="112"/>
      <c r="P23" s="112"/>
      <c r="Q23" s="112"/>
      <c r="R23" s="112"/>
      <c r="S23" s="112"/>
      <c r="T23" s="112"/>
      <c r="U23" s="107"/>
      <c r="V23" s="107"/>
      <c r="W23" s="107"/>
      <c r="X23" s="107"/>
      <c r="Y23" s="107"/>
      <c r="Z23" s="112"/>
      <c r="AA23" s="112"/>
      <c r="AB23" s="112"/>
      <c r="AC23" s="112"/>
      <c r="AD23" s="112"/>
      <c r="AE23" s="112"/>
      <c r="AF23" s="112"/>
      <c r="AG23" s="117"/>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row>
    <row r="24">
      <c r="A24" s="127" t="str">
        <f>HYPERLINK("https://drive.google.com/open?id=0B-nn5iJ29NJaajQ3RFR5dHpMQUE","Aranda2005a")</f>
        <v>Aranda2005a</v>
      </c>
      <c r="B24" s="90" t="s">
        <v>144</v>
      </c>
      <c r="C24" s="90" t="s">
        <v>145</v>
      </c>
      <c r="D24" s="128">
        <v>2005.0</v>
      </c>
      <c r="E24" s="129"/>
      <c r="F24" s="111">
        <v>1.0</v>
      </c>
      <c r="G24" s="112"/>
      <c r="H24" s="112"/>
      <c r="I24" s="112"/>
      <c r="J24" s="112"/>
      <c r="K24" s="112"/>
      <c r="L24" s="112"/>
      <c r="M24" s="112"/>
      <c r="N24" s="112"/>
      <c r="O24" s="112"/>
      <c r="P24" s="112"/>
      <c r="Q24" s="112"/>
      <c r="R24" s="112"/>
      <c r="S24" s="112"/>
      <c r="T24" s="112"/>
      <c r="U24" s="107"/>
      <c r="V24" s="113" t="s">
        <v>146</v>
      </c>
      <c r="W24" s="113" t="s">
        <v>147</v>
      </c>
      <c r="X24" s="113" t="s">
        <v>148</v>
      </c>
      <c r="Y24" s="113" t="s">
        <v>149</v>
      </c>
      <c r="Z24" s="112"/>
      <c r="AA24" s="112"/>
      <c r="AB24" s="111">
        <v>1.0</v>
      </c>
      <c r="AC24" s="112"/>
      <c r="AD24" s="112"/>
      <c r="AE24" s="112"/>
      <c r="AF24" s="112"/>
      <c r="AG24" s="117"/>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row>
    <row r="25">
      <c r="A25" s="127" t="str">
        <f>HYPERLINK("https://drive.google.com/open?id=0B-nn5iJ29NJabVVaOU4tcTJrclk","Iio1997")</f>
        <v>Iio1997</v>
      </c>
      <c r="B25" s="90" t="s">
        <v>593</v>
      </c>
      <c r="C25" s="90" t="s">
        <v>594</v>
      </c>
      <c r="D25" s="128">
        <v>1997.0</v>
      </c>
      <c r="E25" s="129"/>
      <c r="F25" s="112"/>
      <c r="G25" s="112"/>
      <c r="H25" s="112"/>
      <c r="I25" s="112"/>
      <c r="J25" s="111">
        <v>1.0</v>
      </c>
      <c r="K25" s="112"/>
      <c r="L25" s="112"/>
      <c r="M25" s="112"/>
      <c r="N25" s="112"/>
      <c r="O25" s="112"/>
      <c r="P25" s="112"/>
      <c r="Q25" s="112"/>
      <c r="R25" s="112"/>
      <c r="S25" s="112"/>
      <c r="T25" s="112"/>
      <c r="U25" s="107"/>
      <c r="V25" s="113" t="s">
        <v>595</v>
      </c>
      <c r="W25" s="113" t="s">
        <v>596</v>
      </c>
      <c r="X25" s="113" t="s">
        <v>597</v>
      </c>
      <c r="Y25" s="113" t="s">
        <v>598</v>
      </c>
      <c r="Z25" s="112"/>
      <c r="AA25" s="111">
        <v>1.0</v>
      </c>
      <c r="AB25" s="112"/>
      <c r="AC25" s="111">
        <v>1.0</v>
      </c>
      <c r="AD25" s="112"/>
      <c r="AE25" s="112"/>
      <c r="AF25" s="112"/>
      <c r="AG25" s="117"/>
      <c r="AH25" s="115">
        <v>1.0</v>
      </c>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t="s">
        <v>1240</v>
      </c>
      <c r="BE25" s="115"/>
      <c r="BF25" s="115"/>
      <c r="BG25" s="115"/>
      <c r="BH25" s="115"/>
      <c r="BI25" s="115" t="s">
        <v>1240</v>
      </c>
      <c r="BJ25" s="115"/>
      <c r="BK25" s="115"/>
      <c r="BL25" s="115"/>
      <c r="BM25" s="115"/>
      <c r="BN25" s="115"/>
      <c r="BO25" s="115"/>
      <c r="BP25" s="115"/>
      <c r="BQ25" s="115"/>
      <c r="BR25" s="115"/>
      <c r="BS25" s="115"/>
      <c r="BT25" s="115"/>
      <c r="BU25" s="115"/>
      <c r="BV25" s="115"/>
      <c r="BW25" s="115"/>
      <c r="BX25" s="115">
        <v>1.0</v>
      </c>
      <c r="BY25" s="115"/>
      <c r="BZ25" s="115"/>
      <c r="CA25" s="115"/>
    </row>
    <row r="26">
      <c r="A26" s="134" t="str">
        <f>HYPERLINK("https://drive.google.com/open?id=0B-nn5iJ29NJad2lZOEFpNDNqVjA","Gordon1979")</f>
        <v>Gordon1979</v>
      </c>
      <c r="B26" s="90" t="s">
        <v>502</v>
      </c>
      <c r="C26" s="90" t="s">
        <v>503</v>
      </c>
      <c r="D26" s="128">
        <v>1979.0</v>
      </c>
      <c r="E26" s="132"/>
      <c r="F26" s="112"/>
      <c r="G26" s="112"/>
      <c r="H26" s="111">
        <v>1.0</v>
      </c>
      <c r="I26" s="112"/>
      <c r="J26" s="112"/>
      <c r="K26" s="112"/>
      <c r="L26" s="112"/>
      <c r="M26" s="112"/>
      <c r="N26" s="112"/>
      <c r="O26" s="112"/>
      <c r="P26" s="112"/>
      <c r="Q26" s="112"/>
      <c r="R26" s="112"/>
      <c r="S26" s="112"/>
      <c r="T26" s="112"/>
      <c r="U26" s="107"/>
      <c r="W26" s="113" t="s">
        <v>504</v>
      </c>
      <c r="X26" s="113" t="s">
        <v>505</v>
      </c>
      <c r="Y26" s="113" t="s">
        <v>506</v>
      </c>
      <c r="Z26" s="112"/>
      <c r="AA26" s="112"/>
      <c r="AB26" s="112"/>
      <c r="AC26" s="111">
        <v>1.0</v>
      </c>
      <c r="AD26" s="112"/>
      <c r="AE26" s="112"/>
      <c r="AF26" s="112"/>
      <c r="AG26" s="117"/>
      <c r="AH26" s="115">
        <v>1.0</v>
      </c>
      <c r="AI26" s="124"/>
      <c r="AJ26" s="124"/>
      <c r="AK26" s="124"/>
      <c r="AL26" s="124"/>
      <c r="AM26" s="124"/>
      <c r="AN26" s="124"/>
      <c r="AO26" s="124"/>
      <c r="AP26" s="124"/>
      <c r="AQ26" s="115">
        <v>1.0</v>
      </c>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row>
    <row r="27">
      <c r="A27" s="127" t="str">
        <f>HYPERLINK("https://drive.google.com/open?id=0B-nn5iJ29NJaTEhsUWFZZ19QbW8","Hyysalo2013")</f>
        <v>Hyysalo2013</v>
      </c>
      <c r="B27" s="90" t="s">
        <v>587</v>
      </c>
      <c r="C27" s="90" t="s">
        <v>588</v>
      </c>
      <c r="D27" s="128">
        <v>2013.0</v>
      </c>
      <c r="E27" s="129"/>
      <c r="F27" s="112"/>
      <c r="G27" s="112"/>
      <c r="H27" s="112"/>
      <c r="I27" s="112"/>
      <c r="J27" s="112"/>
      <c r="K27" s="112"/>
      <c r="L27" s="112"/>
      <c r="M27" s="111">
        <v>1.0</v>
      </c>
      <c r="N27" s="112"/>
      <c r="O27" s="112"/>
      <c r="P27" s="112"/>
      <c r="Q27" s="112"/>
      <c r="R27" s="112"/>
      <c r="S27" s="112"/>
      <c r="T27" s="112"/>
      <c r="U27" s="107"/>
      <c r="V27" s="113" t="s">
        <v>589</v>
      </c>
      <c r="W27" s="113" t="s">
        <v>590</v>
      </c>
      <c r="X27" s="113" t="s">
        <v>591</v>
      </c>
      <c r="Y27" s="113" t="s">
        <v>592</v>
      </c>
      <c r="Z27" s="112"/>
      <c r="AA27" s="111">
        <v>1.0</v>
      </c>
      <c r="AB27" s="112"/>
      <c r="AC27" s="111">
        <v>1.0</v>
      </c>
      <c r="AD27" s="112"/>
      <c r="AE27" s="112"/>
      <c r="AF27" s="112"/>
      <c r="AG27" s="117"/>
      <c r="AH27" s="115" t="s">
        <v>1240</v>
      </c>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c r="A28" s="125" t="str">
        <f>HYPERLINK("https://drive.google.com/open?id=0B-nn5iJ29NJaUmlfQml6bnE0cUU","Siponen2004")</f>
        <v>Siponen2004</v>
      </c>
      <c r="B28" s="90" t="s">
        <v>4385</v>
      </c>
      <c r="C28" s="90" t="s">
        <v>181</v>
      </c>
      <c r="D28" s="128">
        <v>2004.0</v>
      </c>
      <c r="E28" s="133">
        <v>1.0</v>
      </c>
      <c r="F28" s="112"/>
      <c r="G28" s="112"/>
      <c r="H28" s="112"/>
      <c r="I28" s="112"/>
      <c r="J28" s="112"/>
      <c r="K28" s="112"/>
      <c r="L28" s="112"/>
      <c r="M28" s="112"/>
      <c r="N28" s="112"/>
      <c r="O28" s="112"/>
      <c r="P28" s="112"/>
      <c r="Q28" s="112"/>
      <c r="R28" s="112"/>
      <c r="S28" s="112"/>
      <c r="T28" s="112"/>
      <c r="U28" s="107"/>
      <c r="V28" s="107"/>
      <c r="W28" s="107"/>
      <c r="X28" s="107"/>
      <c r="Y28" s="107"/>
      <c r="Z28" s="112"/>
      <c r="AA28" s="112"/>
      <c r="AB28" s="112"/>
      <c r="AC28" s="112"/>
      <c r="AD28" s="112"/>
      <c r="AE28" s="112"/>
      <c r="AF28" s="112"/>
      <c r="AG28" s="117"/>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row>
    <row r="29">
      <c r="A29" s="125" t="str">
        <f>HYPERLINK("https://drive.google.com/open?id=0B-nn5iJ29NJaejlIeGFIMG9VSXc","Kudo2003")</f>
        <v>Kudo2003</v>
      </c>
      <c r="B29" s="90" t="s">
        <v>668</v>
      </c>
      <c r="C29" s="90" t="s">
        <v>669</v>
      </c>
      <c r="D29" s="128">
        <v>2003.0</v>
      </c>
      <c r="E29" s="132"/>
      <c r="F29" s="112"/>
      <c r="G29" s="112"/>
      <c r="H29" s="112"/>
      <c r="I29" s="112"/>
      <c r="J29" s="112"/>
      <c r="K29" s="112"/>
      <c r="L29" s="112"/>
      <c r="M29" s="111">
        <v>1.0</v>
      </c>
      <c r="N29" s="112"/>
      <c r="O29" s="112"/>
      <c r="P29" s="112"/>
      <c r="Q29" s="112"/>
      <c r="R29" s="112"/>
      <c r="S29" s="112"/>
      <c r="T29" s="112"/>
      <c r="U29" s="107"/>
      <c r="V29" s="113" t="s">
        <v>670</v>
      </c>
      <c r="W29" s="113" t="s">
        <v>671</v>
      </c>
      <c r="X29" s="113" t="s">
        <v>672</v>
      </c>
      <c r="Y29" s="113" t="s">
        <v>673</v>
      </c>
      <c r="Z29" s="112"/>
      <c r="AA29" s="111">
        <v>1.0</v>
      </c>
      <c r="AB29" s="112"/>
      <c r="AC29" s="111">
        <v>1.0</v>
      </c>
      <c r="AD29" s="112"/>
      <c r="AE29" s="112"/>
      <c r="AF29" s="112"/>
      <c r="AG29" s="117"/>
      <c r="AH29" s="115">
        <v>1.0</v>
      </c>
      <c r="AI29" s="124"/>
      <c r="AJ29" s="124"/>
      <c r="AK29" s="124"/>
      <c r="AL29" s="124"/>
      <c r="AM29" s="124"/>
      <c r="AN29" s="124"/>
      <c r="AO29" s="124"/>
      <c r="AP29" s="124"/>
      <c r="AQ29" s="115">
        <v>1.0</v>
      </c>
      <c r="AR29" s="124"/>
      <c r="AS29" s="124"/>
      <c r="AT29" s="124"/>
      <c r="AU29" s="124"/>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15">
        <v>1.0</v>
      </c>
      <c r="BY29" s="124"/>
      <c r="BZ29" s="124"/>
      <c r="CA29" s="124"/>
    </row>
    <row r="30">
      <c r="A30" s="127" t="str">
        <f>HYPERLINK("https://drive.google.com/open?id=0B-nn5iJ29NJacllxeGJNcm9BZE0","Dobesova2013")</f>
        <v>Dobesova2013</v>
      </c>
      <c r="B30" s="90" t="s">
        <v>430</v>
      </c>
      <c r="C30" s="90" t="s">
        <v>431</v>
      </c>
      <c r="D30" s="128">
        <v>2013.0</v>
      </c>
      <c r="E30" s="129"/>
      <c r="F30" s="112"/>
      <c r="G30" s="112"/>
      <c r="H30" s="112"/>
      <c r="I30" s="112"/>
      <c r="J30" s="112"/>
      <c r="K30" s="112"/>
      <c r="L30" s="112"/>
      <c r="M30" s="112"/>
      <c r="N30" s="112"/>
      <c r="O30" s="112"/>
      <c r="P30" s="112"/>
      <c r="Q30" s="112"/>
      <c r="R30" s="112"/>
      <c r="S30" s="112"/>
      <c r="T30" s="112"/>
      <c r="U30" s="113" t="s">
        <v>432</v>
      </c>
      <c r="V30" s="113" t="s">
        <v>433</v>
      </c>
      <c r="W30" s="107"/>
      <c r="X30" s="107"/>
      <c r="Y30" s="113" t="s">
        <v>434</v>
      </c>
      <c r="Z30" s="112"/>
      <c r="AA30" s="112"/>
      <c r="AB30" s="111">
        <v>1.0</v>
      </c>
      <c r="AC30" s="112"/>
      <c r="AD30" s="112"/>
      <c r="AE30" s="112"/>
      <c r="AF30" s="111">
        <v>1.0</v>
      </c>
      <c r="AG30" s="117"/>
      <c r="AH30" s="115" t="s">
        <v>1240</v>
      </c>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row>
    <row r="31">
      <c r="A31" s="125" t="str">
        <f>HYPERLINK("https://drive.google.com/open?id=0B-nn5iJ29NJabW9SRk9LanB5MFE","Xiao2013")</f>
        <v>Xiao2013</v>
      </c>
      <c r="B31" s="90" t="s">
        <v>1250</v>
      </c>
      <c r="C31" s="90" t="s">
        <v>1251</v>
      </c>
      <c r="D31" s="128">
        <v>2013.0</v>
      </c>
      <c r="E31" s="129"/>
      <c r="F31" s="111">
        <v>1.0</v>
      </c>
      <c r="G31" s="112"/>
      <c r="H31" s="112"/>
      <c r="I31" s="112"/>
      <c r="J31" s="112"/>
      <c r="K31" s="112"/>
      <c r="L31" s="112"/>
      <c r="M31" s="112"/>
      <c r="N31" s="112"/>
      <c r="O31" s="112"/>
      <c r="P31" s="112"/>
      <c r="Q31" s="112"/>
      <c r="R31" s="112"/>
      <c r="S31" s="112"/>
      <c r="T31" s="112"/>
      <c r="U31" s="113" t="s">
        <v>1252</v>
      </c>
      <c r="V31" s="113" t="s">
        <v>1253</v>
      </c>
      <c r="W31" s="113" t="s">
        <v>1254</v>
      </c>
      <c r="X31" s="107"/>
      <c r="Y31" s="113" t="s">
        <v>1255</v>
      </c>
      <c r="Z31" s="112"/>
      <c r="AA31" s="111">
        <v>1.0</v>
      </c>
      <c r="AB31" s="112"/>
      <c r="AC31" s="111">
        <v>1.0</v>
      </c>
      <c r="AD31" s="112"/>
      <c r="AE31" s="112"/>
      <c r="AG31" s="117"/>
      <c r="AH31" s="115">
        <v>1.0</v>
      </c>
      <c r="AI31" s="124"/>
      <c r="AJ31" s="124"/>
      <c r="AK31" s="124"/>
      <c r="AL31" s="124"/>
      <c r="AM31" s="115">
        <v>1.0</v>
      </c>
      <c r="AN31" s="124"/>
      <c r="AO31" s="124"/>
      <c r="AP31" s="124"/>
      <c r="AQ31" s="124"/>
      <c r="AR31" s="124"/>
      <c r="AS31" s="124"/>
      <c r="AT31" s="124"/>
      <c r="AU31" s="124"/>
      <c r="AV31" s="124"/>
      <c r="AW31" s="124"/>
      <c r="AX31" s="124"/>
      <c r="AY31" s="124"/>
      <c r="AZ31" s="124"/>
      <c r="BA31" s="124"/>
      <c r="BB31" s="124"/>
      <c r="BC31" s="115">
        <v>1.0</v>
      </c>
      <c r="BD31" s="115">
        <v>1.0</v>
      </c>
      <c r="BE31" s="124"/>
      <c r="BF31" s="115">
        <v>1.0</v>
      </c>
      <c r="BG31" s="124"/>
      <c r="BH31" s="124"/>
      <c r="BI31" s="124"/>
      <c r="BJ31" s="124"/>
      <c r="BK31" s="124"/>
      <c r="BL31" s="124"/>
      <c r="BM31" s="124"/>
      <c r="BN31" s="124"/>
      <c r="BO31" s="124"/>
      <c r="BP31" s="124"/>
      <c r="BQ31" s="124"/>
      <c r="BR31" s="124"/>
      <c r="BS31" s="124"/>
      <c r="BT31" s="124"/>
      <c r="BU31" s="124"/>
      <c r="BV31" s="124"/>
      <c r="BW31" s="124"/>
      <c r="BX31" s="124"/>
      <c r="BY31" s="124"/>
      <c r="BZ31" s="124"/>
      <c r="CA31" s="124"/>
    </row>
    <row r="32">
      <c r="A32" s="125" t="str">
        <f>HYPERLINK("https://drive.google.com/open?id=0B-nn5iJ29NJaWlVzQzZlUTVvc1E","Wirfs-Brock2007")</f>
        <v>Wirfs-Brock2007</v>
      </c>
      <c r="B32" s="90" t="s">
        <v>1241</v>
      </c>
      <c r="C32" s="90" t="s">
        <v>560</v>
      </c>
      <c r="D32" s="128">
        <v>2007.0</v>
      </c>
      <c r="E32" s="132"/>
      <c r="F32" s="112"/>
      <c r="G32" s="111">
        <v>1.0</v>
      </c>
      <c r="H32" s="112"/>
      <c r="I32" s="112"/>
      <c r="J32" s="112"/>
      <c r="K32" s="112"/>
      <c r="L32" s="112"/>
      <c r="M32" s="112"/>
      <c r="N32" s="112"/>
      <c r="O32" s="112"/>
      <c r="P32" s="112"/>
      <c r="Q32" s="112"/>
      <c r="R32" s="112"/>
      <c r="S32" s="112"/>
      <c r="T32" s="112"/>
      <c r="U32" s="107"/>
      <c r="V32" s="113" t="s">
        <v>70</v>
      </c>
      <c r="X32" s="107"/>
      <c r="Y32" s="113" t="s">
        <v>1242</v>
      </c>
      <c r="Z32" s="112"/>
      <c r="AA32" s="112"/>
      <c r="AB32" s="112"/>
      <c r="AC32" s="112"/>
      <c r="AD32" s="112"/>
      <c r="AE32" s="112"/>
      <c r="AF32" s="111">
        <v>1.0</v>
      </c>
      <c r="AG32" s="117"/>
      <c r="AH32" s="115">
        <v>1.0</v>
      </c>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v>1.0</v>
      </c>
      <c r="BI32" s="115"/>
      <c r="BJ32" s="115"/>
      <c r="BK32" s="115"/>
      <c r="BL32" s="115"/>
      <c r="BM32" s="115"/>
      <c r="BN32" s="115"/>
      <c r="BO32" s="115"/>
      <c r="BP32" s="115"/>
      <c r="BQ32" s="115"/>
      <c r="BR32" s="115"/>
      <c r="BS32" s="115"/>
      <c r="BT32" s="115"/>
      <c r="BU32" s="115"/>
      <c r="BV32" s="115"/>
      <c r="BW32" s="115"/>
      <c r="BX32" s="115"/>
      <c r="BY32" s="115"/>
      <c r="BZ32" s="115"/>
      <c r="CA32" s="115"/>
    </row>
    <row r="33">
      <c r="A33" s="90" t="s">
        <v>4386</v>
      </c>
      <c r="B33" s="90" t="s">
        <v>4387</v>
      </c>
      <c r="C33" s="90" t="s">
        <v>4388</v>
      </c>
      <c r="D33" s="128">
        <v>1999.0</v>
      </c>
      <c r="E33" s="133">
        <v>1.0</v>
      </c>
      <c r="F33" s="112"/>
      <c r="G33" s="112"/>
      <c r="H33" s="112"/>
      <c r="I33" s="112"/>
      <c r="J33" s="112"/>
      <c r="K33" s="112"/>
      <c r="L33" s="112"/>
      <c r="M33" s="112"/>
      <c r="N33" s="112"/>
      <c r="O33" s="112"/>
      <c r="P33" s="112"/>
      <c r="Q33" s="112"/>
      <c r="R33" s="112"/>
      <c r="S33" s="112"/>
      <c r="T33" s="112"/>
      <c r="U33" s="107"/>
      <c r="V33" s="107"/>
      <c r="W33" s="107"/>
      <c r="X33" s="107"/>
      <c r="Y33" s="107"/>
      <c r="Z33" s="112"/>
      <c r="AA33" s="112"/>
      <c r="AB33" s="112"/>
      <c r="AC33" s="112"/>
      <c r="AD33" s="112"/>
      <c r="AE33" s="112"/>
      <c r="AF33" s="112"/>
      <c r="AG33" s="117"/>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c r="A34" s="127" t="str">
        <f>HYPERLINK("https://drive.google.com/open?id=0B-nn5iJ29NJaS0dmc3dPN1pZZlU","Vasilescu2016")</f>
        <v>Vasilescu2016</v>
      </c>
      <c r="B34" s="90" t="s">
        <v>1146</v>
      </c>
      <c r="C34" s="90" t="s">
        <v>196</v>
      </c>
      <c r="D34" s="128">
        <v>2016.0</v>
      </c>
      <c r="E34" s="129"/>
      <c r="F34" s="112"/>
      <c r="G34" s="112"/>
      <c r="H34" s="111">
        <v>1.0</v>
      </c>
      <c r="I34" s="112"/>
      <c r="J34" s="112"/>
      <c r="K34" s="112"/>
      <c r="L34" s="112"/>
      <c r="M34" s="112"/>
      <c r="N34" s="112"/>
      <c r="O34" s="112"/>
      <c r="P34" s="112"/>
      <c r="Q34" s="112"/>
      <c r="R34" s="112"/>
      <c r="S34" s="112"/>
      <c r="T34" s="112"/>
      <c r="V34" s="113" t="s">
        <v>842</v>
      </c>
      <c r="W34" s="113" t="s">
        <v>1147</v>
      </c>
      <c r="X34" s="113" t="s">
        <v>4389</v>
      </c>
      <c r="Y34" s="107"/>
      <c r="Z34" s="112"/>
      <c r="AA34" s="111">
        <v>1.0</v>
      </c>
      <c r="AB34" s="112"/>
      <c r="AC34" s="111">
        <v>1.0</v>
      </c>
      <c r="AD34" s="112"/>
      <c r="AE34" s="112"/>
      <c r="AF34" s="112"/>
      <c r="AG34" s="117"/>
      <c r="AH34" s="115">
        <v>1.0</v>
      </c>
      <c r="AI34" s="115"/>
      <c r="AJ34" s="115"/>
      <c r="AK34" s="115"/>
      <c r="AL34" s="115"/>
      <c r="AM34" s="115"/>
      <c r="AN34" s="115"/>
      <c r="AO34" s="115"/>
      <c r="AP34" s="115"/>
      <c r="AQ34" s="115">
        <v>1.0</v>
      </c>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c r="A35" s="127" t="str">
        <f>HYPERLINK("https://drive.google.com/open?id=0B-nn5iJ29NJaME5ka1NmWS1zems","Unkelos-Shpigel2015")</f>
        <v>Unkelos-Shpigel2015</v>
      </c>
      <c r="B35" s="90" t="s">
        <v>1138</v>
      </c>
      <c r="C35" s="90" t="s">
        <v>1139</v>
      </c>
      <c r="D35" s="128">
        <v>2015.0</v>
      </c>
      <c r="E35" s="129"/>
      <c r="F35" s="112"/>
      <c r="G35" s="112"/>
      <c r="H35" s="111">
        <v>1.0</v>
      </c>
      <c r="I35" s="112"/>
      <c r="J35" s="112"/>
      <c r="K35" s="112"/>
      <c r="L35" s="112"/>
      <c r="M35" s="112"/>
      <c r="N35" s="112"/>
      <c r="O35" s="112"/>
      <c r="P35" s="112"/>
      <c r="Q35" s="112"/>
      <c r="R35" s="112"/>
      <c r="S35" s="112"/>
      <c r="T35" s="112"/>
      <c r="U35" s="113" t="s">
        <v>1140</v>
      </c>
      <c r="V35" s="107"/>
      <c r="W35" s="107"/>
      <c r="X35" s="107"/>
      <c r="Y35" s="113" t="s">
        <v>1141</v>
      </c>
      <c r="Z35" s="112"/>
      <c r="AA35" s="112"/>
      <c r="AB35" s="111">
        <v>1.0</v>
      </c>
      <c r="AC35" s="112"/>
      <c r="AD35" s="112"/>
      <c r="AE35" s="112"/>
      <c r="AF35" s="112"/>
      <c r="AG35" s="117"/>
      <c r="AH35" s="115" t="s">
        <v>1240</v>
      </c>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c r="A36" s="125" t="str">
        <f>HYPERLINK("https://drive.google.com/open?id=0B-nn5iJ29NJaeVdEbEwzZWpyWGM","Calikli2010b")</f>
        <v>Calikli2010b</v>
      </c>
      <c r="B36" s="90" t="s">
        <v>287</v>
      </c>
      <c r="C36" s="90" t="s">
        <v>288</v>
      </c>
      <c r="D36" s="128">
        <v>2010.0</v>
      </c>
      <c r="E36" s="129"/>
      <c r="F36" s="112"/>
      <c r="G36" s="112"/>
      <c r="H36" s="112"/>
      <c r="I36" s="112"/>
      <c r="J36" s="112"/>
      <c r="K36" s="112"/>
      <c r="L36" s="112"/>
      <c r="M36" s="112"/>
      <c r="N36" s="112"/>
      <c r="O36" s="111">
        <v>1.0</v>
      </c>
      <c r="P36" s="112"/>
      <c r="Q36" s="112"/>
      <c r="R36" s="112"/>
      <c r="S36" s="112"/>
      <c r="T36" s="112"/>
      <c r="U36" s="113"/>
      <c r="V36" s="113" t="s">
        <v>289</v>
      </c>
      <c r="W36" s="107"/>
      <c r="X36" s="113" t="s">
        <v>290</v>
      </c>
      <c r="Y36" s="113" t="s">
        <v>291</v>
      </c>
      <c r="Z36" s="112"/>
      <c r="AA36" s="111">
        <v>1.0</v>
      </c>
      <c r="AB36" s="112"/>
      <c r="AC36" s="111">
        <v>1.0</v>
      </c>
      <c r="AD36" s="112"/>
      <c r="AE36" s="112"/>
      <c r="AF36" s="112"/>
      <c r="AG36" s="117"/>
      <c r="AH36" s="115">
        <v>1.0</v>
      </c>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v>1.0</v>
      </c>
      <c r="BI36" s="115"/>
      <c r="BJ36" s="115"/>
      <c r="BK36" s="115"/>
      <c r="BL36" s="115"/>
      <c r="BM36" s="115"/>
      <c r="BN36" s="115"/>
      <c r="BO36" s="115"/>
      <c r="BP36" s="115"/>
      <c r="BQ36" s="115"/>
      <c r="BR36" s="115"/>
      <c r="BS36" s="115"/>
      <c r="BT36" s="115"/>
      <c r="BU36" s="115"/>
      <c r="BV36" s="115"/>
      <c r="BW36" s="115"/>
      <c r="BX36" s="115">
        <v>1.0</v>
      </c>
      <c r="BY36" s="115"/>
      <c r="BZ36" s="115"/>
      <c r="CA36" s="115"/>
    </row>
    <row r="37">
      <c r="A37" s="125" t="str">
        <f>HYPERLINK("https://drive.google.com/open?id=0B-nn5iJ29NJadVZhUl9BWHNVUmc","Calikli2010")</f>
        <v>Calikli2010</v>
      </c>
      <c r="B37" s="90" t="s">
        <v>4390</v>
      </c>
      <c r="C37" s="90" t="s">
        <v>196</v>
      </c>
      <c r="D37" s="128">
        <v>2010.0</v>
      </c>
      <c r="E37" s="129"/>
      <c r="F37" s="112"/>
      <c r="G37" s="112"/>
      <c r="H37" s="111">
        <v>1.0</v>
      </c>
      <c r="I37" s="111">
        <v>1.0</v>
      </c>
      <c r="J37" s="112"/>
      <c r="K37" s="112"/>
      <c r="L37" s="112"/>
      <c r="M37" s="112"/>
      <c r="N37" s="112"/>
      <c r="O37" s="112"/>
      <c r="P37" s="112"/>
      <c r="Q37" s="112"/>
      <c r="R37" s="112"/>
      <c r="S37" s="112"/>
      <c r="T37" s="112"/>
      <c r="U37" s="113"/>
      <c r="V37" s="113" t="s">
        <v>289</v>
      </c>
      <c r="W37" s="113" t="s">
        <v>4391</v>
      </c>
      <c r="X37" s="113" t="s">
        <v>290</v>
      </c>
      <c r="Y37" s="113" t="s">
        <v>291</v>
      </c>
      <c r="Z37" s="112"/>
      <c r="AA37" s="111">
        <v>1.0</v>
      </c>
      <c r="AB37" s="112"/>
      <c r="AC37" s="111">
        <v>1.0</v>
      </c>
      <c r="AD37" s="112"/>
      <c r="AE37" s="112"/>
      <c r="AF37" s="112"/>
      <c r="AG37" s="117"/>
      <c r="AH37" s="115">
        <v>1.0</v>
      </c>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15">
        <v>1.0</v>
      </c>
      <c r="BI37" s="124"/>
      <c r="BJ37" s="124"/>
      <c r="BK37" s="124"/>
      <c r="BL37" s="124"/>
      <c r="BM37" s="124"/>
      <c r="BN37" s="124"/>
      <c r="BO37" s="124"/>
      <c r="BP37" s="124"/>
      <c r="BQ37" s="124"/>
      <c r="BR37" s="124"/>
      <c r="BS37" s="124"/>
      <c r="BT37" s="124"/>
      <c r="BU37" s="124"/>
      <c r="BV37" s="124"/>
      <c r="BW37" s="124"/>
      <c r="BX37" s="115">
        <v>1.0</v>
      </c>
      <c r="BY37" s="124"/>
      <c r="BZ37" s="124"/>
      <c r="CA37" s="124"/>
    </row>
    <row r="38">
      <c r="A38" s="125" t="str">
        <f>HYPERLINK("https://drive.google.com/open?id=0B-nn5iJ29NJaN3FvUHJ5eHlqSkU","Maxion2000")</f>
        <v>Maxion2000</v>
      </c>
      <c r="B38" s="90" t="s">
        <v>2686</v>
      </c>
      <c r="C38" s="90" t="s">
        <v>503</v>
      </c>
      <c r="D38" s="128">
        <v>2000.0</v>
      </c>
      <c r="E38" s="133">
        <v>1.0</v>
      </c>
      <c r="F38" s="112"/>
      <c r="G38" s="112"/>
      <c r="H38" s="112"/>
      <c r="I38" s="112"/>
      <c r="J38" s="112"/>
      <c r="K38" s="112"/>
      <c r="L38" s="112"/>
      <c r="M38" s="112"/>
      <c r="N38" s="112"/>
      <c r="O38" s="112"/>
      <c r="P38" s="112"/>
      <c r="Q38" s="112"/>
      <c r="R38" s="112"/>
      <c r="S38" s="112"/>
      <c r="T38" s="112"/>
      <c r="U38" s="107"/>
      <c r="V38" s="107"/>
      <c r="W38" s="107"/>
      <c r="X38" s="107"/>
      <c r="Y38" s="107"/>
      <c r="Z38" s="112"/>
      <c r="AA38" s="112"/>
      <c r="AB38" s="112"/>
      <c r="AC38" s="112"/>
      <c r="AD38" s="112"/>
      <c r="AE38" s="112"/>
      <c r="AF38" s="112"/>
      <c r="AG38" s="117"/>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c r="A39" s="127" t="str">
        <f>HYPERLINK("https://drive.google.com/open?id=0B-nn5iJ29NJaNWZ0YlZkdElhcDA","Teasley1994")</f>
        <v>Teasley1994</v>
      </c>
      <c r="B39" s="90" t="s">
        <v>1095</v>
      </c>
      <c r="C39" s="90" t="s">
        <v>1096</v>
      </c>
      <c r="D39" s="128">
        <v>1994.0</v>
      </c>
      <c r="E39" s="132"/>
      <c r="F39" s="112"/>
      <c r="G39" s="112"/>
      <c r="H39" s="111">
        <v>1.0</v>
      </c>
      <c r="I39" s="112"/>
      <c r="J39" s="112"/>
      <c r="K39" s="112"/>
      <c r="L39" s="112"/>
      <c r="M39" s="112"/>
      <c r="N39" s="112"/>
      <c r="O39" s="112"/>
      <c r="P39" s="112"/>
      <c r="Q39" s="112"/>
      <c r="R39" s="112"/>
      <c r="S39" s="112"/>
      <c r="T39" s="112"/>
      <c r="U39" s="113" t="s">
        <v>1097</v>
      </c>
      <c r="V39" s="113" t="s">
        <v>479</v>
      </c>
      <c r="W39" s="113" t="s">
        <v>1098</v>
      </c>
      <c r="X39" s="113" t="s">
        <v>1099</v>
      </c>
      <c r="Y39" s="113" t="s">
        <v>1100</v>
      </c>
      <c r="Z39" s="111">
        <v>1.0</v>
      </c>
      <c r="AA39" s="112"/>
      <c r="AB39" s="112"/>
      <c r="AC39" s="111">
        <v>1.0</v>
      </c>
      <c r="AD39" s="112"/>
      <c r="AE39" s="112"/>
      <c r="AF39" s="112"/>
      <c r="AG39" s="117"/>
      <c r="AH39" s="115">
        <v>1.0</v>
      </c>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15" t="s">
        <v>1240</v>
      </c>
      <c r="BE39" s="124"/>
      <c r="BF39" s="124"/>
      <c r="BG39" s="124"/>
      <c r="BH39" s="124"/>
      <c r="BI39" s="115" t="s">
        <v>1240</v>
      </c>
      <c r="BJ39" s="124"/>
      <c r="BK39" s="124"/>
      <c r="BL39" s="124"/>
      <c r="BM39" s="124"/>
      <c r="BN39" s="124"/>
      <c r="BO39" s="124"/>
      <c r="BP39" s="124"/>
      <c r="BQ39" s="124"/>
      <c r="BR39" s="124"/>
      <c r="BS39" s="124"/>
      <c r="BT39" s="124"/>
      <c r="BU39" s="124"/>
      <c r="BV39" s="124"/>
      <c r="BW39" s="124"/>
      <c r="BX39" s="124"/>
      <c r="BY39" s="124"/>
      <c r="BZ39" s="115">
        <v>1.0</v>
      </c>
      <c r="CA39" s="124"/>
    </row>
    <row r="40">
      <c r="A40" s="125" t="str">
        <f>HYPERLINK("https://drive.google.com/open?id=0B-nn5iJ29NJaQlI1Y2dKTTNOMUE","Krancher2012a")</f>
        <v>Krancher2012a</v>
      </c>
      <c r="B40" s="90" t="s">
        <v>660</v>
      </c>
      <c r="C40" s="90" t="s">
        <v>661</v>
      </c>
      <c r="D40" s="128">
        <v>2012.0</v>
      </c>
      <c r="E40" s="131"/>
      <c r="F40" s="112"/>
      <c r="G40" s="112"/>
      <c r="H40" s="112"/>
      <c r="I40" s="112"/>
      <c r="J40" s="111">
        <v>1.0</v>
      </c>
      <c r="K40" s="112"/>
      <c r="L40" s="111">
        <v>1.0</v>
      </c>
      <c r="M40" s="112"/>
      <c r="N40" s="112"/>
      <c r="O40" s="112"/>
      <c r="P40" s="112"/>
      <c r="Q40" s="112"/>
      <c r="R40" s="112"/>
      <c r="S40" s="112"/>
      <c r="T40" s="112"/>
      <c r="U40" s="113" t="s">
        <v>353</v>
      </c>
      <c r="V40" s="113" t="s">
        <v>662</v>
      </c>
      <c r="W40" s="107"/>
      <c r="X40" s="107"/>
      <c r="Y40" s="113" t="s">
        <v>663</v>
      </c>
      <c r="Z40" s="112"/>
      <c r="AA40" s="112"/>
      <c r="AB40" s="112"/>
      <c r="AC40" s="112"/>
      <c r="AD40" s="111"/>
      <c r="AE40" s="111">
        <v>1.0</v>
      </c>
      <c r="AF40" s="111">
        <v>1.0</v>
      </c>
      <c r="AG40" s="117"/>
      <c r="AH40" s="115">
        <v>1.0</v>
      </c>
      <c r="AI40" s="124"/>
      <c r="AJ40" s="124"/>
      <c r="AK40" s="124"/>
      <c r="AL40" s="124"/>
      <c r="AM40" s="124"/>
      <c r="AN40" s="124"/>
      <c r="AO40" s="124"/>
      <c r="AP40" s="124"/>
      <c r="AQ40" s="115">
        <v>1.0</v>
      </c>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row>
    <row r="41">
      <c r="A41" s="125" t="str">
        <f>HYPERLINK("https://drive.google.com/open?id=0B-nn5iJ29NJaNThuOTg1RDVac1E","Quigley2002")</f>
        <v>Quigley2002</v>
      </c>
      <c r="B41" s="90" t="s">
        <v>4392</v>
      </c>
      <c r="C41" s="90" t="s">
        <v>1276</v>
      </c>
      <c r="D41" s="128">
        <v>2002.0</v>
      </c>
      <c r="E41" s="131">
        <v>1.0</v>
      </c>
      <c r="F41" s="112"/>
      <c r="G41" s="112"/>
      <c r="H41" s="112"/>
      <c r="I41" s="112"/>
      <c r="J41" s="112"/>
      <c r="K41" s="112"/>
      <c r="L41" s="112"/>
      <c r="M41" s="112"/>
      <c r="N41" s="112"/>
      <c r="O41" s="112"/>
      <c r="P41" s="112"/>
      <c r="Q41" s="112"/>
      <c r="R41" s="112"/>
      <c r="S41" s="112"/>
      <c r="T41" s="112"/>
      <c r="U41" s="107"/>
      <c r="V41" s="107"/>
      <c r="W41" s="107"/>
      <c r="X41" s="107"/>
      <c r="Y41" s="107"/>
      <c r="Z41" s="112"/>
      <c r="AA41" s="112"/>
      <c r="AB41" s="112"/>
      <c r="AC41" s="112"/>
      <c r="AD41" s="112"/>
      <c r="AE41" s="112"/>
      <c r="AF41" s="112"/>
      <c r="AG41" s="117"/>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row>
    <row r="42">
      <c r="A42" s="125" t="str">
        <f>HYPERLINK("https://drive.google.com/open?id=0B-nn5iJ29NJaOC1QNi1xVGFTVjQ","Al-Shammari2015")</f>
        <v>Al-Shammari2015</v>
      </c>
      <c r="B42" s="90" t="s">
        <v>4393</v>
      </c>
      <c r="C42" s="90" t="s">
        <v>4394</v>
      </c>
      <c r="D42" s="128">
        <v>2015.0</v>
      </c>
      <c r="E42" s="131">
        <v>1.0</v>
      </c>
      <c r="F42" s="112"/>
      <c r="G42" s="112"/>
      <c r="H42" s="112"/>
      <c r="I42" s="112"/>
      <c r="J42" s="112"/>
      <c r="K42" s="112"/>
      <c r="L42" s="112"/>
      <c r="M42" s="112"/>
      <c r="N42" s="112"/>
      <c r="O42" s="112"/>
      <c r="P42" s="112"/>
      <c r="Q42" s="112"/>
      <c r="R42" s="112"/>
      <c r="S42" s="112"/>
      <c r="T42" s="112"/>
      <c r="U42" s="107"/>
      <c r="V42" s="107"/>
      <c r="W42" s="107"/>
      <c r="X42" s="107"/>
      <c r="Y42" s="107"/>
      <c r="Z42" s="112"/>
      <c r="AA42" s="112"/>
      <c r="AB42" s="112"/>
      <c r="AC42" s="112"/>
      <c r="AD42" s="112"/>
      <c r="AE42" s="112"/>
      <c r="AF42" s="112"/>
      <c r="AG42" s="117"/>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c r="A43" s="125" t="str">
        <f>HYPERLINK("https://drive.google.com/open?id=0B-nn5iJ29NJaQ3VsQmVhSkF2QTA","Kant1984")</f>
        <v>Kant1984</v>
      </c>
      <c r="B43" s="90" t="s">
        <v>616</v>
      </c>
      <c r="C43" s="90" t="s">
        <v>617</v>
      </c>
      <c r="D43" s="128">
        <v>1984.0</v>
      </c>
      <c r="E43" s="135"/>
      <c r="F43" s="112"/>
      <c r="G43" s="112"/>
      <c r="H43" s="111">
        <v>1.0</v>
      </c>
      <c r="I43" s="112"/>
      <c r="J43" s="112"/>
      <c r="K43" s="112"/>
      <c r="L43" s="112"/>
      <c r="M43" s="112"/>
      <c r="N43" s="112"/>
      <c r="O43" s="112"/>
      <c r="P43" s="112"/>
      <c r="Q43" s="112"/>
      <c r="R43" s="112"/>
      <c r="S43" s="112"/>
      <c r="T43" s="112"/>
      <c r="U43" s="113" t="s">
        <v>618</v>
      </c>
      <c r="V43" s="113" t="s">
        <v>619</v>
      </c>
      <c r="W43" s="107"/>
      <c r="X43" s="107"/>
      <c r="Y43" s="113" t="s">
        <v>620</v>
      </c>
      <c r="Z43" s="111">
        <v>1.0</v>
      </c>
      <c r="AA43" s="112"/>
      <c r="AB43" s="112"/>
      <c r="AC43" s="111">
        <v>1.0</v>
      </c>
      <c r="AD43" s="112"/>
      <c r="AE43" s="112"/>
      <c r="AF43" s="112"/>
      <c r="AG43" s="117"/>
      <c r="AH43" s="115">
        <v>1.0</v>
      </c>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15">
        <v>1.0</v>
      </c>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row>
    <row r="44">
      <c r="A44" s="90" t="s">
        <v>4395</v>
      </c>
      <c r="B44" s="90" t="s">
        <v>4396</v>
      </c>
      <c r="C44" s="90" t="s">
        <v>987</v>
      </c>
      <c r="D44" s="128">
        <v>2014.0</v>
      </c>
      <c r="E44" s="133">
        <v>1.0</v>
      </c>
      <c r="F44" s="112"/>
      <c r="G44" s="112"/>
      <c r="H44" s="112"/>
      <c r="I44" s="112"/>
      <c r="J44" s="112"/>
      <c r="K44" s="112"/>
      <c r="L44" s="112"/>
      <c r="M44" s="112"/>
      <c r="N44" s="112"/>
      <c r="O44" s="112"/>
      <c r="P44" s="112"/>
      <c r="Q44" s="112"/>
      <c r="R44" s="112"/>
      <c r="S44" s="112"/>
      <c r="T44" s="112"/>
      <c r="U44" s="107"/>
      <c r="V44" s="107"/>
      <c r="W44" s="107"/>
      <c r="X44" s="107"/>
      <c r="Y44" s="107"/>
      <c r="Z44" s="112"/>
      <c r="AA44" s="112"/>
      <c r="AB44" s="112"/>
      <c r="AC44" s="112"/>
      <c r="AD44" s="112"/>
      <c r="AE44" s="112"/>
      <c r="AF44" s="112"/>
      <c r="AG44" s="117"/>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row>
    <row r="45">
      <c r="A45" s="125" t="str">
        <f>HYPERLINK("https://drive.google.com/open?id=0B-nn5iJ29NJadmhMQXRBdzEyNWc","Shmueli2016")</f>
        <v>Shmueli2016</v>
      </c>
      <c r="B45" s="90" t="s">
        <v>957</v>
      </c>
      <c r="C45" s="90" t="s">
        <v>181</v>
      </c>
      <c r="D45" s="128">
        <v>2016.0</v>
      </c>
      <c r="E45" s="132"/>
      <c r="F45" s="112"/>
      <c r="G45" s="112"/>
      <c r="H45" s="112"/>
      <c r="I45" s="112"/>
      <c r="J45" s="112"/>
      <c r="K45" s="112"/>
      <c r="L45" s="111">
        <v>1.0</v>
      </c>
      <c r="M45" s="112"/>
      <c r="N45" s="112"/>
      <c r="O45" s="112"/>
      <c r="P45" s="112"/>
      <c r="Q45" s="112"/>
      <c r="R45" s="112"/>
      <c r="S45" s="112"/>
      <c r="T45" s="112"/>
      <c r="U45" s="113" t="s">
        <v>958</v>
      </c>
      <c r="V45" s="113" t="s">
        <v>959</v>
      </c>
      <c r="W45" s="113" t="s">
        <v>960</v>
      </c>
      <c r="X45" s="113" t="s">
        <v>961</v>
      </c>
      <c r="Y45" s="113" t="s">
        <v>962</v>
      </c>
      <c r="Z45" s="112"/>
      <c r="AA45" s="111">
        <v>1.0</v>
      </c>
      <c r="AB45" s="112"/>
      <c r="AC45" s="111">
        <v>1.0</v>
      </c>
      <c r="AD45" s="112"/>
      <c r="AE45" s="112"/>
      <c r="AF45" s="112"/>
      <c r="AG45" s="117"/>
      <c r="AH45" s="115">
        <v>1.0</v>
      </c>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15">
        <v>1.0</v>
      </c>
      <c r="BI45" s="124"/>
      <c r="BJ45" s="124"/>
      <c r="BK45" s="124"/>
      <c r="BL45" s="124"/>
      <c r="BM45" s="124"/>
      <c r="BN45" s="124"/>
      <c r="BO45" s="124"/>
      <c r="BP45" s="124"/>
      <c r="BQ45" s="124"/>
      <c r="BR45" s="124"/>
      <c r="BS45" s="124"/>
      <c r="BT45" s="124"/>
      <c r="BU45" s="124"/>
      <c r="BV45" s="124"/>
      <c r="BW45" s="124"/>
      <c r="BX45" s="115">
        <v>1.0</v>
      </c>
      <c r="BY45" s="124"/>
      <c r="BZ45" s="124"/>
      <c r="CA45" s="124"/>
    </row>
    <row r="46">
      <c r="A46" s="127" t="str">
        <f>HYPERLINK("https://drive.google.com/open?id=0B-nn5iJ29NJab19vdWtRdENOcnc","Blackwell2002")</f>
        <v>Blackwell2002</v>
      </c>
      <c r="B46" s="90" t="s">
        <v>242</v>
      </c>
      <c r="C46" s="90" t="s">
        <v>243</v>
      </c>
      <c r="D46" s="128">
        <v>2002.0</v>
      </c>
      <c r="E46" s="129"/>
      <c r="F46" s="112"/>
      <c r="G46" s="112"/>
      <c r="H46" s="111">
        <v>1.0</v>
      </c>
      <c r="I46" s="112"/>
      <c r="J46" s="112"/>
      <c r="K46" s="112"/>
      <c r="L46" s="112"/>
      <c r="M46" s="112"/>
      <c r="N46" s="112"/>
      <c r="O46" s="112"/>
      <c r="P46" s="112"/>
      <c r="Q46" s="112"/>
      <c r="R46" s="112"/>
      <c r="S46" s="112"/>
      <c r="T46" s="112"/>
      <c r="U46" s="113" t="s">
        <v>244</v>
      </c>
      <c r="V46" s="107"/>
      <c r="W46" s="107"/>
      <c r="X46" s="107"/>
      <c r="Y46" s="113" t="s">
        <v>245</v>
      </c>
      <c r="Z46" s="112"/>
      <c r="AA46" s="112"/>
      <c r="AB46" s="111">
        <v>1.0</v>
      </c>
      <c r="AC46" s="111">
        <v>1.0</v>
      </c>
      <c r="AD46" s="112"/>
      <c r="AE46" s="112"/>
      <c r="AF46" s="112"/>
      <c r="AG46" s="117"/>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c r="A47" s="125" t="str">
        <f>HYPERLINK("https://drive.google.com/open?id=0B-nn5iJ29NJaZ1dNZkNhZWpjS0k","Henninger1997")</f>
        <v>Henninger1997</v>
      </c>
      <c r="B47" s="90" t="s">
        <v>4397</v>
      </c>
      <c r="C47" s="90" t="s">
        <v>3083</v>
      </c>
      <c r="D47" s="128">
        <v>1997.0</v>
      </c>
      <c r="E47" s="133">
        <v>1.0</v>
      </c>
      <c r="F47" s="112"/>
      <c r="G47" s="112"/>
      <c r="H47" s="112"/>
      <c r="I47" s="112"/>
      <c r="J47" s="112"/>
      <c r="K47" s="112"/>
      <c r="L47" s="112"/>
      <c r="M47" s="112"/>
      <c r="N47" s="112"/>
      <c r="O47" s="112"/>
      <c r="P47" s="112"/>
      <c r="Q47" s="112"/>
      <c r="R47" s="112"/>
      <c r="S47" s="112"/>
      <c r="T47" s="112"/>
      <c r="U47" s="107"/>
      <c r="V47" s="107"/>
      <c r="W47" s="107"/>
      <c r="X47" s="107"/>
      <c r="Y47" s="107"/>
      <c r="Z47" s="112"/>
      <c r="AA47" s="112"/>
      <c r="AB47" s="112"/>
      <c r="AC47" s="112"/>
      <c r="AD47" s="112"/>
      <c r="AE47" s="112"/>
      <c r="AF47" s="112"/>
      <c r="AG47" s="117"/>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c r="A48" s="125" t="str">
        <f>HYPERLINK("https://drive.google.com/open?id=0B-nn5iJ29NJadFI0SGI3bGx6RGM","Snajberk2011")</f>
        <v>Snajberk2011</v>
      </c>
      <c r="B48" s="90" t="s">
        <v>4398</v>
      </c>
      <c r="C48" s="90" t="s">
        <v>4399</v>
      </c>
      <c r="D48" s="128">
        <v>2011.0</v>
      </c>
      <c r="E48" s="133">
        <v>1.0</v>
      </c>
      <c r="F48" s="112"/>
      <c r="G48" s="112"/>
      <c r="H48" s="112"/>
      <c r="I48" s="112"/>
      <c r="J48" s="112"/>
      <c r="K48" s="112"/>
      <c r="L48" s="112"/>
      <c r="M48" s="112"/>
      <c r="N48" s="112"/>
      <c r="O48" s="112"/>
      <c r="P48" s="112"/>
      <c r="Q48" s="112"/>
      <c r="R48" s="112"/>
      <c r="S48" s="112"/>
      <c r="T48" s="112"/>
      <c r="U48" s="107"/>
      <c r="V48" s="107"/>
      <c r="W48" s="107"/>
      <c r="X48" s="107"/>
      <c r="Y48" s="107"/>
      <c r="Z48" s="112"/>
      <c r="AA48" s="112"/>
      <c r="AB48" s="112"/>
      <c r="AC48" s="112"/>
      <c r="AD48" s="112"/>
      <c r="AE48" s="112"/>
      <c r="AF48" s="112"/>
      <c r="AG48" s="117"/>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c r="A49" s="127" t="str">
        <f>HYPERLINK("https://drive.google.com/open?id=0B-nn5iJ29NJaaTAtUTk0M0psSjA","Chilton2005")</f>
        <v>Chilton2005</v>
      </c>
      <c r="B49" s="90" t="s">
        <v>320</v>
      </c>
      <c r="C49" s="90" t="s">
        <v>321</v>
      </c>
      <c r="D49" s="128">
        <v>2005.0</v>
      </c>
      <c r="E49" s="132"/>
      <c r="F49" s="112"/>
      <c r="G49" s="112"/>
      <c r="H49" s="112"/>
      <c r="I49" s="112"/>
      <c r="J49" s="112"/>
      <c r="K49" s="112"/>
      <c r="L49" s="112"/>
      <c r="M49" s="112"/>
      <c r="N49" s="112"/>
      <c r="O49" s="112"/>
      <c r="P49" s="111">
        <v>1.0</v>
      </c>
      <c r="Q49" s="112"/>
      <c r="R49" s="112"/>
      <c r="S49" s="112"/>
      <c r="T49" s="112"/>
      <c r="U49" s="113" t="s">
        <v>4400</v>
      </c>
      <c r="V49" s="113" t="s">
        <v>323</v>
      </c>
      <c r="W49" s="107"/>
      <c r="X49" s="113" t="s">
        <v>324</v>
      </c>
      <c r="Y49" s="113" t="s">
        <v>325</v>
      </c>
      <c r="Z49" s="112"/>
      <c r="AA49" s="111">
        <v>1.0</v>
      </c>
      <c r="AB49" s="112"/>
      <c r="AC49" s="111">
        <v>1.0</v>
      </c>
      <c r="AD49" s="112"/>
      <c r="AE49" s="112"/>
      <c r="AF49" s="112"/>
      <c r="AG49" s="117"/>
      <c r="AH49" s="115" t="s">
        <v>1240</v>
      </c>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v>1.0</v>
      </c>
      <c r="CA49" s="115"/>
    </row>
    <row r="50">
      <c r="A50" s="127" t="str">
        <f>HYPERLINK("https://drive.google.com/open?id=0B-nn5iJ29NJaR1NZblBibG9RQjg","Xie2011")</f>
        <v>Xie2011</v>
      </c>
      <c r="B50" s="90" t="s">
        <v>1256</v>
      </c>
      <c r="C50" s="90" t="s">
        <v>588</v>
      </c>
      <c r="D50" s="128">
        <v>2011.0</v>
      </c>
      <c r="E50" s="131"/>
      <c r="F50" s="112"/>
      <c r="G50" s="112"/>
      <c r="H50" s="111">
        <v>1.0</v>
      </c>
      <c r="I50" s="112"/>
      <c r="J50" s="112"/>
      <c r="K50" s="112"/>
      <c r="L50" s="112"/>
      <c r="M50" s="112"/>
      <c r="N50" s="112"/>
      <c r="O50" s="112"/>
      <c r="P50" s="112"/>
      <c r="Q50" s="112"/>
      <c r="R50" s="112"/>
      <c r="S50" s="112"/>
      <c r="T50" s="112"/>
      <c r="U50" s="113" t="s">
        <v>4401</v>
      </c>
      <c r="V50" s="113" t="s">
        <v>1257</v>
      </c>
      <c r="W50" s="107"/>
      <c r="X50" s="113" t="s">
        <v>1258</v>
      </c>
      <c r="Y50" s="113" t="s">
        <v>1259</v>
      </c>
      <c r="Z50" s="112"/>
      <c r="AA50" s="112"/>
      <c r="AB50" s="112"/>
      <c r="AC50" s="111">
        <v>1.0</v>
      </c>
      <c r="AD50" s="112"/>
      <c r="AE50" s="112"/>
      <c r="AF50" s="112"/>
      <c r="AG50" s="117"/>
      <c r="AH50" s="115" t="s">
        <v>1240</v>
      </c>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row>
    <row r="51">
      <c r="A51" s="125" t="str">
        <f>HYPERLINK("https://drive.google.com/open?id=0B-nn5iJ29NJaNXZDX29fOUE5cUk","Zhou2008")</f>
        <v>Zhou2008</v>
      </c>
      <c r="B51" s="90" t="s">
        <v>2351</v>
      </c>
      <c r="C51" s="90" t="s">
        <v>4402</v>
      </c>
      <c r="D51" s="128">
        <v>2008.0</v>
      </c>
      <c r="E51" s="131">
        <v>1.0</v>
      </c>
      <c r="F51" s="112"/>
      <c r="G51" s="112"/>
      <c r="H51" s="112"/>
      <c r="I51" s="112"/>
      <c r="J51" s="112"/>
      <c r="K51" s="112"/>
      <c r="L51" s="112"/>
      <c r="M51" s="112"/>
      <c r="N51" s="112"/>
      <c r="O51" s="112"/>
      <c r="P51" s="112"/>
      <c r="Q51" s="112"/>
      <c r="R51" s="112"/>
      <c r="S51" s="112"/>
      <c r="T51" s="112"/>
      <c r="U51" s="107"/>
      <c r="V51" s="113"/>
      <c r="W51" s="107"/>
      <c r="X51" s="107"/>
      <c r="Y51" s="107"/>
      <c r="Z51" s="112"/>
      <c r="AA51" s="112"/>
      <c r="AB51" s="112"/>
      <c r="AC51" s="112"/>
      <c r="AD51" s="112"/>
      <c r="AE51" s="112"/>
      <c r="AF51" s="112"/>
      <c r="AG51" s="117"/>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row>
    <row r="52">
      <c r="A52" s="125" t="str">
        <f>HYPERLINK("https://drive.google.com/open?id=0B-nn5iJ29NJaTXd6ckdfbDlIWVU","Anu2016")</f>
        <v>Anu2016</v>
      </c>
      <c r="B52" s="90" t="s">
        <v>125</v>
      </c>
      <c r="C52" s="90" t="s">
        <v>126</v>
      </c>
      <c r="D52" s="128">
        <v>2016.0</v>
      </c>
      <c r="E52" s="129"/>
      <c r="F52" s="111">
        <v>1.0</v>
      </c>
      <c r="G52" s="112"/>
      <c r="H52" s="112"/>
      <c r="I52" s="112"/>
      <c r="J52" s="112"/>
      <c r="K52" s="112"/>
      <c r="L52" s="112"/>
      <c r="M52" s="112"/>
      <c r="N52" s="112"/>
      <c r="O52" s="112"/>
      <c r="P52" s="112"/>
      <c r="Q52" s="112"/>
      <c r="R52" s="112"/>
      <c r="S52" s="112"/>
      <c r="T52" s="112"/>
      <c r="U52" s="113" t="s">
        <v>127</v>
      </c>
      <c r="V52" s="113" t="s">
        <v>128</v>
      </c>
      <c r="W52" s="113" t="s">
        <v>129</v>
      </c>
      <c r="X52" s="113" t="s">
        <v>130</v>
      </c>
      <c r="Y52" s="113" t="s">
        <v>131</v>
      </c>
      <c r="Z52" s="111">
        <v>1.0</v>
      </c>
      <c r="AA52" s="112"/>
      <c r="AB52" s="112"/>
      <c r="AC52" s="111">
        <v>1.0</v>
      </c>
      <c r="AD52" s="112"/>
      <c r="AE52" s="112"/>
      <c r="AF52" s="112"/>
      <c r="AG52" s="117"/>
      <c r="AH52" s="115">
        <v>1.0</v>
      </c>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v>1.0</v>
      </c>
      <c r="BH52" s="115"/>
      <c r="BI52" s="115"/>
      <c r="BJ52" s="115"/>
      <c r="BK52" s="115"/>
      <c r="BL52" s="115"/>
      <c r="BM52" s="115"/>
      <c r="BN52" s="115"/>
      <c r="BO52" s="115"/>
      <c r="BP52" s="115"/>
      <c r="BQ52" s="115"/>
      <c r="BR52" s="115"/>
      <c r="BS52" s="115"/>
      <c r="BT52" s="115"/>
      <c r="BU52" s="115"/>
      <c r="BV52" s="115"/>
      <c r="BW52" s="115"/>
      <c r="BX52" s="115">
        <v>1.0</v>
      </c>
      <c r="BY52" s="115"/>
      <c r="BZ52" s="115"/>
      <c r="CA52" s="115"/>
    </row>
    <row r="53">
      <c r="A53" s="125" t="str">
        <f>HYPERLINK("https://drive.google.com/open?id=0B-nn5iJ29NJaS3I5OFNCMVBwYnM","Norman2013")</f>
        <v>Norman2013</v>
      </c>
      <c r="B53" s="90" t="s">
        <v>4403</v>
      </c>
      <c r="C53" s="90" t="s">
        <v>4404</v>
      </c>
      <c r="D53" s="128">
        <v>2013.0</v>
      </c>
      <c r="E53" s="131">
        <v>1.0</v>
      </c>
      <c r="F53" s="112"/>
      <c r="G53" s="112"/>
      <c r="H53" s="112"/>
      <c r="I53" s="112"/>
      <c r="J53" s="112"/>
      <c r="K53" s="112"/>
      <c r="L53" s="112"/>
      <c r="M53" s="112"/>
      <c r="N53" s="112"/>
      <c r="O53" s="112"/>
      <c r="P53" s="112"/>
      <c r="Q53" s="112"/>
      <c r="R53" s="112"/>
      <c r="S53" s="112"/>
      <c r="T53" s="112"/>
      <c r="U53" s="107"/>
      <c r="V53" s="107"/>
      <c r="W53" s="107"/>
      <c r="X53" s="107"/>
      <c r="Y53" s="107"/>
      <c r="Z53" s="112"/>
      <c r="AA53" s="112"/>
      <c r="AB53" s="112"/>
      <c r="AC53" s="112"/>
      <c r="AD53" s="112"/>
      <c r="AE53" s="112"/>
      <c r="AF53" s="112"/>
      <c r="AG53" s="117"/>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row>
    <row r="54">
      <c r="A54" s="125" t="str">
        <f>HYPERLINK("https://drive.google.com/open?id=0B00cIHsghs6UbXdvMmsxY0RMY0E","Potts1999")</f>
        <v>Potts1999</v>
      </c>
      <c r="B54" s="90" t="s">
        <v>868</v>
      </c>
      <c r="C54" s="90" t="s">
        <v>688</v>
      </c>
      <c r="D54" s="128">
        <v>1999.0</v>
      </c>
      <c r="E54" s="129"/>
      <c r="F54" s="111">
        <v>1.0</v>
      </c>
      <c r="G54" s="112"/>
      <c r="H54" s="112"/>
      <c r="I54" s="112"/>
      <c r="J54" s="112"/>
      <c r="K54" s="112"/>
      <c r="L54" s="112"/>
      <c r="M54" s="112"/>
      <c r="N54" s="112"/>
      <c r="O54" s="112"/>
      <c r="P54" s="112"/>
      <c r="Q54" s="112"/>
      <c r="R54" s="112"/>
      <c r="S54" s="112"/>
      <c r="T54" s="112"/>
      <c r="U54" s="113" t="s">
        <v>869</v>
      </c>
      <c r="V54" s="107"/>
      <c r="W54" s="107"/>
      <c r="X54" s="107"/>
      <c r="Y54" s="113" t="s">
        <v>870</v>
      </c>
      <c r="Z54" s="112"/>
      <c r="AA54" s="112"/>
      <c r="AB54" s="111">
        <v>1.0</v>
      </c>
      <c r="AC54" s="112"/>
      <c r="AD54" s="112"/>
      <c r="AE54" s="112"/>
      <c r="AF54" s="112"/>
      <c r="AG54" s="117"/>
      <c r="AH54" s="115">
        <v>1.0</v>
      </c>
      <c r="AI54" s="124"/>
      <c r="AJ54" s="124"/>
      <c r="AK54" s="124"/>
      <c r="AL54" s="124"/>
      <c r="AM54" s="115">
        <v>1.0</v>
      </c>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row>
    <row r="55">
      <c r="A55" s="127" t="str">
        <f>HYPERLINK("https://drive.google.com/open?id=0B-nn5iJ29NJabndoY1ZFUVpLRW8","Swan2005")</f>
        <v>Swan2005</v>
      </c>
      <c r="B55" s="90" t="s">
        <v>1086</v>
      </c>
      <c r="C55" s="90" t="s">
        <v>1087</v>
      </c>
      <c r="D55" s="128">
        <v>2005.0</v>
      </c>
      <c r="E55" s="129"/>
      <c r="F55" s="112"/>
      <c r="G55" s="111">
        <v>1.0</v>
      </c>
      <c r="H55" s="112"/>
      <c r="I55" s="112"/>
      <c r="J55" s="112"/>
      <c r="K55" s="112"/>
      <c r="L55" s="112"/>
      <c r="M55" s="112"/>
      <c r="N55" s="112"/>
      <c r="O55" s="112"/>
      <c r="P55" s="112"/>
      <c r="Q55" s="112"/>
      <c r="R55" s="112"/>
      <c r="S55" s="112"/>
      <c r="T55" s="112"/>
      <c r="U55" s="107"/>
      <c r="V55" s="113" t="s">
        <v>1088</v>
      </c>
      <c r="W55" s="107"/>
      <c r="X55" s="107"/>
      <c r="Y55" s="113" t="s">
        <v>1089</v>
      </c>
      <c r="Z55" s="111">
        <v>1.0</v>
      </c>
      <c r="AA55" s="112"/>
      <c r="AB55" s="112"/>
      <c r="AC55" s="111">
        <v>1.0</v>
      </c>
      <c r="AD55" s="112"/>
      <c r="AE55" s="112"/>
      <c r="AF55" s="112"/>
      <c r="AG55" s="117"/>
      <c r="AH55" s="115" t="s">
        <v>1240</v>
      </c>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row>
    <row r="56">
      <c r="A56" s="125" t="str">
        <f>HYPERLINK("https://drive.google.com/open?id=0B-nn5iJ29NJaanh1dGo3QmhPZHM","Brown1994")</f>
        <v>Brown1994</v>
      </c>
      <c r="B56" s="90" t="s">
        <v>4405</v>
      </c>
      <c r="C56" s="90" t="s">
        <v>4406</v>
      </c>
      <c r="D56" s="128">
        <v>1994.0</v>
      </c>
      <c r="E56" s="133">
        <v>1.0</v>
      </c>
      <c r="F56" s="112"/>
      <c r="G56" s="112"/>
      <c r="H56" s="112"/>
      <c r="I56" s="112"/>
      <c r="J56" s="112"/>
      <c r="K56" s="112"/>
      <c r="L56" s="112"/>
      <c r="M56" s="112"/>
      <c r="N56" s="112"/>
      <c r="O56" s="112"/>
      <c r="P56" s="112"/>
      <c r="Q56" s="112"/>
      <c r="R56" s="112"/>
      <c r="S56" s="112"/>
      <c r="T56" s="112"/>
      <c r="U56" s="107"/>
      <c r="V56" s="107"/>
      <c r="W56" s="107"/>
      <c r="X56" s="107"/>
      <c r="Y56" s="107"/>
      <c r="Z56" s="112"/>
      <c r="AA56" s="112"/>
      <c r="AB56" s="112"/>
      <c r="AC56" s="112"/>
      <c r="AD56" s="112"/>
      <c r="AE56" s="112"/>
      <c r="AF56" s="112"/>
      <c r="AG56" s="117"/>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c r="A57" s="125" t="str">
        <f>HYPERLINK("https://drive.google.com/open?id=0B-nn5iJ29NJaa2Z3azR0TFRMcWM","Adar1991")</f>
        <v>Adar1991</v>
      </c>
      <c r="B57" s="90" t="s">
        <v>4407</v>
      </c>
      <c r="C57" s="90" t="s">
        <v>4408</v>
      </c>
      <c r="D57" s="128">
        <v>1991.0</v>
      </c>
      <c r="E57" s="131">
        <v>1.0</v>
      </c>
      <c r="F57" s="112"/>
      <c r="G57" s="112"/>
      <c r="H57" s="112"/>
      <c r="I57" s="112"/>
      <c r="J57" s="112"/>
      <c r="K57" s="112"/>
      <c r="L57" s="112"/>
      <c r="M57" s="112"/>
      <c r="N57" s="112"/>
      <c r="O57" s="112"/>
      <c r="P57" s="112"/>
      <c r="Q57" s="112"/>
      <c r="R57" s="112"/>
      <c r="S57" s="112"/>
      <c r="T57" s="112"/>
      <c r="U57" s="107"/>
      <c r="V57" s="107"/>
      <c r="W57" s="107"/>
      <c r="X57" s="107"/>
      <c r="Y57" s="107"/>
      <c r="Z57" s="112"/>
      <c r="AA57" s="112"/>
      <c r="AB57" s="112"/>
      <c r="AC57" s="112"/>
      <c r="AD57" s="112"/>
      <c r="AE57" s="112"/>
      <c r="AF57" s="112"/>
      <c r="AG57" s="117"/>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row>
    <row r="58">
      <c r="A58" s="125" t="str">
        <f>HYPERLINK("https://drive.google.com/open?id=0B-nn5iJ29NJaaTRaYkt1MGdYbWs","Calikli2012")</f>
        <v>Calikli2012</v>
      </c>
      <c r="B58" s="90" t="s">
        <v>295</v>
      </c>
      <c r="C58" s="90" t="s">
        <v>296</v>
      </c>
      <c r="D58" s="128">
        <v>2012.0</v>
      </c>
      <c r="E58" s="129"/>
      <c r="F58" s="112"/>
      <c r="G58" s="112"/>
      <c r="H58" s="112"/>
      <c r="I58" s="112"/>
      <c r="J58" s="112"/>
      <c r="K58" s="112"/>
      <c r="L58" s="112"/>
      <c r="M58" s="112"/>
      <c r="N58" s="112"/>
      <c r="O58" s="111">
        <v>1.0</v>
      </c>
      <c r="P58" s="112"/>
      <c r="Q58" s="112"/>
      <c r="R58" s="112"/>
      <c r="S58" s="112"/>
      <c r="T58" s="112"/>
      <c r="U58" s="107"/>
      <c r="V58" s="113" t="s">
        <v>263</v>
      </c>
      <c r="W58" s="107"/>
      <c r="X58" s="107"/>
      <c r="Y58" s="113" t="s">
        <v>297</v>
      </c>
      <c r="Z58" s="112"/>
      <c r="AA58" s="112"/>
      <c r="AB58" s="111">
        <v>1.0</v>
      </c>
      <c r="AC58" s="112"/>
      <c r="AD58" s="112"/>
      <c r="AE58" s="112"/>
      <c r="AF58" s="112"/>
      <c r="AG58" s="117"/>
      <c r="AH58" s="115">
        <v>1.0</v>
      </c>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24"/>
      <c r="BE58" s="124"/>
      <c r="BF58" s="124"/>
      <c r="BG58" s="124"/>
      <c r="BH58" s="115">
        <v>1.0</v>
      </c>
      <c r="BI58" s="124"/>
      <c r="BJ58" s="124"/>
      <c r="BK58" s="124"/>
      <c r="BL58" s="124"/>
      <c r="BM58" s="124"/>
      <c r="BN58" s="124"/>
      <c r="BO58" s="124"/>
      <c r="BP58" s="124"/>
      <c r="BQ58" s="124"/>
      <c r="BR58" s="124"/>
      <c r="BS58" s="124"/>
      <c r="BT58" s="124"/>
      <c r="BU58" s="124"/>
      <c r="BV58" s="124"/>
      <c r="BW58" s="124"/>
      <c r="BX58" s="124"/>
      <c r="BY58" s="124"/>
      <c r="BZ58" s="124"/>
      <c r="CA58" s="124"/>
    </row>
    <row r="59">
      <c r="A59" s="136" t="s">
        <v>4409</v>
      </c>
      <c r="C59" s="107"/>
      <c r="D59" s="137"/>
      <c r="E59" s="112" t="str">
        <f>ROWS(E3:E58)&amp;" ("&amp;ROWS(E3:E58)-sum(E3:E58)&amp;"/"&amp;sum(E3:E58)&amp;")"</f>
        <v>56 (38/18)</v>
      </c>
      <c r="F59" s="112"/>
      <c r="G59" s="112"/>
      <c r="H59" s="112"/>
      <c r="I59" s="112"/>
      <c r="J59" s="112"/>
      <c r="K59" s="112"/>
      <c r="L59" s="112"/>
      <c r="M59" s="112"/>
      <c r="N59" s="112"/>
      <c r="O59" s="112"/>
      <c r="P59" s="112"/>
      <c r="Q59" s="112"/>
      <c r="R59" s="112"/>
      <c r="S59" s="112"/>
      <c r="T59" s="112"/>
      <c r="U59" s="107"/>
      <c r="V59" s="107"/>
      <c r="W59" s="107"/>
      <c r="X59" s="107"/>
      <c r="Y59" s="107"/>
      <c r="Z59" s="112"/>
      <c r="AA59" s="112"/>
      <c r="AB59" s="112"/>
      <c r="AC59" s="112"/>
      <c r="AD59" s="112"/>
      <c r="AE59" s="112"/>
      <c r="AF59" s="112"/>
      <c r="AG59" s="117"/>
      <c r="AH59" s="124"/>
      <c r="AI59" s="124"/>
      <c r="AJ59" s="124"/>
      <c r="AK59" s="124"/>
      <c r="AL59" s="124"/>
      <c r="AM59" s="124"/>
      <c r="AN59" s="124"/>
      <c r="AO59" s="124"/>
      <c r="AP59" s="124"/>
      <c r="AQ59" s="124"/>
      <c r="AR59" s="124"/>
      <c r="AS59" s="124"/>
      <c r="AT59" s="124"/>
      <c r="AU59" s="124"/>
      <c r="AV59" s="124"/>
      <c r="AW59" s="124"/>
      <c r="AX59" s="124"/>
      <c r="AY59" s="124"/>
      <c r="AZ59" s="124"/>
      <c r="BA59" s="124"/>
      <c r="BB59" s="124"/>
      <c r="BC59" s="124"/>
      <c r="BD59" s="124"/>
      <c r="BE59" s="124"/>
      <c r="BF59" s="124"/>
      <c r="BG59" s="124"/>
      <c r="BH59" s="124"/>
      <c r="BI59" s="124"/>
      <c r="BJ59" s="124"/>
      <c r="BK59" s="124"/>
      <c r="BL59" s="124"/>
      <c r="BM59" s="124"/>
      <c r="BN59" s="124"/>
      <c r="BO59" s="124"/>
      <c r="BP59" s="124"/>
      <c r="BQ59" s="124"/>
      <c r="BR59" s="124"/>
      <c r="BS59" s="124"/>
      <c r="BT59" s="124"/>
      <c r="BU59" s="124"/>
      <c r="BV59" s="124"/>
      <c r="BW59" s="124"/>
      <c r="BX59" s="124"/>
      <c r="BY59" s="124"/>
      <c r="BZ59" s="124"/>
      <c r="CA59" s="124"/>
    </row>
    <row r="60">
      <c r="A60" s="138" t="str">
        <f>HYPERLINK("https://drive.google.com/open?id=1i4TXOosnai-wnNjxWbLEkksA4W72RsvW","Brooks1983")</f>
        <v>Brooks1983</v>
      </c>
      <c r="B60" s="113" t="s">
        <v>256</v>
      </c>
      <c r="C60" s="113" t="s">
        <v>257</v>
      </c>
      <c r="D60" s="110">
        <v>1983.0</v>
      </c>
      <c r="E60" s="112"/>
      <c r="F60" s="112"/>
      <c r="G60" s="112"/>
      <c r="H60" s="111">
        <v>1.0</v>
      </c>
      <c r="I60" s="112"/>
      <c r="J60" s="112"/>
      <c r="K60" s="112"/>
      <c r="L60" s="112"/>
      <c r="M60" s="112"/>
      <c r="N60" s="112"/>
      <c r="O60" s="112"/>
      <c r="P60" s="112"/>
      <c r="Q60" s="112"/>
      <c r="R60" s="112"/>
      <c r="S60" s="112"/>
      <c r="T60" s="112"/>
      <c r="U60" s="107"/>
      <c r="V60" s="113" t="s">
        <v>258</v>
      </c>
      <c r="W60" s="107"/>
      <c r="X60" s="107"/>
      <c r="Y60" s="113" t="s">
        <v>259</v>
      </c>
      <c r="Z60" s="112"/>
      <c r="AA60" s="111">
        <v>1.0</v>
      </c>
      <c r="AB60" s="112"/>
      <c r="AC60" s="112"/>
      <c r="AD60" s="112"/>
      <c r="AE60" s="111">
        <v>1.0</v>
      </c>
      <c r="AF60" s="112"/>
      <c r="AG60" s="117"/>
      <c r="AH60" s="115">
        <v>1.0</v>
      </c>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c r="BG60" s="124"/>
      <c r="BH60" s="124"/>
      <c r="BI60" s="115">
        <v>1.0</v>
      </c>
      <c r="BJ60" s="124"/>
      <c r="BK60" s="124"/>
      <c r="BL60" s="124"/>
      <c r="BM60" s="124"/>
      <c r="BN60" s="124"/>
      <c r="BO60" s="124"/>
      <c r="BP60" s="124"/>
      <c r="BQ60" s="124"/>
      <c r="BR60" s="124"/>
      <c r="BS60" s="124"/>
      <c r="BT60" s="124"/>
      <c r="BU60" s="124"/>
      <c r="BV60" s="124"/>
      <c r="BW60" s="124"/>
      <c r="BX60" s="124"/>
      <c r="BY60" s="124"/>
      <c r="BZ60" s="124"/>
      <c r="CA60" s="124"/>
    </row>
    <row r="61">
      <c r="A61" s="138" t="str">
        <f>HYPERLINK("https://drive.google.com/open?id=192KK8UbQdNX2Q7NJDtZ_h23wbkprk06_","Browne2002")</f>
        <v>Browne2002</v>
      </c>
      <c r="B61" s="113" t="s">
        <v>260</v>
      </c>
      <c r="C61" s="113" t="s">
        <v>261</v>
      </c>
      <c r="D61" s="110">
        <v>2002.0</v>
      </c>
      <c r="E61" s="112"/>
      <c r="F61" s="111">
        <v>1.0</v>
      </c>
      <c r="G61" s="112"/>
      <c r="H61" s="111"/>
      <c r="I61" s="112"/>
      <c r="J61" s="112"/>
      <c r="K61" s="112"/>
      <c r="L61" s="112"/>
      <c r="M61" s="112"/>
      <c r="N61" s="112"/>
      <c r="O61" s="112"/>
      <c r="P61" s="112"/>
      <c r="Q61" s="112"/>
      <c r="R61" s="112"/>
      <c r="S61" s="112"/>
      <c r="T61" s="112"/>
      <c r="U61" s="113" t="s">
        <v>262</v>
      </c>
      <c r="V61" s="113" t="s">
        <v>263</v>
      </c>
      <c r="W61" s="113" t="s">
        <v>264</v>
      </c>
      <c r="X61" s="113" t="s">
        <v>265</v>
      </c>
      <c r="Y61" s="113" t="s">
        <v>266</v>
      </c>
      <c r="Z61" s="112"/>
      <c r="AA61" s="112"/>
      <c r="AB61" s="111">
        <v>1.0</v>
      </c>
      <c r="AC61" s="112"/>
      <c r="AD61" s="112"/>
      <c r="AE61" s="112"/>
      <c r="AF61" s="112"/>
      <c r="AG61" s="117"/>
      <c r="AH61" s="115">
        <v>1.0</v>
      </c>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24"/>
      <c r="BE61" s="124"/>
      <c r="BF61" s="124"/>
      <c r="BG61" s="124"/>
      <c r="BH61" s="115">
        <v>1.0</v>
      </c>
      <c r="BI61" s="124"/>
      <c r="BJ61" s="124"/>
      <c r="BK61" s="124"/>
      <c r="BL61" s="124"/>
      <c r="BM61" s="124"/>
      <c r="BN61" s="124"/>
      <c r="BO61" s="124"/>
      <c r="BP61" s="124"/>
      <c r="BQ61" s="124"/>
      <c r="BR61" s="124"/>
      <c r="BS61" s="124"/>
      <c r="BT61" s="124"/>
      <c r="BU61" s="124"/>
      <c r="BV61" s="124"/>
      <c r="BW61" s="124"/>
      <c r="BX61" s="115">
        <v>1.0</v>
      </c>
      <c r="BY61" s="124"/>
      <c r="BZ61" s="124"/>
      <c r="CA61" s="124"/>
    </row>
    <row r="62">
      <c r="A62" s="139" t="str">
        <f>HYPERLINK("https://drive.google.com/open?id=17eGC-n3xmlQwz2BJvvI_OKSdZojSBlu4","Burkhardt2002")</f>
        <v>Burkhardt2002</v>
      </c>
      <c r="B62" s="113" t="s">
        <v>267</v>
      </c>
      <c r="C62" s="113" t="s">
        <v>268</v>
      </c>
      <c r="D62" s="110">
        <v>2002.0</v>
      </c>
      <c r="E62" s="112"/>
      <c r="F62" s="112"/>
      <c r="G62" s="111">
        <v>1.0</v>
      </c>
      <c r="H62" s="111">
        <v>1.0</v>
      </c>
      <c r="I62" s="112"/>
      <c r="J62" s="112"/>
      <c r="K62" s="112"/>
      <c r="L62" s="112"/>
      <c r="M62" s="112"/>
      <c r="N62" s="112"/>
      <c r="O62" s="112"/>
      <c r="P62" s="112"/>
      <c r="Q62" s="112"/>
      <c r="R62" s="112"/>
      <c r="S62" s="112"/>
      <c r="T62" s="112"/>
      <c r="U62" s="113" t="s">
        <v>269</v>
      </c>
      <c r="V62" s="113" t="s">
        <v>270</v>
      </c>
      <c r="W62" s="107"/>
      <c r="X62" s="113" t="s">
        <v>271</v>
      </c>
      <c r="Y62" s="113" t="s">
        <v>272</v>
      </c>
      <c r="Z62" s="111">
        <v>1.0</v>
      </c>
      <c r="AA62" s="111">
        <v>1.0</v>
      </c>
      <c r="AB62" s="111"/>
      <c r="AC62" s="111">
        <v>1.0</v>
      </c>
      <c r="AD62" s="112"/>
      <c r="AE62" s="112"/>
      <c r="AF62" s="112"/>
      <c r="AG62" s="117"/>
      <c r="AH62" s="115">
        <v>1.0</v>
      </c>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15" t="s">
        <v>1240</v>
      </c>
      <c r="BE62" s="124"/>
      <c r="BF62" s="124"/>
      <c r="BG62" s="124"/>
      <c r="BH62" s="124"/>
      <c r="BI62" s="115" t="s">
        <v>1240</v>
      </c>
      <c r="BJ62" s="124"/>
      <c r="BK62" s="124"/>
      <c r="BL62" s="124"/>
      <c r="BM62" s="124"/>
      <c r="BN62" s="124"/>
      <c r="BO62" s="124"/>
      <c r="BP62" s="124"/>
      <c r="BQ62" s="124"/>
      <c r="BR62" s="124"/>
      <c r="BS62" s="124"/>
      <c r="BT62" s="124"/>
      <c r="BU62" s="124"/>
      <c r="BV62" s="124"/>
      <c r="BW62" s="124"/>
      <c r="BX62" s="115">
        <v>1.0</v>
      </c>
      <c r="BY62" s="124"/>
      <c r="BZ62" s="124"/>
      <c r="CA62" s="124"/>
    </row>
    <row r="63">
      <c r="A63" s="139" t="str">
        <f>HYPERLINK("https://drive.google.com/open?id=1cTzhfRYF-_spkdfYbSzBlduyNEcWbnEj","Fritz2014a")</f>
        <v>Fritz2014a</v>
      </c>
      <c r="B63" s="113" t="s">
        <v>477</v>
      </c>
      <c r="C63" s="113" t="s">
        <v>478</v>
      </c>
      <c r="D63" s="110">
        <v>2014.0</v>
      </c>
      <c r="E63" s="112"/>
      <c r="F63" s="112"/>
      <c r="G63" s="112"/>
      <c r="H63" s="111">
        <v>1.0</v>
      </c>
      <c r="I63" s="112"/>
      <c r="J63" s="111">
        <v>1.0</v>
      </c>
      <c r="K63" s="112"/>
      <c r="L63" s="112"/>
      <c r="M63" s="112"/>
      <c r="N63" s="112"/>
      <c r="O63" s="112"/>
      <c r="P63" s="112"/>
      <c r="Q63" s="112"/>
      <c r="R63" s="112"/>
      <c r="S63" s="112"/>
      <c r="T63" s="112"/>
      <c r="U63" s="107"/>
      <c r="V63" s="107"/>
      <c r="W63" s="113" t="s">
        <v>480</v>
      </c>
      <c r="X63" s="107"/>
      <c r="Y63" s="113" t="s">
        <v>481</v>
      </c>
      <c r="Z63" s="111">
        <v>1.0</v>
      </c>
      <c r="AA63" s="112"/>
      <c r="AB63" s="112"/>
      <c r="AC63" s="111">
        <v>1.0</v>
      </c>
      <c r="AD63" s="112"/>
      <c r="AE63" s="112"/>
      <c r="AF63" s="112"/>
      <c r="AG63" s="117"/>
      <c r="AH63" s="115" t="s">
        <v>1240</v>
      </c>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row>
    <row r="64">
      <c r="A64" s="139" t="str">
        <f>HYPERLINK("https://drive.google.com/open?id=1u1aBFyFg8PIHdg32ko1vBCzMGp6cCHgo","Walenstein2003")</f>
        <v>Walenstein2003</v>
      </c>
      <c r="B64" s="113" t="s">
        <v>1188</v>
      </c>
      <c r="C64" s="113" t="s">
        <v>1189</v>
      </c>
      <c r="D64" s="110">
        <v>2003.0</v>
      </c>
      <c r="E64" s="112"/>
      <c r="F64" s="112"/>
      <c r="G64" s="112"/>
      <c r="H64" s="111">
        <v>1.0</v>
      </c>
      <c r="I64" s="112"/>
      <c r="J64" s="112"/>
      <c r="K64" s="112"/>
      <c r="L64" s="112"/>
      <c r="M64" s="112"/>
      <c r="N64" s="112"/>
      <c r="O64" s="112"/>
      <c r="P64" s="112"/>
      <c r="Q64" s="112"/>
      <c r="R64" s="112"/>
      <c r="S64" s="112"/>
      <c r="T64" s="112"/>
      <c r="U64" s="113" t="s">
        <v>1190</v>
      </c>
      <c r="V64" s="113" t="s">
        <v>1191</v>
      </c>
      <c r="W64" s="107"/>
      <c r="X64" s="113" t="s">
        <v>1192</v>
      </c>
      <c r="Y64" s="113" t="s">
        <v>1193</v>
      </c>
      <c r="Z64" s="112"/>
      <c r="AA64" s="111">
        <v>1.0</v>
      </c>
      <c r="AB64" s="112"/>
      <c r="AC64" s="111">
        <v>1.0</v>
      </c>
      <c r="AD64" s="112"/>
      <c r="AE64" s="112"/>
      <c r="AF64" s="112"/>
      <c r="AG64" s="117"/>
      <c r="AH64" s="115">
        <v>1.0</v>
      </c>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15" t="s">
        <v>1240</v>
      </c>
      <c r="BE64" s="124"/>
      <c r="BF64" s="124"/>
      <c r="BG64" s="124"/>
      <c r="BH64" s="124"/>
      <c r="BI64" s="115" t="s">
        <v>1240</v>
      </c>
      <c r="BJ64" s="124"/>
      <c r="BK64" s="124"/>
      <c r="BL64" s="124"/>
      <c r="BM64" s="124"/>
      <c r="BN64" s="124"/>
      <c r="BO64" s="124"/>
      <c r="BP64" s="124"/>
      <c r="BQ64" s="124"/>
      <c r="BR64" s="124"/>
      <c r="BS64" s="124"/>
      <c r="BT64" s="124"/>
      <c r="BU64" s="124"/>
      <c r="BV64" s="124"/>
      <c r="BW64" s="124"/>
      <c r="BX64" s="124"/>
      <c r="BY64" s="124"/>
      <c r="BZ64" s="124"/>
      <c r="CA64" s="115">
        <v>1.0</v>
      </c>
    </row>
    <row r="65">
      <c r="A65" s="138" t="str">
        <f>HYPERLINK("https://drive.google.com/open?id=1Zw5V-4TpVSJtiIvX95lp_SXJPEX6Hsmo","Gilmore1988")</f>
        <v>Gilmore1988</v>
      </c>
      <c r="B65" s="113" t="s">
        <v>498</v>
      </c>
      <c r="C65" s="113" t="s">
        <v>499</v>
      </c>
      <c r="D65" s="110">
        <v>1988.0</v>
      </c>
      <c r="E65" s="112"/>
      <c r="F65" s="112"/>
      <c r="G65" s="112"/>
      <c r="H65" s="111">
        <v>1.0</v>
      </c>
      <c r="I65" s="112"/>
      <c r="J65" s="112"/>
      <c r="K65" s="112"/>
      <c r="L65" s="112"/>
      <c r="M65" s="112"/>
      <c r="N65" s="112"/>
      <c r="O65" s="112"/>
      <c r="P65" s="112"/>
      <c r="Q65" s="112"/>
      <c r="R65" s="112"/>
      <c r="S65" s="112"/>
      <c r="T65" s="112"/>
      <c r="U65" s="107"/>
      <c r="V65" s="107"/>
      <c r="W65" s="113" t="s">
        <v>500</v>
      </c>
      <c r="X65" s="107"/>
      <c r="Y65" s="113" t="s">
        <v>501</v>
      </c>
      <c r="Z65" s="111">
        <v>1.0</v>
      </c>
      <c r="AA65" s="111"/>
      <c r="AB65" s="112"/>
      <c r="AC65" s="111">
        <v>1.0</v>
      </c>
      <c r="AD65" s="112"/>
      <c r="AE65" s="112"/>
      <c r="AF65" s="112"/>
      <c r="AG65" s="117"/>
      <c r="AH65" s="115">
        <v>1.0</v>
      </c>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v>1.0</v>
      </c>
      <c r="BJ65" s="115"/>
      <c r="BK65" s="115"/>
      <c r="BL65" s="115"/>
      <c r="BM65" s="115"/>
      <c r="BN65" s="115"/>
      <c r="BO65" s="115"/>
      <c r="BP65" s="115"/>
      <c r="BQ65" s="115"/>
      <c r="BR65" s="115"/>
      <c r="BS65" s="115"/>
      <c r="BT65" s="115"/>
      <c r="BU65" s="115"/>
      <c r="BV65" s="115"/>
      <c r="BW65" s="115"/>
      <c r="BX65" s="115">
        <v>1.0</v>
      </c>
      <c r="BY65" s="115"/>
      <c r="BZ65" s="115"/>
      <c r="CA65" s="115"/>
    </row>
    <row r="66">
      <c r="A66" s="139" t="str">
        <f>HYPERLINK("https://drive.google.com/open?id=1zrvNwRqw6fRON6DnkgXZnIbZ2STsq37x","Klemola2000")</f>
        <v>Klemola2000</v>
      </c>
      <c r="B66" s="113" t="s">
        <v>641</v>
      </c>
      <c r="C66" s="113" t="s">
        <v>642</v>
      </c>
      <c r="D66" s="110">
        <v>2000.0</v>
      </c>
      <c r="E66" s="112"/>
      <c r="F66" s="112"/>
      <c r="G66" s="111">
        <v>1.0</v>
      </c>
      <c r="H66" s="112"/>
      <c r="I66" s="112"/>
      <c r="J66" s="112"/>
      <c r="K66" s="112"/>
      <c r="L66" s="112"/>
      <c r="M66" s="112"/>
      <c r="N66" s="112"/>
      <c r="O66" s="111">
        <v>1.0</v>
      </c>
      <c r="P66" s="112"/>
      <c r="Q66" s="112"/>
      <c r="R66" s="112"/>
      <c r="S66" s="112"/>
      <c r="T66" s="112"/>
      <c r="U66" s="107"/>
      <c r="V66" s="113" t="s">
        <v>643</v>
      </c>
      <c r="W66" s="113" t="s">
        <v>644</v>
      </c>
      <c r="X66" s="113" t="s">
        <v>645</v>
      </c>
      <c r="Y66" s="113" t="s">
        <v>646</v>
      </c>
      <c r="Z66" s="112"/>
      <c r="AA66" s="112"/>
      <c r="AB66" s="112"/>
      <c r="AC66" s="112"/>
      <c r="AD66" s="112"/>
      <c r="AE66" s="111">
        <v>1.0</v>
      </c>
      <c r="AF66" s="112"/>
      <c r="AG66" s="117"/>
      <c r="AH66" s="115">
        <v>1.0</v>
      </c>
      <c r="AI66" s="115"/>
      <c r="AJ66" s="115"/>
      <c r="AK66" s="115"/>
      <c r="AL66" s="115"/>
      <c r="AM66" s="115"/>
      <c r="AN66" s="115"/>
      <c r="AO66" s="115">
        <v>1.0</v>
      </c>
      <c r="AP66" s="115">
        <v>1.0</v>
      </c>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c r="A67" s="138" t="str">
        <f>HYPERLINK("https://drive.google.com/open?id=1-T2dKg65bEJaJ51wdz_JGyzrWPUEXwom","Koenemann1991")</f>
        <v>Koenemann1991</v>
      </c>
      <c r="B67" s="113" t="s">
        <v>653</v>
      </c>
      <c r="C67" s="113" t="s">
        <v>654</v>
      </c>
      <c r="D67" s="110">
        <v>1991.0</v>
      </c>
      <c r="E67" s="112"/>
      <c r="F67" s="112"/>
      <c r="G67" s="112"/>
      <c r="H67" s="111">
        <v>1.0</v>
      </c>
      <c r="I67" s="112"/>
      <c r="J67" s="111">
        <v>1.0</v>
      </c>
      <c r="K67" s="112"/>
      <c r="L67" s="112"/>
      <c r="M67" s="112"/>
      <c r="N67" s="112"/>
      <c r="O67" s="112"/>
      <c r="P67" s="112"/>
      <c r="Q67" s="112"/>
      <c r="R67" s="112"/>
      <c r="S67" s="112"/>
      <c r="T67" s="112"/>
      <c r="U67" s="107"/>
      <c r="V67" s="113" t="s">
        <v>239</v>
      </c>
      <c r="W67" s="113" t="s">
        <v>655</v>
      </c>
      <c r="X67" s="113" t="s">
        <v>656</v>
      </c>
      <c r="Y67" s="113" t="s">
        <v>657</v>
      </c>
      <c r="Z67" s="112"/>
      <c r="AA67" s="112"/>
      <c r="AB67" s="112"/>
      <c r="AC67" s="111">
        <v>1.0</v>
      </c>
      <c r="AD67" s="112"/>
      <c r="AE67" s="112"/>
      <c r="AF67" s="112"/>
      <c r="AG67" s="117"/>
      <c r="AH67" s="115">
        <v>1.0</v>
      </c>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t="s">
        <v>1240</v>
      </c>
      <c r="BE67" s="115"/>
      <c r="BF67" s="115"/>
      <c r="BG67" s="115"/>
      <c r="BH67" s="115"/>
      <c r="BI67" s="115" t="s">
        <v>1240</v>
      </c>
      <c r="BJ67" s="115"/>
      <c r="BK67" s="115"/>
      <c r="BL67" s="115"/>
      <c r="BM67" s="115"/>
      <c r="BN67" s="115"/>
      <c r="BO67" s="115"/>
      <c r="BP67" s="115"/>
      <c r="BQ67" s="115"/>
      <c r="BR67" s="115"/>
      <c r="BS67" s="115"/>
      <c r="BT67" s="115"/>
      <c r="BU67" s="115"/>
      <c r="BV67" s="115"/>
      <c r="BW67" s="115"/>
      <c r="BX67" s="115">
        <v>1.0</v>
      </c>
      <c r="BY67" s="115"/>
      <c r="BZ67" s="115"/>
      <c r="CA67" s="115"/>
    </row>
    <row r="68">
      <c r="A68" s="139" t="str">
        <f>HYPERLINK("https://drive.google.com/open?id=1lMA-zjB4F9V0kvpzCnlFOUv4KwTzGjHJ","Krovi1998")</f>
        <v>Krovi1998</v>
      </c>
      <c r="B68" s="113" t="s">
        <v>664</v>
      </c>
      <c r="C68" s="113" t="s">
        <v>211</v>
      </c>
      <c r="D68" s="110">
        <v>1998.0</v>
      </c>
      <c r="E68" s="112"/>
      <c r="F68" s="111">
        <v>1.0</v>
      </c>
      <c r="G68" s="111">
        <v>1.0</v>
      </c>
      <c r="H68" s="112"/>
      <c r="I68" s="112"/>
      <c r="J68" s="112"/>
      <c r="K68" s="112"/>
      <c r="L68" s="112"/>
      <c r="M68" s="112"/>
      <c r="N68" s="112"/>
      <c r="O68" s="112"/>
      <c r="P68" s="111">
        <v>1.0</v>
      </c>
      <c r="Q68" s="112"/>
      <c r="R68" s="112"/>
      <c r="S68" s="112"/>
      <c r="T68" s="112"/>
      <c r="U68" s="107"/>
      <c r="V68" s="113" t="s">
        <v>4410</v>
      </c>
      <c r="W68" s="113" t="s">
        <v>666</v>
      </c>
      <c r="X68" s="107"/>
      <c r="Y68" s="113" t="s">
        <v>667</v>
      </c>
      <c r="Z68" s="111">
        <v>1.0</v>
      </c>
      <c r="AA68" s="112"/>
      <c r="AB68" s="112"/>
      <c r="AC68" s="111">
        <v>1.0</v>
      </c>
      <c r="AD68" s="112"/>
      <c r="AE68" s="112"/>
      <c r="AF68" s="112"/>
      <c r="AG68" s="117"/>
      <c r="AH68" s="115" t="s">
        <v>1240</v>
      </c>
      <c r="AI68" s="124"/>
      <c r="AJ68" s="124"/>
      <c r="AK68" s="124"/>
      <c r="AL68" s="124"/>
      <c r="AM68" s="124"/>
      <c r="AN68" s="124"/>
      <c r="AO68" s="124"/>
      <c r="AP68" s="124"/>
      <c r="AQ68" s="124"/>
      <c r="AR68" s="124"/>
      <c r="AS68" s="124"/>
      <c r="AT68" s="124"/>
      <c r="AU68" s="124"/>
      <c r="AV68" s="124"/>
      <c r="AW68" s="124"/>
      <c r="AX68" s="124"/>
      <c r="AY68" s="124"/>
      <c r="AZ68" s="124"/>
      <c r="BA68" s="124"/>
      <c r="BB68" s="124"/>
      <c r="BC68" s="124"/>
      <c r="BD68" s="124"/>
      <c r="BE68" s="124"/>
      <c r="BF68" s="124"/>
      <c r="BG68" s="124"/>
      <c r="BH68" s="124"/>
      <c r="BI68" s="124"/>
      <c r="BJ68" s="124"/>
      <c r="BK68" s="124"/>
      <c r="BL68" s="124"/>
      <c r="BM68" s="124"/>
      <c r="BN68" s="124"/>
      <c r="BO68" s="124"/>
      <c r="BP68" s="124"/>
      <c r="BQ68" s="124"/>
      <c r="BR68" s="124"/>
      <c r="BS68" s="124"/>
      <c r="BT68" s="124"/>
      <c r="BU68" s="124"/>
      <c r="BV68" s="124"/>
      <c r="BW68" s="124"/>
      <c r="BX68" s="115">
        <v>1.0</v>
      </c>
      <c r="BY68" s="124"/>
      <c r="BZ68" s="124"/>
      <c r="CA68" s="124"/>
    </row>
    <row r="69">
      <c r="A69" s="139" t="str">
        <f>HYPERLINK("https://drive.google.com/open?id=1kBDjIrzMdowIpZ06SFOC0yiXXUKwL1wy","Parnin2011")</f>
        <v>Parnin2011</v>
      </c>
      <c r="B69" s="113" t="s">
        <v>818</v>
      </c>
      <c r="C69" s="113" t="s">
        <v>819</v>
      </c>
      <c r="D69" s="110">
        <v>2011.0</v>
      </c>
      <c r="E69" s="112"/>
      <c r="F69" s="112"/>
      <c r="G69" s="112"/>
      <c r="H69" s="111">
        <v>1.0</v>
      </c>
      <c r="I69" s="112"/>
      <c r="J69" s="112"/>
      <c r="K69" s="112"/>
      <c r="L69" s="112"/>
      <c r="M69" s="112"/>
      <c r="N69" s="112"/>
      <c r="O69" s="112"/>
      <c r="P69" s="112"/>
      <c r="Q69" s="112"/>
      <c r="R69" s="112"/>
      <c r="S69" s="112"/>
      <c r="T69" s="112"/>
      <c r="U69" s="107"/>
      <c r="V69" s="113" t="s">
        <v>820</v>
      </c>
      <c r="W69" s="113" t="s">
        <v>821</v>
      </c>
      <c r="X69" s="113" t="s">
        <v>822</v>
      </c>
      <c r="Y69" s="113" t="s">
        <v>823</v>
      </c>
      <c r="Z69" s="112"/>
      <c r="AA69" s="112"/>
      <c r="AB69" s="111">
        <v>1.0</v>
      </c>
      <c r="AC69" s="112"/>
      <c r="AD69" s="112"/>
      <c r="AE69" s="112"/>
      <c r="AF69" s="112"/>
      <c r="AG69" s="117"/>
      <c r="AH69" s="115">
        <v>1.0</v>
      </c>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t="s">
        <v>1240</v>
      </c>
      <c r="BE69" s="115"/>
      <c r="BF69" s="115" t="s">
        <v>1240</v>
      </c>
      <c r="BG69" s="115"/>
      <c r="BH69" s="115"/>
      <c r="BI69" s="115" t="s">
        <v>1240</v>
      </c>
      <c r="BJ69" s="115"/>
      <c r="BK69" s="115"/>
      <c r="BL69" s="115"/>
      <c r="BM69" s="115"/>
      <c r="BN69" s="115"/>
      <c r="BO69" s="115"/>
      <c r="BP69" s="115"/>
      <c r="BQ69" s="115"/>
      <c r="BR69" s="115"/>
      <c r="BS69" s="115"/>
      <c r="BT69" s="115"/>
      <c r="BU69" s="115"/>
      <c r="BV69" s="115"/>
      <c r="BW69" s="115"/>
      <c r="BX69" s="115"/>
      <c r="BY69" s="115">
        <v>1.0</v>
      </c>
      <c r="BZ69" s="115"/>
      <c r="CA69" s="115"/>
    </row>
    <row r="70">
      <c r="A70" s="138" t="str">
        <f>HYPERLINK("https://drive.google.com/open?id=19ek5m2izjsmBT3dJ6RcXtPcUxd9VYEx8","Parnin2012")</f>
        <v>Parnin2012</v>
      </c>
      <c r="B70" s="113" t="s">
        <v>824</v>
      </c>
      <c r="C70" s="113" t="s">
        <v>819</v>
      </c>
      <c r="D70" s="110">
        <v>2012.0</v>
      </c>
      <c r="E70" s="112"/>
      <c r="F70" s="112"/>
      <c r="G70" s="112"/>
      <c r="H70" s="111">
        <v>1.0</v>
      </c>
      <c r="I70" s="112"/>
      <c r="J70" s="112"/>
      <c r="K70" s="112"/>
      <c r="L70" s="112"/>
      <c r="M70" s="112"/>
      <c r="N70" s="112"/>
      <c r="O70" s="112"/>
      <c r="P70" s="112"/>
      <c r="Q70" s="112"/>
      <c r="R70" s="112"/>
      <c r="S70" s="112"/>
      <c r="T70" s="112"/>
      <c r="U70" s="113" t="s">
        <v>825</v>
      </c>
      <c r="V70" s="113" t="s">
        <v>826</v>
      </c>
      <c r="W70" s="107"/>
      <c r="X70" s="107"/>
      <c r="Y70" s="113" t="s">
        <v>827</v>
      </c>
      <c r="Z70" s="112"/>
      <c r="AA70" s="112"/>
      <c r="AB70" s="111">
        <v>1.0</v>
      </c>
      <c r="AC70" s="112"/>
      <c r="AD70" s="112"/>
      <c r="AE70" s="112"/>
      <c r="AF70" s="112"/>
      <c r="AG70" s="117"/>
      <c r="AH70" s="115">
        <v>1.0</v>
      </c>
      <c r="AI70" s="115"/>
      <c r="AJ70" s="115"/>
      <c r="AK70" s="115"/>
      <c r="AL70" s="115"/>
      <c r="AM70" s="115">
        <v>1.0</v>
      </c>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c r="A71" s="139" t="str">
        <f>HYPERLINK("https://drive.google.com/open?id=1Rb-D34Yj2spHsoKkO0qsS3UEQdlDN96q","Parsons2004")</f>
        <v>Parsons2004</v>
      </c>
      <c r="B71" s="113" t="s">
        <v>828</v>
      </c>
      <c r="C71" s="113" t="s">
        <v>829</v>
      </c>
      <c r="D71" s="110">
        <v>2004.0</v>
      </c>
      <c r="E71" s="112"/>
      <c r="F71" s="112"/>
      <c r="G71" s="111">
        <v>1.0</v>
      </c>
      <c r="H71" s="111">
        <v>1.0</v>
      </c>
      <c r="I71" s="112"/>
      <c r="J71" s="112"/>
      <c r="K71" s="112"/>
      <c r="L71" s="112"/>
      <c r="M71" s="112"/>
      <c r="N71" s="112"/>
      <c r="O71" s="112"/>
      <c r="P71" s="112"/>
      <c r="Q71" s="112"/>
      <c r="R71" s="112"/>
      <c r="S71" s="112"/>
      <c r="T71" s="112"/>
      <c r="U71" s="107"/>
      <c r="V71" s="113" t="s">
        <v>830</v>
      </c>
      <c r="W71" s="113" t="s">
        <v>831</v>
      </c>
      <c r="X71" s="107"/>
      <c r="Y71" s="113" t="s">
        <v>833</v>
      </c>
      <c r="Z71" s="112"/>
      <c r="AA71" s="112"/>
      <c r="AB71" s="112"/>
      <c r="AC71" s="111">
        <v>1.0</v>
      </c>
      <c r="AD71" s="112"/>
      <c r="AE71" s="112"/>
      <c r="AF71" s="112"/>
      <c r="AG71" s="117"/>
      <c r="AH71" s="115">
        <v>1.0</v>
      </c>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v>1.0</v>
      </c>
      <c r="BH71" s="115"/>
      <c r="BI71" s="115"/>
      <c r="BJ71" s="115"/>
      <c r="BK71" s="115"/>
      <c r="BL71" s="115"/>
      <c r="BM71" s="115"/>
      <c r="BN71" s="115"/>
      <c r="BO71" s="115"/>
      <c r="BP71" s="115"/>
      <c r="BQ71" s="115"/>
      <c r="BR71" s="115"/>
      <c r="BS71" s="115"/>
      <c r="BT71" s="115"/>
      <c r="BU71" s="115"/>
      <c r="BV71" s="115"/>
      <c r="BW71" s="115"/>
      <c r="BX71" s="115"/>
      <c r="BY71" s="115"/>
      <c r="BZ71" s="115"/>
      <c r="CA71" s="115"/>
    </row>
    <row r="72">
      <c r="A72" s="139" t="str">
        <f>HYPERLINK("https://drive.google.com/open?id=1TIoKe6tCHz-e-Sw0Rr0kK_5E5wk4i8cn","Pennington1987a")</f>
        <v>Pennington1987a</v>
      </c>
      <c r="B72" s="113" t="s">
        <v>846</v>
      </c>
      <c r="C72" s="113" t="s">
        <v>733</v>
      </c>
      <c r="D72" s="110">
        <v>1987.0</v>
      </c>
      <c r="E72" s="112"/>
      <c r="F72" s="112"/>
      <c r="G72" s="112"/>
      <c r="H72" s="111">
        <v>1.0</v>
      </c>
      <c r="I72" s="112"/>
      <c r="J72" s="112"/>
      <c r="K72" s="112"/>
      <c r="L72" s="112"/>
      <c r="M72" s="112"/>
      <c r="N72" s="112"/>
      <c r="O72" s="112"/>
      <c r="P72" s="112"/>
      <c r="Q72" s="112"/>
      <c r="R72" s="112"/>
      <c r="S72" s="112"/>
      <c r="T72" s="112"/>
      <c r="U72" s="107"/>
      <c r="V72" s="113" t="s">
        <v>847</v>
      </c>
      <c r="W72" s="113" t="s">
        <v>848</v>
      </c>
      <c r="X72" s="107"/>
      <c r="Y72" s="113" t="s">
        <v>850</v>
      </c>
      <c r="Z72" s="112"/>
      <c r="AA72" s="112"/>
      <c r="AB72" s="112"/>
      <c r="AC72" s="111">
        <v>1.0</v>
      </c>
      <c r="AD72" s="112"/>
      <c r="AE72" s="112"/>
      <c r="AF72" s="112"/>
      <c r="AG72" s="117"/>
      <c r="AH72" s="115">
        <v>1.0</v>
      </c>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v>1.0</v>
      </c>
      <c r="BJ72" s="115"/>
      <c r="BK72" s="115"/>
      <c r="BL72" s="115"/>
      <c r="BM72" s="115"/>
      <c r="BN72" s="115"/>
      <c r="BO72" s="115"/>
      <c r="BP72" s="115"/>
      <c r="BQ72" s="115"/>
      <c r="BR72" s="115"/>
      <c r="BS72" s="115"/>
      <c r="BT72" s="115"/>
      <c r="BU72" s="115"/>
      <c r="BV72" s="115"/>
      <c r="BW72" s="115"/>
      <c r="BX72" s="115"/>
      <c r="BY72" s="115"/>
      <c r="BZ72" s="115"/>
      <c r="CA72" s="115"/>
    </row>
    <row r="73">
      <c r="A73" s="139" t="str">
        <f>HYPERLINK("https://drive.google.com/open?id=1DIrQztc2iyOXdYbkTtjFYTLktt49lseS","Sharafi2013")</f>
        <v>Sharafi2013</v>
      </c>
      <c r="B73" s="113" t="s">
        <v>923</v>
      </c>
      <c r="C73" s="113" t="s">
        <v>819</v>
      </c>
      <c r="D73" s="110">
        <v>2013.0</v>
      </c>
      <c r="E73" s="112"/>
      <c r="F73" s="111">
        <v>1.0</v>
      </c>
      <c r="G73" s="112"/>
      <c r="H73" s="112"/>
      <c r="I73" s="112"/>
      <c r="J73" s="112"/>
      <c r="K73" s="112"/>
      <c r="L73" s="112"/>
      <c r="M73" s="112"/>
      <c r="N73" s="112"/>
      <c r="O73" s="112"/>
      <c r="P73" s="112"/>
      <c r="Q73" s="112"/>
      <c r="R73" s="112"/>
      <c r="S73" s="112"/>
      <c r="T73" s="112"/>
      <c r="U73" s="107"/>
      <c r="V73" s="113" t="s">
        <v>924</v>
      </c>
      <c r="W73" s="113" t="s">
        <v>925</v>
      </c>
      <c r="X73" s="113" t="s">
        <v>906</v>
      </c>
      <c r="Y73" s="113" t="s">
        <v>926</v>
      </c>
      <c r="Z73" s="111">
        <v>1.0</v>
      </c>
      <c r="AA73" s="112"/>
      <c r="AB73" s="112"/>
      <c r="AC73" s="111">
        <v>1.0</v>
      </c>
      <c r="AD73" s="112"/>
      <c r="AE73" s="112"/>
      <c r="AF73" s="112"/>
      <c r="AG73" s="117"/>
      <c r="AH73" s="115">
        <v>1.0</v>
      </c>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t="s">
        <v>1240</v>
      </c>
      <c r="BE73" s="115"/>
      <c r="BF73" s="115"/>
      <c r="BG73" s="115"/>
      <c r="BH73" s="115"/>
      <c r="BI73" s="115" t="s">
        <v>1240</v>
      </c>
      <c r="BJ73" s="115"/>
      <c r="BK73" s="115"/>
      <c r="BL73" s="115"/>
      <c r="BM73" s="115"/>
      <c r="BN73" s="115"/>
      <c r="BO73" s="115"/>
      <c r="BP73" s="115"/>
      <c r="BQ73" s="115"/>
      <c r="BR73" s="115"/>
      <c r="BS73" s="115"/>
      <c r="BT73" s="115"/>
      <c r="BU73" s="115"/>
      <c r="BV73" s="115"/>
      <c r="BW73" s="115"/>
      <c r="BX73" s="115"/>
      <c r="BY73" s="115"/>
      <c r="BZ73" s="115"/>
      <c r="CA73" s="115">
        <v>1.0</v>
      </c>
    </row>
    <row r="74">
      <c r="A74" s="139" t="str">
        <f>HYPERLINK("https://drive.google.com/open?id=1nBuZnHYAILgH2wb_2DvfsmbG_1xh8meU","Sharif2009a")</f>
        <v>Sharif2009a</v>
      </c>
      <c r="B74" s="113" t="s">
        <v>927</v>
      </c>
      <c r="C74" s="113" t="s">
        <v>819</v>
      </c>
      <c r="D74" s="110">
        <v>2009.0</v>
      </c>
      <c r="E74" s="112"/>
      <c r="F74" s="112"/>
      <c r="G74" s="111">
        <v>1.0</v>
      </c>
      <c r="H74" s="112"/>
      <c r="I74" s="112"/>
      <c r="J74" s="112"/>
      <c r="K74" s="112"/>
      <c r="L74" s="112"/>
      <c r="M74" s="112"/>
      <c r="N74" s="111">
        <v>1.0</v>
      </c>
      <c r="O74" s="112"/>
      <c r="P74" s="112"/>
      <c r="Q74" s="112"/>
      <c r="R74" s="112"/>
      <c r="S74" s="112"/>
      <c r="T74" s="112"/>
      <c r="U74" s="107"/>
      <c r="V74" s="113" t="s">
        <v>928</v>
      </c>
      <c r="W74" s="113" t="s">
        <v>929</v>
      </c>
      <c r="X74" s="113" t="s">
        <v>930</v>
      </c>
      <c r="Y74" s="113" t="s">
        <v>931</v>
      </c>
      <c r="Z74" s="111">
        <v>1.0</v>
      </c>
      <c r="AA74" s="112"/>
      <c r="AB74" s="112"/>
      <c r="AC74" s="111">
        <v>1.0</v>
      </c>
      <c r="AD74" s="112"/>
      <c r="AE74" s="112"/>
      <c r="AF74" s="112"/>
      <c r="AG74" s="117"/>
      <c r="AH74" s="115">
        <v>1.0</v>
      </c>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t="s">
        <v>1240</v>
      </c>
      <c r="BE74" s="115"/>
      <c r="BF74" s="115"/>
      <c r="BG74" s="115"/>
      <c r="BH74" s="115"/>
      <c r="BI74" s="115" t="s">
        <v>1240</v>
      </c>
      <c r="BJ74" s="115"/>
      <c r="BK74" s="115"/>
      <c r="BL74" s="115"/>
      <c r="BM74" s="115"/>
      <c r="BN74" s="115"/>
      <c r="BO74" s="115"/>
      <c r="BP74" s="115"/>
      <c r="BQ74" s="115"/>
      <c r="BR74" s="115"/>
      <c r="BS74" s="115"/>
      <c r="BT74" s="115"/>
      <c r="BU74" s="115"/>
      <c r="BV74" s="115"/>
      <c r="BW74" s="115"/>
      <c r="BX74" s="115">
        <v>1.0</v>
      </c>
      <c r="BY74" s="115"/>
      <c r="BZ74" s="115">
        <v>1.0</v>
      </c>
      <c r="CA74" s="115"/>
    </row>
    <row r="75">
      <c r="A75" s="139" t="str">
        <f>HYPERLINK("https://drive.google.com/open?id=1Akgz5tXhaeoAkZIgnFCinjHoP1_DmziM","Sharif2009b")</f>
        <v>Sharif2009b</v>
      </c>
      <c r="B75" s="113" t="s">
        <v>932</v>
      </c>
      <c r="C75" s="113" t="s">
        <v>933</v>
      </c>
      <c r="D75" s="110">
        <v>2009.0</v>
      </c>
      <c r="E75" s="112"/>
      <c r="F75" s="112"/>
      <c r="G75" s="111">
        <v>1.0</v>
      </c>
      <c r="H75" s="112"/>
      <c r="I75" s="112"/>
      <c r="J75" s="112"/>
      <c r="K75" s="112"/>
      <c r="L75" s="112"/>
      <c r="M75" s="112"/>
      <c r="N75" s="111">
        <v>1.0</v>
      </c>
      <c r="O75" s="112"/>
      <c r="P75" s="112"/>
      <c r="Q75" s="112"/>
      <c r="R75" s="112"/>
      <c r="S75" s="112"/>
      <c r="T75" s="112"/>
      <c r="U75" s="107"/>
      <c r="V75" s="113" t="s">
        <v>934</v>
      </c>
      <c r="W75" s="113" t="s">
        <v>935</v>
      </c>
      <c r="X75" s="107"/>
      <c r="Y75" s="113" t="s">
        <v>936</v>
      </c>
      <c r="Z75" s="111">
        <v>1.0</v>
      </c>
      <c r="AA75" s="112"/>
      <c r="AB75" s="112"/>
      <c r="AC75" s="111">
        <v>1.0</v>
      </c>
      <c r="AD75" s="112"/>
      <c r="AE75" s="112"/>
      <c r="AF75" s="112"/>
      <c r="AG75" s="117"/>
      <c r="AH75" s="115">
        <v>1.0</v>
      </c>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t="s">
        <v>1240</v>
      </c>
      <c r="BE75" s="115"/>
      <c r="BF75" s="115"/>
      <c r="BG75" s="115"/>
      <c r="BH75" s="115"/>
      <c r="BI75" s="115" t="s">
        <v>1240</v>
      </c>
      <c r="BJ75" s="115"/>
      <c r="BK75" s="115"/>
      <c r="BL75" s="115"/>
      <c r="BM75" s="115"/>
      <c r="BN75" s="115"/>
      <c r="BO75" s="115"/>
      <c r="BP75" s="115"/>
      <c r="BQ75" s="115"/>
      <c r="BR75" s="115"/>
      <c r="BS75" s="115"/>
      <c r="BT75" s="115"/>
      <c r="BU75" s="115"/>
      <c r="BV75" s="115"/>
      <c r="BW75" s="115"/>
      <c r="BX75" s="115"/>
      <c r="BY75" s="115"/>
      <c r="BZ75" s="115"/>
      <c r="CA75" s="115"/>
    </row>
    <row r="76">
      <c r="A76" s="138" t="str">
        <f>HYPERLINK("https://drive.google.com/open?id=1Bldk_ahFE2e5ysjUuMhXScrawqCwEnuj","Sharif2010a")</f>
        <v>Sharif2010a</v>
      </c>
      <c r="B76" s="140" t="s">
        <v>937</v>
      </c>
      <c r="C76" s="113" t="s">
        <v>442</v>
      </c>
      <c r="D76" s="110">
        <v>2010.0</v>
      </c>
      <c r="E76" s="112"/>
      <c r="F76" s="112"/>
      <c r="G76" s="111">
        <v>1.0</v>
      </c>
      <c r="H76" s="112"/>
      <c r="I76" s="112"/>
      <c r="J76" s="112"/>
      <c r="K76" s="112"/>
      <c r="L76" s="112"/>
      <c r="M76" s="112"/>
      <c r="N76" s="112"/>
      <c r="O76" s="112"/>
      <c r="P76" s="112"/>
      <c r="Q76" s="112"/>
      <c r="R76" s="112"/>
      <c r="S76" s="112"/>
      <c r="T76" s="112"/>
      <c r="U76" s="107"/>
      <c r="V76" s="113" t="s">
        <v>197</v>
      </c>
      <c r="W76" s="113" t="s">
        <v>938</v>
      </c>
      <c r="X76" s="113" t="s">
        <v>906</v>
      </c>
      <c r="Y76" s="113" t="s">
        <v>939</v>
      </c>
      <c r="Z76" s="111">
        <v>1.0</v>
      </c>
      <c r="AA76" s="112"/>
      <c r="AB76" s="112"/>
      <c r="AC76" s="111">
        <v>1.0</v>
      </c>
      <c r="AD76" s="112"/>
      <c r="AE76" s="112"/>
      <c r="AF76" s="112"/>
      <c r="AG76" s="117"/>
      <c r="AH76" s="115">
        <v>1.0</v>
      </c>
      <c r="AI76" s="115"/>
      <c r="AJ76" s="115"/>
      <c r="AK76" s="115"/>
      <c r="AL76" s="115"/>
      <c r="AM76" s="115"/>
      <c r="AN76" s="115"/>
      <c r="AO76" s="115"/>
      <c r="AP76" s="115"/>
      <c r="AQ76" s="115">
        <v>1.0</v>
      </c>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v>1.0</v>
      </c>
      <c r="BZ76" s="115"/>
      <c r="CA76" s="115"/>
    </row>
    <row r="77">
      <c r="A77" s="139" t="str">
        <f>HYPERLINK("https://drive.google.com/open?id=14xNvnYgrUjeB0bh4M3ixKkxRB6A1lAii","Sharif2010b")</f>
        <v>Sharif2010b</v>
      </c>
      <c r="B77" s="113" t="s">
        <v>940</v>
      </c>
      <c r="C77" s="113" t="s">
        <v>819</v>
      </c>
      <c r="D77" s="110">
        <v>2010.0</v>
      </c>
      <c r="E77" s="112"/>
      <c r="F77" s="112"/>
      <c r="G77" s="112"/>
      <c r="H77" s="111">
        <v>1.0</v>
      </c>
      <c r="I77" s="112"/>
      <c r="J77" s="112"/>
      <c r="K77" s="112"/>
      <c r="L77" s="112"/>
      <c r="M77" s="112"/>
      <c r="N77" s="112"/>
      <c r="O77" s="112"/>
      <c r="P77" s="112"/>
      <c r="Q77" s="112"/>
      <c r="R77" s="112"/>
      <c r="S77" s="112"/>
      <c r="T77" s="112"/>
      <c r="U77" s="107"/>
      <c r="V77" s="113" t="s">
        <v>941</v>
      </c>
      <c r="W77" s="113" t="s">
        <v>942</v>
      </c>
      <c r="X77" s="113" t="s">
        <v>906</v>
      </c>
      <c r="Y77" s="113" t="s">
        <v>943</v>
      </c>
      <c r="Z77" s="111">
        <v>1.0</v>
      </c>
      <c r="AA77" s="112"/>
      <c r="AB77" s="112"/>
      <c r="AC77" s="111">
        <v>1.0</v>
      </c>
      <c r="AD77" s="112"/>
      <c r="AE77" s="112"/>
      <c r="AF77" s="112"/>
      <c r="AG77" s="117"/>
      <c r="AH77" s="115">
        <v>1.0</v>
      </c>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15" t="s">
        <v>1240</v>
      </c>
      <c r="BE77" s="124"/>
      <c r="BF77" s="124"/>
      <c r="BG77" s="124"/>
      <c r="BH77" s="124"/>
      <c r="BI77" s="115" t="s">
        <v>1240</v>
      </c>
      <c r="BJ77" s="124"/>
      <c r="BK77" s="124"/>
      <c r="BL77" s="124"/>
      <c r="BM77" s="124"/>
      <c r="BN77" s="124"/>
      <c r="BO77" s="124"/>
      <c r="BP77" s="124"/>
      <c r="BQ77" s="124"/>
      <c r="BR77" s="124"/>
      <c r="BS77" s="124"/>
      <c r="BT77" s="124"/>
      <c r="BU77" s="124"/>
      <c r="BV77" s="124"/>
      <c r="BW77" s="124"/>
      <c r="BX77" s="124"/>
      <c r="BY77" s="115">
        <v>1.0</v>
      </c>
      <c r="BZ77" s="124"/>
      <c r="CA77" s="124"/>
    </row>
    <row r="78">
      <c r="A78" s="138" t="str">
        <f>HYPERLINK("https://drive.google.com/open?id=1yN4ki3bfd77330PH4epO_duZmVENiZc7","Soloway1984a")</f>
        <v>Soloway1984a</v>
      </c>
      <c r="B78" s="113" t="s">
        <v>1049</v>
      </c>
      <c r="C78" s="113" t="s">
        <v>503</v>
      </c>
      <c r="D78" s="110">
        <v>1984.0</v>
      </c>
      <c r="E78" s="112"/>
      <c r="F78" s="112"/>
      <c r="G78" s="112"/>
      <c r="H78" s="111">
        <v>1.0</v>
      </c>
      <c r="I78" s="112"/>
      <c r="J78" s="112"/>
      <c r="K78" s="112"/>
      <c r="L78" s="112"/>
      <c r="M78" s="112"/>
      <c r="N78" s="112"/>
      <c r="O78" s="112"/>
      <c r="P78" s="112"/>
      <c r="Q78" s="112"/>
      <c r="R78" s="112"/>
      <c r="S78" s="112"/>
      <c r="T78" s="112"/>
      <c r="U78" s="107"/>
      <c r="V78" s="113" t="s">
        <v>1050</v>
      </c>
      <c r="W78" s="113" t="s">
        <v>1051</v>
      </c>
      <c r="X78" s="113" t="s">
        <v>1052</v>
      </c>
      <c r="Y78" s="113" t="s">
        <v>1053</v>
      </c>
      <c r="Z78" s="112"/>
      <c r="AA78" s="111">
        <v>1.0</v>
      </c>
      <c r="AB78" s="112"/>
      <c r="AC78" s="111">
        <v>1.0</v>
      </c>
      <c r="AD78" s="112"/>
      <c r="AE78" s="112"/>
      <c r="AF78" s="112"/>
      <c r="AG78" s="117"/>
      <c r="AH78" s="115">
        <v>1.0</v>
      </c>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v>1.0</v>
      </c>
      <c r="BJ78" s="115"/>
      <c r="BK78" s="115"/>
      <c r="BL78" s="115"/>
      <c r="BM78" s="115"/>
      <c r="BN78" s="115"/>
      <c r="BO78" s="115"/>
      <c r="BP78" s="115"/>
      <c r="BQ78" s="115"/>
      <c r="BR78" s="115"/>
      <c r="BS78" s="115"/>
      <c r="BT78" s="115"/>
      <c r="BU78" s="115"/>
      <c r="BV78" s="115"/>
      <c r="BW78" s="115"/>
      <c r="BX78" s="115">
        <v>1.0</v>
      </c>
      <c r="BY78" s="115"/>
      <c r="BZ78" s="115"/>
      <c r="CA78" s="115"/>
    </row>
    <row r="79">
      <c r="A79" s="139" t="str">
        <f>HYPERLINK("https://drive.google.com/open?id=1qWgLTNbcbDrJp-zekxwBBZAD0ntbvZc4","Soloway1984b")</f>
        <v>Soloway1984b</v>
      </c>
      <c r="B79" s="113" t="s">
        <v>1054</v>
      </c>
      <c r="C79" s="113" t="s">
        <v>1055</v>
      </c>
      <c r="D79" s="110">
        <v>1984.0</v>
      </c>
      <c r="E79" s="112"/>
      <c r="F79" s="112"/>
      <c r="G79" s="112"/>
      <c r="H79" s="111">
        <v>1.0</v>
      </c>
      <c r="I79" s="112"/>
      <c r="J79" s="112"/>
      <c r="K79" s="112"/>
      <c r="L79" s="112"/>
      <c r="M79" s="112"/>
      <c r="N79" s="112"/>
      <c r="O79" s="112"/>
      <c r="P79" s="112"/>
      <c r="Q79" s="112"/>
      <c r="R79" s="112"/>
      <c r="S79" s="112"/>
      <c r="T79" s="112"/>
      <c r="U79" s="107"/>
      <c r="V79" s="113" t="s">
        <v>1021</v>
      </c>
      <c r="W79" s="113"/>
      <c r="X79" s="107"/>
      <c r="Y79" s="113" t="s">
        <v>1056</v>
      </c>
      <c r="Z79" s="112"/>
      <c r="AA79" s="112"/>
      <c r="AB79" s="111">
        <v>1.0</v>
      </c>
      <c r="AC79" s="112"/>
      <c r="AD79" s="112"/>
      <c r="AE79" s="111"/>
      <c r="AF79" s="112"/>
      <c r="AG79" s="117"/>
      <c r="AH79" s="115" t="s">
        <v>1240</v>
      </c>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24"/>
      <c r="BI79" s="124"/>
      <c r="BJ79" s="124"/>
      <c r="BK79" s="124"/>
      <c r="BL79" s="124"/>
      <c r="BM79" s="124"/>
      <c r="BN79" s="124"/>
      <c r="BO79" s="124"/>
      <c r="BP79" s="124"/>
      <c r="BQ79" s="124"/>
      <c r="BR79" s="124"/>
      <c r="BS79" s="124"/>
      <c r="BT79" s="124"/>
      <c r="BU79" s="124"/>
      <c r="BV79" s="124"/>
      <c r="BW79" s="124"/>
      <c r="BX79" s="124"/>
      <c r="BY79" s="124"/>
      <c r="BZ79" s="124"/>
      <c r="CA79" s="124"/>
    </row>
    <row r="80">
      <c r="A80" s="139" t="str">
        <f>HYPERLINK("https://drive.google.com/open?id=1lYlzQ_3ly6Cz6Ln8T2uSAtFmZnFrFLOA","Storey1999")</f>
        <v>Storey1999</v>
      </c>
      <c r="B80" s="113" t="s">
        <v>1066</v>
      </c>
      <c r="C80" s="113" t="s">
        <v>211</v>
      </c>
      <c r="D80" s="110">
        <v>1999.0</v>
      </c>
      <c r="E80" s="112"/>
      <c r="F80" s="112"/>
      <c r="G80" s="111">
        <v>1.0</v>
      </c>
      <c r="H80" s="111">
        <v>1.0</v>
      </c>
      <c r="I80" s="112"/>
      <c r="J80" s="112"/>
      <c r="K80" s="112"/>
      <c r="L80" s="112"/>
      <c r="M80" s="112"/>
      <c r="N80" s="112"/>
      <c r="O80" s="112"/>
      <c r="P80" s="112"/>
      <c r="Q80" s="112"/>
      <c r="R80" s="112"/>
      <c r="S80" s="112"/>
      <c r="T80" s="112"/>
      <c r="U80" s="113" t="s">
        <v>4411</v>
      </c>
      <c r="V80" s="113" t="s">
        <v>1068</v>
      </c>
      <c r="W80" s="107"/>
      <c r="X80" s="107"/>
      <c r="Y80" s="113" t="s">
        <v>1069</v>
      </c>
      <c r="Z80" s="112"/>
      <c r="AA80" s="112"/>
      <c r="AB80" s="112"/>
      <c r="AC80" s="112"/>
      <c r="AD80" s="112"/>
      <c r="AE80" s="112"/>
      <c r="AF80" s="111">
        <v>1.0</v>
      </c>
      <c r="AG80" s="117"/>
      <c r="AH80" s="115">
        <v>1.0</v>
      </c>
      <c r="AI80" s="115"/>
      <c r="AJ80" s="115"/>
      <c r="AK80" s="115"/>
      <c r="AL80" s="115"/>
      <c r="AM80" s="115"/>
      <c r="AN80" s="115"/>
      <c r="AO80" s="115"/>
      <c r="AP80" s="115"/>
      <c r="AQ80" s="115">
        <v>1.0</v>
      </c>
      <c r="AR80" s="115"/>
      <c r="AS80" s="115"/>
      <c r="AT80" s="115"/>
      <c r="AU80" s="115"/>
      <c r="AV80" s="115"/>
      <c r="AW80" s="115"/>
      <c r="AX80" s="115"/>
      <c r="AY80" s="115"/>
      <c r="AZ80" s="115"/>
      <c r="BA80" s="115"/>
      <c r="BB80" s="115"/>
      <c r="BC80" s="115"/>
      <c r="BD80" s="115" t="s">
        <v>1240</v>
      </c>
      <c r="BE80" s="115"/>
      <c r="BF80" s="115"/>
      <c r="BG80" s="115"/>
      <c r="BH80" s="115"/>
      <c r="BI80" s="115" t="s">
        <v>1240</v>
      </c>
      <c r="BJ80" s="115"/>
      <c r="BK80" s="115"/>
      <c r="BL80" s="115"/>
      <c r="BM80" s="115"/>
      <c r="BN80" s="115"/>
      <c r="BO80" s="115"/>
      <c r="BP80" s="115"/>
      <c r="BQ80" s="115"/>
      <c r="BR80" s="115"/>
      <c r="BS80" s="115"/>
      <c r="BT80" s="115"/>
      <c r="BU80" s="115"/>
      <c r="BV80" s="115"/>
      <c r="BW80" s="115"/>
      <c r="BX80" s="115"/>
      <c r="BY80" s="115"/>
      <c r="BZ80" s="115"/>
      <c r="CA80" s="115"/>
    </row>
    <row r="81">
      <c r="A81" s="138" t="str">
        <f>HYPERLINK("https://drive.google.com/open?id=1qBfWIf6NF2EbEqPuF7iqxli5VPgD5zrw","vonMayrhauser1996a")</f>
        <v>vonMayrhauser1996a</v>
      </c>
      <c r="B81" s="113" t="s">
        <v>1165</v>
      </c>
      <c r="C81" s="113" t="s">
        <v>1166</v>
      </c>
      <c r="D81" s="110">
        <v>1996.0</v>
      </c>
      <c r="E81" s="112"/>
      <c r="F81" s="112"/>
      <c r="G81" s="112"/>
      <c r="H81" s="111">
        <v>1.0</v>
      </c>
      <c r="I81" s="112"/>
      <c r="J81" s="111">
        <v>1.0</v>
      </c>
      <c r="K81" s="112"/>
      <c r="L81" s="112"/>
      <c r="M81" s="112"/>
      <c r="N81" s="112"/>
      <c r="O81" s="112"/>
      <c r="P81" s="112"/>
      <c r="Q81" s="112"/>
      <c r="R81" s="112"/>
      <c r="S81" s="112"/>
      <c r="T81" s="112"/>
      <c r="U81" s="113" t="s">
        <v>1167</v>
      </c>
      <c r="V81" s="113" t="s">
        <v>1168</v>
      </c>
      <c r="W81" s="113" t="s">
        <v>1169</v>
      </c>
      <c r="X81" s="107"/>
      <c r="Y81" s="113" t="s">
        <v>1170</v>
      </c>
      <c r="Z81" s="112"/>
      <c r="AA81" s="111">
        <v>1.0</v>
      </c>
      <c r="AB81" s="112"/>
      <c r="AC81" s="111">
        <v>1.0</v>
      </c>
      <c r="AD81" s="112"/>
      <c r="AE81" s="112"/>
      <c r="AF81" s="112"/>
      <c r="AG81" s="117"/>
      <c r="AH81" s="115">
        <v>1.0</v>
      </c>
      <c r="AI81" s="124"/>
      <c r="AJ81" s="124"/>
      <c r="AK81" s="124"/>
      <c r="AL81" s="124"/>
      <c r="AM81" s="124"/>
      <c r="AN81" s="124"/>
      <c r="AO81" s="124"/>
      <c r="AP81" s="115">
        <v>1.0</v>
      </c>
      <c r="AQ81" s="115">
        <v>1.0</v>
      </c>
      <c r="AR81" s="124"/>
      <c r="AS81" s="124"/>
      <c r="AT81" s="124"/>
      <c r="AU81" s="124"/>
      <c r="AV81" s="124"/>
      <c r="AW81" s="124"/>
      <c r="AX81" s="124"/>
      <c r="AY81" s="124"/>
      <c r="AZ81" s="124"/>
      <c r="BA81" s="124"/>
      <c r="BB81" s="124"/>
      <c r="BC81" s="124"/>
      <c r="BD81" s="124"/>
      <c r="BE81" s="124"/>
      <c r="BF81" s="124"/>
      <c r="BG81" s="124"/>
      <c r="BH81" s="124"/>
      <c r="BI81" s="115">
        <v>1.0</v>
      </c>
      <c r="BJ81" s="124"/>
      <c r="BK81" s="124"/>
      <c r="BL81" s="124"/>
      <c r="BM81" s="124"/>
      <c r="BN81" s="124"/>
      <c r="BO81" s="124"/>
      <c r="BP81" s="124"/>
      <c r="BQ81" s="124"/>
      <c r="BR81" s="124"/>
      <c r="BS81" s="115">
        <v>1.0</v>
      </c>
      <c r="BT81" s="124"/>
      <c r="BU81" s="124"/>
      <c r="BV81" s="124"/>
      <c r="BW81" s="124"/>
      <c r="BX81" s="124"/>
      <c r="BY81" s="124"/>
      <c r="BZ81" s="124"/>
      <c r="CA81" s="124"/>
    </row>
    <row r="82">
      <c r="A82" s="138" t="str">
        <f>HYPERLINK("https://drive.google.com/open?id=1PqDf-Q7T0XjMWbIH5DV0VAZWAs36sz4z","vonMayrhauser1996b")</f>
        <v>vonMayrhauser1996b</v>
      </c>
      <c r="B82" s="113" t="s">
        <v>1171</v>
      </c>
      <c r="C82" s="113" t="s">
        <v>819</v>
      </c>
      <c r="D82" s="110">
        <v>1996.0</v>
      </c>
      <c r="E82" s="112"/>
      <c r="F82" s="112"/>
      <c r="G82" s="112"/>
      <c r="H82" s="111">
        <v>1.0</v>
      </c>
      <c r="I82" s="112"/>
      <c r="J82" s="111">
        <v>1.0</v>
      </c>
      <c r="K82" s="112"/>
      <c r="L82" s="112"/>
      <c r="M82" s="112"/>
      <c r="N82" s="112"/>
      <c r="O82" s="112"/>
      <c r="P82" s="112"/>
      <c r="Q82" s="112"/>
      <c r="R82" s="112"/>
      <c r="S82" s="112"/>
      <c r="T82" s="112"/>
      <c r="U82" s="107"/>
      <c r="V82" s="113" t="s">
        <v>1172</v>
      </c>
      <c r="W82" s="113" t="s">
        <v>1173</v>
      </c>
      <c r="X82" s="107"/>
      <c r="Y82" s="113" t="s">
        <v>1174</v>
      </c>
      <c r="Z82" s="112"/>
      <c r="AA82" s="111">
        <v>1.0</v>
      </c>
      <c r="AB82" s="112"/>
      <c r="AC82" s="111">
        <v>1.0</v>
      </c>
      <c r="AD82" s="112"/>
      <c r="AE82" s="112"/>
      <c r="AF82" s="112"/>
      <c r="AG82" s="117"/>
      <c r="AH82" s="115">
        <v>1.0</v>
      </c>
      <c r="AI82" s="124"/>
      <c r="AJ82" s="124"/>
      <c r="AK82" s="124"/>
      <c r="AL82" s="124"/>
      <c r="AM82" s="124"/>
      <c r="AN82" s="124"/>
      <c r="AO82" s="124"/>
      <c r="AP82" s="124"/>
      <c r="AQ82" s="115">
        <v>1.0</v>
      </c>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15">
        <v>1.0</v>
      </c>
      <c r="BT82" s="124"/>
      <c r="BU82" s="124"/>
      <c r="BV82" s="124"/>
      <c r="BW82" s="124"/>
      <c r="BX82" s="124"/>
      <c r="BY82" s="124"/>
      <c r="BZ82" s="124"/>
      <c r="CA82" s="124"/>
    </row>
    <row r="83">
      <c r="A83" s="138" t="str">
        <f>HYPERLINK("https://drive.google.com/open?id=1gWS2KFYPMz1l7HMp-rEPLNRYGJ61nmKg","vonMayrhauser1996c")</f>
        <v>vonMayrhauser1996c</v>
      </c>
      <c r="B83" s="113" t="s">
        <v>1175</v>
      </c>
      <c r="C83" s="113" t="s">
        <v>503</v>
      </c>
      <c r="D83" s="110">
        <v>1996.0</v>
      </c>
      <c r="E83" s="112"/>
      <c r="F83" s="112"/>
      <c r="G83" s="112"/>
      <c r="H83" s="111">
        <v>1.0</v>
      </c>
      <c r="I83" s="112"/>
      <c r="J83" s="111">
        <v>1.0</v>
      </c>
      <c r="K83" s="112"/>
      <c r="L83" s="112"/>
      <c r="M83" s="112"/>
      <c r="N83" s="112"/>
      <c r="O83" s="112"/>
      <c r="P83" s="112"/>
      <c r="Q83" s="112"/>
      <c r="R83" s="112"/>
      <c r="S83" s="112"/>
      <c r="T83" s="112"/>
      <c r="U83" s="113" t="s">
        <v>1167</v>
      </c>
      <c r="V83" s="113" t="s">
        <v>1168</v>
      </c>
      <c r="W83" s="107"/>
      <c r="X83" s="113" t="s">
        <v>1176</v>
      </c>
      <c r="Y83" s="113" t="s">
        <v>1177</v>
      </c>
      <c r="Z83" s="112"/>
      <c r="AA83" s="111">
        <v>1.0</v>
      </c>
      <c r="AB83" s="112"/>
      <c r="AC83" s="111">
        <v>1.0</v>
      </c>
      <c r="AD83" s="112"/>
      <c r="AE83" s="112"/>
      <c r="AF83" s="112"/>
      <c r="AG83" s="117"/>
      <c r="AH83" s="115">
        <v>1.0</v>
      </c>
      <c r="AI83" s="124"/>
      <c r="AJ83" s="124"/>
      <c r="AK83" s="124"/>
      <c r="AL83" s="124"/>
      <c r="AM83" s="124"/>
      <c r="AN83" s="124"/>
      <c r="AO83" s="124"/>
      <c r="AP83" s="115">
        <v>1.0</v>
      </c>
      <c r="AQ83" s="115">
        <v>1.0</v>
      </c>
      <c r="AR83" s="124"/>
      <c r="AS83" s="124"/>
      <c r="AT83" s="124"/>
      <c r="AU83" s="124"/>
      <c r="AV83" s="124"/>
      <c r="AW83" s="124"/>
      <c r="AX83" s="124"/>
      <c r="AY83" s="124"/>
      <c r="AZ83" s="124"/>
      <c r="BA83" s="124"/>
      <c r="BB83" s="124"/>
      <c r="BC83" s="124"/>
      <c r="BD83" s="124"/>
      <c r="BE83" s="124"/>
      <c r="BF83" s="124"/>
      <c r="BG83" s="124"/>
      <c r="BH83" s="124"/>
      <c r="BI83" s="115">
        <v>1.0</v>
      </c>
      <c r="BJ83" s="124"/>
      <c r="BK83" s="124"/>
      <c r="BL83" s="124"/>
      <c r="BM83" s="124"/>
      <c r="BN83" s="124"/>
      <c r="BO83" s="124"/>
      <c r="BP83" s="124"/>
      <c r="BQ83" s="124"/>
      <c r="BR83" s="124"/>
      <c r="BS83" s="115">
        <v>1.0</v>
      </c>
      <c r="BT83" s="124"/>
      <c r="BU83" s="124"/>
      <c r="BV83" s="124"/>
      <c r="BW83" s="124"/>
      <c r="BX83" s="124"/>
      <c r="BY83" s="124"/>
      <c r="BZ83" s="124"/>
      <c r="CA83" s="124"/>
    </row>
    <row r="84">
      <c r="A84" s="138" t="str">
        <f>HYPERLINK("https://drive.google.com/open?id=1lM288i6mVd-PiTawN33KaPd_mWHkzmBC","vonMayrhauser1997a")</f>
        <v>vonMayrhauser1997a</v>
      </c>
      <c r="B84" s="113" t="s">
        <v>1185</v>
      </c>
      <c r="C84" s="113" t="s">
        <v>1186</v>
      </c>
      <c r="D84" s="110">
        <v>1997.0</v>
      </c>
      <c r="E84" s="112"/>
      <c r="F84" s="112"/>
      <c r="G84" s="112"/>
      <c r="H84" s="111">
        <v>1.0</v>
      </c>
      <c r="I84" s="112"/>
      <c r="J84" s="111">
        <v>1.0</v>
      </c>
      <c r="K84" s="112"/>
      <c r="L84" s="112"/>
      <c r="M84" s="112"/>
      <c r="N84" s="112"/>
      <c r="O84" s="112"/>
      <c r="P84" s="112"/>
      <c r="Q84" s="112"/>
      <c r="R84" s="112"/>
      <c r="S84" s="112"/>
      <c r="T84" s="112"/>
      <c r="U84" s="113" t="s">
        <v>1167</v>
      </c>
      <c r="V84" s="113" t="s">
        <v>1168</v>
      </c>
      <c r="W84" s="107"/>
      <c r="X84" s="113" t="s">
        <v>1176</v>
      </c>
      <c r="Y84" s="113" t="s">
        <v>1177</v>
      </c>
      <c r="Z84" s="112"/>
      <c r="AA84" s="111">
        <v>1.0</v>
      </c>
      <c r="AB84" s="112"/>
      <c r="AC84" s="111">
        <v>1.0</v>
      </c>
      <c r="AD84" s="112"/>
      <c r="AE84" s="112"/>
      <c r="AF84" s="112"/>
      <c r="AG84" s="117"/>
      <c r="AH84" s="115">
        <v>1.0</v>
      </c>
      <c r="AI84" s="124"/>
      <c r="AJ84" s="124"/>
      <c r="AK84" s="124"/>
      <c r="AL84" s="124"/>
      <c r="AM84" s="124"/>
      <c r="AN84" s="124"/>
      <c r="AO84" s="124"/>
      <c r="AP84" s="115">
        <v>1.0</v>
      </c>
      <c r="AQ84" s="115">
        <v>1.0</v>
      </c>
      <c r="AR84" s="124"/>
      <c r="AS84" s="124"/>
      <c r="AT84" s="124"/>
      <c r="AU84" s="124"/>
      <c r="AV84" s="124"/>
      <c r="AW84" s="124"/>
      <c r="AX84" s="124"/>
      <c r="AY84" s="124"/>
      <c r="AZ84" s="124"/>
      <c r="BA84" s="124"/>
      <c r="BB84" s="124"/>
      <c r="BC84" s="124"/>
      <c r="BD84" s="124"/>
      <c r="BE84" s="124"/>
      <c r="BF84" s="124"/>
      <c r="BG84" s="124"/>
      <c r="BH84" s="124"/>
      <c r="BI84" s="115">
        <v>1.0</v>
      </c>
      <c r="BJ84" s="124"/>
      <c r="BK84" s="124"/>
      <c r="BL84" s="124"/>
      <c r="BM84" s="124"/>
      <c r="BN84" s="124"/>
      <c r="BO84" s="124"/>
      <c r="BP84" s="124"/>
      <c r="BQ84" s="124"/>
      <c r="BR84" s="124"/>
      <c r="BS84" s="115">
        <v>1.0</v>
      </c>
      <c r="BT84" s="124"/>
      <c r="BU84" s="124"/>
      <c r="BV84" s="124"/>
      <c r="BW84" s="124"/>
      <c r="BX84" s="124"/>
      <c r="BY84" s="124"/>
      <c r="BZ84" s="124"/>
      <c r="CA84" s="124"/>
    </row>
    <row r="85">
      <c r="A85" s="138" t="str">
        <f>HYPERLINK("https://drive.google.com/open?id=1l3YccjdgI1kqFNob1XtK5owypHubY7ss","vonMayrhauser1997b")</f>
        <v>vonMayrhauser1997b</v>
      </c>
      <c r="B85" s="113" t="s">
        <v>1187</v>
      </c>
      <c r="C85" s="113" t="s">
        <v>442</v>
      </c>
      <c r="D85" s="110">
        <v>1997.0</v>
      </c>
      <c r="E85" s="112"/>
      <c r="F85" s="112"/>
      <c r="G85" s="112"/>
      <c r="H85" s="111">
        <v>1.0</v>
      </c>
      <c r="I85" s="112"/>
      <c r="J85" s="111">
        <v>1.0</v>
      </c>
      <c r="K85" s="112"/>
      <c r="L85" s="112"/>
      <c r="M85" s="112"/>
      <c r="N85" s="112"/>
      <c r="O85" s="112"/>
      <c r="P85" s="112"/>
      <c r="Q85" s="112"/>
      <c r="R85" s="112"/>
      <c r="S85" s="112"/>
      <c r="T85" s="112"/>
      <c r="U85" s="113" t="s">
        <v>1167</v>
      </c>
      <c r="V85" s="113" t="s">
        <v>1168</v>
      </c>
      <c r="W85" s="107"/>
      <c r="X85" s="113" t="s">
        <v>1176</v>
      </c>
      <c r="Y85" s="113" t="s">
        <v>1177</v>
      </c>
      <c r="Z85" s="112"/>
      <c r="AA85" s="111">
        <v>1.0</v>
      </c>
      <c r="AB85" s="112"/>
      <c r="AC85" s="111">
        <v>1.0</v>
      </c>
      <c r="AD85" s="112"/>
      <c r="AE85" s="112"/>
      <c r="AF85" s="112"/>
      <c r="AG85" s="117"/>
      <c r="AH85" s="115">
        <v>1.0</v>
      </c>
      <c r="AI85" s="124"/>
      <c r="AJ85" s="124"/>
      <c r="AK85" s="124"/>
      <c r="AL85" s="124"/>
      <c r="AM85" s="124"/>
      <c r="AN85" s="124"/>
      <c r="AO85" s="124"/>
      <c r="AP85" s="115">
        <v>1.0</v>
      </c>
      <c r="AQ85" s="115">
        <v>1.0</v>
      </c>
      <c r="AR85" s="124"/>
      <c r="AS85" s="124"/>
      <c r="AT85" s="124"/>
      <c r="AU85" s="124"/>
      <c r="AV85" s="124"/>
      <c r="AW85" s="124"/>
      <c r="AX85" s="124"/>
      <c r="AY85" s="124"/>
      <c r="AZ85" s="124"/>
      <c r="BA85" s="124"/>
      <c r="BB85" s="124"/>
      <c r="BC85" s="124"/>
      <c r="BD85" s="124"/>
      <c r="BE85" s="124"/>
      <c r="BF85" s="124"/>
      <c r="BG85" s="124"/>
      <c r="BH85" s="124"/>
      <c r="BI85" s="115">
        <v>1.0</v>
      </c>
      <c r="BJ85" s="124"/>
      <c r="BK85" s="124"/>
      <c r="BL85" s="124"/>
      <c r="BM85" s="124"/>
      <c r="BN85" s="124"/>
      <c r="BO85" s="124"/>
      <c r="BP85" s="124"/>
      <c r="BQ85" s="124"/>
      <c r="BR85" s="124"/>
      <c r="BS85" s="115">
        <v>1.0</v>
      </c>
      <c r="BT85" s="124"/>
      <c r="BU85" s="124"/>
      <c r="BV85" s="124"/>
      <c r="BW85" s="124"/>
      <c r="BX85" s="124"/>
      <c r="BY85" s="124"/>
      <c r="BZ85" s="124"/>
      <c r="CA85" s="124"/>
    </row>
    <row r="86">
      <c r="A86" s="139" t="str">
        <f>HYPERLINK("https://drive.google.com/open?id=19su574uGkFt0od3POC4PFongwP80oqAv","Yusuf2007")</f>
        <v>Yusuf2007</v>
      </c>
      <c r="B86" s="113" t="s">
        <v>1270</v>
      </c>
      <c r="C86" s="113" t="s">
        <v>819</v>
      </c>
      <c r="D86" s="110">
        <v>2007.0</v>
      </c>
      <c r="E86" s="112"/>
      <c r="F86" s="112"/>
      <c r="G86" s="111">
        <v>1.0</v>
      </c>
      <c r="H86" s="112"/>
      <c r="I86" s="112"/>
      <c r="J86" s="112"/>
      <c r="K86" s="112"/>
      <c r="L86" s="112"/>
      <c r="M86" s="112"/>
      <c r="N86" s="111">
        <v>1.0</v>
      </c>
      <c r="O86" s="112"/>
      <c r="P86" s="112"/>
      <c r="Q86" s="112"/>
      <c r="R86" s="112"/>
      <c r="S86" s="112"/>
      <c r="T86" s="112"/>
      <c r="V86" s="113" t="s">
        <v>1271</v>
      </c>
      <c r="W86" s="113" t="s">
        <v>1272</v>
      </c>
      <c r="X86" s="113" t="s">
        <v>1273</v>
      </c>
      <c r="Y86" s="113" t="s">
        <v>1274</v>
      </c>
      <c r="Z86" s="111">
        <v>1.0</v>
      </c>
      <c r="AA86" s="112"/>
      <c r="AB86" s="112"/>
      <c r="AC86" s="111">
        <v>1.0</v>
      </c>
      <c r="AD86" s="112"/>
      <c r="AE86" s="112"/>
      <c r="AF86" s="112"/>
      <c r="AG86" s="117"/>
      <c r="AH86" s="115">
        <v>1.0</v>
      </c>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15" t="s">
        <v>1240</v>
      </c>
      <c r="BE86" s="124"/>
      <c r="BF86" s="124"/>
      <c r="BG86" s="124"/>
      <c r="BH86" s="124"/>
      <c r="BI86" s="115" t="s">
        <v>1240</v>
      </c>
      <c r="BJ86" s="124"/>
      <c r="BK86" s="124"/>
      <c r="BL86" s="124"/>
      <c r="BM86" s="124"/>
      <c r="BN86" s="124"/>
      <c r="BO86" s="124"/>
      <c r="BP86" s="124"/>
      <c r="BQ86" s="124"/>
      <c r="BR86" s="124"/>
      <c r="BS86" s="124"/>
      <c r="BT86" s="124"/>
      <c r="BU86" s="124"/>
      <c r="BV86" s="124"/>
      <c r="BW86" s="124"/>
      <c r="BX86" s="124"/>
      <c r="BY86" s="115">
        <v>1.0</v>
      </c>
      <c r="BZ86" s="124"/>
      <c r="CA86" s="124"/>
    </row>
    <row r="87">
      <c r="A87" s="139" t="str">
        <f>HYPERLINK("https://drive.google.com/open?id=1q1BGIo6YzI8f6kEKYd1vQK_6mWmFZtbG","Zhuge1997")</f>
        <v>Zhuge1997</v>
      </c>
      <c r="B87" s="113" t="s">
        <v>1295</v>
      </c>
      <c r="C87" s="113" t="s">
        <v>310</v>
      </c>
      <c r="D87" s="110">
        <v>1997.0</v>
      </c>
      <c r="E87" s="112"/>
      <c r="F87" s="112"/>
      <c r="G87" s="112"/>
      <c r="H87" s="112"/>
      <c r="I87" s="112"/>
      <c r="J87" s="112"/>
      <c r="K87" s="112"/>
      <c r="L87" s="112"/>
      <c r="M87" s="111">
        <v>1.0</v>
      </c>
      <c r="N87" s="112"/>
      <c r="O87" s="112"/>
      <c r="P87" s="112"/>
      <c r="Q87" s="112"/>
      <c r="R87" s="112"/>
      <c r="S87" s="112"/>
      <c r="T87" s="112"/>
      <c r="U87" s="113" t="s">
        <v>1296</v>
      </c>
      <c r="V87" s="113" t="s">
        <v>1297</v>
      </c>
      <c r="W87" s="107"/>
      <c r="X87" s="107"/>
      <c r="Y87" s="113" t="s">
        <v>1298</v>
      </c>
      <c r="Z87" s="112"/>
      <c r="AA87" s="112"/>
      <c r="AB87" s="111">
        <v>1.0</v>
      </c>
      <c r="AC87" s="112"/>
      <c r="AD87" s="112"/>
      <c r="AE87" s="112"/>
      <c r="AF87" s="112"/>
      <c r="AG87" s="117"/>
      <c r="AH87" s="115">
        <v>1.0</v>
      </c>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15">
        <v>1.0</v>
      </c>
      <c r="BJ87" s="124"/>
      <c r="BK87" s="124"/>
      <c r="BL87" s="124"/>
      <c r="BM87" s="124"/>
      <c r="BN87" s="124"/>
      <c r="BO87" s="124"/>
      <c r="BP87" s="124"/>
      <c r="BQ87" s="124"/>
      <c r="BR87" s="124"/>
      <c r="BS87" s="124"/>
      <c r="BT87" s="124"/>
      <c r="BU87" s="124"/>
      <c r="BV87" s="124"/>
      <c r="BW87" s="124"/>
      <c r="BX87" s="124"/>
      <c r="BY87" s="124"/>
      <c r="BZ87" s="124"/>
      <c r="CA87" s="124"/>
    </row>
    <row r="88">
      <c r="A88" s="139" t="str">
        <f>HYPERLINK("https://drive.google.com/open?id=1oDSryRWIMcDT_zE2rayrYOZhVBGuwoMp","Zhuge2003")</f>
        <v>Zhuge2003</v>
      </c>
      <c r="B88" s="113" t="s">
        <v>1299</v>
      </c>
      <c r="C88" s="113" t="s">
        <v>261</v>
      </c>
      <c r="D88" s="110">
        <v>2003.0</v>
      </c>
      <c r="E88" s="112"/>
      <c r="F88" s="112"/>
      <c r="G88" s="112"/>
      <c r="H88" s="112"/>
      <c r="I88" s="112"/>
      <c r="J88" s="112"/>
      <c r="K88" s="112"/>
      <c r="L88" s="111">
        <v>1.0</v>
      </c>
      <c r="M88" s="112"/>
      <c r="N88" s="112"/>
      <c r="O88" s="112"/>
      <c r="P88" s="111">
        <v>1.0</v>
      </c>
      <c r="Q88" s="112"/>
      <c r="R88" s="112"/>
      <c r="S88" s="112"/>
      <c r="T88" s="112"/>
      <c r="U88" s="113" t="s">
        <v>1300</v>
      </c>
      <c r="V88" s="113" t="s">
        <v>1301</v>
      </c>
      <c r="W88" s="107"/>
      <c r="X88" s="107"/>
      <c r="Y88" s="113" t="s">
        <v>4412</v>
      </c>
      <c r="Z88" s="112"/>
      <c r="AA88" s="112"/>
      <c r="AB88" s="112"/>
      <c r="AC88" s="111">
        <v>1.0</v>
      </c>
      <c r="AD88" s="112"/>
      <c r="AE88" s="112"/>
      <c r="AF88" s="112"/>
      <c r="AG88" s="117"/>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row>
    <row r="89">
      <c r="A89" s="141"/>
      <c r="B89" s="107"/>
      <c r="C89" s="107"/>
      <c r="D89" s="137"/>
      <c r="E89" s="142" t="str">
        <f>ROWS(E60:E88)&amp;" ("&amp;ROWS(E60:E88)-sum(E60:E88)&amp;"/"&amp;sum(E60:E88)&amp;")"</f>
        <v>29 (29/0)</v>
      </c>
      <c r="F89" s="112"/>
      <c r="G89" s="112"/>
      <c r="H89" s="112"/>
      <c r="I89" s="112"/>
      <c r="J89" s="112"/>
      <c r="K89" s="112"/>
      <c r="L89" s="112"/>
      <c r="M89" s="112"/>
      <c r="N89" s="112"/>
      <c r="O89" s="112"/>
      <c r="P89" s="112"/>
      <c r="Q89" s="112"/>
      <c r="R89" s="112"/>
      <c r="S89" s="112"/>
      <c r="T89" s="112"/>
      <c r="U89" s="107"/>
      <c r="V89" s="107"/>
      <c r="W89" s="107"/>
      <c r="X89" s="107"/>
      <c r="Y89" s="107"/>
      <c r="Z89" s="112"/>
      <c r="AA89" s="112"/>
      <c r="AB89" s="112"/>
      <c r="AC89" s="112"/>
      <c r="AD89" s="112"/>
      <c r="AE89" s="112"/>
      <c r="AF89" s="112"/>
      <c r="AG89" s="117"/>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row>
    <row r="90">
      <c r="A90" s="141"/>
      <c r="B90" s="107"/>
      <c r="C90" s="107"/>
      <c r="D90" s="137"/>
      <c r="E90" s="112"/>
      <c r="F90" s="112"/>
      <c r="G90" s="112"/>
      <c r="H90" s="112"/>
      <c r="I90" s="112"/>
      <c r="J90" s="112"/>
      <c r="K90" s="112"/>
      <c r="L90" s="112"/>
      <c r="M90" s="112"/>
      <c r="N90" s="112"/>
      <c r="O90" s="112"/>
      <c r="P90" s="112"/>
      <c r="Q90" s="112"/>
      <c r="R90" s="112"/>
      <c r="S90" s="112"/>
      <c r="T90" s="112"/>
      <c r="U90" s="107"/>
      <c r="V90" s="107"/>
      <c r="W90" s="107"/>
      <c r="X90" s="107"/>
      <c r="Y90" s="107"/>
      <c r="Z90" s="112"/>
      <c r="AA90" s="112"/>
      <c r="AB90" s="112"/>
      <c r="AC90" s="112"/>
      <c r="AD90" s="112"/>
      <c r="AE90" s="112"/>
      <c r="AF90" s="112"/>
      <c r="AG90" s="117"/>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row>
    <row r="91">
      <c r="A91" s="141"/>
      <c r="B91" s="107"/>
      <c r="C91" s="107"/>
      <c r="D91" s="137"/>
      <c r="E91" s="112"/>
      <c r="F91" s="112"/>
      <c r="G91" s="112"/>
      <c r="H91" s="112"/>
      <c r="I91" s="112"/>
      <c r="J91" s="112"/>
      <c r="K91" s="112"/>
      <c r="L91" s="112"/>
      <c r="M91" s="112"/>
      <c r="N91" s="112"/>
      <c r="O91" s="112"/>
      <c r="P91" s="112"/>
      <c r="Q91" s="112"/>
      <c r="R91" s="112"/>
      <c r="S91" s="112"/>
      <c r="T91" s="112"/>
      <c r="U91" s="107"/>
      <c r="V91" s="107"/>
      <c r="W91" s="107"/>
      <c r="X91" s="107"/>
      <c r="Y91" s="107"/>
      <c r="Z91" s="112"/>
      <c r="AA91" s="112"/>
      <c r="AB91" s="112"/>
      <c r="AC91" s="112"/>
      <c r="AD91" s="112"/>
      <c r="AE91" s="112"/>
      <c r="AF91" s="112"/>
      <c r="AG91" s="117"/>
      <c r="AH91" s="124"/>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c r="BK91" s="124"/>
      <c r="BL91" s="124"/>
      <c r="BM91" s="124"/>
      <c r="BN91" s="124"/>
      <c r="BO91" s="124"/>
      <c r="BP91" s="124"/>
      <c r="BQ91" s="124"/>
      <c r="BR91" s="124"/>
      <c r="BS91" s="124"/>
      <c r="BT91" s="124"/>
      <c r="BU91" s="124"/>
      <c r="BV91" s="124"/>
      <c r="BW91" s="124"/>
      <c r="BX91" s="124"/>
      <c r="BY91" s="124"/>
      <c r="BZ91" s="124"/>
      <c r="CA91" s="124"/>
    </row>
    <row r="92">
      <c r="A92" s="141"/>
      <c r="B92" s="107"/>
      <c r="C92" s="107"/>
      <c r="D92" s="137"/>
      <c r="E92" s="112"/>
      <c r="F92" s="112"/>
      <c r="G92" s="112"/>
      <c r="H92" s="112"/>
      <c r="I92" s="112"/>
      <c r="J92" s="112"/>
      <c r="K92" s="112"/>
      <c r="L92" s="112"/>
      <c r="M92" s="112"/>
      <c r="N92" s="112"/>
      <c r="O92" s="112"/>
      <c r="P92" s="112"/>
      <c r="Q92" s="112"/>
      <c r="R92" s="112"/>
      <c r="S92" s="112"/>
      <c r="T92" s="112"/>
      <c r="U92" s="107"/>
      <c r="V92" s="107"/>
      <c r="W92" s="107"/>
      <c r="X92" s="107"/>
      <c r="Y92" s="107"/>
      <c r="Z92" s="112"/>
      <c r="AA92" s="112"/>
      <c r="AB92" s="112"/>
      <c r="AC92" s="112"/>
      <c r="AD92" s="112"/>
      <c r="AE92" s="112"/>
      <c r="AF92" s="112"/>
      <c r="AG92" s="117"/>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row>
    <row r="93">
      <c r="A93" s="141"/>
      <c r="B93" s="107"/>
      <c r="C93" s="107"/>
      <c r="D93" s="137"/>
      <c r="E93" s="112"/>
      <c r="F93" s="112"/>
      <c r="G93" s="112"/>
      <c r="H93" s="112"/>
      <c r="I93" s="112"/>
      <c r="J93" s="112"/>
      <c r="K93" s="112"/>
      <c r="L93" s="112"/>
      <c r="M93" s="112"/>
      <c r="N93" s="112"/>
      <c r="O93" s="112"/>
      <c r="P93" s="112"/>
      <c r="Q93" s="112"/>
      <c r="R93" s="112"/>
      <c r="S93" s="112"/>
      <c r="T93" s="112"/>
      <c r="U93" s="107"/>
      <c r="V93" s="107"/>
      <c r="W93" s="107"/>
      <c r="X93" s="107"/>
      <c r="Y93" s="107"/>
      <c r="Z93" s="112"/>
      <c r="AA93" s="112"/>
      <c r="AB93" s="112"/>
      <c r="AC93" s="112"/>
      <c r="AD93" s="112"/>
      <c r="AE93" s="112"/>
      <c r="AF93" s="112"/>
      <c r="AG93" s="117"/>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row>
    <row r="94">
      <c r="A94" s="141"/>
      <c r="B94" s="107"/>
      <c r="C94" s="107"/>
      <c r="D94" s="137"/>
      <c r="E94" s="112"/>
      <c r="F94" s="112"/>
      <c r="G94" s="112"/>
      <c r="H94" s="112"/>
      <c r="I94" s="112"/>
      <c r="J94" s="112"/>
      <c r="K94" s="112"/>
      <c r="L94" s="112"/>
      <c r="M94" s="112"/>
      <c r="N94" s="112"/>
      <c r="O94" s="112"/>
      <c r="P94" s="112"/>
      <c r="Q94" s="112"/>
      <c r="R94" s="112"/>
      <c r="S94" s="112"/>
      <c r="T94" s="112"/>
      <c r="U94" s="107"/>
      <c r="V94" s="107"/>
      <c r="W94" s="107"/>
      <c r="X94" s="107"/>
      <c r="Y94" s="107"/>
      <c r="Z94" s="112"/>
      <c r="AA94" s="112"/>
      <c r="AB94" s="112"/>
      <c r="AC94" s="112"/>
      <c r="AD94" s="112"/>
      <c r="AE94" s="112"/>
      <c r="AF94" s="112"/>
      <c r="AG94" s="117"/>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row>
    <row r="95">
      <c r="A95" s="141"/>
      <c r="B95" s="107"/>
      <c r="C95" s="107"/>
      <c r="D95" s="137"/>
      <c r="E95" s="112"/>
      <c r="F95" s="112"/>
      <c r="G95" s="112"/>
      <c r="H95" s="112"/>
      <c r="I95" s="112"/>
      <c r="J95" s="112"/>
      <c r="K95" s="112"/>
      <c r="L95" s="112"/>
      <c r="M95" s="112"/>
      <c r="N95" s="112"/>
      <c r="O95" s="112"/>
      <c r="P95" s="112"/>
      <c r="Q95" s="112"/>
      <c r="R95" s="112"/>
      <c r="S95" s="112"/>
      <c r="T95" s="112"/>
      <c r="U95" s="107"/>
      <c r="V95" s="107"/>
      <c r="W95" s="107"/>
      <c r="X95" s="107"/>
      <c r="Y95" s="107"/>
      <c r="Z95" s="112"/>
      <c r="AA95" s="112"/>
      <c r="AB95" s="112"/>
      <c r="AC95" s="112"/>
      <c r="AD95" s="112"/>
      <c r="AE95" s="112"/>
      <c r="AF95" s="112"/>
      <c r="AG95" s="117"/>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24"/>
      <c r="CA95" s="124"/>
    </row>
    <row r="96">
      <c r="A96" s="141"/>
      <c r="B96" s="107"/>
      <c r="C96" s="107"/>
      <c r="D96" s="137"/>
      <c r="E96" s="112"/>
      <c r="F96" s="112"/>
      <c r="G96" s="112"/>
      <c r="H96" s="112"/>
      <c r="I96" s="112"/>
      <c r="J96" s="112"/>
      <c r="K96" s="112"/>
      <c r="L96" s="112"/>
      <c r="M96" s="112"/>
      <c r="N96" s="112"/>
      <c r="O96" s="112"/>
      <c r="P96" s="112"/>
      <c r="Q96" s="112"/>
      <c r="R96" s="112"/>
      <c r="S96" s="112"/>
      <c r="T96" s="112"/>
      <c r="U96" s="107"/>
      <c r="V96" s="107"/>
      <c r="W96" s="107"/>
      <c r="X96" s="107"/>
      <c r="Y96" s="107"/>
      <c r="Z96" s="112"/>
      <c r="AA96" s="112"/>
      <c r="AB96" s="112"/>
      <c r="AC96" s="112"/>
      <c r="AD96" s="112"/>
      <c r="AE96" s="112"/>
      <c r="AF96" s="112"/>
      <c r="AG96" s="117"/>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row>
    <row r="97">
      <c r="A97" s="141"/>
      <c r="B97" s="107"/>
      <c r="C97" s="107"/>
      <c r="D97" s="137"/>
      <c r="E97" s="112"/>
      <c r="F97" s="112"/>
      <c r="G97" s="112"/>
      <c r="H97" s="112"/>
      <c r="I97" s="112"/>
      <c r="J97" s="112"/>
      <c r="K97" s="112"/>
      <c r="L97" s="112"/>
      <c r="M97" s="112"/>
      <c r="N97" s="112"/>
      <c r="O97" s="112"/>
      <c r="P97" s="112"/>
      <c r="Q97" s="112"/>
      <c r="R97" s="112"/>
      <c r="S97" s="112"/>
      <c r="T97" s="112"/>
      <c r="U97" s="107"/>
      <c r="V97" s="107"/>
      <c r="W97" s="107"/>
      <c r="X97" s="107"/>
      <c r="Y97" s="107"/>
      <c r="Z97" s="112"/>
      <c r="AA97" s="112"/>
      <c r="AB97" s="112"/>
      <c r="AC97" s="112"/>
      <c r="AD97" s="112"/>
      <c r="AE97" s="112"/>
      <c r="AF97" s="112"/>
      <c r="AG97" s="117"/>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c r="BK97" s="124"/>
      <c r="BL97" s="124"/>
      <c r="BM97" s="124"/>
      <c r="BN97" s="124"/>
      <c r="BO97" s="124"/>
      <c r="BP97" s="124"/>
      <c r="BQ97" s="124"/>
      <c r="BR97" s="124"/>
      <c r="BS97" s="124"/>
      <c r="BT97" s="124"/>
      <c r="BU97" s="124"/>
      <c r="BV97" s="124"/>
      <c r="BW97" s="124"/>
      <c r="BX97" s="124"/>
      <c r="BY97" s="124"/>
      <c r="BZ97" s="124"/>
      <c r="CA97" s="124"/>
    </row>
    <row r="98">
      <c r="A98" s="141"/>
      <c r="B98" s="107"/>
      <c r="C98" s="107"/>
      <c r="D98" s="137"/>
      <c r="E98" s="112"/>
      <c r="F98" s="112"/>
      <c r="G98" s="112"/>
      <c r="H98" s="112"/>
      <c r="I98" s="112"/>
      <c r="J98" s="112"/>
      <c r="K98" s="112"/>
      <c r="L98" s="112"/>
      <c r="M98" s="112"/>
      <c r="N98" s="112"/>
      <c r="O98" s="112"/>
      <c r="P98" s="112"/>
      <c r="Q98" s="112"/>
      <c r="R98" s="112"/>
      <c r="S98" s="112"/>
      <c r="T98" s="112"/>
      <c r="U98" s="107"/>
      <c r="V98" s="107"/>
      <c r="W98" s="107"/>
      <c r="X98" s="107"/>
      <c r="Y98" s="107"/>
      <c r="Z98" s="112"/>
      <c r="AA98" s="112"/>
      <c r="AB98" s="112"/>
      <c r="AC98" s="112"/>
      <c r="AD98" s="112"/>
      <c r="AE98" s="112"/>
      <c r="AF98" s="112"/>
      <c r="AG98" s="117"/>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c r="BK98" s="124"/>
      <c r="BL98" s="124"/>
      <c r="BM98" s="124"/>
      <c r="BN98" s="124"/>
      <c r="BO98" s="124"/>
      <c r="BP98" s="124"/>
      <c r="BQ98" s="124"/>
      <c r="BR98" s="124"/>
      <c r="BS98" s="124"/>
      <c r="BT98" s="124"/>
      <c r="BU98" s="124"/>
      <c r="BV98" s="124"/>
      <c r="BW98" s="124"/>
      <c r="BX98" s="124"/>
      <c r="BY98" s="124"/>
      <c r="BZ98" s="124"/>
      <c r="CA98" s="124"/>
    </row>
    <row r="99">
      <c r="A99" s="141"/>
      <c r="B99" s="107"/>
      <c r="C99" s="107"/>
      <c r="D99" s="137"/>
      <c r="E99" s="112"/>
      <c r="F99" s="112"/>
      <c r="G99" s="112"/>
      <c r="H99" s="112"/>
      <c r="I99" s="112"/>
      <c r="J99" s="112"/>
      <c r="K99" s="112"/>
      <c r="L99" s="112"/>
      <c r="M99" s="112"/>
      <c r="N99" s="112"/>
      <c r="O99" s="112"/>
      <c r="P99" s="112"/>
      <c r="Q99" s="112"/>
      <c r="R99" s="112"/>
      <c r="S99" s="112"/>
      <c r="T99" s="112"/>
      <c r="U99" s="107"/>
      <c r="V99" s="107"/>
      <c r="W99" s="107"/>
      <c r="X99" s="107"/>
      <c r="Y99" s="107"/>
      <c r="Z99" s="112"/>
      <c r="AA99" s="112"/>
      <c r="AB99" s="112"/>
      <c r="AC99" s="112"/>
      <c r="AD99" s="112"/>
      <c r="AE99" s="112"/>
      <c r="AF99" s="112"/>
      <c r="AG99" s="117"/>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c r="BK99" s="124"/>
      <c r="BL99" s="124"/>
      <c r="BM99" s="124"/>
      <c r="BN99" s="124"/>
      <c r="BO99" s="124"/>
      <c r="BP99" s="124"/>
      <c r="BQ99" s="124"/>
      <c r="BR99" s="124"/>
      <c r="BS99" s="124"/>
      <c r="BT99" s="124"/>
      <c r="BU99" s="124"/>
      <c r="BV99" s="124"/>
      <c r="BW99" s="124"/>
      <c r="BX99" s="124"/>
      <c r="BY99" s="124"/>
      <c r="BZ99" s="124"/>
      <c r="CA99" s="124"/>
    </row>
    <row r="100">
      <c r="A100" s="141"/>
      <c r="B100" s="107"/>
      <c r="C100" s="107"/>
      <c r="D100" s="137"/>
      <c r="E100" s="112"/>
      <c r="F100" s="112"/>
      <c r="G100" s="112"/>
      <c r="H100" s="112"/>
      <c r="I100" s="112"/>
      <c r="J100" s="112"/>
      <c r="K100" s="112"/>
      <c r="L100" s="112"/>
      <c r="M100" s="112"/>
      <c r="N100" s="112"/>
      <c r="O100" s="112"/>
      <c r="P100" s="112"/>
      <c r="Q100" s="112"/>
      <c r="R100" s="112"/>
      <c r="S100" s="112"/>
      <c r="T100" s="112"/>
      <c r="U100" s="107"/>
      <c r="V100" s="107"/>
      <c r="W100" s="107"/>
      <c r="X100" s="107"/>
      <c r="Y100" s="107"/>
      <c r="Z100" s="112"/>
      <c r="AA100" s="112"/>
      <c r="AB100" s="112"/>
      <c r="AC100" s="112"/>
      <c r="AD100" s="112"/>
      <c r="AE100" s="112"/>
      <c r="AF100" s="112"/>
      <c r="AG100" s="117"/>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row>
    <row r="101">
      <c r="A101" s="141"/>
      <c r="B101" s="107"/>
      <c r="C101" s="107"/>
      <c r="D101" s="137"/>
      <c r="E101" s="112"/>
      <c r="F101" s="112"/>
      <c r="G101" s="112"/>
      <c r="H101" s="112"/>
      <c r="I101" s="112"/>
      <c r="J101" s="112"/>
      <c r="K101" s="112"/>
      <c r="L101" s="112"/>
      <c r="M101" s="112"/>
      <c r="N101" s="112"/>
      <c r="O101" s="112"/>
      <c r="P101" s="112"/>
      <c r="Q101" s="112"/>
      <c r="R101" s="112"/>
      <c r="S101" s="112"/>
      <c r="T101" s="112"/>
      <c r="U101" s="107"/>
      <c r="V101" s="107"/>
      <c r="W101" s="107"/>
      <c r="X101" s="107"/>
      <c r="Y101" s="107"/>
      <c r="Z101" s="112"/>
      <c r="AA101" s="112"/>
      <c r="AB101" s="112"/>
      <c r="AC101" s="112"/>
      <c r="AD101" s="112"/>
      <c r="AE101" s="112"/>
      <c r="AF101" s="112"/>
      <c r="AG101" s="117"/>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row>
    <row r="102">
      <c r="A102" s="141"/>
      <c r="B102" s="107"/>
      <c r="C102" s="107"/>
      <c r="D102" s="137"/>
      <c r="E102" s="112"/>
      <c r="F102" s="112"/>
      <c r="G102" s="112"/>
      <c r="H102" s="112"/>
      <c r="I102" s="112"/>
      <c r="J102" s="112"/>
      <c r="K102" s="112"/>
      <c r="L102" s="112"/>
      <c r="M102" s="112"/>
      <c r="N102" s="112"/>
      <c r="O102" s="112"/>
      <c r="P102" s="112"/>
      <c r="Q102" s="112"/>
      <c r="R102" s="112"/>
      <c r="S102" s="112"/>
      <c r="T102" s="112"/>
      <c r="U102" s="107"/>
      <c r="V102" s="107"/>
      <c r="W102" s="107"/>
      <c r="X102" s="107"/>
      <c r="Y102" s="107"/>
      <c r="Z102" s="112"/>
      <c r="AA102" s="112"/>
      <c r="AB102" s="112"/>
      <c r="AC102" s="112"/>
      <c r="AD102" s="112"/>
      <c r="AE102" s="112"/>
      <c r="AF102" s="112"/>
      <c r="AG102" s="117"/>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c r="BK102" s="124"/>
      <c r="BL102" s="124"/>
      <c r="BM102" s="124"/>
      <c r="BN102" s="124"/>
      <c r="BO102" s="124"/>
      <c r="BP102" s="124"/>
      <c r="BQ102" s="124"/>
      <c r="BR102" s="124"/>
      <c r="BS102" s="124"/>
      <c r="BT102" s="124"/>
      <c r="BU102" s="124"/>
      <c r="BV102" s="124"/>
      <c r="BW102" s="124"/>
      <c r="BX102" s="124"/>
      <c r="BY102" s="124"/>
      <c r="BZ102" s="124"/>
      <c r="CA102" s="124"/>
    </row>
    <row r="103">
      <c r="A103" s="141"/>
      <c r="B103" s="107"/>
      <c r="C103" s="107"/>
      <c r="D103" s="137"/>
      <c r="E103" s="112"/>
      <c r="F103" s="112"/>
      <c r="G103" s="112"/>
      <c r="H103" s="112"/>
      <c r="I103" s="112"/>
      <c r="J103" s="112"/>
      <c r="K103" s="112"/>
      <c r="L103" s="112"/>
      <c r="M103" s="112"/>
      <c r="N103" s="112"/>
      <c r="O103" s="112"/>
      <c r="P103" s="112"/>
      <c r="Q103" s="112"/>
      <c r="R103" s="112"/>
      <c r="S103" s="112"/>
      <c r="T103" s="112"/>
      <c r="U103" s="107"/>
      <c r="V103" s="107"/>
      <c r="W103" s="107"/>
      <c r="X103" s="107"/>
      <c r="Y103" s="107"/>
      <c r="Z103" s="112"/>
      <c r="AA103" s="112"/>
      <c r="AB103" s="112"/>
      <c r="AC103" s="112"/>
      <c r="AD103" s="112"/>
      <c r="AE103" s="112"/>
      <c r="AF103" s="112"/>
      <c r="AG103" s="117"/>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row>
    <row r="104">
      <c r="A104" s="141"/>
      <c r="B104" s="107"/>
      <c r="C104" s="107"/>
      <c r="D104" s="137"/>
      <c r="E104" s="112"/>
      <c r="F104" s="112"/>
      <c r="G104" s="112"/>
      <c r="H104" s="112"/>
      <c r="I104" s="112"/>
      <c r="J104" s="112"/>
      <c r="K104" s="112"/>
      <c r="L104" s="112"/>
      <c r="M104" s="112"/>
      <c r="N104" s="112"/>
      <c r="O104" s="112"/>
      <c r="P104" s="112"/>
      <c r="Q104" s="112"/>
      <c r="R104" s="112"/>
      <c r="S104" s="112"/>
      <c r="T104" s="112"/>
      <c r="U104" s="107"/>
      <c r="V104" s="107"/>
      <c r="W104" s="107"/>
      <c r="X104" s="107"/>
      <c r="Y104" s="107"/>
      <c r="Z104" s="112"/>
      <c r="AA104" s="112"/>
      <c r="AB104" s="112"/>
      <c r="AC104" s="112"/>
      <c r="AD104" s="112"/>
      <c r="AE104" s="112"/>
      <c r="AF104" s="112"/>
      <c r="AG104" s="117"/>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c r="BK104" s="124"/>
      <c r="BL104" s="124"/>
      <c r="BM104" s="124"/>
      <c r="BN104" s="124"/>
      <c r="BO104" s="124"/>
      <c r="BP104" s="124"/>
      <c r="BQ104" s="124"/>
      <c r="BR104" s="124"/>
      <c r="BS104" s="124"/>
      <c r="BT104" s="124"/>
      <c r="BU104" s="124"/>
      <c r="BV104" s="124"/>
      <c r="BW104" s="124"/>
      <c r="BX104" s="124"/>
      <c r="BY104" s="124"/>
      <c r="BZ104" s="124"/>
      <c r="CA104" s="124"/>
    </row>
    <row r="105">
      <c r="A105" s="141"/>
      <c r="B105" s="107"/>
      <c r="C105" s="107"/>
      <c r="D105" s="137"/>
      <c r="E105" s="112"/>
      <c r="F105" s="112"/>
      <c r="G105" s="112"/>
      <c r="H105" s="112"/>
      <c r="I105" s="112"/>
      <c r="J105" s="112"/>
      <c r="K105" s="112"/>
      <c r="L105" s="112"/>
      <c r="M105" s="112"/>
      <c r="N105" s="112"/>
      <c r="O105" s="112"/>
      <c r="P105" s="112"/>
      <c r="Q105" s="112"/>
      <c r="R105" s="112"/>
      <c r="S105" s="112"/>
      <c r="T105" s="112"/>
      <c r="U105" s="107"/>
      <c r="V105" s="107"/>
      <c r="W105" s="107"/>
      <c r="X105" s="107"/>
      <c r="Y105" s="107"/>
      <c r="Z105" s="112"/>
      <c r="AA105" s="112"/>
      <c r="AB105" s="112"/>
      <c r="AC105" s="112"/>
      <c r="AD105" s="112"/>
      <c r="AE105" s="112"/>
      <c r="AF105" s="112"/>
      <c r="AG105" s="117"/>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row>
    <row r="106">
      <c r="A106" s="141"/>
      <c r="B106" s="107"/>
      <c r="C106" s="107"/>
      <c r="D106" s="137"/>
      <c r="E106" s="112"/>
      <c r="F106" s="112"/>
      <c r="G106" s="112"/>
      <c r="H106" s="112"/>
      <c r="I106" s="112"/>
      <c r="J106" s="112"/>
      <c r="K106" s="112"/>
      <c r="L106" s="112"/>
      <c r="M106" s="112"/>
      <c r="N106" s="112"/>
      <c r="O106" s="112"/>
      <c r="P106" s="112"/>
      <c r="Q106" s="112"/>
      <c r="R106" s="112"/>
      <c r="S106" s="112"/>
      <c r="T106" s="112"/>
      <c r="U106" s="107"/>
      <c r="V106" s="107"/>
      <c r="W106" s="107"/>
      <c r="X106" s="107"/>
      <c r="Y106" s="107"/>
      <c r="Z106" s="112"/>
      <c r="AA106" s="112"/>
      <c r="AB106" s="112"/>
      <c r="AC106" s="112"/>
      <c r="AD106" s="112"/>
      <c r="AE106" s="112"/>
      <c r="AF106" s="112"/>
      <c r="AG106" s="117"/>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row>
    <row r="107">
      <c r="A107" s="141"/>
      <c r="B107" s="107"/>
      <c r="C107" s="107"/>
      <c r="D107" s="137"/>
      <c r="E107" s="112"/>
      <c r="F107" s="112"/>
      <c r="G107" s="112"/>
      <c r="H107" s="112"/>
      <c r="I107" s="112"/>
      <c r="J107" s="112"/>
      <c r="K107" s="112"/>
      <c r="L107" s="112"/>
      <c r="M107" s="112"/>
      <c r="N107" s="112"/>
      <c r="O107" s="112"/>
      <c r="P107" s="112"/>
      <c r="Q107" s="112"/>
      <c r="R107" s="112"/>
      <c r="S107" s="112"/>
      <c r="T107" s="112"/>
      <c r="U107" s="107"/>
      <c r="V107" s="107"/>
      <c r="W107" s="107"/>
      <c r="X107" s="107"/>
      <c r="Y107" s="107"/>
      <c r="Z107" s="112"/>
      <c r="AA107" s="112"/>
      <c r="AB107" s="112"/>
      <c r="AC107" s="112"/>
      <c r="AD107" s="112"/>
      <c r="AE107" s="112"/>
      <c r="AF107" s="112"/>
      <c r="AG107" s="117"/>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row>
    <row r="108">
      <c r="A108" s="141"/>
      <c r="B108" s="107"/>
      <c r="C108" s="107"/>
      <c r="D108" s="137"/>
      <c r="E108" s="112"/>
      <c r="F108" s="112"/>
      <c r="G108" s="112"/>
      <c r="H108" s="112"/>
      <c r="I108" s="112"/>
      <c r="J108" s="112"/>
      <c r="K108" s="112"/>
      <c r="L108" s="112"/>
      <c r="M108" s="112"/>
      <c r="N108" s="112"/>
      <c r="O108" s="112"/>
      <c r="P108" s="112"/>
      <c r="Q108" s="112"/>
      <c r="R108" s="112"/>
      <c r="S108" s="112"/>
      <c r="T108" s="112"/>
      <c r="U108" s="107"/>
      <c r="V108" s="107"/>
      <c r="W108" s="107"/>
      <c r="X108" s="107"/>
      <c r="Y108" s="107"/>
      <c r="Z108" s="112"/>
      <c r="AA108" s="112"/>
      <c r="AB108" s="112"/>
      <c r="AC108" s="112"/>
      <c r="AD108" s="112"/>
      <c r="AE108" s="112"/>
      <c r="AF108" s="112"/>
      <c r="AG108" s="117"/>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c r="BK108" s="124"/>
      <c r="BL108" s="124"/>
      <c r="BM108" s="124"/>
      <c r="BN108" s="124"/>
      <c r="BO108" s="124"/>
      <c r="BP108" s="124"/>
      <c r="BQ108" s="124"/>
      <c r="BR108" s="124"/>
      <c r="BS108" s="124"/>
      <c r="BT108" s="124"/>
      <c r="BU108" s="124"/>
      <c r="BV108" s="124"/>
      <c r="BW108" s="124"/>
      <c r="BX108" s="124"/>
      <c r="BY108" s="124"/>
      <c r="BZ108" s="124"/>
      <c r="CA108" s="124"/>
    </row>
    <row r="109">
      <c r="A109" s="141"/>
      <c r="B109" s="107"/>
      <c r="C109" s="107"/>
      <c r="D109" s="137"/>
      <c r="E109" s="112"/>
      <c r="F109" s="112"/>
      <c r="G109" s="112"/>
      <c r="H109" s="112"/>
      <c r="I109" s="112"/>
      <c r="J109" s="112"/>
      <c r="K109" s="112"/>
      <c r="L109" s="112"/>
      <c r="M109" s="112"/>
      <c r="N109" s="112"/>
      <c r="O109" s="112"/>
      <c r="P109" s="112"/>
      <c r="Q109" s="112"/>
      <c r="R109" s="112"/>
      <c r="S109" s="112"/>
      <c r="T109" s="112"/>
      <c r="U109" s="107"/>
      <c r="V109" s="107"/>
      <c r="W109" s="107"/>
      <c r="X109" s="107"/>
      <c r="Y109" s="107"/>
      <c r="Z109" s="112"/>
      <c r="AA109" s="112"/>
      <c r="AB109" s="112"/>
      <c r="AC109" s="112"/>
      <c r="AD109" s="112"/>
      <c r="AE109" s="112"/>
      <c r="AF109" s="112"/>
      <c r="AG109" s="117"/>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4"/>
      <c r="BR109" s="124"/>
      <c r="BS109" s="124"/>
      <c r="BT109" s="124"/>
      <c r="BU109" s="124"/>
      <c r="BV109" s="124"/>
      <c r="BW109" s="124"/>
      <c r="BX109" s="124"/>
      <c r="BY109" s="124"/>
      <c r="BZ109" s="124"/>
      <c r="CA109" s="124"/>
    </row>
    <row r="110">
      <c r="A110" s="141"/>
      <c r="B110" s="107"/>
      <c r="C110" s="107"/>
      <c r="D110" s="137"/>
      <c r="E110" s="112"/>
      <c r="F110" s="112"/>
      <c r="G110" s="112"/>
      <c r="H110" s="112"/>
      <c r="I110" s="112"/>
      <c r="J110" s="112"/>
      <c r="K110" s="112"/>
      <c r="L110" s="112"/>
      <c r="M110" s="112"/>
      <c r="N110" s="112"/>
      <c r="O110" s="112"/>
      <c r="P110" s="112"/>
      <c r="Q110" s="112"/>
      <c r="R110" s="112"/>
      <c r="S110" s="112"/>
      <c r="T110" s="112"/>
      <c r="U110" s="107"/>
      <c r="V110" s="107"/>
      <c r="W110" s="107"/>
      <c r="X110" s="107"/>
      <c r="Y110" s="107"/>
      <c r="Z110" s="112"/>
      <c r="AA110" s="112"/>
      <c r="AB110" s="112"/>
      <c r="AC110" s="112"/>
      <c r="AD110" s="112"/>
      <c r="AE110" s="112"/>
      <c r="AF110" s="112"/>
      <c r="AG110" s="117"/>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row>
    <row r="111">
      <c r="A111" s="141"/>
      <c r="B111" s="107"/>
      <c r="C111" s="107"/>
      <c r="D111" s="137"/>
      <c r="E111" s="112"/>
      <c r="F111" s="112"/>
      <c r="G111" s="112"/>
      <c r="H111" s="112"/>
      <c r="I111" s="112"/>
      <c r="J111" s="112"/>
      <c r="K111" s="112"/>
      <c r="L111" s="112"/>
      <c r="M111" s="112"/>
      <c r="N111" s="112"/>
      <c r="O111" s="112"/>
      <c r="P111" s="112"/>
      <c r="Q111" s="112"/>
      <c r="R111" s="112"/>
      <c r="S111" s="112"/>
      <c r="T111" s="112"/>
      <c r="U111" s="107"/>
      <c r="V111" s="107"/>
      <c r="W111" s="107"/>
      <c r="X111" s="107"/>
      <c r="Y111" s="107"/>
      <c r="Z111" s="112"/>
      <c r="AA111" s="112"/>
      <c r="AB111" s="112"/>
      <c r="AC111" s="112"/>
      <c r="AD111" s="112"/>
      <c r="AE111" s="112"/>
      <c r="AF111" s="112"/>
      <c r="AG111" s="117"/>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c r="BK111" s="124"/>
      <c r="BL111" s="124"/>
      <c r="BM111" s="124"/>
      <c r="BN111" s="124"/>
      <c r="BO111" s="124"/>
      <c r="BP111" s="124"/>
      <c r="BQ111" s="124"/>
      <c r="BR111" s="124"/>
      <c r="BS111" s="124"/>
      <c r="BT111" s="124"/>
      <c r="BU111" s="124"/>
      <c r="BV111" s="124"/>
      <c r="BW111" s="124"/>
      <c r="BX111" s="124"/>
      <c r="BY111" s="124"/>
      <c r="BZ111" s="124"/>
      <c r="CA111" s="124"/>
    </row>
    <row r="112">
      <c r="A112" s="141"/>
      <c r="B112" s="107"/>
      <c r="C112" s="107"/>
      <c r="D112" s="137"/>
      <c r="E112" s="112"/>
      <c r="F112" s="112"/>
      <c r="G112" s="112"/>
      <c r="H112" s="112"/>
      <c r="I112" s="112"/>
      <c r="J112" s="112"/>
      <c r="K112" s="112"/>
      <c r="L112" s="112"/>
      <c r="M112" s="112"/>
      <c r="N112" s="112"/>
      <c r="O112" s="112"/>
      <c r="P112" s="112"/>
      <c r="Q112" s="112"/>
      <c r="R112" s="112"/>
      <c r="S112" s="112"/>
      <c r="T112" s="112"/>
      <c r="U112" s="107"/>
      <c r="V112" s="107"/>
      <c r="W112" s="107"/>
      <c r="X112" s="107"/>
      <c r="Y112" s="107"/>
      <c r="Z112" s="112"/>
      <c r="AA112" s="112"/>
      <c r="AB112" s="112"/>
      <c r="AC112" s="112"/>
      <c r="AD112" s="112"/>
      <c r="AE112" s="112"/>
      <c r="AF112" s="112"/>
      <c r="AG112" s="117"/>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row>
    <row r="113">
      <c r="A113" s="141"/>
      <c r="B113" s="107"/>
      <c r="C113" s="107"/>
      <c r="D113" s="137"/>
      <c r="E113" s="112"/>
      <c r="F113" s="112"/>
      <c r="G113" s="112"/>
      <c r="H113" s="112"/>
      <c r="I113" s="112"/>
      <c r="J113" s="112"/>
      <c r="K113" s="112"/>
      <c r="L113" s="112"/>
      <c r="M113" s="112"/>
      <c r="N113" s="112"/>
      <c r="O113" s="112"/>
      <c r="P113" s="112"/>
      <c r="Q113" s="112"/>
      <c r="R113" s="112"/>
      <c r="S113" s="112"/>
      <c r="T113" s="112"/>
      <c r="U113" s="107"/>
      <c r="V113" s="107"/>
      <c r="W113" s="107"/>
      <c r="X113" s="107"/>
      <c r="Y113" s="107"/>
      <c r="Z113" s="112"/>
      <c r="AA113" s="112"/>
      <c r="AB113" s="112"/>
      <c r="AC113" s="112"/>
      <c r="AD113" s="112"/>
      <c r="AE113" s="112"/>
      <c r="AF113" s="112"/>
      <c r="AG113" s="117"/>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row>
    <row r="114">
      <c r="A114" s="141"/>
      <c r="B114" s="107"/>
      <c r="C114" s="107"/>
      <c r="D114" s="137"/>
      <c r="E114" s="112"/>
      <c r="F114" s="112"/>
      <c r="G114" s="112"/>
      <c r="H114" s="112"/>
      <c r="I114" s="112"/>
      <c r="J114" s="112"/>
      <c r="K114" s="112"/>
      <c r="L114" s="112"/>
      <c r="M114" s="112"/>
      <c r="N114" s="112"/>
      <c r="O114" s="112"/>
      <c r="P114" s="112"/>
      <c r="Q114" s="112"/>
      <c r="R114" s="112"/>
      <c r="S114" s="112"/>
      <c r="T114" s="112"/>
      <c r="U114" s="107"/>
      <c r="V114" s="107"/>
      <c r="W114" s="107"/>
      <c r="X114" s="107"/>
      <c r="Y114" s="107"/>
      <c r="Z114" s="112"/>
      <c r="AA114" s="112"/>
      <c r="AB114" s="112"/>
      <c r="AC114" s="112"/>
      <c r="AD114" s="112"/>
      <c r="AE114" s="112"/>
      <c r="AF114" s="112"/>
      <c r="AG114" s="117"/>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c r="BZ114" s="124"/>
      <c r="CA114" s="124"/>
    </row>
    <row r="115">
      <c r="A115" s="141"/>
      <c r="B115" s="107"/>
      <c r="C115" s="107"/>
      <c r="D115" s="137"/>
      <c r="E115" s="112"/>
      <c r="F115" s="112"/>
      <c r="G115" s="112"/>
      <c r="H115" s="112"/>
      <c r="I115" s="112"/>
      <c r="J115" s="112"/>
      <c r="K115" s="112"/>
      <c r="L115" s="112"/>
      <c r="M115" s="112"/>
      <c r="N115" s="112"/>
      <c r="O115" s="112"/>
      <c r="P115" s="112"/>
      <c r="Q115" s="112"/>
      <c r="R115" s="112"/>
      <c r="S115" s="112"/>
      <c r="T115" s="112"/>
      <c r="U115" s="107"/>
      <c r="V115" s="107"/>
      <c r="W115" s="107"/>
      <c r="X115" s="107"/>
      <c r="Y115" s="107"/>
      <c r="Z115" s="112"/>
      <c r="AA115" s="112"/>
      <c r="AB115" s="112"/>
      <c r="AC115" s="112"/>
      <c r="AD115" s="112"/>
      <c r="AE115" s="112"/>
      <c r="AF115" s="112"/>
      <c r="AG115" s="117"/>
      <c r="AH115" s="124"/>
      <c r="AI115" s="124"/>
      <c r="AJ115" s="124"/>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c r="BK115" s="124"/>
      <c r="BL115" s="124"/>
      <c r="BM115" s="124"/>
      <c r="BN115" s="124"/>
      <c r="BO115" s="124"/>
      <c r="BP115" s="124"/>
      <c r="BQ115" s="124"/>
      <c r="BR115" s="124"/>
      <c r="BS115" s="124"/>
      <c r="BT115" s="124"/>
      <c r="BU115" s="124"/>
      <c r="BV115" s="124"/>
      <c r="BW115" s="124"/>
      <c r="BX115" s="124"/>
      <c r="BY115" s="124"/>
      <c r="BZ115" s="124"/>
      <c r="CA115" s="124"/>
    </row>
    <row r="116">
      <c r="A116" s="141"/>
      <c r="B116" s="107"/>
      <c r="C116" s="107"/>
      <c r="D116" s="137"/>
      <c r="E116" s="112"/>
      <c r="F116" s="112"/>
      <c r="G116" s="112"/>
      <c r="H116" s="112"/>
      <c r="I116" s="112"/>
      <c r="J116" s="112"/>
      <c r="K116" s="112"/>
      <c r="L116" s="112"/>
      <c r="M116" s="112"/>
      <c r="N116" s="112"/>
      <c r="O116" s="112"/>
      <c r="P116" s="112"/>
      <c r="Q116" s="112"/>
      <c r="R116" s="112"/>
      <c r="S116" s="112"/>
      <c r="T116" s="112"/>
      <c r="U116" s="107"/>
      <c r="V116" s="107"/>
      <c r="W116" s="107"/>
      <c r="X116" s="107"/>
      <c r="Y116" s="107"/>
      <c r="Z116" s="112"/>
      <c r="AA116" s="112"/>
      <c r="AB116" s="112"/>
      <c r="AC116" s="112"/>
      <c r="AD116" s="112"/>
      <c r="AE116" s="112"/>
      <c r="AF116" s="112"/>
      <c r="AG116" s="117"/>
      <c r="AH116" s="124"/>
      <c r="AI116" s="124"/>
      <c r="AJ116" s="124"/>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c r="BK116" s="124"/>
      <c r="BL116" s="124"/>
      <c r="BM116" s="124"/>
      <c r="BN116" s="124"/>
      <c r="BO116" s="124"/>
      <c r="BP116" s="124"/>
      <c r="BQ116" s="124"/>
      <c r="BR116" s="124"/>
      <c r="BS116" s="124"/>
      <c r="BT116" s="124"/>
      <c r="BU116" s="124"/>
      <c r="BV116" s="124"/>
      <c r="BW116" s="124"/>
      <c r="BX116" s="124"/>
      <c r="BY116" s="124"/>
      <c r="BZ116" s="124"/>
      <c r="CA116" s="124"/>
    </row>
    <row r="117">
      <c r="A117" s="141"/>
      <c r="B117" s="107"/>
      <c r="C117" s="107"/>
      <c r="D117" s="137"/>
      <c r="E117" s="112"/>
      <c r="F117" s="112"/>
      <c r="G117" s="112"/>
      <c r="H117" s="112"/>
      <c r="I117" s="112"/>
      <c r="J117" s="112"/>
      <c r="K117" s="112"/>
      <c r="L117" s="112"/>
      <c r="M117" s="112"/>
      <c r="N117" s="112"/>
      <c r="O117" s="112"/>
      <c r="P117" s="112"/>
      <c r="Q117" s="112"/>
      <c r="R117" s="112"/>
      <c r="S117" s="112"/>
      <c r="T117" s="112"/>
      <c r="U117" s="107"/>
      <c r="V117" s="107"/>
      <c r="W117" s="107"/>
      <c r="X117" s="107"/>
      <c r="Y117" s="107"/>
      <c r="Z117" s="112"/>
      <c r="AA117" s="112"/>
      <c r="AB117" s="112"/>
      <c r="AC117" s="112"/>
      <c r="AD117" s="112"/>
      <c r="AE117" s="112"/>
      <c r="AF117" s="112"/>
      <c r="AG117" s="117"/>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c r="BK117" s="124"/>
      <c r="BL117" s="124"/>
      <c r="BM117" s="124"/>
      <c r="BN117" s="124"/>
      <c r="BO117" s="124"/>
      <c r="BP117" s="124"/>
      <c r="BQ117" s="124"/>
      <c r="BR117" s="124"/>
      <c r="BS117" s="124"/>
      <c r="BT117" s="124"/>
      <c r="BU117" s="124"/>
      <c r="BV117" s="124"/>
      <c r="BW117" s="124"/>
      <c r="BX117" s="124"/>
      <c r="BY117" s="124"/>
      <c r="BZ117" s="124"/>
      <c r="CA117" s="124"/>
    </row>
    <row r="118">
      <c r="A118" s="141"/>
      <c r="B118" s="107"/>
      <c r="C118" s="107"/>
      <c r="D118" s="137"/>
      <c r="E118" s="112"/>
      <c r="F118" s="112"/>
      <c r="G118" s="112"/>
      <c r="H118" s="112"/>
      <c r="I118" s="112"/>
      <c r="J118" s="112"/>
      <c r="K118" s="112"/>
      <c r="L118" s="112"/>
      <c r="M118" s="112"/>
      <c r="N118" s="112"/>
      <c r="O118" s="112"/>
      <c r="P118" s="112"/>
      <c r="Q118" s="112"/>
      <c r="R118" s="112"/>
      <c r="S118" s="112"/>
      <c r="T118" s="112"/>
      <c r="U118" s="107"/>
      <c r="V118" s="107"/>
      <c r="W118" s="107"/>
      <c r="X118" s="107"/>
      <c r="Y118" s="107"/>
      <c r="Z118" s="112"/>
      <c r="AA118" s="112"/>
      <c r="AB118" s="112"/>
      <c r="AC118" s="112"/>
      <c r="AD118" s="112"/>
      <c r="AE118" s="112"/>
      <c r="AF118" s="112"/>
      <c r="AG118" s="117"/>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row>
    <row r="119">
      <c r="A119" s="141"/>
      <c r="B119" s="107"/>
      <c r="C119" s="107"/>
      <c r="D119" s="137"/>
      <c r="E119" s="112"/>
      <c r="F119" s="112"/>
      <c r="G119" s="112"/>
      <c r="H119" s="112"/>
      <c r="I119" s="112"/>
      <c r="J119" s="112"/>
      <c r="K119" s="112"/>
      <c r="L119" s="112"/>
      <c r="M119" s="112"/>
      <c r="N119" s="112"/>
      <c r="O119" s="112"/>
      <c r="P119" s="112"/>
      <c r="Q119" s="112"/>
      <c r="R119" s="112"/>
      <c r="S119" s="112"/>
      <c r="T119" s="112"/>
      <c r="U119" s="107"/>
      <c r="V119" s="107"/>
      <c r="W119" s="107"/>
      <c r="X119" s="107"/>
      <c r="Y119" s="107"/>
      <c r="Z119" s="112"/>
      <c r="AA119" s="112"/>
      <c r="AB119" s="112"/>
      <c r="AC119" s="112"/>
      <c r="AD119" s="112"/>
      <c r="AE119" s="112"/>
      <c r="AF119" s="112"/>
      <c r="AG119" s="117"/>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c r="BK119" s="124"/>
      <c r="BL119" s="124"/>
      <c r="BM119" s="124"/>
      <c r="BN119" s="124"/>
      <c r="BO119" s="124"/>
      <c r="BP119" s="124"/>
      <c r="BQ119" s="124"/>
      <c r="BR119" s="124"/>
      <c r="BS119" s="124"/>
      <c r="BT119" s="124"/>
      <c r="BU119" s="124"/>
      <c r="BV119" s="124"/>
      <c r="BW119" s="124"/>
      <c r="BX119" s="124"/>
      <c r="BY119" s="124"/>
      <c r="BZ119" s="124"/>
      <c r="CA119" s="124"/>
    </row>
    <row r="120">
      <c r="A120" s="141"/>
      <c r="B120" s="107"/>
      <c r="C120" s="107"/>
      <c r="D120" s="137"/>
      <c r="E120" s="112"/>
      <c r="F120" s="112"/>
      <c r="G120" s="112"/>
      <c r="H120" s="112"/>
      <c r="I120" s="112"/>
      <c r="J120" s="112"/>
      <c r="K120" s="112"/>
      <c r="L120" s="112"/>
      <c r="M120" s="112"/>
      <c r="N120" s="112"/>
      <c r="O120" s="112"/>
      <c r="P120" s="112"/>
      <c r="Q120" s="112"/>
      <c r="R120" s="112"/>
      <c r="S120" s="112"/>
      <c r="T120" s="112"/>
      <c r="U120" s="107"/>
      <c r="V120" s="107"/>
      <c r="W120" s="107"/>
      <c r="X120" s="107"/>
      <c r="Y120" s="107"/>
      <c r="Z120" s="112"/>
      <c r="AA120" s="112"/>
      <c r="AB120" s="112"/>
      <c r="AC120" s="112"/>
      <c r="AD120" s="112"/>
      <c r="AE120" s="112"/>
      <c r="AF120" s="112"/>
      <c r="AG120" s="117"/>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row>
    <row r="121">
      <c r="A121" s="141"/>
      <c r="B121" s="107"/>
      <c r="C121" s="107"/>
      <c r="D121" s="137"/>
      <c r="E121" s="112"/>
      <c r="F121" s="112"/>
      <c r="G121" s="112"/>
      <c r="H121" s="112"/>
      <c r="I121" s="112"/>
      <c r="J121" s="112"/>
      <c r="K121" s="112"/>
      <c r="L121" s="112"/>
      <c r="M121" s="112"/>
      <c r="N121" s="112"/>
      <c r="O121" s="112"/>
      <c r="P121" s="112"/>
      <c r="Q121" s="112"/>
      <c r="R121" s="112"/>
      <c r="S121" s="112"/>
      <c r="T121" s="112"/>
      <c r="U121" s="107"/>
      <c r="V121" s="107"/>
      <c r="W121" s="107"/>
      <c r="X121" s="107"/>
      <c r="Y121" s="107"/>
      <c r="Z121" s="112"/>
      <c r="AA121" s="112"/>
      <c r="AB121" s="112"/>
      <c r="AC121" s="112"/>
      <c r="AD121" s="112"/>
      <c r="AE121" s="112"/>
      <c r="AF121" s="112"/>
      <c r="AG121" s="117"/>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c r="BS121" s="124"/>
      <c r="BT121" s="124"/>
      <c r="BU121" s="124"/>
      <c r="BV121" s="124"/>
      <c r="BW121" s="124"/>
      <c r="BX121" s="124"/>
      <c r="BY121" s="124"/>
      <c r="BZ121" s="124"/>
      <c r="CA121" s="124"/>
    </row>
    <row r="122">
      <c r="A122" s="141"/>
      <c r="B122" s="107"/>
      <c r="C122" s="107"/>
      <c r="D122" s="137"/>
      <c r="E122" s="112"/>
      <c r="F122" s="112"/>
      <c r="G122" s="112"/>
      <c r="H122" s="112"/>
      <c r="I122" s="112"/>
      <c r="J122" s="112"/>
      <c r="K122" s="112"/>
      <c r="L122" s="112"/>
      <c r="M122" s="112"/>
      <c r="N122" s="112"/>
      <c r="O122" s="112"/>
      <c r="P122" s="112"/>
      <c r="Q122" s="112"/>
      <c r="R122" s="112"/>
      <c r="S122" s="112"/>
      <c r="T122" s="112"/>
      <c r="U122" s="107"/>
      <c r="V122" s="107"/>
      <c r="W122" s="107"/>
      <c r="X122" s="107"/>
      <c r="Y122" s="107"/>
      <c r="Z122" s="112"/>
      <c r="AA122" s="112"/>
      <c r="AB122" s="112"/>
      <c r="AC122" s="112"/>
      <c r="AD122" s="112"/>
      <c r="AE122" s="112"/>
      <c r="AF122" s="112"/>
      <c r="AG122" s="117"/>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row>
    <row r="123">
      <c r="A123" s="141"/>
      <c r="B123" s="107"/>
      <c r="C123" s="107"/>
      <c r="D123" s="137"/>
      <c r="E123" s="112"/>
      <c r="F123" s="112"/>
      <c r="G123" s="112"/>
      <c r="H123" s="112"/>
      <c r="I123" s="112"/>
      <c r="J123" s="112"/>
      <c r="K123" s="112"/>
      <c r="L123" s="112"/>
      <c r="M123" s="112"/>
      <c r="N123" s="112"/>
      <c r="O123" s="112"/>
      <c r="P123" s="112"/>
      <c r="Q123" s="112"/>
      <c r="R123" s="112"/>
      <c r="S123" s="112"/>
      <c r="T123" s="112"/>
      <c r="U123" s="107"/>
      <c r="V123" s="107"/>
      <c r="W123" s="107"/>
      <c r="X123" s="107"/>
      <c r="Y123" s="107"/>
      <c r="Z123" s="112"/>
      <c r="AA123" s="112"/>
      <c r="AB123" s="112"/>
      <c r="AC123" s="112"/>
      <c r="AD123" s="112"/>
      <c r="AE123" s="112"/>
      <c r="AF123" s="112"/>
      <c r="AG123" s="117"/>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row>
    <row r="124">
      <c r="A124" s="141"/>
      <c r="B124" s="107"/>
      <c r="C124" s="107"/>
      <c r="D124" s="137"/>
      <c r="E124" s="112"/>
      <c r="F124" s="112"/>
      <c r="G124" s="112"/>
      <c r="H124" s="112"/>
      <c r="I124" s="112"/>
      <c r="J124" s="112"/>
      <c r="K124" s="112"/>
      <c r="L124" s="112"/>
      <c r="M124" s="112"/>
      <c r="N124" s="112"/>
      <c r="O124" s="112"/>
      <c r="P124" s="112"/>
      <c r="Q124" s="112"/>
      <c r="R124" s="112"/>
      <c r="S124" s="112"/>
      <c r="T124" s="112"/>
      <c r="U124" s="107"/>
      <c r="V124" s="107"/>
      <c r="W124" s="107"/>
      <c r="X124" s="107"/>
      <c r="Y124" s="107"/>
      <c r="Z124" s="112"/>
      <c r="AA124" s="112"/>
      <c r="AB124" s="112"/>
      <c r="AC124" s="112"/>
      <c r="AD124" s="112"/>
      <c r="AE124" s="112"/>
      <c r="AF124" s="112"/>
      <c r="AG124" s="117"/>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c r="BK124" s="124"/>
      <c r="BL124" s="124"/>
      <c r="BM124" s="124"/>
      <c r="BN124" s="124"/>
      <c r="BO124" s="124"/>
      <c r="BP124" s="124"/>
      <c r="BQ124" s="124"/>
      <c r="BR124" s="124"/>
      <c r="BS124" s="124"/>
      <c r="BT124" s="124"/>
      <c r="BU124" s="124"/>
      <c r="BV124" s="124"/>
      <c r="BW124" s="124"/>
      <c r="BX124" s="124"/>
      <c r="BY124" s="124"/>
      <c r="BZ124" s="124"/>
      <c r="CA124" s="124"/>
    </row>
    <row r="125">
      <c r="A125" s="141"/>
      <c r="B125" s="107"/>
      <c r="C125" s="107"/>
      <c r="D125" s="137"/>
      <c r="E125" s="112"/>
      <c r="F125" s="112"/>
      <c r="G125" s="112"/>
      <c r="H125" s="112"/>
      <c r="I125" s="112"/>
      <c r="J125" s="112"/>
      <c r="K125" s="112"/>
      <c r="L125" s="112"/>
      <c r="M125" s="112"/>
      <c r="N125" s="112"/>
      <c r="O125" s="112"/>
      <c r="P125" s="112"/>
      <c r="Q125" s="112"/>
      <c r="R125" s="112"/>
      <c r="S125" s="112"/>
      <c r="T125" s="112"/>
      <c r="U125" s="107"/>
      <c r="V125" s="107"/>
      <c r="W125" s="107"/>
      <c r="X125" s="107"/>
      <c r="Y125" s="107"/>
      <c r="Z125" s="112"/>
      <c r="AA125" s="112"/>
      <c r="AB125" s="112"/>
      <c r="AC125" s="112"/>
      <c r="AD125" s="112"/>
      <c r="AE125" s="112"/>
      <c r="AF125" s="112"/>
      <c r="AG125" s="117"/>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row>
    <row r="126">
      <c r="A126" s="141"/>
      <c r="B126" s="107"/>
      <c r="C126" s="107"/>
      <c r="D126" s="137"/>
      <c r="E126" s="112"/>
      <c r="F126" s="112"/>
      <c r="G126" s="112"/>
      <c r="H126" s="112"/>
      <c r="I126" s="112"/>
      <c r="J126" s="112"/>
      <c r="K126" s="112"/>
      <c r="L126" s="112"/>
      <c r="M126" s="112"/>
      <c r="N126" s="112"/>
      <c r="O126" s="112"/>
      <c r="P126" s="112"/>
      <c r="Q126" s="112"/>
      <c r="R126" s="112"/>
      <c r="S126" s="112"/>
      <c r="T126" s="112"/>
      <c r="U126" s="107"/>
      <c r="V126" s="107"/>
      <c r="W126" s="107"/>
      <c r="X126" s="107"/>
      <c r="Y126" s="107"/>
      <c r="Z126" s="112"/>
      <c r="AA126" s="112"/>
      <c r="AB126" s="112"/>
      <c r="AC126" s="112"/>
      <c r="AD126" s="112"/>
      <c r="AE126" s="112"/>
      <c r="AF126" s="112"/>
      <c r="AG126" s="117"/>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row>
    <row r="127">
      <c r="A127" s="141"/>
      <c r="B127" s="107"/>
      <c r="C127" s="107"/>
      <c r="D127" s="137"/>
      <c r="E127" s="112"/>
      <c r="F127" s="112"/>
      <c r="G127" s="112"/>
      <c r="H127" s="112"/>
      <c r="I127" s="112"/>
      <c r="J127" s="112"/>
      <c r="K127" s="112"/>
      <c r="L127" s="112"/>
      <c r="M127" s="112"/>
      <c r="N127" s="112"/>
      <c r="O127" s="112"/>
      <c r="P127" s="112"/>
      <c r="Q127" s="112"/>
      <c r="R127" s="112"/>
      <c r="S127" s="112"/>
      <c r="T127" s="112"/>
      <c r="U127" s="107"/>
      <c r="V127" s="107"/>
      <c r="W127" s="107"/>
      <c r="X127" s="107"/>
      <c r="Y127" s="107"/>
      <c r="Z127" s="112"/>
      <c r="AA127" s="112"/>
      <c r="AB127" s="112"/>
      <c r="AC127" s="112"/>
      <c r="AD127" s="112"/>
      <c r="AE127" s="112"/>
      <c r="AF127" s="112"/>
      <c r="AG127" s="117"/>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row>
    <row r="128">
      <c r="A128" s="141"/>
      <c r="B128" s="107"/>
      <c r="C128" s="107"/>
      <c r="D128" s="137"/>
      <c r="E128" s="112"/>
      <c r="F128" s="112"/>
      <c r="G128" s="112"/>
      <c r="H128" s="112"/>
      <c r="I128" s="112"/>
      <c r="J128" s="112"/>
      <c r="K128" s="112"/>
      <c r="L128" s="112"/>
      <c r="M128" s="112"/>
      <c r="N128" s="112"/>
      <c r="O128" s="112"/>
      <c r="P128" s="112"/>
      <c r="Q128" s="112"/>
      <c r="R128" s="112"/>
      <c r="S128" s="112"/>
      <c r="T128" s="112"/>
      <c r="U128" s="107"/>
      <c r="V128" s="107"/>
      <c r="W128" s="107"/>
      <c r="X128" s="107"/>
      <c r="Y128" s="107"/>
      <c r="Z128" s="112"/>
      <c r="AA128" s="112"/>
      <c r="AB128" s="112"/>
      <c r="AC128" s="112"/>
      <c r="AD128" s="112"/>
      <c r="AE128" s="112"/>
      <c r="AF128" s="112"/>
      <c r="AG128" s="117"/>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row>
    <row r="129">
      <c r="A129" s="141"/>
      <c r="B129" s="107"/>
      <c r="C129" s="107"/>
      <c r="D129" s="137"/>
      <c r="E129" s="112"/>
      <c r="F129" s="112"/>
      <c r="G129" s="112"/>
      <c r="H129" s="112"/>
      <c r="I129" s="112"/>
      <c r="J129" s="112"/>
      <c r="K129" s="112"/>
      <c r="L129" s="112"/>
      <c r="M129" s="112"/>
      <c r="N129" s="112"/>
      <c r="O129" s="112"/>
      <c r="P129" s="112"/>
      <c r="Q129" s="112"/>
      <c r="R129" s="112"/>
      <c r="S129" s="112"/>
      <c r="T129" s="112"/>
      <c r="U129" s="107"/>
      <c r="V129" s="107"/>
      <c r="W129" s="107"/>
      <c r="X129" s="107"/>
      <c r="Y129" s="107"/>
      <c r="Z129" s="112"/>
      <c r="AA129" s="112"/>
      <c r="AB129" s="112"/>
      <c r="AC129" s="112"/>
      <c r="AD129" s="112"/>
      <c r="AE129" s="112"/>
      <c r="AF129" s="112"/>
      <c r="AG129" s="117"/>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row>
    <row r="130">
      <c r="A130" s="141"/>
      <c r="B130" s="107"/>
      <c r="C130" s="107"/>
      <c r="D130" s="137"/>
      <c r="E130" s="112"/>
      <c r="F130" s="112"/>
      <c r="G130" s="112"/>
      <c r="H130" s="112"/>
      <c r="I130" s="112"/>
      <c r="J130" s="112"/>
      <c r="K130" s="112"/>
      <c r="L130" s="112"/>
      <c r="M130" s="112"/>
      <c r="N130" s="112"/>
      <c r="O130" s="112"/>
      <c r="P130" s="112"/>
      <c r="Q130" s="112"/>
      <c r="R130" s="112"/>
      <c r="S130" s="112"/>
      <c r="T130" s="112"/>
      <c r="U130" s="107"/>
      <c r="V130" s="107"/>
      <c r="W130" s="107"/>
      <c r="X130" s="107"/>
      <c r="Y130" s="107"/>
      <c r="Z130" s="112"/>
      <c r="AA130" s="112"/>
      <c r="AB130" s="112"/>
      <c r="AC130" s="112"/>
      <c r="AD130" s="112"/>
      <c r="AE130" s="112"/>
      <c r="AF130" s="112"/>
      <c r="AG130" s="117"/>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row>
    <row r="131">
      <c r="A131" s="141"/>
      <c r="B131" s="107"/>
      <c r="C131" s="107"/>
      <c r="D131" s="143"/>
      <c r="E131" s="129"/>
      <c r="F131" s="129"/>
      <c r="G131" s="129"/>
      <c r="H131" s="129"/>
      <c r="I131" s="129"/>
      <c r="J131" s="129"/>
      <c r="K131" s="129"/>
      <c r="L131" s="129"/>
      <c r="M131" s="129"/>
      <c r="N131" s="129"/>
      <c r="O131" s="129"/>
      <c r="P131" s="129"/>
      <c r="Q131" s="129"/>
      <c r="R131" s="129"/>
      <c r="S131" s="129"/>
      <c r="T131" s="129"/>
      <c r="U131" s="106"/>
      <c r="V131" s="106"/>
      <c r="W131" s="106"/>
      <c r="X131" s="106"/>
      <c r="Y131" s="106"/>
      <c r="Z131" s="129"/>
      <c r="AA131" s="129"/>
      <c r="AB131" s="129"/>
      <c r="AC131" s="129"/>
      <c r="AD131" s="129"/>
      <c r="AE131" s="129"/>
      <c r="AF131" s="129"/>
      <c r="AG131" s="117"/>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row>
    <row r="132">
      <c r="A132" s="141"/>
      <c r="B132" s="107"/>
      <c r="C132" s="107"/>
      <c r="D132" s="143"/>
      <c r="E132" s="129"/>
      <c r="F132" s="129"/>
      <c r="G132" s="129"/>
      <c r="H132" s="129"/>
      <c r="I132" s="129"/>
      <c r="J132" s="129"/>
      <c r="K132" s="129"/>
      <c r="L132" s="129"/>
      <c r="M132" s="129"/>
      <c r="N132" s="129"/>
      <c r="O132" s="129"/>
      <c r="P132" s="129"/>
      <c r="Q132" s="129"/>
      <c r="R132" s="129"/>
      <c r="S132" s="129"/>
      <c r="T132" s="129"/>
      <c r="U132" s="106"/>
      <c r="V132" s="106"/>
      <c r="W132" s="106"/>
      <c r="X132" s="106"/>
      <c r="Y132" s="106"/>
      <c r="Z132" s="129"/>
      <c r="AA132" s="129"/>
      <c r="AB132" s="129"/>
      <c r="AC132" s="129"/>
      <c r="AD132" s="129"/>
      <c r="AE132" s="129"/>
      <c r="AF132" s="129"/>
      <c r="AG132" s="117"/>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row>
    <row r="133">
      <c r="A133" s="141"/>
      <c r="B133" s="107"/>
      <c r="C133" s="107"/>
      <c r="D133" s="143"/>
      <c r="E133" s="129"/>
      <c r="F133" s="129"/>
      <c r="G133" s="129"/>
      <c r="H133" s="129"/>
      <c r="I133" s="129"/>
      <c r="J133" s="129"/>
      <c r="K133" s="129"/>
      <c r="L133" s="129"/>
      <c r="M133" s="129"/>
      <c r="N133" s="129"/>
      <c r="O133" s="129"/>
      <c r="P133" s="129"/>
      <c r="Q133" s="129"/>
      <c r="R133" s="129"/>
      <c r="S133" s="129"/>
      <c r="T133" s="129"/>
      <c r="U133" s="106"/>
      <c r="V133" s="106"/>
      <c r="W133" s="106"/>
      <c r="X133" s="106"/>
      <c r="Y133" s="106"/>
      <c r="Z133" s="129"/>
      <c r="AA133" s="129"/>
      <c r="AB133" s="129"/>
      <c r="AC133" s="129"/>
      <c r="AD133" s="129"/>
      <c r="AE133" s="129"/>
      <c r="AF133" s="129"/>
      <c r="AG133" s="117"/>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row>
    <row r="134">
      <c r="A134" s="141"/>
      <c r="B134" s="107"/>
      <c r="C134" s="107"/>
      <c r="D134" s="143"/>
      <c r="E134" s="129"/>
      <c r="F134" s="129"/>
      <c r="G134" s="129"/>
      <c r="H134" s="129"/>
      <c r="I134" s="129"/>
      <c r="J134" s="129"/>
      <c r="K134" s="129"/>
      <c r="L134" s="129"/>
      <c r="M134" s="129"/>
      <c r="N134" s="129"/>
      <c r="O134" s="129"/>
      <c r="P134" s="129"/>
      <c r="Q134" s="129"/>
      <c r="R134" s="129"/>
      <c r="S134" s="129"/>
      <c r="T134" s="129"/>
      <c r="U134" s="106"/>
      <c r="V134" s="106"/>
      <c r="W134" s="106"/>
      <c r="X134" s="106"/>
      <c r="Y134" s="106"/>
      <c r="Z134" s="129"/>
      <c r="AA134" s="129"/>
      <c r="AB134" s="129"/>
      <c r="AC134" s="129"/>
      <c r="AD134" s="129"/>
      <c r="AE134" s="129"/>
      <c r="AF134" s="129"/>
      <c r="AG134" s="117"/>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row>
    <row r="135">
      <c r="A135" s="141"/>
      <c r="B135" s="107"/>
      <c r="C135" s="107"/>
      <c r="D135" s="143"/>
      <c r="E135" s="129"/>
      <c r="F135" s="129"/>
      <c r="G135" s="129"/>
      <c r="H135" s="129"/>
      <c r="I135" s="129"/>
      <c r="J135" s="129"/>
      <c r="K135" s="129"/>
      <c r="L135" s="129"/>
      <c r="M135" s="129"/>
      <c r="N135" s="129"/>
      <c r="O135" s="129"/>
      <c r="P135" s="129"/>
      <c r="Q135" s="129"/>
      <c r="R135" s="129"/>
      <c r="S135" s="129"/>
      <c r="T135" s="129"/>
      <c r="U135" s="106"/>
      <c r="V135" s="106"/>
      <c r="W135" s="106"/>
      <c r="X135" s="106"/>
      <c r="Y135" s="106"/>
      <c r="Z135" s="129"/>
      <c r="AA135" s="129"/>
      <c r="AB135" s="129"/>
      <c r="AC135" s="129"/>
      <c r="AD135" s="129"/>
      <c r="AE135" s="129"/>
      <c r="AF135" s="129"/>
      <c r="AG135" s="117"/>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c r="BK135" s="124"/>
      <c r="BL135" s="124"/>
      <c r="BM135" s="124"/>
      <c r="BN135" s="124"/>
      <c r="BO135" s="124"/>
      <c r="BP135" s="124"/>
      <c r="BQ135" s="124"/>
      <c r="BR135" s="124"/>
      <c r="BS135" s="124"/>
      <c r="BT135" s="124"/>
      <c r="BU135" s="124"/>
      <c r="BV135" s="124"/>
      <c r="BW135" s="124"/>
      <c r="BX135" s="124"/>
      <c r="BY135" s="124"/>
      <c r="BZ135" s="124"/>
      <c r="CA135" s="124"/>
    </row>
    <row r="136">
      <c r="A136" s="141"/>
      <c r="B136" s="107"/>
      <c r="C136" s="107"/>
      <c r="D136" s="143"/>
      <c r="E136" s="129"/>
      <c r="F136" s="129"/>
      <c r="G136" s="129"/>
      <c r="H136" s="129"/>
      <c r="I136" s="129"/>
      <c r="J136" s="129"/>
      <c r="K136" s="129"/>
      <c r="L136" s="129"/>
      <c r="M136" s="129"/>
      <c r="N136" s="129"/>
      <c r="O136" s="129"/>
      <c r="P136" s="129"/>
      <c r="Q136" s="129"/>
      <c r="R136" s="129"/>
      <c r="S136" s="129"/>
      <c r="T136" s="129"/>
      <c r="U136" s="106"/>
      <c r="V136" s="106"/>
      <c r="W136" s="106"/>
      <c r="X136" s="106"/>
      <c r="Y136" s="106"/>
      <c r="Z136" s="129"/>
      <c r="AA136" s="129"/>
      <c r="AB136" s="129"/>
      <c r="AC136" s="129"/>
      <c r="AD136" s="129"/>
      <c r="AE136" s="129"/>
      <c r="AF136" s="129"/>
      <c r="AG136" s="117"/>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row>
    <row r="137">
      <c r="A137" s="141"/>
      <c r="B137" s="107"/>
      <c r="C137" s="107"/>
      <c r="D137" s="143"/>
      <c r="E137" s="129"/>
      <c r="F137" s="129"/>
      <c r="G137" s="129"/>
      <c r="H137" s="129"/>
      <c r="I137" s="129"/>
      <c r="J137" s="129"/>
      <c r="K137" s="129"/>
      <c r="L137" s="129"/>
      <c r="M137" s="129"/>
      <c r="N137" s="129"/>
      <c r="O137" s="129"/>
      <c r="P137" s="129"/>
      <c r="Q137" s="129"/>
      <c r="R137" s="129"/>
      <c r="S137" s="129"/>
      <c r="T137" s="129"/>
      <c r="U137" s="106"/>
      <c r="V137" s="106"/>
      <c r="W137" s="106"/>
      <c r="X137" s="106"/>
      <c r="Y137" s="106"/>
      <c r="Z137" s="129"/>
      <c r="AA137" s="129"/>
      <c r="AB137" s="129"/>
      <c r="AC137" s="129"/>
      <c r="AD137" s="129"/>
      <c r="AE137" s="129"/>
      <c r="AF137" s="129"/>
      <c r="AG137" s="117"/>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row>
    <row r="138">
      <c r="A138" s="141"/>
      <c r="B138" s="107"/>
      <c r="C138" s="107"/>
      <c r="D138" s="143"/>
      <c r="E138" s="129"/>
      <c r="F138" s="129"/>
      <c r="G138" s="129"/>
      <c r="H138" s="129"/>
      <c r="I138" s="129"/>
      <c r="J138" s="129"/>
      <c r="K138" s="129"/>
      <c r="L138" s="129"/>
      <c r="M138" s="129"/>
      <c r="N138" s="129"/>
      <c r="O138" s="129"/>
      <c r="P138" s="129"/>
      <c r="Q138" s="129"/>
      <c r="R138" s="129"/>
      <c r="S138" s="129"/>
      <c r="T138" s="129"/>
      <c r="U138" s="106"/>
      <c r="V138" s="106"/>
      <c r="W138" s="106"/>
      <c r="X138" s="106"/>
      <c r="Y138" s="106"/>
      <c r="Z138" s="129"/>
      <c r="AA138" s="129"/>
      <c r="AB138" s="129"/>
      <c r="AC138" s="129"/>
      <c r="AD138" s="129"/>
      <c r="AE138" s="129"/>
      <c r="AF138" s="129"/>
      <c r="AG138" s="117"/>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row>
    <row r="139">
      <c r="A139" s="141"/>
      <c r="B139" s="107"/>
      <c r="C139" s="107"/>
      <c r="D139" s="143"/>
      <c r="E139" s="129"/>
      <c r="F139" s="129"/>
      <c r="G139" s="129"/>
      <c r="H139" s="129"/>
      <c r="I139" s="129"/>
      <c r="J139" s="129"/>
      <c r="K139" s="129"/>
      <c r="L139" s="129"/>
      <c r="M139" s="129"/>
      <c r="N139" s="129"/>
      <c r="O139" s="129"/>
      <c r="P139" s="129"/>
      <c r="Q139" s="129"/>
      <c r="R139" s="129"/>
      <c r="S139" s="129"/>
      <c r="T139" s="129"/>
      <c r="U139" s="106"/>
      <c r="V139" s="106"/>
      <c r="W139" s="106"/>
      <c r="X139" s="106"/>
      <c r="Y139" s="106"/>
      <c r="Z139" s="129"/>
      <c r="AA139" s="129"/>
      <c r="AB139" s="129"/>
      <c r="AC139" s="129"/>
      <c r="AD139" s="129"/>
      <c r="AE139" s="129"/>
      <c r="AF139" s="129"/>
      <c r="AG139" s="117"/>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row>
    <row r="140">
      <c r="A140" s="141"/>
      <c r="B140" s="107"/>
      <c r="C140" s="107"/>
      <c r="D140" s="143"/>
      <c r="E140" s="129"/>
      <c r="F140" s="129"/>
      <c r="G140" s="129"/>
      <c r="H140" s="129"/>
      <c r="I140" s="129"/>
      <c r="J140" s="129"/>
      <c r="K140" s="129"/>
      <c r="L140" s="129"/>
      <c r="M140" s="129"/>
      <c r="N140" s="129"/>
      <c r="O140" s="129"/>
      <c r="P140" s="129"/>
      <c r="Q140" s="129"/>
      <c r="R140" s="129"/>
      <c r="S140" s="129"/>
      <c r="T140" s="129"/>
      <c r="U140" s="106"/>
      <c r="V140" s="106"/>
      <c r="W140" s="106"/>
      <c r="X140" s="106"/>
      <c r="Y140" s="106"/>
      <c r="Z140" s="129"/>
      <c r="AA140" s="129"/>
      <c r="AB140" s="129"/>
      <c r="AC140" s="129"/>
      <c r="AD140" s="129"/>
      <c r="AE140" s="129"/>
      <c r="AF140" s="129"/>
      <c r="AG140" s="117"/>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row>
    <row r="141">
      <c r="A141" s="141"/>
      <c r="B141" s="107"/>
      <c r="C141" s="107"/>
      <c r="D141" s="143"/>
      <c r="E141" s="129"/>
      <c r="F141" s="129"/>
      <c r="G141" s="129"/>
      <c r="H141" s="129"/>
      <c r="I141" s="129"/>
      <c r="J141" s="129"/>
      <c r="K141" s="129"/>
      <c r="L141" s="129"/>
      <c r="M141" s="129"/>
      <c r="N141" s="129"/>
      <c r="O141" s="129"/>
      <c r="P141" s="129"/>
      <c r="Q141" s="129"/>
      <c r="R141" s="129"/>
      <c r="S141" s="129"/>
      <c r="T141" s="129"/>
      <c r="U141" s="106"/>
      <c r="V141" s="106"/>
      <c r="W141" s="106"/>
      <c r="X141" s="106"/>
      <c r="Y141" s="106"/>
      <c r="Z141" s="129"/>
      <c r="AA141" s="129"/>
      <c r="AB141" s="129"/>
      <c r="AC141" s="129"/>
      <c r="AD141" s="129"/>
      <c r="AE141" s="129"/>
      <c r="AF141" s="129"/>
      <c r="AG141" s="117"/>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row>
    <row r="142">
      <c r="A142" s="141"/>
      <c r="B142" s="107"/>
      <c r="C142" s="107"/>
      <c r="D142" s="143"/>
      <c r="E142" s="129"/>
      <c r="F142" s="129"/>
      <c r="G142" s="129"/>
      <c r="H142" s="129"/>
      <c r="I142" s="129"/>
      <c r="J142" s="129"/>
      <c r="K142" s="129"/>
      <c r="L142" s="129"/>
      <c r="M142" s="129"/>
      <c r="N142" s="129"/>
      <c r="O142" s="129"/>
      <c r="P142" s="129"/>
      <c r="Q142" s="129"/>
      <c r="R142" s="129"/>
      <c r="S142" s="129"/>
      <c r="T142" s="129"/>
      <c r="U142" s="106"/>
      <c r="V142" s="106"/>
      <c r="W142" s="106"/>
      <c r="X142" s="106"/>
      <c r="Y142" s="106"/>
      <c r="Z142" s="129"/>
      <c r="AA142" s="129"/>
      <c r="AB142" s="129"/>
      <c r="AC142" s="129"/>
      <c r="AD142" s="129"/>
      <c r="AE142" s="129"/>
      <c r="AF142" s="129"/>
      <c r="AG142" s="117"/>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c r="BK142" s="124"/>
      <c r="BL142" s="124"/>
      <c r="BM142" s="124"/>
      <c r="BN142" s="124"/>
      <c r="BO142" s="124"/>
      <c r="BP142" s="124"/>
      <c r="BQ142" s="124"/>
      <c r="BR142" s="124"/>
      <c r="BS142" s="124"/>
      <c r="BT142" s="124"/>
      <c r="BU142" s="124"/>
      <c r="BV142" s="124"/>
      <c r="BW142" s="124"/>
      <c r="BX142" s="124"/>
      <c r="BY142" s="124"/>
      <c r="BZ142" s="124"/>
      <c r="CA142" s="124"/>
    </row>
    <row r="143">
      <c r="A143" s="141"/>
      <c r="B143" s="107"/>
      <c r="C143" s="107"/>
      <c r="D143" s="143"/>
      <c r="E143" s="129"/>
      <c r="F143" s="129"/>
      <c r="G143" s="129"/>
      <c r="H143" s="129"/>
      <c r="I143" s="129"/>
      <c r="J143" s="129"/>
      <c r="K143" s="129"/>
      <c r="L143" s="129"/>
      <c r="M143" s="129"/>
      <c r="N143" s="129"/>
      <c r="O143" s="129"/>
      <c r="P143" s="129"/>
      <c r="Q143" s="129"/>
      <c r="R143" s="129"/>
      <c r="S143" s="129"/>
      <c r="T143" s="129"/>
      <c r="U143" s="106"/>
      <c r="V143" s="106"/>
      <c r="W143" s="106"/>
      <c r="X143" s="106"/>
      <c r="Y143" s="106"/>
      <c r="Z143" s="129"/>
      <c r="AA143" s="129"/>
      <c r="AB143" s="129"/>
      <c r="AC143" s="129"/>
      <c r="AD143" s="129"/>
      <c r="AE143" s="129"/>
      <c r="AF143" s="129"/>
      <c r="AG143" s="117"/>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row>
    <row r="144">
      <c r="A144" s="141"/>
      <c r="B144" s="107"/>
      <c r="C144" s="107"/>
      <c r="D144" s="143"/>
      <c r="E144" s="129"/>
      <c r="F144" s="129"/>
      <c r="G144" s="129"/>
      <c r="H144" s="129"/>
      <c r="I144" s="129"/>
      <c r="J144" s="129"/>
      <c r="K144" s="129"/>
      <c r="L144" s="129"/>
      <c r="M144" s="129"/>
      <c r="N144" s="129"/>
      <c r="O144" s="129"/>
      <c r="P144" s="129"/>
      <c r="Q144" s="129"/>
      <c r="R144" s="129"/>
      <c r="S144" s="129"/>
      <c r="T144" s="129"/>
      <c r="U144" s="106"/>
      <c r="V144" s="106"/>
      <c r="W144" s="106"/>
      <c r="X144" s="106"/>
      <c r="Y144" s="106"/>
      <c r="Z144" s="129"/>
      <c r="AA144" s="129"/>
      <c r="AB144" s="129"/>
      <c r="AC144" s="129"/>
      <c r="AD144" s="129"/>
      <c r="AE144" s="129"/>
      <c r="AF144" s="129"/>
      <c r="AG144" s="117"/>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c r="BQ144" s="124"/>
      <c r="BR144" s="124"/>
      <c r="BS144" s="124"/>
      <c r="BT144" s="124"/>
      <c r="BU144" s="124"/>
      <c r="BV144" s="124"/>
      <c r="BW144" s="124"/>
      <c r="BX144" s="124"/>
      <c r="BY144" s="124"/>
      <c r="BZ144" s="124"/>
      <c r="CA144" s="124"/>
    </row>
    <row r="145">
      <c r="A145" s="141"/>
      <c r="B145" s="107"/>
      <c r="C145" s="107"/>
      <c r="D145" s="143"/>
      <c r="E145" s="129"/>
      <c r="F145" s="129"/>
      <c r="G145" s="129"/>
      <c r="H145" s="129"/>
      <c r="I145" s="129"/>
      <c r="J145" s="129"/>
      <c r="K145" s="129"/>
      <c r="L145" s="129"/>
      <c r="M145" s="129"/>
      <c r="N145" s="129"/>
      <c r="O145" s="129"/>
      <c r="P145" s="129"/>
      <c r="Q145" s="129"/>
      <c r="R145" s="129"/>
      <c r="S145" s="129"/>
      <c r="T145" s="129"/>
      <c r="U145" s="106"/>
      <c r="V145" s="106"/>
      <c r="W145" s="106"/>
      <c r="X145" s="106"/>
      <c r="Y145" s="106"/>
      <c r="Z145" s="129"/>
      <c r="AA145" s="129"/>
      <c r="AB145" s="129"/>
      <c r="AC145" s="129"/>
      <c r="AD145" s="129"/>
      <c r="AE145" s="129"/>
      <c r="AF145" s="129"/>
      <c r="AG145" s="117"/>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row>
    <row r="146">
      <c r="A146" s="141"/>
      <c r="B146" s="107"/>
      <c r="C146" s="107"/>
      <c r="D146" s="143"/>
      <c r="E146" s="129"/>
      <c r="F146" s="129"/>
      <c r="G146" s="129"/>
      <c r="H146" s="129"/>
      <c r="I146" s="129"/>
      <c r="J146" s="129"/>
      <c r="K146" s="129"/>
      <c r="L146" s="129"/>
      <c r="M146" s="129"/>
      <c r="N146" s="129"/>
      <c r="O146" s="129"/>
      <c r="P146" s="129"/>
      <c r="Q146" s="129"/>
      <c r="R146" s="129"/>
      <c r="S146" s="129"/>
      <c r="T146" s="129"/>
      <c r="U146" s="106"/>
      <c r="V146" s="106"/>
      <c r="W146" s="106"/>
      <c r="X146" s="106"/>
      <c r="Y146" s="106"/>
      <c r="Z146" s="129"/>
      <c r="AA146" s="129"/>
      <c r="AB146" s="129"/>
      <c r="AC146" s="129"/>
      <c r="AD146" s="129"/>
      <c r="AE146" s="129"/>
      <c r="AF146" s="129"/>
      <c r="AG146" s="117"/>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row>
    <row r="147">
      <c r="A147" s="141"/>
      <c r="B147" s="107"/>
      <c r="C147" s="107"/>
      <c r="D147" s="143"/>
      <c r="E147" s="129"/>
      <c r="F147" s="129"/>
      <c r="G147" s="129"/>
      <c r="H147" s="129"/>
      <c r="I147" s="129"/>
      <c r="J147" s="129"/>
      <c r="K147" s="129"/>
      <c r="L147" s="129"/>
      <c r="M147" s="129"/>
      <c r="N147" s="129"/>
      <c r="O147" s="129"/>
      <c r="P147" s="129"/>
      <c r="Q147" s="129"/>
      <c r="R147" s="129"/>
      <c r="S147" s="129"/>
      <c r="T147" s="129"/>
      <c r="U147" s="106"/>
      <c r="V147" s="106"/>
      <c r="W147" s="106"/>
      <c r="X147" s="106"/>
      <c r="Y147" s="106"/>
      <c r="Z147" s="129"/>
      <c r="AA147" s="129"/>
      <c r="AB147" s="129"/>
      <c r="AC147" s="129"/>
      <c r="AD147" s="129"/>
      <c r="AE147" s="129"/>
      <c r="AF147" s="129"/>
      <c r="AG147" s="117"/>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c r="BK147" s="124"/>
      <c r="BL147" s="124"/>
      <c r="BM147" s="124"/>
      <c r="BN147" s="124"/>
      <c r="BO147" s="124"/>
      <c r="BP147" s="124"/>
      <c r="BQ147" s="124"/>
      <c r="BR147" s="124"/>
      <c r="BS147" s="124"/>
      <c r="BT147" s="124"/>
      <c r="BU147" s="124"/>
      <c r="BV147" s="124"/>
      <c r="BW147" s="124"/>
      <c r="BX147" s="124"/>
      <c r="BY147" s="124"/>
      <c r="BZ147" s="124"/>
      <c r="CA147" s="124"/>
    </row>
    <row r="148">
      <c r="A148" s="141"/>
      <c r="B148" s="107"/>
      <c r="C148" s="107"/>
      <c r="D148" s="143"/>
      <c r="E148" s="129"/>
      <c r="F148" s="129"/>
      <c r="G148" s="129"/>
      <c r="H148" s="129"/>
      <c r="I148" s="129"/>
      <c r="J148" s="129"/>
      <c r="K148" s="129"/>
      <c r="L148" s="129"/>
      <c r="M148" s="129"/>
      <c r="N148" s="129"/>
      <c r="O148" s="129"/>
      <c r="P148" s="129"/>
      <c r="Q148" s="129"/>
      <c r="R148" s="129"/>
      <c r="S148" s="129"/>
      <c r="T148" s="129"/>
      <c r="U148" s="106"/>
      <c r="V148" s="106"/>
      <c r="W148" s="106"/>
      <c r="X148" s="106"/>
      <c r="Y148" s="106"/>
      <c r="Z148" s="129"/>
      <c r="AA148" s="129"/>
      <c r="AB148" s="129"/>
      <c r="AC148" s="129"/>
      <c r="AD148" s="129"/>
      <c r="AE148" s="129"/>
      <c r="AF148" s="129"/>
      <c r="AG148" s="117"/>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row>
    <row r="149">
      <c r="A149" s="141"/>
      <c r="B149" s="107"/>
      <c r="C149" s="107"/>
      <c r="D149" s="143"/>
      <c r="E149" s="129"/>
      <c r="F149" s="129"/>
      <c r="G149" s="129"/>
      <c r="H149" s="129"/>
      <c r="I149" s="129"/>
      <c r="J149" s="129"/>
      <c r="K149" s="129"/>
      <c r="L149" s="129"/>
      <c r="M149" s="129"/>
      <c r="N149" s="129"/>
      <c r="O149" s="129"/>
      <c r="P149" s="129"/>
      <c r="Q149" s="129"/>
      <c r="R149" s="129"/>
      <c r="S149" s="129"/>
      <c r="T149" s="129"/>
      <c r="U149" s="106"/>
      <c r="V149" s="106"/>
      <c r="W149" s="106"/>
      <c r="X149" s="106"/>
      <c r="Y149" s="106"/>
      <c r="Z149" s="129"/>
      <c r="AA149" s="129"/>
      <c r="AB149" s="129"/>
      <c r="AC149" s="129"/>
      <c r="AD149" s="129"/>
      <c r="AE149" s="129"/>
      <c r="AF149" s="129"/>
      <c r="AG149" s="117"/>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row>
    <row r="150">
      <c r="A150" s="141"/>
      <c r="B150" s="107"/>
      <c r="C150" s="107"/>
      <c r="D150" s="143"/>
      <c r="E150" s="129"/>
      <c r="F150" s="129"/>
      <c r="G150" s="129"/>
      <c r="H150" s="129"/>
      <c r="I150" s="129"/>
      <c r="J150" s="129"/>
      <c r="K150" s="129"/>
      <c r="L150" s="129"/>
      <c r="M150" s="129"/>
      <c r="N150" s="129"/>
      <c r="O150" s="129"/>
      <c r="P150" s="129"/>
      <c r="Q150" s="129"/>
      <c r="R150" s="129"/>
      <c r="S150" s="129"/>
      <c r="T150" s="129"/>
      <c r="U150" s="106"/>
      <c r="V150" s="106"/>
      <c r="W150" s="106"/>
      <c r="X150" s="106"/>
      <c r="Y150" s="106"/>
      <c r="Z150" s="129"/>
      <c r="AA150" s="129"/>
      <c r="AB150" s="129"/>
      <c r="AC150" s="129"/>
      <c r="AD150" s="129"/>
      <c r="AE150" s="129"/>
      <c r="AF150" s="129"/>
      <c r="AG150" s="117"/>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c r="BK150" s="124"/>
      <c r="BL150" s="124"/>
      <c r="BM150" s="124"/>
      <c r="BN150" s="124"/>
      <c r="BO150" s="124"/>
      <c r="BP150" s="124"/>
      <c r="BQ150" s="124"/>
      <c r="BR150" s="124"/>
      <c r="BS150" s="124"/>
      <c r="BT150" s="124"/>
      <c r="BU150" s="124"/>
      <c r="BV150" s="124"/>
      <c r="BW150" s="124"/>
      <c r="BX150" s="124"/>
      <c r="BY150" s="124"/>
      <c r="BZ150" s="124"/>
      <c r="CA150" s="124"/>
    </row>
    <row r="151">
      <c r="A151" s="141"/>
      <c r="B151" s="107"/>
      <c r="C151" s="107"/>
      <c r="D151" s="143"/>
      <c r="E151" s="129"/>
      <c r="F151" s="129"/>
      <c r="G151" s="129"/>
      <c r="H151" s="129"/>
      <c r="I151" s="129"/>
      <c r="J151" s="129"/>
      <c r="K151" s="129"/>
      <c r="L151" s="129"/>
      <c r="M151" s="129"/>
      <c r="N151" s="129"/>
      <c r="O151" s="129"/>
      <c r="P151" s="129"/>
      <c r="Q151" s="129"/>
      <c r="R151" s="129"/>
      <c r="S151" s="129"/>
      <c r="T151" s="129"/>
      <c r="U151" s="106"/>
      <c r="V151" s="106"/>
      <c r="W151" s="106"/>
      <c r="X151" s="106"/>
      <c r="Y151" s="106"/>
      <c r="Z151" s="129"/>
      <c r="AA151" s="129"/>
      <c r="AB151" s="129"/>
      <c r="AC151" s="129"/>
      <c r="AD151" s="129"/>
      <c r="AE151" s="129"/>
      <c r="AF151" s="129"/>
      <c r="AG151" s="117"/>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row>
    <row r="152">
      <c r="A152" s="141"/>
      <c r="B152" s="107"/>
      <c r="C152" s="107"/>
      <c r="D152" s="143"/>
      <c r="E152" s="129"/>
      <c r="F152" s="129"/>
      <c r="G152" s="129"/>
      <c r="H152" s="129"/>
      <c r="I152" s="129"/>
      <c r="J152" s="129"/>
      <c r="K152" s="129"/>
      <c r="L152" s="129"/>
      <c r="M152" s="129"/>
      <c r="N152" s="129"/>
      <c r="O152" s="129"/>
      <c r="P152" s="129"/>
      <c r="Q152" s="129"/>
      <c r="R152" s="129"/>
      <c r="S152" s="129"/>
      <c r="T152" s="129"/>
      <c r="U152" s="106"/>
      <c r="V152" s="106"/>
      <c r="W152" s="106"/>
      <c r="X152" s="106"/>
      <c r="Y152" s="106"/>
      <c r="Z152" s="129"/>
      <c r="AA152" s="129"/>
      <c r="AB152" s="129"/>
      <c r="AC152" s="129"/>
      <c r="AD152" s="129"/>
      <c r="AE152" s="129"/>
      <c r="AF152" s="129"/>
      <c r="AG152" s="117"/>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c r="BK152" s="124"/>
      <c r="BL152" s="124"/>
      <c r="BM152" s="124"/>
      <c r="BN152" s="124"/>
      <c r="BO152" s="124"/>
      <c r="BP152" s="124"/>
      <c r="BQ152" s="124"/>
      <c r="BR152" s="124"/>
      <c r="BS152" s="124"/>
      <c r="BT152" s="124"/>
      <c r="BU152" s="124"/>
      <c r="BV152" s="124"/>
      <c r="BW152" s="124"/>
      <c r="BX152" s="124"/>
      <c r="BY152" s="124"/>
      <c r="BZ152" s="124"/>
      <c r="CA152" s="124"/>
    </row>
    <row r="153">
      <c r="A153" s="141"/>
      <c r="B153" s="107"/>
      <c r="C153" s="107"/>
      <c r="D153" s="143"/>
      <c r="E153" s="129"/>
      <c r="F153" s="129"/>
      <c r="G153" s="129"/>
      <c r="H153" s="129"/>
      <c r="I153" s="129"/>
      <c r="J153" s="129"/>
      <c r="K153" s="129"/>
      <c r="L153" s="129"/>
      <c r="M153" s="129"/>
      <c r="N153" s="129"/>
      <c r="O153" s="129"/>
      <c r="P153" s="129"/>
      <c r="Q153" s="129"/>
      <c r="R153" s="129"/>
      <c r="S153" s="129"/>
      <c r="T153" s="129"/>
      <c r="U153" s="106"/>
      <c r="V153" s="106"/>
      <c r="W153" s="106"/>
      <c r="X153" s="106"/>
      <c r="Y153" s="106"/>
      <c r="Z153" s="129"/>
      <c r="AA153" s="129"/>
      <c r="AB153" s="129"/>
      <c r="AC153" s="129"/>
      <c r="AD153" s="129"/>
      <c r="AE153" s="129"/>
      <c r="AF153" s="129"/>
      <c r="AG153" s="117"/>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row>
    <row r="154">
      <c r="A154" s="141"/>
      <c r="B154" s="107"/>
      <c r="C154" s="107"/>
      <c r="D154" s="143"/>
      <c r="E154" s="129"/>
      <c r="F154" s="129"/>
      <c r="G154" s="129"/>
      <c r="H154" s="129"/>
      <c r="I154" s="129"/>
      <c r="J154" s="129"/>
      <c r="K154" s="129"/>
      <c r="L154" s="129"/>
      <c r="M154" s="129"/>
      <c r="N154" s="129"/>
      <c r="O154" s="129"/>
      <c r="P154" s="129"/>
      <c r="Q154" s="129"/>
      <c r="R154" s="129"/>
      <c r="S154" s="129"/>
      <c r="T154" s="129"/>
      <c r="U154" s="106"/>
      <c r="V154" s="106"/>
      <c r="W154" s="106"/>
      <c r="X154" s="106"/>
      <c r="Y154" s="106"/>
      <c r="Z154" s="129"/>
      <c r="AA154" s="129"/>
      <c r="AB154" s="129"/>
      <c r="AC154" s="129"/>
      <c r="AD154" s="129"/>
      <c r="AE154" s="129"/>
      <c r="AF154" s="129"/>
      <c r="AG154" s="117"/>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row>
    <row r="155">
      <c r="A155" s="141"/>
      <c r="B155" s="107"/>
      <c r="C155" s="107"/>
      <c r="D155" s="143"/>
      <c r="E155" s="129"/>
      <c r="F155" s="129"/>
      <c r="G155" s="129"/>
      <c r="H155" s="129"/>
      <c r="I155" s="129"/>
      <c r="J155" s="129"/>
      <c r="K155" s="129"/>
      <c r="L155" s="129"/>
      <c r="M155" s="129"/>
      <c r="N155" s="129"/>
      <c r="O155" s="129"/>
      <c r="P155" s="129"/>
      <c r="Q155" s="129"/>
      <c r="R155" s="129"/>
      <c r="S155" s="129"/>
      <c r="T155" s="129"/>
      <c r="U155" s="106"/>
      <c r="V155" s="106"/>
      <c r="W155" s="106"/>
      <c r="X155" s="106"/>
      <c r="Y155" s="106"/>
      <c r="Z155" s="129"/>
      <c r="AA155" s="129"/>
      <c r="AB155" s="129"/>
      <c r="AC155" s="129"/>
      <c r="AD155" s="129"/>
      <c r="AE155" s="129"/>
      <c r="AF155" s="129"/>
      <c r="AG155" s="117"/>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row>
    <row r="156">
      <c r="A156" s="141"/>
      <c r="B156" s="107"/>
      <c r="C156" s="107"/>
      <c r="D156" s="143"/>
      <c r="E156" s="129"/>
      <c r="F156" s="129"/>
      <c r="G156" s="129"/>
      <c r="H156" s="129"/>
      <c r="I156" s="129"/>
      <c r="J156" s="129"/>
      <c r="K156" s="129"/>
      <c r="L156" s="129"/>
      <c r="M156" s="129"/>
      <c r="N156" s="129"/>
      <c r="O156" s="129"/>
      <c r="P156" s="129"/>
      <c r="Q156" s="129"/>
      <c r="R156" s="129"/>
      <c r="S156" s="129"/>
      <c r="T156" s="129"/>
      <c r="U156" s="106"/>
      <c r="V156" s="106"/>
      <c r="W156" s="106"/>
      <c r="X156" s="106"/>
      <c r="Y156" s="106"/>
      <c r="Z156" s="129"/>
      <c r="AA156" s="129"/>
      <c r="AB156" s="129"/>
      <c r="AC156" s="129"/>
      <c r="AD156" s="129"/>
      <c r="AE156" s="129"/>
      <c r="AF156" s="129"/>
      <c r="AG156" s="117"/>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row>
    <row r="157">
      <c r="A157" s="141"/>
      <c r="B157" s="107"/>
      <c r="C157" s="107"/>
      <c r="D157" s="143"/>
      <c r="E157" s="129"/>
      <c r="F157" s="129"/>
      <c r="G157" s="129"/>
      <c r="H157" s="129"/>
      <c r="I157" s="129"/>
      <c r="J157" s="129"/>
      <c r="K157" s="129"/>
      <c r="L157" s="129"/>
      <c r="M157" s="129"/>
      <c r="N157" s="129"/>
      <c r="O157" s="129"/>
      <c r="P157" s="129"/>
      <c r="Q157" s="129"/>
      <c r="R157" s="129"/>
      <c r="S157" s="129"/>
      <c r="T157" s="129"/>
      <c r="U157" s="106"/>
      <c r="V157" s="106"/>
      <c r="W157" s="106"/>
      <c r="X157" s="106"/>
      <c r="Y157" s="106"/>
      <c r="Z157" s="129"/>
      <c r="AA157" s="129"/>
      <c r="AB157" s="129"/>
      <c r="AC157" s="129"/>
      <c r="AD157" s="129"/>
      <c r="AE157" s="129"/>
      <c r="AF157" s="129"/>
      <c r="AG157" s="117"/>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row>
    <row r="158">
      <c r="A158" s="141"/>
      <c r="B158" s="107"/>
      <c r="C158" s="107"/>
      <c r="D158" s="143"/>
      <c r="E158" s="129"/>
      <c r="F158" s="129"/>
      <c r="G158" s="129"/>
      <c r="H158" s="129"/>
      <c r="I158" s="129"/>
      <c r="J158" s="129"/>
      <c r="K158" s="129"/>
      <c r="L158" s="129"/>
      <c r="M158" s="129"/>
      <c r="N158" s="129"/>
      <c r="O158" s="129"/>
      <c r="P158" s="129"/>
      <c r="Q158" s="129"/>
      <c r="R158" s="129"/>
      <c r="S158" s="129"/>
      <c r="T158" s="129"/>
      <c r="U158" s="106"/>
      <c r="V158" s="106"/>
      <c r="W158" s="106"/>
      <c r="X158" s="106"/>
      <c r="Y158" s="106"/>
      <c r="Z158" s="129"/>
      <c r="AA158" s="129"/>
      <c r="AB158" s="129"/>
      <c r="AC158" s="129"/>
      <c r="AD158" s="129"/>
      <c r="AE158" s="129"/>
      <c r="AF158" s="129"/>
      <c r="AG158" s="117"/>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row>
    <row r="159">
      <c r="A159" s="141"/>
      <c r="B159" s="107"/>
      <c r="C159" s="107"/>
      <c r="D159" s="143"/>
      <c r="E159" s="129"/>
      <c r="F159" s="129"/>
      <c r="G159" s="129"/>
      <c r="H159" s="129"/>
      <c r="I159" s="129"/>
      <c r="J159" s="129"/>
      <c r="K159" s="129"/>
      <c r="L159" s="129"/>
      <c r="M159" s="129"/>
      <c r="N159" s="129"/>
      <c r="O159" s="129"/>
      <c r="P159" s="129"/>
      <c r="Q159" s="129"/>
      <c r="R159" s="129"/>
      <c r="S159" s="129"/>
      <c r="T159" s="129"/>
      <c r="U159" s="106"/>
      <c r="V159" s="106"/>
      <c r="W159" s="106"/>
      <c r="X159" s="106"/>
      <c r="Y159" s="106"/>
      <c r="Z159" s="129"/>
      <c r="AA159" s="129"/>
      <c r="AB159" s="129"/>
      <c r="AC159" s="129"/>
      <c r="AD159" s="129"/>
      <c r="AE159" s="129"/>
      <c r="AF159" s="129"/>
      <c r="AG159" s="117"/>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row>
    <row r="160">
      <c r="A160" s="141"/>
      <c r="B160" s="107"/>
      <c r="C160" s="107"/>
      <c r="D160" s="143"/>
      <c r="E160" s="129"/>
      <c r="F160" s="129"/>
      <c r="G160" s="129"/>
      <c r="H160" s="129"/>
      <c r="I160" s="129"/>
      <c r="J160" s="129"/>
      <c r="K160" s="129"/>
      <c r="L160" s="129"/>
      <c r="M160" s="129"/>
      <c r="N160" s="129"/>
      <c r="O160" s="129"/>
      <c r="P160" s="129"/>
      <c r="Q160" s="129"/>
      <c r="R160" s="129"/>
      <c r="S160" s="129"/>
      <c r="T160" s="129"/>
      <c r="U160" s="106"/>
      <c r="V160" s="106"/>
      <c r="W160" s="106"/>
      <c r="X160" s="106"/>
      <c r="Y160" s="106"/>
      <c r="Z160" s="129"/>
      <c r="AA160" s="129"/>
      <c r="AB160" s="129"/>
      <c r="AC160" s="129"/>
      <c r="AD160" s="129"/>
      <c r="AE160" s="129"/>
      <c r="AF160" s="129"/>
      <c r="AG160" s="117"/>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c r="BK160" s="124"/>
      <c r="BL160" s="124"/>
      <c r="BM160" s="124"/>
      <c r="BN160" s="124"/>
      <c r="BO160" s="124"/>
      <c r="BP160" s="124"/>
      <c r="BQ160" s="124"/>
      <c r="BR160" s="124"/>
      <c r="BS160" s="124"/>
      <c r="BT160" s="124"/>
      <c r="BU160" s="124"/>
      <c r="BV160" s="124"/>
      <c r="BW160" s="124"/>
      <c r="BX160" s="124"/>
      <c r="BY160" s="124"/>
      <c r="BZ160" s="124"/>
      <c r="CA160" s="124"/>
    </row>
    <row r="161">
      <c r="A161" s="141"/>
      <c r="B161" s="107"/>
      <c r="C161" s="107"/>
      <c r="D161" s="143"/>
      <c r="E161" s="129"/>
      <c r="F161" s="129"/>
      <c r="G161" s="129"/>
      <c r="H161" s="129"/>
      <c r="I161" s="129"/>
      <c r="J161" s="129"/>
      <c r="K161" s="129"/>
      <c r="L161" s="129"/>
      <c r="M161" s="129"/>
      <c r="N161" s="129"/>
      <c r="O161" s="129"/>
      <c r="P161" s="129"/>
      <c r="Q161" s="129"/>
      <c r="R161" s="129"/>
      <c r="S161" s="129"/>
      <c r="T161" s="129"/>
      <c r="U161" s="106"/>
      <c r="V161" s="106"/>
      <c r="W161" s="106"/>
      <c r="X161" s="106"/>
      <c r="Y161" s="106"/>
      <c r="Z161" s="129"/>
      <c r="AA161" s="129"/>
      <c r="AB161" s="129"/>
      <c r="AC161" s="129"/>
      <c r="AD161" s="129"/>
      <c r="AE161" s="129"/>
      <c r="AF161" s="129"/>
      <c r="AG161" s="117"/>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c r="BK161" s="124"/>
      <c r="BL161" s="124"/>
      <c r="BM161" s="124"/>
      <c r="BN161" s="124"/>
      <c r="BO161" s="124"/>
      <c r="BP161" s="124"/>
      <c r="BQ161" s="124"/>
      <c r="BR161" s="124"/>
      <c r="BS161" s="124"/>
      <c r="BT161" s="124"/>
      <c r="BU161" s="124"/>
      <c r="BV161" s="124"/>
      <c r="BW161" s="124"/>
      <c r="BX161" s="124"/>
      <c r="BY161" s="124"/>
      <c r="BZ161" s="124"/>
      <c r="CA161" s="124"/>
    </row>
    <row r="162">
      <c r="A162" s="141"/>
      <c r="B162" s="107"/>
      <c r="C162" s="107"/>
      <c r="D162" s="143"/>
      <c r="E162" s="129"/>
      <c r="F162" s="129"/>
      <c r="G162" s="129"/>
      <c r="H162" s="129"/>
      <c r="I162" s="129"/>
      <c r="J162" s="129"/>
      <c r="K162" s="129"/>
      <c r="L162" s="129"/>
      <c r="M162" s="129"/>
      <c r="N162" s="129"/>
      <c r="O162" s="129"/>
      <c r="P162" s="129"/>
      <c r="Q162" s="129"/>
      <c r="R162" s="129"/>
      <c r="S162" s="129"/>
      <c r="T162" s="129"/>
      <c r="U162" s="106"/>
      <c r="V162" s="106"/>
      <c r="W162" s="106"/>
      <c r="X162" s="106"/>
      <c r="Y162" s="106"/>
      <c r="Z162" s="129"/>
      <c r="AA162" s="129"/>
      <c r="AB162" s="129"/>
      <c r="AC162" s="129"/>
      <c r="AD162" s="129"/>
      <c r="AE162" s="129"/>
      <c r="AF162" s="129"/>
      <c r="AG162" s="117"/>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4"/>
      <c r="BV162" s="124"/>
      <c r="BW162" s="124"/>
      <c r="BX162" s="124"/>
      <c r="BY162" s="124"/>
      <c r="BZ162" s="124"/>
      <c r="CA162" s="124"/>
    </row>
    <row r="163">
      <c r="A163" s="141"/>
      <c r="B163" s="107"/>
      <c r="C163" s="107"/>
      <c r="D163" s="143"/>
      <c r="E163" s="129"/>
      <c r="F163" s="129"/>
      <c r="G163" s="129"/>
      <c r="H163" s="129"/>
      <c r="I163" s="129"/>
      <c r="J163" s="129"/>
      <c r="K163" s="129"/>
      <c r="L163" s="129"/>
      <c r="M163" s="129"/>
      <c r="N163" s="129"/>
      <c r="O163" s="129"/>
      <c r="P163" s="129"/>
      <c r="Q163" s="129"/>
      <c r="R163" s="129"/>
      <c r="S163" s="129"/>
      <c r="T163" s="129"/>
      <c r="U163" s="106"/>
      <c r="V163" s="106"/>
      <c r="W163" s="106"/>
      <c r="X163" s="106"/>
      <c r="Y163" s="106"/>
      <c r="Z163" s="129"/>
      <c r="AA163" s="129"/>
      <c r="AB163" s="129"/>
      <c r="AC163" s="129"/>
      <c r="AD163" s="129"/>
      <c r="AE163" s="129"/>
      <c r="AF163" s="129"/>
      <c r="AG163" s="117"/>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c r="BK163" s="124"/>
      <c r="BL163" s="124"/>
      <c r="BM163" s="124"/>
      <c r="BN163" s="124"/>
      <c r="BO163" s="124"/>
      <c r="BP163" s="124"/>
      <c r="BQ163" s="124"/>
      <c r="BR163" s="124"/>
      <c r="BS163" s="124"/>
      <c r="BT163" s="124"/>
      <c r="BU163" s="124"/>
      <c r="BV163" s="124"/>
      <c r="BW163" s="124"/>
      <c r="BX163" s="124"/>
      <c r="BY163" s="124"/>
      <c r="BZ163" s="124"/>
      <c r="CA163" s="124"/>
    </row>
    <row r="164">
      <c r="A164" s="141"/>
      <c r="B164" s="107"/>
      <c r="C164" s="107"/>
      <c r="D164" s="143"/>
      <c r="E164" s="129"/>
      <c r="F164" s="129"/>
      <c r="G164" s="129"/>
      <c r="H164" s="129"/>
      <c r="I164" s="129"/>
      <c r="J164" s="129"/>
      <c r="K164" s="129"/>
      <c r="L164" s="129"/>
      <c r="M164" s="129"/>
      <c r="N164" s="129"/>
      <c r="O164" s="129"/>
      <c r="P164" s="129"/>
      <c r="Q164" s="129"/>
      <c r="R164" s="129"/>
      <c r="S164" s="129"/>
      <c r="T164" s="129"/>
      <c r="U164" s="106"/>
      <c r="V164" s="106"/>
      <c r="W164" s="106"/>
      <c r="X164" s="106"/>
      <c r="Y164" s="106"/>
      <c r="Z164" s="129"/>
      <c r="AA164" s="129"/>
      <c r="AB164" s="129"/>
      <c r="AC164" s="129"/>
      <c r="AD164" s="129"/>
      <c r="AE164" s="129"/>
      <c r="AF164" s="129"/>
      <c r="AG164" s="117"/>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row>
    <row r="165">
      <c r="A165" s="141"/>
      <c r="B165" s="107"/>
      <c r="C165" s="107"/>
      <c r="D165" s="143"/>
      <c r="E165" s="129"/>
      <c r="F165" s="129"/>
      <c r="G165" s="129"/>
      <c r="H165" s="129"/>
      <c r="I165" s="129"/>
      <c r="J165" s="129"/>
      <c r="K165" s="129"/>
      <c r="L165" s="129"/>
      <c r="M165" s="129"/>
      <c r="N165" s="129"/>
      <c r="O165" s="129"/>
      <c r="P165" s="129"/>
      <c r="Q165" s="129"/>
      <c r="R165" s="129"/>
      <c r="S165" s="129"/>
      <c r="T165" s="129"/>
      <c r="U165" s="106"/>
      <c r="V165" s="106"/>
      <c r="W165" s="106"/>
      <c r="X165" s="106"/>
      <c r="Y165" s="106"/>
      <c r="Z165" s="129"/>
      <c r="AA165" s="129"/>
      <c r="AB165" s="129"/>
      <c r="AC165" s="129"/>
      <c r="AD165" s="129"/>
      <c r="AE165" s="129"/>
      <c r="AF165" s="129"/>
      <c r="AG165" s="117"/>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row>
    <row r="166">
      <c r="A166" s="141"/>
      <c r="B166" s="107"/>
      <c r="C166" s="107"/>
      <c r="D166" s="143"/>
      <c r="E166" s="129"/>
      <c r="F166" s="129"/>
      <c r="G166" s="129"/>
      <c r="H166" s="129"/>
      <c r="I166" s="129"/>
      <c r="J166" s="129"/>
      <c r="K166" s="129"/>
      <c r="L166" s="129"/>
      <c r="M166" s="129"/>
      <c r="N166" s="129"/>
      <c r="O166" s="129"/>
      <c r="P166" s="129"/>
      <c r="Q166" s="129"/>
      <c r="R166" s="129"/>
      <c r="S166" s="129"/>
      <c r="T166" s="129"/>
      <c r="U166" s="106"/>
      <c r="V166" s="106"/>
      <c r="W166" s="106"/>
      <c r="X166" s="106"/>
      <c r="Y166" s="106"/>
      <c r="Z166" s="129"/>
      <c r="AA166" s="129"/>
      <c r="AB166" s="129"/>
      <c r="AC166" s="129"/>
      <c r="AD166" s="129"/>
      <c r="AE166" s="129"/>
      <c r="AF166" s="129"/>
      <c r="AG166" s="117"/>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c r="BK166" s="124"/>
      <c r="BL166" s="124"/>
      <c r="BM166" s="124"/>
      <c r="BN166" s="124"/>
      <c r="BO166" s="124"/>
      <c r="BP166" s="124"/>
      <c r="BQ166" s="124"/>
      <c r="BR166" s="124"/>
      <c r="BS166" s="124"/>
      <c r="BT166" s="124"/>
      <c r="BU166" s="124"/>
      <c r="BV166" s="124"/>
      <c r="BW166" s="124"/>
      <c r="BX166" s="124"/>
      <c r="BY166" s="124"/>
      <c r="BZ166" s="124"/>
      <c r="CA166" s="124"/>
    </row>
    <row r="167">
      <c r="A167" s="141"/>
      <c r="B167" s="107"/>
      <c r="C167" s="107"/>
      <c r="D167" s="143"/>
      <c r="E167" s="129"/>
      <c r="F167" s="129"/>
      <c r="G167" s="129"/>
      <c r="H167" s="129"/>
      <c r="I167" s="129"/>
      <c r="J167" s="129"/>
      <c r="K167" s="129"/>
      <c r="L167" s="129"/>
      <c r="M167" s="129"/>
      <c r="N167" s="129"/>
      <c r="O167" s="129"/>
      <c r="P167" s="129"/>
      <c r="Q167" s="129"/>
      <c r="R167" s="129"/>
      <c r="S167" s="129"/>
      <c r="T167" s="129"/>
      <c r="U167" s="106"/>
      <c r="V167" s="106"/>
      <c r="W167" s="106"/>
      <c r="X167" s="106"/>
      <c r="Y167" s="106"/>
      <c r="Z167" s="129"/>
      <c r="AA167" s="129"/>
      <c r="AB167" s="129"/>
      <c r="AC167" s="129"/>
      <c r="AD167" s="129"/>
      <c r="AE167" s="129"/>
      <c r="AF167" s="129"/>
      <c r="AG167" s="117"/>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c r="BK167" s="124"/>
      <c r="BL167" s="124"/>
      <c r="BM167" s="124"/>
      <c r="BN167" s="124"/>
      <c r="BO167" s="124"/>
      <c r="BP167" s="124"/>
      <c r="BQ167" s="124"/>
      <c r="BR167" s="124"/>
      <c r="BS167" s="124"/>
      <c r="BT167" s="124"/>
      <c r="BU167" s="124"/>
      <c r="BV167" s="124"/>
      <c r="BW167" s="124"/>
      <c r="BX167" s="124"/>
      <c r="BY167" s="124"/>
      <c r="BZ167" s="124"/>
      <c r="CA167" s="124"/>
    </row>
    <row r="168">
      <c r="A168" s="141"/>
      <c r="B168" s="107"/>
      <c r="C168" s="107"/>
      <c r="D168" s="143"/>
      <c r="E168" s="129"/>
      <c r="F168" s="129"/>
      <c r="G168" s="129"/>
      <c r="H168" s="129"/>
      <c r="I168" s="129"/>
      <c r="J168" s="129"/>
      <c r="K168" s="129"/>
      <c r="L168" s="129"/>
      <c r="M168" s="129"/>
      <c r="N168" s="129"/>
      <c r="O168" s="129"/>
      <c r="P168" s="129"/>
      <c r="Q168" s="129"/>
      <c r="R168" s="129"/>
      <c r="S168" s="129"/>
      <c r="T168" s="129"/>
      <c r="U168" s="106"/>
      <c r="V168" s="106"/>
      <c r="W168" s="106"/>
      <c r="X168" s="106"/>
      <c r="Y168" s="106"/>
      <c r="Z168" s="129"/>
      <c r="AA168" s="129"/>
      <c r="AB168" s="129"/>
      <c r="AC168" s="129"/>
      <c r="AD168" s="129"/>
      <c r="AE168" s="129"/>
      <c r="AF168" s="129"/>
      <c r="AG168" s="117"/>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row>
    <row r="169">
      <c r="A169" s="141"/>
      <c r="B169" s="107"/>
      <c r="C169" s="107"/>
      <c r="D169" s="143"/>
      <c r="E169" s="129"/>
      <c r="F169" s="129"/>
      <c r="G169" s="129"/>
      <c r="H169" s="129"/>
      <c r="I169" s="129"/>
      <c r="J169" s="129"/>
      <c r="K169" s="129"/>
      <c r="L169" s="129"/>
      <c r="M169" s="129"/>
      <c r="N169" s="129"/>
      <c r="O169" s="129"/>
      <c r="P169" s="129"/>
      <c r="Q169" s="129"/>
      <c r="R169" s="129"/>
      <c r="S169" s="129"/>
      <c r="T169" s="129"/>
      <c r="U169" s="106"/>
      <c r="V169" s="106"/>
      <c r="W169" s="106"/>
      <c r="X169" s="106"/>
      <c r="Y169" s="106"/>
      <c r="Z169" s="129"/>
      <c r="AA169" s="129"/>
      <c r="AB169" s="129"/>
      <c r="AC169" s="129"/>
      <c r="AD169" s="129"/>
      <c r="AE169" s="129"/>
      <c r="AF169" s="129"/>
      <c r="AG169" s="117"/>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c r="BK169" s="124"/>
      <c r="BL169" s="124"/>
      <c r="BM169" s="124"/>
      <c r="BN169" s="124"/>
      <c r="BO169" s="124"/>
      <c r="BP169" s="124"/>
      <c r="BQ169" s="124"/>
      <c r="BR169" s="124"/>
      <c r="BS169" s="124"/>
      <c r="BT169" s="124"/>
      <c r="BU169" s="124"/>
      <c r="BV169" s="124"/>
      <c r="BW169" s="124"/>
      <c r="BX169" s="124"/>
      <c r="BY169" s="124"/>
      <c r="BZ169" s="124"/>
      <c r="CA169" s="124"/>
    </row>
    <row r="170">
      <c r="A170" s="141"/>
      <c r="B170" s="107"/>
      <c r="C170" s="107"/>
      <c r="D170" s="143"/>
      <c r="E170" s="129"/>
      <c r="F170" s="129"/>
      <c r="G170" s="129"/>
      <c r="H170" s="129"/>
      <c r="I170" s="129"/>
      <c r="J170" s="129"/>
      <c r="K170" s="129"/>
      <c r="L170" s="129"/>
      <c r="M170" s="129"/>
      <c r="N170" s="129"/>
      <c r="O170" s="129"/>
      <c r="P170" s="129"/>
      <c r="Q170" s="129"/>
      <c r="R170" s="129"/>
      <c r="S170" s="129"/>
      <c r="T170" s="129"/>
      <c r="U170" s="106"/>
      <c r="V170" s="106"/>
      <c r="W170" s="106"/>
      <c r="X170" s="106"/>
      <c r="Y170" s="106"/>
      <c r="Z170" s="129"/>
      <c r="AA170" s="129"/>
      <c r="AB170" s="129"/>
      <c r="AC170" s="129"/>
      <c r="AD170" s="129"/>
      <c r="AE170" s="129"/>
      <c r="AF170" s="129"/>
      <c r="AG170" s="117"/>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row>
    <row r="171">
      <c r="A171" s="141"/>
      <c r="B171" s="107"/>
      <c r="C171" s="107"/>
      <c r="D171" s="143"/>
      <c r="E171" s="129"/>
      <c r="F171" s="129"/>
      <c r="G171" s="129"/>
      <c r="H171" s="129"/>
      <c r="I171" s="129"/>
      <c r="J171" s="129"/>
      <c r="K171" s="129"/>
      <c r="L171" s="129"/>
      <c r="M171" s="129"/>
      <c r="N171" s="129"/>
      <c r="O171" s="129"/>
      <c r="P171" s="129"/>
      <c r="Q171" s="129"/>
      <c r="R171" s="129"/>
      <c r="S171" s="129"/>
      <c r="T171" s="129"/>
      <c r="U171" s="106"/>
      <c r="V171" s="106"/>
      <c r="W171" s="106"/>
      <c r="X171" s="106"/>
      <c r="Y171" s="106"/>
      <c r="Z171" s="129"/>
      <c r="AA171" s="129"/>
      <c r="AB171" s="129"/>
      <c r="AC171" s="129"/>
      <c r="AD171" s="129"/>
      <c r="AE171" s="129"/>
      <c r="AF171" s="129"/>
      <c r="AG171" s="117"/>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c r="BK171" s="124"/>
      <c r="BL171" s="124"/>
      <c r="BM171" s="124"/>
      <c r="BN171" s="124"/>
      <c r="BO171" s="124"/>
      <c r="BP171" s="124"/>
      <c r="BQ171" s="124"/>
      <c r="BR171" s="124"/>
      <c r="BS171" s="124"/>
      <c r="BT171" s="124"/>
      <c r="BU171" s="124"/>
      <c r="BV171" s="124"/>
      <c r="BW171" s="124"/>
      <c r="BX171" s="124"/>
      <c r="BY171" s="124"/>
      <c r="BZ171" s="124"/>
      <c r="CA171" s="124"/>
    </row>
    <row r="172">
      <c r="A172" s="141"/>
      <c r="B172" s="107"/>
      <c r="C172" s="107"/>
      <c r="D172" s="143"/>
      <c r="E172" s="129"/>
      <c r="F172" s="129"/>
      <c r="G172" s="129"/>
      <c r="H172" s="129"/>
      <c r="I172" s="129"/>
      <c r="J172" s="129"/>
      <c r="K172" s="129"/>
      <c r="L172" s="129"/>
      <c r="M172" s="129"/>
      <c r="N172" s="129"/>
      <c r="O172" s="129"/>
      <c r="P172" s="129"/>
      <c r="Q172" s="129"/>
      <c r="R172" s="129"/>
      <c r="S172" s="129"/>
      <c r="T172" s="129"/>
      <c r="U172" s="106"/>
      <c r="V172" s="106"/>
      <c r="W172" s="106"/>
      <c r="X172" s="106"/>
      <c r="Y172" s="106"/>
      <c r="Z172" s="129"/>
      <c r="AA172" s="129"/>
      <c r="AB172" s="129"/>
      <c r="AC172" s="129"/>
      <c r="AD172" s="129"/>
      <c r="AE172" s="129"/>
      <c r="AF172" s="129"/>
      <c r="AG172" s="117"/>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c r="BK172" s="124"/>
      <c r="BL172" s="124"/>
      <c r="BM172" s="124"/>
      <c r="BN172" s="124"/>
      <c r="BO172" s="124"/>
      <c r="BP172" s="124"/>
      <c r="BQ172" s="124"/>
      <c r="BR172" s="124"/>
      <c r="BS172" s="124"/>
      <c r="BT172" s="124"/>
      <c r="BU172" s="124"/>
      <c r="BV172" s="124"/>
      <c r="BW172" s="124"/>
      <c r="BX172" s="124"/>
      <c r="BY172" s="124"/>
      <c r="BZ172" s="124"/>
      <c r="CA172" s="124"/>
    </row>
    <row r="173">
      <c r="A173" s="141"/>
      <c r="B173" s="107"/>
      <c r="C173" s="107"/>
      <c r="D173" s="143"/>
      <c r="E173" s="129"/>
      <c r="F173" s="129"/>
      <c r="G173" s="129"/>
      <c r="H173" s="129"/>
      <c r="I173" s="129"/>
      <c r="J173" s="129"/>
      <c r="K173" s="129"/>
      <c r="L173" s="129"/>
      <c r="M173" s="129"/>
      <c r="N173" s="129"/>
      <c r="O173" s="129"/>
      <c r="P173" s="129"/>
      <c r="Q173" s="129"/>
      <c r="R173" s="129"/>
      <c r="S173" s="129"/>
      <c r="T173" s="129"/>
      <c r="U173" s="106"/>
      <c r="V173" s="106"/>
      <c r="W173" s="106"/>
      <c r="X173" s="106"/>
      <c r="Y173" s="106"/>
      <c r="Z173" s="129"/>
      <c r="AA173" s="129"/>
      <c r="AB173" s="129"/>
      <c r="AC173" s="129"/>
      <c r="AD173" s="129"/>
      <c r="AE173" s="129"/>
      <c r="AF173" s="129"/>
      <c r="AG173" s="117"/>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c r="BK173" s="124"/>
      <c r="BL173" s="124"/>
      <c r="BM173" s="124"/>
      <c r="BN173" s="124"/>
      <c r="BO173" s="124"/>
      <c r="BP173" s="124"/>
      <c r="BQ173" s="124"/>
      <c r="BR173" s="124"/>
      <c r="BS173" s="124"/>
      <c r="BT173" s="124"/>
      <c r="BU173" s="124"/>
      <c r="BV173" s="124"/>
      <c r="BW173" s="124"/>
      <c r="BX173" s="124"/>
      <c r="BY173" s="124"/>
      <c r="BZ173" s="124"/>
      <c r="CA173" s="124"/>
    </row>
    <row r="174">
      <c r="A174" s="141"/>
      <c r="B174" s="107"/>
      <c r="C174" s="107"/>
      <c r="D174" s="143"/>
      <c r="E174" s="129"/>
      <c r="F174" s="129"/>
      <c r="G174" s="129"/>
      <c r="H174" s="129"/>
      <c r="I174" s="129"/>
      <c r="J174" s="129"/>
      <c r="K174" s="129"/>
      <c r="L174" s="129"/>
      <c r="M174" s="129"/>
      <c r="N174" s="129"/>
      <c r="O174" s="129"/>
      <c r="P174" s="129"/>
      <c r="Q174" s="129"/>
      <c r="R174" s="129"/>
      <c r="S174" s="129"/>
      <c r="T174" s="129"/>
      <c r="U174" s="106"/>
      <c r="V174" s="106"/>
      <c r="W174" s="106"/>
      <c r="X174" s="106"/>
      <c r="Y174" s="106"/>
      <c r="Z174" s="129"/>
      <c r="AA174" s="129"/>
      <c r="AB174" s="129"/>
      <c r="AC174" s="129"/>
      <c r="AD174" s="129"/>
      <c r="AE174" s="129"/>
      <c r="AF174" s="129"/>
      <c r="AG174" s="117"/>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c r="BK174" s="124"/>
      <c r="BL174" s="124"/>
      <c r="BM174" s="124"/>
      <c r="BN174" s="124"/>
      <c r="BO174" s="124"/>
      <c r="BP174" s="124"/>
      <c r="BQ174" s="124"/>
      <c r="BR174" s="124"/>
      <c r="BS174" s="124"/>
      <c r="BT174" s="124"/>
      <c r="BU174" s="124"/>
      <c r="BV174" s="124"/>
      <c r="BW174" s="124"/>
      <c r="BX174" s="124"/>
      <c r="BY174" s="124"/>
      <c r="BZ174" s="124"/>
      <c r="CA174" s="124"/>
    </row>
    <row r="175">
      <c r="A175" s="141"/>
      <c r="B175" s="107"/>
      <c r="C175" s="107"/>
      <c r="D175" s="143"/>
      <c r="E175" s="129"/>
      <c r="F175" s="129"/>
      <c r="G175" s="129"/>
      <c r="H175" s="129"/>
      <c r="I175" s="129"/>
      <c r="J175" s="129"/>
      <c r="K175" s="129"/>
      <c r="L175" s="129"/>
      <c r="M175" s="129"/>
      <c r="N175" s="129"/>
      <c r="O175" s="129"/>
      <c r="P175" s="129"/>
      <c r="Q175" s="129"/>
      <c r="R175" s="129"/>
      <c r="S175" s="129"/>
      <c r="T175" s="129"/>
      <c r="U175" s="106"/>
      <c r="V175" s="106"/>
      <c r="W175" s="106"/>
      <c r="X175" s="106"/>
      <c r="Y175" s="106"/>
      <c r="Z175" s="129"/>
      <c r="AA175" s="129"/>
      <c r="AB175" s="129"/>
      <c r="AC175" s="129"/>
      <c r="AD175" s="129"/>
      <c r="AE175" s="129"/>
      <c r="AF175" s="129"/>
      <c r="AG175" s="117"/>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row>
    <row r="176">
      <c r="A176" s="141"/>
      <c r="B176" s="107"/>
      <c r="C176" s="107"/>
      <c r="D176" s="143"/>
      <c r="E176" s="129"/>
      <c r="F176" s="129"/>
      <c r="G176" s="129"/>
      <c r="H176" s="129"/>
      <c r="I176" s="129"/>
      <c r="J176" s="129"/>
      <c r="K176" s="129"/>
      <c r="L176" s="129"/>
      <c r="M176" s="129"/>
      <c r="N176" s="129"/>
      <c r="O176" s="129"/>
      <c r="P176" s="129"/>
      <c r="Q176" s="129"/>
      <c r="R176" s="129"/>
      <c r="S176" s="129"/>
      <c r="T176" s="129"/>
      <c r="U176" s="106"/>
      <c r="V176" s="106"/>
      <c r="W176" s="106"/>
      <c r="X176" s="106"/>
      <c r="Y176" s="106"/>
      <c r="Z176" s="129"/>
      <c r="AA176" s="129"/>
      <c r="AB176" s="129"/>
      <c r="AC176" s="129"/>
      <c r="AD176" s="129"/>
      <c r="AE176" s="129"/>
      <c r="AF176" s="129"/>
      <c r="AG176" s="117"/>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row>
    <row r="177">
      <c r="A177" s="141"/>
      <c r="B177" s="107"/>
      <c r="C177" s="107"/>
      <c r="D177" s="143"/>
      <c r="E177" s="129"/>
      <c r="F177" s="129"/>
      <c r="G177" s="129"/>
      <c r="H177" s="129"/>
      <c r="I177" s="129"/>
      <c r="J177" s="129"/>
      <c r="K177" s="129"/>
      <c r="L177" s="129"/>
      <c r="M177" s="129"/>
      <c r="N177" s="129"/>
      <c r="O177" s="129"/>
      <c r="P177" s="129"/>
      <c r="Q177" s="129"/>
      <c r="R177" s="129"/>
      <c r="S177" s="129"/>
      <c r="T177" s="129"/>
      <c r="U177" s="106"/>
      <c r="V177" s="106"/>
      <c r="W177" s="106"/>
      <c r="X177" s="106"/>
      <c r="Y177" s="106"/>
      <c r="Z177" s="129"/>
      <c r="AA177" s="129"/>
      <c r="AB177" s="129"/>
      <c r="AC177" s="129"/>
      <c r="AD177" s="129"/>
      <c r="AE177" s="129"/>
      <c r="AF177" s="129"/>
      <c r="AG177" s="117"/>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c r="BK177" s="124"/>
      <c r="BL177" s="124"/>
      <c r="BM177" s="124"/>
      <c r="BN177" s="124"/>
      <c r="BO177" s="124"/>
      <c r="BP177" s="124"/>
      <c r="BQ177" s="124"/>
      <c r="BR177" s="124"/>
      <c r="BS177" s="124"/>
      <c r="BT177" s="124"/>
      <c r="BU177" s="124"/>
      <c r="BV177" s="124"/>
      <c r="BW177" s="124"/>
      <c r="BX177" s="124"/>
      <c r="BY177" s="124"/>
      <c r="BZ177" s="124"/>
      <c r="CA177" s="124"/>
    </row>
    <row r="178">
      <c r="A178" s="141"/>
      <c r="B178" s="107"/>
      <c r="C178" s="107"/>
      <c r="D178" s="143"/>
      <c r="E178" s="129"/>
      <c r="F178" s="129"/>
      <c r="G178" s="129"/>
      <c r="H178" s="129"/>
      <c r="I178" s="129"/>
      <c r="J178" s="129"/>
      <c r="K178" s="129"/>
      <c r="L178" s="129"/>
      <c r="M178" s="129"/>
      <c r="N178" s="129"/>
      <c r="O178" s="129"/>
      <c r="P178" s="129"/>
      <c r="Q178" s="129"/>
      <c r="R178" s="129"/>
      <c r="S178" s="129"/>
      <c r="T178" s="129"/>
      <c r="U178" s="106"/>
      <c r="V178" s="106"/>
      <c r="W178" s="106"/>
      <c r="X178" s="106"/>
      <c r="Y178" s="106"/>
      <c r="Z178" s="129"/>
      <c r="AA178" s="129"/>
      <c r="AB178" s="129"/>
      <c r="AC178" s="129"/>
      <c r="AD178" s="129"/>
      <c r="AE178" s="129"/>
      <c r="AF178" s="129"/>
      <c r="AG178" s="117"/>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row>
    <row r="179">
      <c r="A179" s="141"/>
      <c r="B179" s="107"/>
      <c r="C179" s="107"/>
      <c r="D179" s="143"/>
      <c r="E179" s="129"/>
      <c r="F179" s="129"/>
      <c r="G179" s="129"/>
      <c r="H179" s="129"/>
      <c r="I179" s="129"/>
      <c r="J179" s="129"/>
      <c r="K179" s="129"/>
      <c r="L179" s="129"/>
      <c r="M179" s="129"/>
      <c r="N179" s="129"/>
      <c r="O179" s="129"/>
      <c r="P179" s="129"/>
      <c r="Q179" s="129"/>
      <c r="R179" s="129"/>
      <c r="S179" s="129"/>
      <c r="T179" s="129"/>
      <c r="U179" s="106"/>
      <c r="V179" s="106"/>
      <c r="W179" s="106"/>
      <c r="X179" s="106"/>
      <c r="Y179" s="106"/>
      <c r="Z179" s="129"/>
      <c r="AA179" s="129"/>
      <c r="AB179" s="129"/>
      <c r="AC179" s="129"/>
      <c r="AD179" s="129"/>
      <c r="AE179" s="129"/>
      <c r="AF179" s="129"/>
      <c r="AG179" s="117"/>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c r="BK179" s="124"/>
      <c r="BL179" s="124"/>
      <c r="BM179" s="124"/>
      <c r="BN179" s="124"/>
      <c r="BO179" s="124"/>
      <c r="BP179" s="124"/>
      <c r="BQ179" s="124"/>
      <c r="BR179" s="124"/>
      <c r="BS179" s="124"/>
      <c r="BT179" s="124"/>
      <c r="BU179" s="124"/>
      <c r="BV179" s="124"/>
      <c r="BW179" s="124"/>
      <c r="BX179" s="124"/>
      <c r="BY179" s="124"/>
      <c r="BZ179" s="124"/>
      <c r="CA179" s="124"/>
    </row>
    <row r="180">
      <c r="A180" s="141"/>
      <c r="B180" s="107"/>
      <c r="C180" s="107"/>
      <c r="D180" s="143"/>
      <c r="E180" s="129"/>
      <c r="F180" s="129"/>
      <c r="G180" s="129"/>
      <c r="H180" s="129"/>
      <c r="I180" s="129"/>
      <c r="J180" s="129"/>
      <c r="K180" s="129"/>
      <c r="L180" s="129"/>
      <c r="M180" s="129"/>
      <c r="N180" s="129"/>
      <c r="O180" s="129"/>
      <c r="P180" s="129"/>
      <c r="Q180" s="129"/>
      <c r="R180" s="129"/>
      <c r="S180" s="129"/>
      <c r="T180" s="129"/>
      <c r="U180" s="106"/>
      <c r="V180" s="106"/>
      <c r="W180" s="106"/>
      <c r="X180" s="106"/>
      <c r="Y180" s="106"/>
      <c r="Z180" s="129"/>
      <c r="AA180" s="129"/>
      <c r="AB180" s="129"/>
      <c r="AC180" s="129"/>
      <c r="AD180" s="129"/>
      <c r="AE180" s="129"/>
      <c r="AF180" s="129"/>
      <c r="AG180" s="117"/>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row>
    <row r="181">
      <c r="A181" s="141"/>
      <c r="B181" s="107"/>
      <c r="C181" s="107"/>
      <c r="D181" s="143"/>
      <c r="E181" s="129"/>
      <c r="F181" s="129"/>
      <c r="G181" s="129"/>
      <c r="H181" s="129"/>
      <c r="I181" s="129"/>
      <c r="J181" s="129"/>
      <c r="K181" s="129"/>
      <c r="L181" s="129"/>
      <c r="M181" s="129"/>
      <c r="N181" s="129"/>
      <c r="O181" s="129"/>
      <c r="P181" s="129"/>
      <c r="Q181" s="129"/>
      <c r="R181" s="129"/>
      <c r="S181" s="129"/>
      <c r="T181" s="129"/>
      <c r="U181" s="106"/>
      <c r="V181" s="106"/>
      <c r="W181" s="106"/>
      <c r="X181" s="106"/>
      <c r="Y181" s="106"/>
      <c r="Z181" s="129"/>
      <c r="AA181" s="129"/>
      <c r="AB181" s="129"/>
      <c r="AC181" s="129"/>
      <c r="AD181" s="129"/>
      <c r="AE181" s="129"/>
      <c r="AF181" s="129"/>
      <c r="AG181" s="117"/>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row>
    <row r="182">
      <c r="A182" s="141"/>
      <c r="B182" s="107"/>
      <c r="C182" s="107"/>
      <c r="D182" s="143"/>
      <c r="E182" s="129"/>
      <c r="F182" s="129"/>
      <c r="G182" s="129"/>
      <c r="H182" s="129"/>
      <c r="I182" s="129"/>
      <c r="J182" s="129"/>
      <c r="K182" s="129"/>
      <c r="L182" s="129"/>
      <c r="M182" s="129"/>
      <c r="N182" s="129"/>
      <c r="O182" s="129"/>
      <c r="P182" s="129"/>
      <c r="Q182" s="129"/>
      <c r="R182" s="129"/>
      <c r="S182" s="129"/>
      <c r="T182" s="129"/>
      <c r="U182" s="106"/>
      <c r="V182" s="106"/>
      <c r="W182" s="106"/>
      <c r="X182" s="106"/>
      <c r="Y182" s="106"/>
      <c r="Z182" s="129"/>
      <c r="AA182" s="129"/>
      <c r="AB182" s="129"/>
      <c r="AC182" s="129"/>
      <c r="AD182" s="129"/>
      <c r="AE182" s="129"/>
      <c r="AF182" s="129"/>
      <c r="AG182" s="117"/>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row>
    <row r="183">
      <c r="A183" s="141"/>
      <c r="B183" s="107"/>
      <c r="C183" s="107"/>
      <c r="D183" s="143"/>
      <c r="E183" s="129"/>
      <c r="F183" s="129"/>
      <c r="G183" s="129"/>
      <c r="H183" s="129"/>
      <c r="I183" s="129"/>
      <c r="J183" s="129"/>
      <c r="K183" s="129"/>
      <c r="L183" s="129"/>
      <c r="M183" s="129"/>
      <c r="N183" s="129"/>
      <c r="O183" s="129"/>
      <c r="P183" s="129"/>
      <c r="Q183" s="129"/>
      <c r="R183" s="129"/>
      <c r="S183" s="129"/>
      <c r="T183" s="129"/>
      <c r="U183" s="106"/>
      <c r="V183" s="106"/>
      <c r="W183" s="106"/>
      <c r="X183" s="106"/>
      <c r="Y183" s="106"/>
      <c r="Z183" s="129"/>
      <c r="AA183" s="129"/>
      <c r="AB183" s="129"/>
      <c r="AC183" s="129"/>
      <c r="AD183" s="129"/>
      <c r="AE183" s="129"/>
      <c r="AF183" s="129"/>
      <c r="AG183" s="117"/>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row>
    <row r="184">
      <c r="A184" s="141"/>
      <c r="B184" s="107"/>
      <c r="C184" s="107"/>
      <c r="D184" s="143"/>
      <c r="E184" s="129"/>
      <c r="F184" s="129"/>
      <c r="G184" s="129"/>
      <c r="H184" s="129"/>
      <c r="I184" s="129"/>
      <c r="J184" s="129"/>
      <c r="K184" s="129"/>
      <c r="L184" s="129"/>
      <c r="M184" s="129"/>
      <c r="N184" s="129"/>
      <c r="O184" s="129"/>
      <c r="P184" s="129"/>
      <c r="Q184" s="129"/>
      <c r="R184" s="129"/>
      <c r="S184" s="129"/>
      <c r="T184" s="129"/>
      <c r="U184" s="106"/>
      <c r="V184" s="106"/>
      <c r="W184" s="106"/>
      <c r="X184" s="106"/>
      <c r="Y184" s="106"/>
      <c r="Z184" s="129"/>
      <c r="AA184" s="129"/>
      <c r="AB184" s="129"/>
      <c r="AC184" s="129"/>
      <c r="AD184" s="129"/>
      <c r="AE184" s="129"/>
      <c r="AF184" s="129"/>
      <c r="AG184" s="117"/>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row>
    <row r="185">
      <c r="A185" s="141"/>
      <c r="B185" s="107"/>
      <c r="C185" s="107"/>
      <c r="D185" s="143"/>
      <c r="E185" s="129"/>
      <c r="F185" s="129"/>
      <c r="G185" s="129"/>
      <c r="H185" s="129"/>
      <c r="I185" s="129"/>
      <c r="J185" s="129"/>
      <c r="K185" s="129"/>
      <c r="L185" s="129"/>
      <c r="M185" s="129"/>
      <c r="N185" s="129"/>
      <c r="O185" s="129"/>
      <c r="P185" s="129"/>
      <c r="Q185" s="129"/>
      <c r="R185" s="129"/>
      <c r="S185" s="129"/>
      <c r="T185" s="129"/>
      <c r="U185" s="106"/>
      <c r="V185" s="106"/>
      <c r="W185" s="106"/>
      <c r="X185" s="106"/>
      <c r="Y185" s="106"/>
      <c r="Z185" s="129"/>
      <c r="AA185" s="129"/>
      <c r="AB185" s="129"/>
      <c r="AC185" s="129"/>
      <c r="AD185" s="129"/>
      <c r="AE185" s="129"/>
      <c r="AF185" s="129"/>
      <c r="AG185" s="117"/>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c r="BK185" s="124"/>
      <c r="BL185" s="124"/>
      <c r="BM185" s="124"/>
      <c r="BN185" s="124"/>
      <c r="BO185" s="124"/>
      <c r="BP185" s="124"/>
      <c r="BQ185" s="124"/>
      <c r="BR185" s="124"/>
      <c r="BS185" s="124"/>
      <c r="BT185" s="124"/>
      <c r="BU185" s="124"/>
      <c r="BV185" s="124"/>
      <c r="BW185" s="124"/>
      <c r="BX185" s="124"/>
      <c r="BY185" s="124"/>
      <c r="BZ185" s="124"/>
      <c r="CA185" s="124"/>
    </row>
    <row r="186">
      <c r="A186" s="141"/>
      <c r="B186" s="107"/>
      <c r="C186" s="107"/>
      <c r="D186" s="143"/>
      <c r="E186" s="129"/>
      <c r="F186" s="129"/>
      <c r="G186" s="129"/>
      <c r="H186" s="129"/>
      <c r="I186" s="129"/>
      <c r="J186" s="129"/>
      <c r="K186" s="129"/>
      <c r="L186" s="129"/>
      <c r="M186" s="129"/>
      <c r="N186" s="129"/>
      <c r="O186" s="129"/>
      <c r="P186" s="129"/>
      <c r="Q186" s="129"/>
      <c r="R186" s="129"/>
      <c r="S186" s="129"/>
      <c r="T186" s="129"/>
      <c r="U186" s="106"/>
      <c r="V186" s="106"/>
      <c r="W186" s="106"/>
      <c r="X186" s="106"/>
      <c r="Y186" s="106"/>
      <c r="Z186" s="129"/>
      <c r="AA186" s="129"/>
      <c r="AB186" s="129"/>
      <c r="AC186" s="129"/>
      <c r="AD186" s="129"/>
      <c r="AE186" s="129"/>
      <c r="AF186" s="129"/>
      <c r="AG186" s="117"/>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row>
    <row r="187">
      <c r="A187" s="141"/>
      <c r="B187" s="107"/>
      <c r="C187" s="107"/>
      <c r="D187" s="143"/>
      <c r="E187" s="129"/>
      <c r="F187" s="129"/>
      <c r="G187" s="129"/>
      <c r="H187" s="129"/>
      <c r="I187" s="129"/>
      <c r="J187" s="129"/>
      <c r="K187" s="129"/>
      <c r="L187" s="129"/>
      <c r="M187" s="129"/>
      <c r="N187" s="129"/>
      <c r="O187" s="129"/>
      <c r="P187" s="129"/>
      <c r="Q187" s="129"/>
      <c r="R187" s="129"/>
      <c r="S187" s="129"/>
      <c r="T187" s="129"/>
      <c r="U187" s="106"/>
      <c r="V187" s="106"/>
      <c r="W187" s="106"/>
      <c r="X187" s="106"/>
      <c r="Y187" s="106"/>
      <c r="Z187" s="129"/>
      <c r="AA187" s="129"/>
      <c r="AB187" s="129"/>
      <c r="AC187" s="129"/>
      <c r="AD187" s="129"/>
      <c r="AE187" s="129"/>
      <c r="AF187" s="129"/>
      <c r="AG187" s="117"/>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row>
    <row r="188">
      <c r="A188" s="141"/>
      <c r="B188" s="107"/>
      <c r="C188" s="107"/>
      <c r="D188" s="143"/>
      <c r="E188" s="129"/>
      <c r="F188" s="129"/>
      <c r="G188" s="129"/>
      <c r="H188" s="129"/>
      <c r="I188" s="129"/>
      <c r="J188" s="129"/>
      <c r="K188" s="129"/>
      <c r="L188" s="129"/>
      <c r="M188" s="129"/>
      <c r="N188" s="129"/>
      <c r="O188" s="129"/>
      <c r="P188" s="129"/>
      <c r="Q188" s="129"/>
      <c r="R188" s="129"/>
      <c r="S188" s="129"/>
      <c r="T188" s="129"/>
      <c r="U188" s="106"/>
      <c r="V188" s="106"/>
      <c r="W188" s="106"/>
      <c r="X188" s="106"/>
      <c r="Y188" s="106"/>
      <c r="Z188" s="129"/>
      <c r="AA188" s="129"/>
      <c r="AB188" s="129"/>
      <c r="AC188" s="129"/>
      <c r="AD188" s="129"/>
      <c r="AE188" s="129"/>
      <c r="AF188" s="129"/>
      <c r="AG188" s="117"/>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c r="BK188" s="124"/>
      <c r="BL188" s="124"/>
      <c r="BM188" s="124"/>
      <c r="BN188" s="124"/>
      <c r="BO188" s="124"/>
      <c r="BP188" s="124"/>
      <c r="BQ188" s="124"/>
      <c r="BR188" s="124"/>
      <c r="BS188" s="124"/>
      <c r="BT188" s="124"/>
      <c r="BU188" s="124"/>
      <c r="BV188" s="124"/>
      <c r="BW188" s="124"/>
      <c r="BX188" s="124"/>
      <c r="BY188" s="124"/>
      <c r="BZ188" s="124"/>
      <c r="CA188" s="124"/>
    </row>
    <row r="189">
      <c r="A189" s="141"/>
      <c r="B189" s="107"/>
      <c r="C189" s="107"/>
      <c r="D189" s="143"/>
      <c r="E189" s="129"/>
      <c r="F189" s="129"/>
      <c r="G189" s="129"/>
      <c r="H189" s="129"/>
      <c r="I189" s="129"/>
      <c r="J189" s="129"/>
      <c r="K189" s="129"/>
      <c r="L189" s="129"/>
      <c r="M189" s="129"/>
      <c r="N189" s="129"/>
      <c r="O189" s="129"/>
      <c r="P189" s="129"/>
      <c r="Q189" s="129"/>
      <c r="R189" s="129"/>
      <c r="S189" s="129"/>
      <c r="T189" s="129"/>
      <c r="U189" s="106"/>
      <c r="V189" s="106"/>
      <c r="W189" s="106"/>
      <c r="X189" s="106"/>
      <c r="Y189" s="106"/>
      <c r="Z189" s="129"/>
      <c r="AA189" s="129"/>
      <c r="AB189" s="129"/>
      <c r="AC189" s="129"/>
      <c r="AD189" s="129"/>
      <c r="AE189" s="129"/>
      <c r="AF189" s="129"/>
      <c r="AG189" s="117"/>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c r="BK189" s="124"/>
      <c r="BL189" s="124"/>
      <c r="BM189" s="124"/>
      <c r="BN189" s="124"/>
      <c r="BO189" s="124"/>
      <c r="BP189" s="124"/>
      <c r="BQ189" s="124"/>
      <c r="BR189" s="124"/>
      <c r="BS189" s="124"/>
      <c r="BT189" s="124"/>
      <c r="BU189" s="124"/>
      <c r="BV189" s="124"/>
      <c r="BW189" s="124"/>
      <c r="BX189" s="124"/>
      <c r="BY189" s="124"/>
      <c r="BZ189" s="124"/>
      <c r="CA189" s="124"/>
    </row>
    <row r="190">
      <c r="A190" s="141"/>
      <c r="B190" s="107"/>
      <c r="C190" s="107"/>
      <c r="D190" s="143"/>
      <c r="E190" s="129"/>
      <c r="F190" s="129"/>
      <c r="G190" s="129"/>
      <c r="H190" s="129"/>
      <c r="I190" s="129"/>
      <c r="J190" s="129"/>
      <c r="K190" s="129"/>
      <c r="L190" s="129"/>
      <c r="M190" s="129"/>
      <c r="N190" s="129"/>
      <c r="O190" s="129"/>
      <c r="P190" s="129"/>
      <c r="Q190" s="129"/>
      <c r="R190" s="129"/>
      <c r="S190" s="129"/>
      <c r="T190" s="129"/>
      <c r="U190" s="106"/>
      <c r="V190" s="106"/>
      <c r="W190" s="106"/>
      <c r="X190" s="106"/>
      <c r="Y190" s="106"/>
      <c r="Z190" s="129"/>
      <c r="AA190" s="129"/>
      <c r="AB190" s="129"/>
      <c r="AC190" s="129"/>
      <c r="AD190" s="129"/>
      <c r="AE190" s="129"/>
      <c r="AF190" s="129"/>
      <c r="AG190" s="117"/>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row>
    <row r="191">
      <c r="A191" s="141"/>
      <c r="B191" s="107"/>
      <c r="C191" s="107"/>
      <c r="D191" s="143"/>
      <c r="E191" s="129"/>
      <c r="F191" s="129"/>
      <c r="G191" s="129"/>
      <c r="H191" s="129"/>
      <c r="I191" s="129"/>
      <c r="J191" s="129"/>
      <c r="K191" s="129"/>
      <c r="L191" s="129"/>
      <c r="M191" s="129"/>
      <c r="N191" s="129"/>
      <c r="O191" s="129"/>
      <c r="P191" s="129"/>
      <c r="Q191" s="129"/>
      <c r="R191" s="129"/>
      <c r="S191" s="129"/>
      <c r="T191" s="129"/>
      <c r="U191" s="106"/>
      <c r="V191" s="106"/>
      <c r="W191" s="106"/>
      <c r="X191" s="106"/>
      <c r="Y191" s="106"/>
      <c r="Z191" s="129"/>
      <c r="AA191" s="129"/>
      <c r="AB191" s="129"/>
      <c r="AC191" s="129"/>
      <c r="AD191" s="129"/>
      <c r="AE191" s="129"/>
      <c r="AF191" s="129"/>
      <c r="AG191" s="117"/>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row>
    <row r="192">
      <c r="A192" s="141"/>
      <c r="B192" s="107"/>
      <c r="C192" s="107"/>
      <c r="D192" s="143"/>
      <c r="E192" s="129"/>
      <c r="F192" s="129"/>
      <c r="G192" s="129"/>
      <c r="H192" s="129"/>
      <c r="I192" s="129"/>
      <c r="J192" s="129"/>
      <c r="K192" s="129"/>
      <c r="L192" s="129"/>
      <c r="M192" s="129"/>
      <c r="N192" s="129"/>
      <c r="O192" s="129"/>
      <c r="P192" s="129"/>
      <c r="Q192" s="129"/>
      <c r="R192" s="129"/>
      <c r="S192" s="129"/>
      <c r="T192" s="129"/>
      <c r="U192" s="106"/>
      <c r="V192" s="106"/>
      <c r="W192" s="106"/>
      <c r="X192" s="106"/>
      <c r="Y192" s="106"/>
      <c r="Z192" s="129"/>
      <c r="AA192" s="129"/>
      <c r="AB192" s="129"/>
      <c r="AC192" s="129"/>
      <c r="AD192" s="129"/>
      <c r="AE192" s="129"/>
      <c r="AF192" s="129"/>
      <c r="AG192" s="117"/>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row>
    <row r="193">
      <c r="A193" s="141"/>
      <c r="B193" s="107"/>
      <c r="C193" s="107"/>
      <c r="D193" s="143"/>
      <c r="E193" s="129"/>
      <c r="F193" s="129"/>
      <c r="G193" s="129"/>
      <c r="H193" s="129"/>
      <c r="I193" s="129"/>
      <c r="J193" s="129"/>
      <c r="K193" s="129"/>
      <c r="L193" s="129"/>
      <c r="M193" s="129"/>
      <c r="N193" s="129"/>
      <c r="O193" s="129"/>
      <c r="P193" s="129"/>
      <c r="Q193" s="129"/>
      <c r="R193" s="129"/>
      <c r="S193" s="129"/>
      <c r="T193" s="129"/>
      <c r="U193" s="106"/>
      <c r="V193" s="106"/>
      <c r="W193" s="106"/>
      <c r="X193" s="106"/>
      <c r="Y193" s="106"/>
      <c r="Z193" s="129"/>
      <c r="AA193" s="129"/>
      <c r="AB193" s="129"/>
      <c r="AC193" s="129"/>
      <c r="AD193" s="129"/>
      <c r="AE193" s="129"/>
      <c r="AF193" s="129"/>
      <c r="AG193" s="117"/>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row>
    <row r="194">
      <c r="A194" s="141"/>
      <c r="B194" s="107"/>
      <c r="C194" s="107"/>
      <c r="D194" s="143"/>
      <c r="E194" s="129"/>
      <c r="F194" s="129"/>
      <c r="G194" s="129"/>
      <c r="H194" s="129"/>
      <c r="I194" s="129"/>
      <c r="J194" s="129"/>
      <c r="K194" s="129"/>
      <c r="L194" s="129"/>
      <c r="M194" s="129"/>
      <c r="N194" s="129"/>
      <c r="O194" s="129"/>
      <c r="P194" s="129"/>
      <c r="Q194" s="129"/>
      <c r="R194" s="129"/>
      <c r="S194" s="129"/>
      <c r="T194" s="129"/>
      <c r="U194" s="106"/>
      <c r="V194" s="106"/>
      <c r="W194" s="106"/>
      <c r="X194" s="106"/>
      <c r="Y194" s="106"/>
      <c r="Z194" s="129"/>
      <c r="AA194" s="129"/>
      <c r="AB194" s="129"/>
      <c r="AC194" s="129"/>
      <c r="AD194" s="129"/>
      <c r="AE194" s="129"/>
      <c r="AF194" s="129"/>
      <c r="AG194" s="117"/>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row>
    <row r="195">
      <c r="A195" s="141"/>
      <c r="B195" s="107"/>
      <c r="C195" s="107"/>
      <c r="D195" s="143"/>
      <c r="E195" s="129"/>
      <c r="F195" s="129"/>
      <c r="G195" s="129"/>
      <c r="H195" s="129"/>
      <c r="I195" s="129"/>
      <c r="J195" s="129"/>
      <c r="K195" s="129"/>
      <c r="L195" s="129"/>
      <c r="M195" s="129"/>
      <c r="N195" s="129"/>
      <c r="O195" s="129"/>
      <c r="P195" s="129"/>
      <c r="Q195" s="129"/>
      <c r="R195" s="129"/>
      <c r="S195" s="129"/>
      <c r="T195" s="129"/>
      <c r="U195" s="106"/>
      <c r="V195" s="106"/>
      <c r="W195" s="106"/>
      <c r="X195" s="106"/>
      <c r="Y195" s="106"/>
      <c r="Z195" s="129"/>
      <c r="AA195" s="129"/>
      <c r="AB195" s="129"/>
      <c r="AC195" s="129"/>
      <c r="AD195" s="129"/>
      <c r="AE195" s="129"/>
      <c r="AF195" s="129"/>
      <c r="AG195" s="117"/>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c r="BZ195" s="124"/>
      <c r="CA195" s="124"/>
    </row>
    <row r="196">
      <c r="A196" s="141"/>
      <c r="B196" s="107"/>
      <c r="C196" s="107"/>
      <c r="D196" s="143"/>
      <c r="E196" s="129"/>
      <c r="F196" s="129"/>
      <c r="G196" s="129"/>
      <c r="H196" s="129"/>
      <c r="I196" s="129"/>
      <c r="J196" s="129"/>
      <c r="K196" s="129"/>
      <c r="L196" s="129"/>
      <c r="M196" s="129"/>
      <c r="N196" s="129"/>
      <c r="O196" s="129"/>
      <c r="P196" s="129"/>
      <c r="Q196" s="129"/>
      <c r="R196" s="129"/>
      <c r="S196" s="129"/>
      <c r="T196" s="129"/>
      <c r="U196" s="106"/>
      <c r="V196" s="106"/>
      <c r="W196" s="106"/>
      <c r="X196" s="106"/>
      <c r="Y196" s="106"/>
      <c r="Z196" s="129"/>
      <c r="AA196" s="129"/>
      <c r="AB196" s="129"/>
      <c r="AC196" s="129"/>
      <c r="AD196" s="129"/>
      <c r="AE196" s="129"/>
      <c r="AF196" s="129"/>
      <c r="AG196" s="117"/>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row>
    <row r="197">
      <c r="A197" s="141"/>
      <c r="B197" s="107"/>
      <c r="C197" s="107"/>
      <c r="D197" s="143"/>
      <c r="E197" s="129"/>
      <c r="F197" s="129"/>
      <c r="G197" s="129"/>
      <c r="H197" s="129"/>
      <c r="I197" s="129"/>
      <c r="J197" s="129"/>
      <c r="K197" s="129"/>
      <c r="L197" s="129"/>
      <c r="M197" s="129"/>
      <c r="N197" s="129"/>
      <c r="O197" s="129"/>
      <c r="P197" s="129"/>
      <c r="Q197" s="129"/>
      <c r="R197" s="129"/>
      <c r="S197" s="129"/>
      <c r="T197" s="129"/>
      <c r="U197" s="106"/>
      <c r="V197" s="106"/>
      <c r="W197" s="106"/>
      <c r="X197" s="106"/>
      <c r="Y197" s="106"/>
      <c r="Z197" s="129"/>
      <c r="AA197" s="129"/>
      <c r="AB197" s="129"/>
      <c r="AC197" s="129"/>
      <c r="AD197" s="129"/>
      <c r="AE197" s="129"/>
      <c r="AF197" s="129"/>
      <c r="AG197" s="117"/>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124"/>
      <c r="BO197" s="124"/>
      <c r="BP197" s="124"/>
      <c r="BQ197" s="124"/>
      <c r="BR197" s="124"/>
      <c r="BS197" s="124"/>
      <c r="BT197" s="124"/>
      <c r="BU197" s="124"/>
      <c r="BV197" s="124"/>
      <c r="BW197" s="124"/>
      <c r="BX197" s="124"/>
      <c r="BY197" s="124"/>
      <c r="BZ197" s="124"/>
      <c r="CA197" s="124"/>
    </row>
    <row r="198">
      <c r="A198" s="141"/>
      <c r="B198" s="107"/>
      <c r="C198" s="107"/>
      <c r="D198" s="143"/>
      <c r="E198" s="129"/>
      <c r="F198" s="129"/>
      <c r="G198" s="129"/>
      <c r="H198" s="129"/>
      <c r="I198" s="129"/>
      <c r="J198" s="129"/>
      <c r="K198" s="129"/>
      <c r="L198" s="129"/>
      <c r="M198" s="129"/>
      <c r="N198" s="129"/>
      <c r="O198" s="129"/>
      <c r="P198" s="129"/>
      <c r="Q198" s="129"/>
      <c r="R198" s="129"/>
      <c r="S198" s="129"/>
      <c r="T198" s="129"/>
      <c r="U198" s="106"/>
      <c r="V198" s="106"/>
      <c r="W198" s="106"/>
      <c r="X198" s="106"/>
      <c r="Y198" s="106"/>
      <c r="Z198" s="129"/>
      <c r="AA198" s="129"/>
      <c r="AB198" s="129"/>
      <c r="AC198" s="129"/>
      <c r="AD198" s="129"/>
      <c r="AE198" s="129"/>
      <c r="AF198" s="129"/>
      <c r="AG198" s="117"/>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row>
    <row r="199">
      <c r="A199" s="141"/>
      <c r="B199" s="107"/>
      <c r="C199" s="107"/>
      <c r="D199" s="143"/>
      <c r="E199" s="129"/>
      <c r="F199" s="129"/>
      <c r="G199" s="129"/>
      <c r="H199" s="129"/>
      <c r="I199" s="129"/>
      <c r="J199" s="129"/>
      <c r="K199" s="129"/>
      <c r="L199" s="129"/>
      <c r="M199" s="129"/>
      <c r="N199" s="129"/>
      <c r="O199" s="129"/>
      <c r="P199" s="129"/>
      <c r="Q199" s="129"/>
      <c r="R199" s="129"/>
      <c r="S199" s="129"/>
      <c r="T199" s="129"/>
      <c r="U199" s="106"/>
      <c r="V199" s="106"/>
      <c r="W199" s="106"/>
      <c r="X199" s="106"/>
      <c r="Y199" s="106"/>
      <c r="Z199" s="129"/>
      <c r="AA199" s="129"/>
      <c r="AB199" s="129"/>
      <c r="AC199" s="129"/>
      <c r="AD199" s="129"/>
      <c r="AE199" s="129"/>
      <c r="AF199" s="129"/>
      <c r="AG199" s="117"/>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row>
    <row r="200">
      <c r="A200" s="141"/>
      <c r="B200" s="107"/>
      <c r="C200" s="107"/>
      <c r="D200" s="143"/>
      <c r="E200" s="129"/>
      <c r="F200" s="129"/>
      <c r="G200" s="129"/>
      <c r="H200" s="129"/>
      <c r="I200" s="129"/>
      <c r="J200" s="129"/>
      <c r="K200" s="129"/>
      <c r="L200" s="129"/>
      <c r="M200" s="129"/>
      <c r="N200" s="129"/>
      <c r="O200" s="129"/>
      <c r="P200" s="129"/>
      <c r="Q200" s="129"/>
      <c r="R200" s="129"/>
      <c r="S200" s="129"/>
      <c r="T200" s="129"/>
      <c r="U200" s="106"/>
      <c r="V200" s="106"/>
      <c r="W200" s="106"/>
      <c r="X200" s="106"/>
      <c r="Y200" s="106"/>
      <c r="Z200" s="129"/>
      <c r="AA200" s="129"/>
      <c r="AB200" s="129"/>
      <c r="AC200" s="129"/>
      <c r="AD200" s="129"/>
      <c r="AE200" s="129"/>
      <c r="AF200" s="129"/>
      <c r="AG200" s="117"/>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row>
    <row r="201">
      <c r="A201" s="141"/>
      <c r="B201" s="107"/>
      <c r="C201" s="107"/>
      <c r="D201" s="143"/>
      <c r="E201" s="129"/>
      <c r="F201" s="129"/>
      <c r="G201" s="129"/>
      <c r="H201" s="129"/>
      <c r="I201" s="129"/>
      <c r="J201" s="129"/>
      <c r="K201" s="129"/>
      <c r="L201" s="129"/>
      <c r="M201" s="129"/>
      <c r="N201" s="129"/>
      <c r="O201" s="129"/>
      <c r="P201" s="129"/>
      <c r="Q201" s="129"/>
      <c r="R201" s="129"/>
      <c r="S201" s="129"/>
      <c r="T201" s="129"/>
      <c r="U201" s="106"/>
      <c r="V201" s="106"/>
      <c r="W201" s="106"/>
      <c r="X201" s="106"/>
      <c r="Y201" s="106"/>
      <c r="Z201" s="129"/>
      <c r="AA201" s="129"/>
      <c r="AB201" s="129"/>
      <c r="AC201" s="129"/>
      <c r="AD201" s="129"/>
      <c r="AE201" s="129"/>
      <c r="AF201" s="129"/>
      <c r="AG201" s="117"/>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row>
    <row r="202">
      <c r="A202" s="141"/>
      <c r="B202" s="107"/>
      <c r="C202" s="107"/>
      <c r="D202" s="143"/>
      <c r="E202" s="129"/>
      <c r="F202" s="129"/>
      <c r="G202" s="129"/>
      <c r="H202" s="129"/>
      <c r="I202" s="129"/>
      <c r="J202" s="129"/>
      <c r="K202" s="129"/>
      <c r="L202" s="129"/>
      <c r="M202" s="129"/>
      <c r="N202" s="129"/>
      <c r="O202" s="129"/>
      <c r="P202" s="129"/>
      <c r="Q202" s="129"/>
      <c r="R202" s="129"/>
      <c r="S202" s="129"/>
      <c r="T202" s="129"/>
      <c r="U202" s="106"/>
      <c r="V202" s="106"/>
      <c r="W202" s="106"/>
      <c r="X202" s="106"/>
      <c r="Y202" s="106"/>
      <c r="Z202" s="129"/>
      <c r="AA202" s="129"/>
      <c r="AB202" s="129"/>
      <c r="AC202" s="129"/>
      <c r="AD202" s="129"/>
      <c r="AE202" s="129"/>
      <c r="AF202" s="129"/>
      <c r="AG202" s="117"/>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row>
    <row r="203">
      <c r="A203" s="141"/>
      <c r="B203" s="107"/>
      <c r="C203" s="107"/>
      <c r="D203" s="143"/>
      <c r="E203" s="129"/>
      <c r="F203" s="129"/>
      <c r="G203" s="129"/>
      <c r="H203" s="129"/>
      <c r="I203" s="129"/>
      <c r="J203" s="129"/>
      <c r="K203" s="129"/>
      <c r="L203" s="129"/>
      <c r="M203" s="129"/>
      <c r="N203" s="129"/>
      <c r="O203" s="129"/>
      <c r="P203" s="129"/>
      <c r="Q203" s="129"/>
      <c r="R203" s="129"/>
      <c r="S203" s="129"/>
      <c r="T203" s="129"/>
      <c r="U203" s="106"/>
      <c r="V203" s="106"/>
      <c r="W203" s="106"/>
      <c r="X203" s="106"/>
      <c r="Y203" s="106"/>
      <c r="Z203" s="129"/>
      <c r="AA203" s="129"/>
      <c r="AB203" s="129"/>
      <c r="AC203" s="129"/>
      <c r="AD203" s="129"/>
      <c r="AE203" s="129"/>
      <c r="AF203" s="129"/>
      <c r="AG203" s="117"/>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row>
    <row r="204">
      <c r="A204" s="141"/>
      <c r="B204" s="107"/>
      <c r="C204" s="107"/>
      <c r="D204" s="143"/>
      <c r="E204" s="129"/>
      <c r="F204" s="129"/>
      <c r="G204" s="129"/>
      <c r="H204" s="129"/>
      <c r="I204" s="129"/>
      <c r="J204" s="129"/>
      <c r="K204" s="129"/>
      <c r="L204" s="129"/>
      <c r="M204" s="129"/>
      <c r="N204" s="129"/>
      <c r="O204" s="129"/>
      <c r="P204" s="129"/>
      <c r="Q204" s="129"/>
      <c r="R204" s="129"/>
      <c r="S204" s="129"/>
      <c r="T204" s="129"/>
      <c r="U204" s="106"/>
      <c r="V204" s="106"/>
      <c r="W204" s="106"/>
      <c r="X204" s="106"/>
      <c r="Y204" s="106"/>
      <c r="Z204" s="129"/>
      <c r="AA204" s="129"/>
      <c r="AB204" s="129"/>
      <c r="AC204" s="129"/>
      <c r="AD204" s="129"/>
      <c r="AE204" s="129"/>
      <c r="AF204" s="129"/>
      <c r="AG204" s="117"/>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row>
    <row r="205">
      <c r="A205" s="141"/>
      <c r="B205" s="107"/>
      <c r="C205" s="107"/>
      <c r="D205" s="143"/>
      <c r="E205" s="129"/>
      <c r="F205" s="129"/>
      <c r="G205" s="129"/>
      <c r="H205" s="129"/>
      <c r="I205" s="129"/>
      <c r="J205" s="129"/>
      <c r="K205" s="129"/>
      <c r="L205" s="129"/>
      <c r="M205" s="129"/>
      <c r="N205" s="129"/>
      <c r="O205" s="129"/>
      <c r="P205" s="129"/>
      <c r="Q205" s="129"/>
      <c r="R205" s="129"/>
      <c r="S205" s="129"/>
      <c r="T205" s="129"/>
      <c r="U205" s="106"/>
      <c r="V205" s="106"/>
      <c r="W205" s="106"/>
      <c r="X205" s="106"/>
      <c r="Y205" s="106"/>
      <c r="Z205" s="129"/>
      <c r="AA205" s="129"/>
      <c r="AB205" s="129"/>
      <c r="AC205" s="129"/>
      <c r="AD205" s="129"/>
      <c r="AE205" s="129"/>
      <c r="AF205" s="129"/>
      <c r="AG205" s="117"/>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row>
    <row r="206">
      <c r="A206" s="141"/>
      <c r="B206" s="107"/>
      <c r="C206" s="107"/>
      <c r="D206" s="143"/>
      <c r="E206" s="129"/>
      <c r="F206" s="129"/>
      <c r="G206" s="129"/>
      <c r="H206" s="129"/>
      <c r="I206" s="129"/>
      <c r="J206" s="129"/>
      <c r="K206" s="129"/>
      <c r="L206" s="129"/>
      <c r="M206" s="129"/>
      <c r="N206" s="129"/>
      <c r="O206" s="129"/>
      <c r="P206" s="129"/>
      <c r="Q206" s="129"/>
      <c r="R206" s="129"/>
      <c r="S206" s="129"/>
      <c r="T206" s="129"/>
      <c r="U206" s="106"/>
      <c r="V206" s="106"/>
      <c r="W206" s="106"/>
      <c r="X206" s="106"/>
      <c r="Y206" s="106"/>
      <c r="Z206" s="129"/>
      <c r="AA206" s="129"/>
      <c r="AB206" s="129"/>
      <c r="AC206" s="129"/>
      <c r="AD206" s="129"/>
      <c r="AE206" s="129"/>
      <c r="AF206" s="129"/>
      <c r="AG206" s="117"/>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row>
    <row r="207">
      <c r="A207" s="141"/>
      <c r="B207" s="107"/>
      <c r="C207" s="107"/>
      <c r="D207" s="143"/>
      <c r="E207" s="129"/>
      <c r="F207" s="129"/>
      <c r="G207" s="129"/>
      <c r="H207" s="129"/>
      <c r="I207" s="129"/>
      <c r="J207" s="129"/>
      <c r="K207" s="129"/>
      <c r="L207" s="129"/>
      <c r="M207" s="129"/>
      <c r="N207" s="129"/>
      <c r="O207" s="129"/>
      <c r="P207" s="129"/>
      <c r="Q207" s="129"/>
      <c r="R207" s="129"/>
      <c r="S207" s="129"/>
      <c r="T207" s="129"/>
      <c r="U207" s="106"/>
      <c r="V207" s="106"/>
      <c r="W207" s="106"/>
      <c r="X207" s="106"/>
      <c r="Y207" s="106"/>
      <c r="Z207" s="129"/>
      <c r="AA207" s="129"/>
      <c r="AB207" s="129"/>
      <c r="AC207" s="129"/>
      <c r="AD207" s="129"/>
      <c r="AE207" s="129"/>
      <c r="AF207" s="129"/>
      <c r="AG207" s="117"/>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row>
    <row r="208">
      <c r="A208" s="141"/>
      <c r="B208" s="107"/>
      <c r="C208" s="107"/>
      <c r="D208" s="143"/>
      <c r="E208" s="129"/>
      <c r="F208" s="129"/>
      <c r="G208" s="129"/>
      <c r="H208" s="129"/>
      <c r="I208" s="129"/>
      <c r="J208" s="129"/>
      <c r="K208" s="129"/>
      <c r="L208" s="129"/>
      <c r="M208" s="129"/>
      <c r="N208" s="129"/>
      <c r="O208" s="129"/>
      <c r="P208" s="129"/>
      <c r="Q208" s="129"/>
      <c r="R208" s="129"/>
      <c r="S208" s="129"/>
      <c r="T208" s="129"/>
      <c r="U208" s="106"/>
      <c r="V208" s="106"/>
      <c r="W208" s="106"/>
      <c r="X208" s="106"/>
      <c r="Y208" s="106"/>
      <c r="Z208" s="129"/>
      <c r="AA208" s="129"/>
      <c r="AB208" s="129"/>
      <c r="AC208" s="129"/>
      <c r="AD208" s="129"/>
      <c r="AE208" s="129"/>
      <c r="AF208" s="129"/>
      <c r="AG208" s="117"/>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row>
    <row r="209">
      <c r="A209" s="141"/>
      <c r="B209" s="107"/>
      <c r="C209" s="107"/>
      <c r="D209" s="143"/>
      <c r="E209" s="129"/>
      <c r="F209" s="129"/>
      <c r="G209" s="129"/>
      <c r="H209" s="129"/>
      <c r="I209" s="129"/>
      <c r="J209" s="129"/>
      <c r="K209" s="129"/>
      <c r="L209" s="129"/>
      <c r="M209" s="129"/>
      <c r="N209" s="129"/>
      <c r="O209" s="129"/>
      <c r="P209" s="129"/>
      <c r="Q209" s="129"/>
      <c r="R209" s="129"/>
      <c r="S209" s="129"/>
      <c r="T209" s="129"/>
      <c r="U209" s="106"/>
      <c r="V209" s="106"/>
      <c r="W209" s="106"/>
      <c r="X209" s="106"/>
      <c r="Y209" s="106"/>
      <c r="Z209" s="129"/>
      <c r="AA209" s="129"/>
      <c r="AB209" s="129"/>
      <c r="AC209" s="129"/>
      <c r="AD209" s="129"/>
      <c r="AE209" s="129"/>
      <c r="AF209" s="129"/>
      <c r="AG209" s="117"/>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row>
    <row r="210">
      <c r="A210" s="141"/>
      <c r="B210" s="107"/>
      <c r="C210" s="107"/>
      <c r="D210" s="143"/>
      <c r="E210" s="129"/>
      <c r="F210" s="129"/>
      <c r="G210" s="129"/>
      <c r="H210" s="129"/>
      <c r="I210" s="129"/>
      <c r="J210" s="129"/>
      <c r="K210" s="129"/>
      <c r="L210" s="129"/>
      <c r="M210" s="129"/>
      <c r="N210" s="129"/>
      <c r="O210" s="129"/>
      <c r="P210" s="129"/>
      <c r="Q210" s="129"/>
      <c r="R210" s="129"/>
      <c r="S210" s="129"/>
      <c r="T210" s="129"/>
      <c r="U210" s="106"/>
      <c r="V210" s="106"/>
      <c r="W210" s="106"/>
      <c r="X210" s="106"/>
      <c r="Y210" s="106"/>
      <c r="Z210" s="129"/>
      <c r="AA210" s="129"/>
      <c r="AB210" s="129"/>
      <c r="AC210" s="129"/>
      <c r="AD210" s="129"/>
      <c r="AE210" s="129"/>
      <c r="AF210" s="129"/>
      <c r="AG210" s="117"/>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row>
    <row r="211">
      <c r="A211" s="141"/>
      <c r="B211" s="107"/>
      <c r="C211" s="107"/>
      <c r="D211" s="143"/>
      <c r="E211" s="129"/>
      <c r="F211" s="129"/>
      <c r="G211" s="129"/>
      <c r="H211" s="129"/>
      <c r="I211" s="129"/>
      <c r="J211" s="129"/>
      <c r="K211" s="129"/>
      <c r="L211" s="129"/>
      <c r="M211" s="129"/>
      <c r="N211" s="129"/>
      <c r="O211" s="129"/>
      <c r="P211" s="129"/>
      <c r="Q211" s="129"/>
      <c r="R211" s="129"/>
      <c r="S211" s="129"/>
      <c r="T211" s="129"/>
      <c r="U211" s="106"/>
      <c r="V211" s="106"/>
      <c r="W211" s="106"/>
      <c r="X211" s="106"/>
      <c r="Y211" s="106"/>
      <c r="Z211" s="129"/>
      <c r="AA211" s="129"/>
      <c r="AB211" s="129"/>
      <c r="AC211" s="129"/>
      <c r="AD211" s="129"/>
      <c r="AE211" s="129"/>
      <c r="AF211" s="129"/>
      <c r="AG211" s="117"/>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row>
    <row r="212">
      <c r="A212" s="141"/>
      <c r="B212" s="107"/>
      <c r="C212" s="107"/>
      <c r="D212" s="143"/>
      <c r="E212" s="129"/>
      <c r="F212" s="129"/>
      <c r="G212" s="129"/>
      <c r="H212" s="129"/>
      <c r="I212" s="129"/>
      <c r="J212" s="129"/>
      <c r="K212" s="129"/>
      <c r="L212" s="129"/>
      <c r="M212" s="129"/>
      <c r="N212" s="129"/>
      <c r="O212" s="129"/>
      <c r="P212" s="129"/>
      <c r="Q212" s="129"/>
      <c r="R212" s="129"/>
      <c r="S212" s="129"/>
      <c r="T212" s="129"/>
      <c r="U212" s="106"/>
      <c r="V212" s="106"/>
      <c r="W212" s="106"/>
      <c r="X212" s="106"/>
      <c r="Y212" s="106"/>
      <c r="Z212" s="129"/>
      <c r="AA212" s="129"/>
      <c r="AB212" s="129"/>
      <c r="AC212" s="129"/>
      <c r="AD212" s="129"/>
      <c r="AE212" s="129"/>
      <c r="AF212" s="129"/>
      <c r="AG212" s="117"/>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row>
    <row r="213">
      <c r="A213" s="141"/>
      <c r="B213" s="107"/>
      <c r="C213" s="107"/>
      <c r="D213" s="143"/>
      <c r="E213" s="129"/>
      <c r="F213" s="129"/>
      <c r="G213" s="129"/>
      <c r="H213" s="129"/>
      <c r="I213" s="129"/>
      <c r="J213" s="129"/>
      <c r="K213" s="129"/>
      <c r="L213" s="129"/>
      <c r="M213" s="129"/>
      <c r="N213" s="129"/>
      <c r="O213" s="129"/>
      <c r="P213" s="129"/>
      <c r="Q213" s="129"/>
      <c r="R213" s="129"/>
      <c r="S213" s="129"/>
      <c r="T213" s="129"/>
      <c r="U213" s="106"/>
      <c r="V213" s="106"/>
      <c r="W213" s="106"/>
      <c r="X213" s="106"/>
      <c r="Y213" s="106"/>
      <c r="Z213" s="129"/>
      <c r="AA213" s="129"/>
      <c r="AB213" s="129"/>
      <c r="AC213" s="129"/>
      <c r="AD213" s="129"/>
      <c r="AE213" s="129"/>
      <c r="AF213" s="129"/>
      <c r="AG213" s="117"/>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row>
    <row r="214">
      <c r="A214" s="141"/>
      <c r="B214" s="107"/>
      <c r="C214" s="107"/>
      <c r="D214" s="143"/>
      <c r="E214" s="129"/>
      <c r="F214" s="129"/>
      <c r="G214" s="129"/>
      <c r="H214" s="129"/>
      <c r="I214" s="129"/>
      <c r="J214" s="129"/>
      <c r="K214" s="129"/>
      <c r="L214" s="129"/>
      <c r="M214" s="129"/>
      <c r="N214" s="129"/>
      <c r="O214" s="129"/>
      <c r="P214" s="129"/>
      <c r="Q214" s="129"/>
      <c r="R214" s="129"/>
      <c r="S214" s="129"/>
      <c r="T214" s="129"/>
      <c r="U214" s="106"/>
      <c r="V214" s="106"/>
      <c r="W214" s="106"/>
      <c r="X214" s="106"/>
      <c r="Y214" s="106"/>
      <c r="Z214" s="129"/>
      <c r="AA214" s="129"/>
      <c r="AB214" s="129"/>
      <c r="AC214" s="129"/>
      <c r="AD214" s="129"/>
      <c r="AE214" s="129"/>
      <c r="AF214" s="129"/>
      <c r="AG214" s="117"/>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row>
    <row r="215">
      <c r="A215" s="141"/>
      <c r="B215" s="107"/>
      <c r="C215" s="107"/>
      <c r="D215" s="143"/>
      <c r="E215" s="129"/>
      <c r="F215" s="129"/>
      <c r="G215" s="129"/>
      <c r="H215" s="129"/>
      <c r="I215" s="129"/>
      <c r="J215" s="129"/>
      <c r="K215" s="129"/>
      <c r="L215" s="129"/>
      <c r="M215" s="129"/>
      <c r="N215" s="129"/>
      <c r="O215" s="129"/>
      <c r="P215" s="129"/>
      <c r="Q215" s="129"/>
      <c r="R215" s="129"/>
      <c r="S215" s="129"/>
      <c r="T215" s="129"/>
      <c r="U215" s="106"/>
      <c r="V215" s="106"/>
      <c r="W215" s="106"/>
      <c r="X215" s="106"/>
      <c r="Y215" s="106"/>
      <c r="Z215" s="129"/>
      <c r="AA215" s="129"/>
      <c r="AB215" s="129"/>
      <c r="AC215" s="129"/>
      <c r="AD215" s="129"/>
      <c r="AE215" s="129"/>
      <c r="AF215" s="129"/>
      <c r="AG215" s="117"/>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row>
    <row r="216">
      <c r="A216" s="141"/>
      <c r="B216" s="107"/>
      <c r="C216" s="107"/>
      <c r="D216" s="143"/>
      <c r="E216" s="129"/>
      <c r="F216" s="129"/>
      <c r="G216" s="129"/>
      <c r="H216" s="129"/>
      <c r="I216" s="129"/>
      <c r="J216" s="129"/>
      <c r="K216" s="129"/>
      <c r="L216" s="129"/>
      <c r="M216" s="129"/>
      <c r="N216" s="129"/>
      <c r="O216" s="129"/>
      <c r="P216" s="129"/>
      <c r="Q216" s="129"/>
      <c r="R216" s="129"/>
      <c r="S216" s="129"/>
      <c r="T216" s="129"/>
      <c r="U216" s="106"/>
      <c r="V216" s="106"/>
      <c r="W216" s="106"/>
      <c r="X216" s="106"/>
      <c r="Y216" s="106"/>
      <c r="Z216" s="129"/>
      <c r="AA216" s="129"/>
      <c r="AB216" s="129"/>
      <c r="AC216" s="129"/>
      <c r="AD216" s="129"/>
      <c r="AE216" s="129"/>
      <c r="AF216" s="129"/>
      <c r="AG216" s="117"/>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row>
    <row r="217">
      <c r="A217" s="141"/>
      <c r="B217" s="107"/>
      <c r="C217" s="107"/>
      <c r="D217" s="143"/>
      <c r="E217" s="129"/>
      <c r="F217" s="129"/>
      <c r="G217" s="129"/>
      <c r="H217" s="129"/>
      <c r="I217" s="129"/>
      <c r="J217" s="129"/>
      <c r="K217" s="129"/>
      <c r="L217" s="129"/>
      <c r="M217" s="129"/>
      <c r="N217" s="129"/>
      <c r="O217" s="129"/>
      <c r="P217" s="129"/>
      <c r="Q217" s="129"/>
      <c r="R217" s="129"/>
      <c r="S217" s="129"/>
      <c r="T217" s="129"/>
      <c r="U217" s="106"/>
      <c r="V217" s="106"/>
      <c r="W217" s="106"/>
      <c r="X217" s="106"/>
      <c r="Y217" s="106"/>
      <c r="Z217" s="129"/>
      <c r="AA217" s="129"/>
      <c r="AB217" s="129"/>
      <c r="AC217" s="129"/>
      <c r="AD217" s="129"/>
      <c r="AE217" s="129"/>
      <c r="AF217" s="129"/>
      <c r="AG217" s="117"/>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row>
    <row r="218">
      <c r="A218" s="141"/>
      <c r="B218" s="107"/>
      <c r="C218" s="107"/>
      <c r="D218" s="143"/>
      <c r="E218" s="129"/>
      <c r="F218" s="129"/>
      <c r="G218" s="129"/>
      <c r="H218" s="129"/>
      <c r="I218" s="129"/>
      <c r="J218" s="129"/>
      <c r="K218" s="129"/>
      <c r="L218" s="129"/>
      <c r="M218" s="129"/>
      <c r="N218" s="129"/>
      <c r="O218" s="129"/>
      <c r="P218" s="129"/>
      <c r="Q218" s="129"/>
      <c r="R218" s="129"/>
      <c r="S218" s="129"/>
      <c r="T218" s="129"/>
      <c r="U218" s="106"/>
      <c r="V218" s="106"/>
      <c r="W218" s="106"/>
      <c r="X218" s="106"/>
      <c r="Y218" s="106"/>
      <c r="Z218" s="129"/>
      <c r="AA218" s="129"/>
      <c r="AB218" s="129"/>
      <c r="AC218" s="129"/>
      <c r="AD218" s="129"/>
      <c r="AE218" s="129"/>
      <c r="AF218" s="129"/>
      <c r="AG218" s="117"/>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124"/>
      <c r="BO218" s="124"/>
      <c r="BP218" s="124"/>
      <c r="BQ218" s="124"/>
      <c r="BR218" s="124"/>
      <c r="BS218" s="124"/>
      <c r="BT218" s="124"/>
      <c r="BU218" s="124"/>
      <c r="BV218" s="124"/>
      <c r="BW218" s="124"/>
      <c r="BX218" s="124"/>
      <c r="BY218" s="124"/>
      <c r="BZ218" s="124"/>
      <c r="CA218" s="124"/>
    </row>
    <row r="219">
      <c r="A219" s="141"/>
      <c r="B219" s="107"/>
      <c r="C219" s="107"/>
      <c r="D219" s="143"/>
      <c r="E219" s="129"/>
      <c r="F219" s="129"/>
      <c r="G219" s="129"/>
      <c r="H219" s="129"/>
      <c r="I219" s="129"/>
      <c r="J219" s="129"/>
      <c r="K219" s="129"/>
      <c r="L219" s="129"/>
      <c r="M219" s="129"/>
      <c r="N219" s="129"/>
      <c r="O219" s="129"/>
      <c r="P219" s="129"/>
      <c r="Q219" s="129"/>
      <c r="R219" s="129"/>
      <c r="S219" s="129"/>
      <c r="T219" s="129"/>
      <c r="U219" s="106"/>
      <c r="V219" s="106"/>
      <c r="W219" s="106"/>
      <c r="X219" s="106"/>
      <c r="Y219" s="106"/>
      <c r="Z219" s="129"/>
      <c r="AA219" s="129"/>
      <c r="AB219" s="129"/>
      <c r="AC219" s="129"/>
      <c r="AD219" s="129"/>
      <c r="AE219" s="129"/>
      <c r="AF219" s="129"/>
      <c r="AG219" s="117"/>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124"/>
      <c r="BO219" s="124"/>
      <c r="BP219" s="124"/>
      <c r="BQ219" s="124"/>
      <c r="BR219" s="124"/>
      <c r="BS219" s="124"/>
      <c r="BT219" s="124"/>
      <c r="BU219" s="124"/>
      <c r="BV219" s="124"/>
      <c r="BW219" s="124"/>
      <c r="BX219" s="124"/>
      <c r="BY219" s="124"/>
      <c r="BZ219" s="124"/>
      <c r="CA219" s="124"/>
    </row>
    <row r="220">
      <c r="A220" s="141"/>
      <c r="B220" s="107"/>
      <c r="C220" s="107"/>
      <c r="D220" s="143"/>
      <c r="E220" s="129"/>
      <c r="F220" s="129"/>
      <c r="G220" s="129"/>
      <c r="H220" s="129"/>
      <c r="I220" s="129"/>
      <c r="J220" s="129"/>
      <c r="K220" s="129"/>
      <c r="L220" s="129"/>
      <c r="M220" s="129"/>
      <c r="N220" s="129"/>
      <c r="O220" s="129"/>
      <c r="P220" s="129"/>
      <c r="Q220" s="129"/>
      <c r="R220" s="129"/>
      <c r="S220" s="129"/>
      <c r="T220" s="129"/>
      <c r="U220" s="106"/>
      <c r="V220" s="106"/>
      <c r="W220" s="106"/>
      <c r="X220" s="106"/>
      <c r="Y220" s="106"/>
      <c r="Z220" s="129"/>
      <c r="AA220" s="129"/>
      <c r="AB220" s="129"/>
      <c r="AC220" s="129"/>
      <c r="AD220" s="129"/>
      <c r="AE220" s="129"/>
      <c r="AF220" s="129"/>
      <c r="AG220" s="117"/>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row>
    <row r="221">
      <c r="A221" s="141"/>
      <c r="B221" s="107"/>
      <c r="C221" s="107"/>
      <c r="D221" s="143"/>
      <c r="E221" s="129"/>
      <c r="F221" s="129"/>
      <c r="G221" s="129"/>
      <c r="H221" s="129"/>
      <c r="I221" s="129"/>
      <c r="J221" s="129"/>
      <c r="K221" s="129"/>
      <c r="L221" s="129"/>
      <c r="M221" s="129"/>
      <c r="N221" s="129"/>
      <c r="O221" s="129"/>
      <c r="P221" s="129"/>
      <c r="Q221" s="129"/>
      <c r="R221" s="129"/>
      <c r="S221" s="129"/>
      <c r="T221" s="129"/>
      <c r="U221" s="106"/>
      <c r="V221" s="106"/>
      <c r="W221" s="106"/>
      <c r="X221" s="106"/>
      <c r="Y221" s="106"/>
      <c r="Z221" s="129"/>
      <c r="AA221" s="129"/>
      <c r="AB221" s="129"/>
      <c r="AC221" s="129"/>
      <c r="AD221" s="129"/>
      <c r="AE221" s="129"/>
      <c r="AF221" s="129"/>
      <c r="AG221" s="117"/>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row>
    <row r="222">
      <c r="A222" s="141"/>
      <c r="B222" s="107"/>
      <c r="C222" s="107"/>
      <c r="D222" s="143"/>
      <c r="E222" s="129"/>
      <c r="F222" s="129"/>
      <c r="G222" s="129"/>
      <c r="H222" s="129"/>
      <c r="I222" s="129"/>
      <c r="J222" s="129"/>
      <c r="K222" s="129"/>
      <c r="L222" s="129"/>
      <c r="M222" s="129"/>
      <c r="N222" s="129"/>
      <c r="O222" s="129"/>
      <c r="P222" s="129"/>
      <c r="Q222" s="129"/>
      <c r="R222" s="129"/>
      <c r="S222" s="129"/>
      <c r="T222" s="129"/>
      <c r="U222" s="106"/>
      <c r="V222" s="106"/>
      <c r="W222" s="106"/>
      <c r="X222" s="106"/>
      <c r="Y222" s="106"/>
      <c r="Z222" s="129"/>
      <c r="AA222" s="129"/>
      <c r="AB222" s="129"/>
      <c r="AC222" s="129"/>
      <c r="AD222" s="129"/>
      <c r="AE222" s="129"/>
      <c r="AF222" s="129"/>
      <c r="AG222" s="117"/>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row>
    <row r="223">
      <c r="A223" s="141"/>
      <c r="B223" s="107"/>
      <c r="C223" s="107"/>
      <c r="D223" s="143"/>
      <c r="E223" s="129"/>
      <c r="F223" s="129"/>
      <c r="G223" s="129"/>
      <c r="H223" s="129"/>
      <c r="I223" s="129"/>
      <c r="J223" s="129"/>
      <c r="K223" s="129"/>
      <c r="L223" s="129"/>
      <c r="M223" s="129"/>
      <c r="N223" s="129"/>
      <c r="O223" s="129"/>
      <c r="P223" s="129"/>
      <c r="Q223" s="129"/>
      <c r="R223" s="129"/>
      <c r="S223" s="129"/>
      <c r="T223" s="129"/>
      <c r="U223" s="106"/>
      <c r="V223" s="106"/>
      <c r="W223" s="106"/>
      <c r="X223" s="106"/>
      <c r="Y223" s="106"/>
      <c r="Z223" s="129"/>
      <c r="AA223" s="129"/>
      <c r="AB223" s="129"/>
      <c r="AC223" s="129"/>
      <c r="AD223" s="129"/>
      <c r="AE223" s="129"/>
      <c r="AF223" s="129"/>
      <c r="AG223" s="117"/>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row>
    <row r="224">
      <c r="A224" s="141"/>
      <c r="B224" s="107"/>
      <c r="C224" s="107"/>
      <c r="D224" s="143"/>
      <c r="E224" s="129"/>
      <c r="F224" s="129"/>
      <c r="G224" s="129"/>
      <c r="H224" s="129"/>
      <c r="I224" s="129"/>
      <c r="J224" s="129"/>
      <c r="K224" s="129"/>
      <c r="L224" s="129"/>
      <c r="M224" s="129"/>
      <c r="N224" s="129"/>
      <c r="O224" s="129"/>
      <c r="P224" s="129"/>
      <c r="Q224" s="129"/>
      <c r="R224" s="129"/>
      <c r="S224" s="129"/>
      <c r="T224" s="129"/>
      <c r="U224" s="106"/>
      <c r="V224" s="106"/>
      <c r="W224" s="106"/>
      <c r="X224" s="106"/>
      <c r="Y224" s="106"/>
      <c r="Z224" s="129"/>
      <c r="AA224" s="129"/>
      <c r="AB224" s="129"/>
      <c r="AC224" s="129"/>
      <c r="AD224" s="129"/>
      <c r="AE224" s="129"/>
      <c r="AF224" s="129"/>
      <c r="AG224" s="117"/>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row>
    <row r="225">
      <c r="A225" s="141"/>
      <c r="B225" s="107"/>
      <c r="C225" s="107"/>
      <c r="D225" s="143"/>
      <c r="E225" s="129"/>
      <c r="F225" s="129"/>
      <c r="G225" s="129"/>
      <c r="H225" s="129"/>
      <c r="I225" s="129"/>
      <c r="J225" s="129"/>
      <c r="K225" s="129"/>
      <c r="L225" s="129"/>
      <c r="M225" s="129"/>
      <c r="N225" s="129"/>
      <c r="O225" s="129"/>
      <c r="P225" s="129"/>
      <c r="Q225" s="129"/>
      <c r="R225" s="129"/>
      <c r="S225" s="129"/>
      <c r="T225" s="129"/>
      <c r="U225" s="106"/>
      <c r="V225" s="106"/>
      <c r="W225" s="106"/>
      <c r="X225" s="106"/>
      <c r="Y225" s="106"/>
      <c r="Z225" s="129"/>
      <c r="AA225" s="129"/>
      <c r="AB225" s="129"/>
      <c r="AC225" s="129"/>
      <c r="AD225" s="129"/>
      <c r="AE225" s="129"/>
      <c r="AF225" s="129"/>
      <c r="AG225" s="117"/>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row>
    <row r="226">
      <c r="A226" s="141"/>
      <c r="B226" s="107"/>
      <c r="C226" s="107"/>
      <c r="D226" s="143"/>
      <c r="E226" s="129"/>
      <c r="F226" s="129"/>
      <c r="G226" s="129"/>
      <c r="H226" s="129"/>
      <c r="I226" s="129"/>
      <c r="J226" s="129"/>
      <c r="K226" s="129"/>
      <c r="L226" s="129"/>
      <c r="M226" s="129"/>
      <c r="N226" s="129"/>
      <c r="O226" s="129"/>
      <c r="P226" s="129"/>
      <c r="Q226" s="129"/>
      <c r="R226" s="129"/>
      <c r="S226" s="129"/>
      <c r="T226" s="129"/>
      <c r="U226" s="106"/>
      <c r="V226" s="106"/>
      <c r="W226" s="106"/>
      <c r="X226" s="106"/>
      <c r="Y226" s="106"/>
      <c r="Z226" s="129"/>
      <c r="AA226" s="129"/>
      <c r="AB226" s="129"/>
      <c r="AC226" s="129"/>
      <c r="AD226" s="129"/>
      <c r="AE226" s="129"/>
      <c r="AF226" s="129"/>
      <c r="AG226" s="117"/>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124"/>
      <c r="BO226" s="124"/>
      <c r="BP226" s="124"/>
      <c r="BQ226" s="124"/>
      <c r="BR226" s="124"/>
      <c r="BS226" s="124"/>
      <c r="BT226" s="124"/>
      <c r="BU226" s="124"/>
      <c r="BV226" s="124"/>
      <c r="BW226" s="124"/>
      <c r="BX226" s="124"/>
      <c r="BY226" s="124"/>
      <c r="BZ226" s="124"/>
      <c r="CA226" s="124"/>
    </row>
    <row r="227">
      <c r="A227" s="141"/>
      <c r="B227" s="107"/>
      <c r="C227" s="107"/>
      <c r="D227" s="143"/>
      <c r="E227" s="129"/>
      <c r="F227" s="129"/>
      <c r="G227" s="129"/>
      <c r="H227" s="129"/>
      <c r="I227" s="129"/>
      <c r="J227" s="129"/>
      <c r="K227" s="129"/>
      <c r="L227" s="129"/>
      <c r="M227" s="129"/>
      <c r="N227" s="129"/>
      <c r="O227" s="129"/>
      <c r="P227" s="129"/>
      <c r="Q227" s="129"/>
      <c r="R227" s="129"/>
      <c r="S227" s="129"/>
      <c r="T227" s="129"/>
      <c r="U227" s="106"/>
      <c r="V227" s="106"/>
      <c r="W227" s="106"/>
      <c r="X227" s="106"/>
      <c r="Y227" s="106"/>
      <c r="Z227" s="129"/>
      <c r="AA227" s="129"/>
      <c r="AB227" s="129"/>
      <c r="AC227" s="129"/>
      <c r="AD227" s="129"/>
      <c r="AE227" s="129"/>
      <c r="AF227" s="129"/>
      <c r="AG227" s="117"/>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row>
    <row r="228">
      <c r="A228" s="141"/>
      <c r="B228" s="107"/>
      <c r="C228" s="107"/>
      <c r="D228" s="143"/>
      <c r="E228" s="129"/>
      <c r="F228" s="129"/>
      <c r="G228" s="129"/>
      <c r="H228" s="129"/>
      <c r="I228" s="129"/>
      <c r="J228" s="129"/>
      <c r="K228" s="129"/>
      <c r="L228" s="129"/>
      <c r="M228" s="129"/>
      <c r="N228" s="129"/>
      <c r="O228" s="129"/>
      <c r="P228" s="129"/>
      <c r="Q228" s="129"/>
      <c r="R228" s="129"/>
      <c r="S228" s="129"/>
      <c r="T228" s="129"/>
      <c r="U228" s="106"/>
      <c r="V228" s="106"/>
      <c r="W228" s="106"/>
      <c r="X228" s="106"/>
      <c r="Y228" s="106"/>
      <c r="Z228" s="129"/>
      <c r="AA228" s="129"/>
      <c r="AB228" s="129"/>
      <c r="AC228" s="129"/>
      <c r="AD228" s="129"/>
      <c r="AE228" s="129"/>
      <c r="AF228" s="129"/>
      <c r="AG228" s="117"/>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c r="BK228" s="124"/>
      <c r="BL228" s="124"/>
      <c r="BM228" s="124"/>
      <c r="BN228" s="124"/>
      <c r="BO228" s="124"/>
      <c r="BP228" s="124"/>
      <c r="BQ228" s="124"/>
      <c r="BR228" s="124"/>
      <c r="BS228" s="124"/>
      <c r="BT228" s="124"/>
      <c r="BU228" s="124"/>
      <c r="BV228" s="124"/>
      <c r="BW228" s="124"/>
      <c r="BX228" s="124"/>
      <c r="BY228" s="124"/>
      <c r="BZ228" s="124"/>
      <c r="CA228" s="124"/>
    </row>
    <row r="229">
      <c r="A229" s="141"/>
      <c r="B229" s="107"/>
      <c r="C229" s="107"/>
      <c r="D229" s="143"/>
      <c r="E229" s="129"/>
      <c r="F229" s="129"/>
      <c r="G229" s="129"/>
      <c r="H229" s="129"/>
      <c r="I229" s="129"/>
      <c r="J229" s="129"/>
      <c r="K229" s="129"/>
      <c r="L229" s="129"/>
      <c r="M229" s="129"/>
      <c r="N229" s="129"/>
      <c r="O229" s="129"/>
      <c r="P229" s="129"/>
      <c r="Q229" s="129"/>
      <c r="R229" s="129"/>
      <c r="S229" s="129"/>
      <c r="T229" s="129"/>
      <c r="U229" s="106"/>
      <c r="V229" s="106"/>
      <c r="W229" s="106"/>
      <c r="X229" s="106"/>
      <c r="Y229" s="106"/>
      <c r="Z229" s="129"/>
      <c r="AA229" s="129"/>
      <c r="AB229" s="129"/>
      <c r="AC229" s="129"/>
      <c r="AD229" s="129"/>
      <c r="AE229" s="129"/>
      <c r="AF229" s="129"/>
      <c r="AG229" s="117"/>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124"/>
      <c r="BO229" s="124"/>
      <c r="BP229" s="124"/>
      <c r="BQ229" s="124"/>
      <c r="BR229" s="124"/>
      <c r="BS229" s="124"/>
      <c r="BT229" s="124"/>
      <c r="BU229" s="124"/>
      <c r="BV229" s="124"/>
      <c r="BW229" s="124"/>
      <c r="BX229" s="124"/>
      <c r="BY229" s="124"/>
      <c r="BZ229" s="124"/>
      <c r="CA229" s="124"/>
    </row>
    <row r="230">
      <c r="A230" s="141"/>
      <c r="B230" s="107"/>
      <c r="C230" s="107"/>
      <c r="D230" s="143"/>
      <c r="E230" s="129"/>
      <c r="F230" s="129"/>
      <c r="G230" s="129"/>
      <c r="H230" s="129"/>
      <c r="I230" s="129"/>
      <c r="J230" s="129"/>
      <c r="K230" s="129"/>
      <c r="L230" s="129"/>
      <c r="M230" s="129"/>
      <c r="N230" s="129"/>
      <c r="O230" s="129"/>
      <c r="P230" s="129"/>
      <c r="Q230" s="129"/>
      <c r="R230" s="129"/>
      <c r="S230" s="129"/>
      <c r="T230" s="129"/>
      <c r="U230" s="106"/>
      <c r="V230" s="106"/>
      <c r="W230" s="106"/>
      <c r="X230" s="106"/>
      <c r="Y230" s="106"/>
      <c r="Z230" s="129"/>
      <c r="AA230" s="129"/>
      <c r="AB230" s="129"/>
      <c r="AC230" s="129"/>
      <c r="AD230" s="129"/>
      <c r="AE230" s="129"/>
      <c r="AF230" s="129"/>
      <c r="AG230" s="117"/>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c r="BK230" s="124"/>
      <c r="BL230" s="124"/>
      <c r="BM230" s="124"/>
      <c r="BN230" s="124"/>
      <c r="BO230" s="124"/>
      <c r="BP230" s="124"/>
      <c r="BQ230" s="124"/>
      <c r="BR230" s="124"/>
      <c r="BS230" s="124"/>
      <c r="BT230" s="124"/>
      <c r="BU230" s="124"/>
      <c r="BV230" s="124"/>
      <c r="BW230" s="124"/>
      <c r="BX230" s="124"/>
      <c r="BY230" s="124"/>
      <c r="BZ230" s="124"/>
      <c r="CA230" s="124"/>
    </row>
    <row r="231">
      <c r="A231" s="141"/>
      <c r="B231" s="107"/>
      <c r="C231" s="107"/>
      <c r="D231" s="143"/>
      <c r="E231" s="129"/>
      <c r="F231" s="129"/>
      <c r="G231" s="129"/>
      <c r="H231" s="129"/>
      <c r="I231" s="129"/>
      <c r="J231" s="129"/>
      <c r="K231" s="129"/>
      <c r="L231" s="129"/>
      <c r="M231" s="129"/>
      <c r="N231" s="129"/>
      <c r="O231" s="129"/>
      <c r="P231" s="129"/>
      <c r="Q231" s="129"/>
      <c r="R231" s="129"/>
      <c r="S231" s="129"/>
      <c r="T231" s="129"/>
      <c r="U231" s="106"/>
      <c r="V231" s="106"/>
      <c r="W231" s="106"/>
      <c r="X231" s="106"/>
      <c r="Y231" s="106"/>
      <c r="Z231" s="129"/>
      <c r="AA231" s="129"/>
      <c r="AB231" s="129"/>
      <c r="AC231" s="129"/>
      <c r="AD231" s="129"/>
      <c r="AE231" s="129"/>
      <c r="AF231" s="129"/>
      <c r="AG231" s="117"/>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c r="BK231" s="124"/>
      <c r="BL231" s="124"/>
      <c r="BM231" s="124"/>
      <c r="BN231" s="124"/>
      <c r="BO231" s="124"/>
      <c r="BP231" s="124"/>
      <c r="BQ231" s="124"/>
      <c r="BR231" s="124"/>
      <c r="BS231" s="124"/>
      <c r="BT231" s="124"/>
      <c r="BU231" s="124"/>
      <c r="BV231" s="124"/>
      <c r="BW231" s="124"/>
      <c r="BX231" s="124"/>
      <c r="BY231" s="124"/>
      <c r="BZ231" s="124"/>
      <c r="CA231" s="124"/>
    </row>
    <row r="232">
      <c r="A232" s="141"/>
      <c r="B232" s="107"/>
      <c r="C232" s="107"/>
      <c r="D232" s="143"/>
      <c r="E232" s="129"/>
      <c r="F232" s="129"/>
      <c r="G232" s="129"/>
      <c r="H232" s="129"/>
      <c r="I232" s="129"/>
      <c r="J232" s="129"/>
      <c r="K232" s="129"/>
      <c r="L232" s="129"/>
      <c r="M232" s="129"/>
      <c r="N232" s="129"/>
      <c r="O232" s="129"/>
      <c r="P232" s="129"/>
      <c r="Q232" s="129"/>
      <c r="R232" s="129"/>
      <c r="S232" s="129"/>
      <c r="T232" s="129"/>
      <c r="U232" s="106"/>
      <c r="V232" s="106"/>
      <c r="W232" s="106"/>
      <c r="X232" s="106"/>
      <c r="Y232" s="106"/>
      <c r="Z232" s="129"/>
      <c r="AA232" s="129"/>
      <c r="AB232" s="129"/>
      <c r="AC232" s="129"/>
      <c r="AD232" s="129"/>
      <c r="AE232" s="129"/>
      <c r="AF232" s="129"/>
      <c r="AG232" s="117"/>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c r="BK232" s="124"/>
      <c r="BL232" s="124"/>
      <c r="BM232" s="124"/>
      <c r="BN232" s="124"/>
      <c r="BO232" s="124"/>
      <c r="BP232" s="124"/>
      <c r="BQ232" s="124"/>
      <c r="BR232" s="124"/>
      <c r="BS232" s="124"/>
      <c r="BT232" s="124"/>
      <c r="BU232" s="124"/>
      <c r="BV232" s="124"/>
      <c r="BW232" s="124"/>
      <c r="BX232" s="124"/>
      <c r="BY232" s="124"/>
      <c r="BZ232" s="124"/>
      <c r="CA232" s="124"/>
    </row>
    <row r="233">
      <c r="A233" s="141"/>
      <c r="B233" s="107"/>
      <c r="C233" s="107"/>
      <c r="D233" s="143"/>
      <c r="E233" s="129"/>
      <c r="F233" s="129"/>
      <c r="G233" s="129"/>
      <c r="H233" s="129"/>
      <c r="I233" s="129"/>
      <c r="J233" s="129"/>
      <c r="K233" s="129"/>
      <c r="L233" s="129"/>
      <c r="M233" s="129"/>
      <c r="N233" s="129"/>
      <c r="O233" s="129"/>
      <c r="P233" s="129"/>
      <c r="Q233" s="129"/>
      <c r="R233" s="129"/>
      <c r="S233" s="129"/>
      <c r="T233" s="129"/>
      <c r="U233" s="106"/>
      <c r="V233" s="106"/>
      <c r="W233" s="106"/>
      <c r="X233" s="106"/>
      <c r="Y233" s="106"/>
      <c r="Z233" s="129"/>
      <c r="AA233" s="129"/>
      <c r="AB233" s="129"/>
      <c r="AC233" s="129"/>
      <c r="AD233" s="129"/>
      <c r="AE233" s="129"/>
      <c r="AF233" s="129"/>
      <c r="AG233" s="117"/>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row>
    <row r="234">
      <c r="A234" s="141"/>
      <c r="B234" s="107"/>
      <c r="C234" s="107"/>
      <c r="D234" s="143"/>
      <c r="E234" s="129"/>
      <c r="F234" s="129"/>
      <c r="G234" s="129"/>
      <c r="H234" s="129"/>
      <c r="I234" s="129"/>
      <c r="J234" s="129"/>
      <c r="K234" s="129"/>
      <c r="L234" s="129"/>
      <c r="M234" s="129"/>
      <c r="N234" s="129"/>
      <c r="O234" s="129"/>
      <c r="P234" s="129"/>
      <c r="Q234" s="129"/>
      <c r="R234" s="129"/>
      <c r="S234" s="129"/>
      <c r="T234" s="129"/>
      <c r="U234" s="106"/>
      <c r="V234" s="106"/>
      <c r="W234" s="106"/>
      <c r="X234" s="106"/>
      <c r="Y234" s="106"/>
      <c r="Z234" s="129"/>
      <c r="AA234" s="129"/>
      <c r="AB234" s="129"/>
      <c r="AC234" s="129"/>
      <c r="AD234" s="129"/>
      <c r="AE234" s="129"/>
      <c r="AF234" s="129"/>
      <c r="AG234" s="117"/>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124"/>
      <c r="BO234" s="124"/>
      <c r="BP234" s="124"/>
      <c r="BQ234" s="124"/>
      <c r="BR234" s="124"/>
      <c r="BS234" s="124"/>
      <c r="BT234" s="124"/>
      <c r="BU234" s="124"/>
      <c r="BV234" s="124"/>
      <c r="BW234" s="124"/>
      <c r="BX234" s="124"/>
      <c r="BY234" s="124"/>
      <c r="BZ234" s="124"/>
      <c r="CA234" s="124"/>
    </row>
    <row r="235">
      <c r="A235" s="141"/>
      <c r="B235" s="107"/>
      <c r="C235" s="107"/>
      <c r="D235" s="143"/>
      <c r="E235" s="129"/>
      <c r="F235" s="129"/>
      <c r="G235" s="129"/>
      <c r="H235" s="129"/>
      <c r="I235" s="129"/>
      <c r="J235" s="129"/>
      <c r="K235" s="129"/>
      <c r="L235" s="129"/>
      <c r="M235" s="129"/>
      <c r="N235" s="129"/>
      <c r="O235" s="129"/>
      <c r="P235" s="129"/>
      <c r="Q235" s="129"/>
      <c r="R235" s="129"/>
      <c r="S235" s="129"/>
      <c r="T235" s="129"/>
      <c r="U235" s="106"/>
      <c r="V235" s="106"/>
      <c r="W235" s="106"/>
      <c r="X235" s="106"/>
      <c r="Y235" s="106"/>
      <c r="Z235" s="129"/>
      <c r="AA235" s="129"/>
      <c r="AB235" s="129"/>
      <c r="AC235" s="129"/>
      <c r="AD235" s="129"/>
      <c r="AE235" s="129"/>
      <c r="AF235" s="129"/>
      <c r="AG235" s="117"/>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c r="BK235" s="124"/>
      <c r="BL235" s="124"/>
      <c r="BM235" s="124"/>
      <c r="BN235" s="124"/>
      <c r="BO235" s="124"/>
      <c r="BP235" s="124"/>
      <c r="BQ235" s="124"/>
      <c r="BR235" s="124"/>
      <c r="BS235" s="124"/>
      <c r="BT235" s="124"/>
      <c r="BU235" s="124"/>
      <c r="BV235" s="124"/>
      <c r="BW235" s="124"/>
      <c r="BX235" s="124"/>
      <c r="BY235" s="124"/>
      <c r="BZ235" s="124"/>
      <c r="CA235" s="124"/>
    </row>
    <row r="236">
      <c r="A236" s="141"/>
      <c r="B236" s="107"/>
      <c r="C236" s="107"/>
      <c r="D236" s="143"/>
      <c r="E236" s="129"/>
      <c r="F236" s="129"/>
      <c r="G236" s="129"/>
      <c r="H236" s="129"/>
      <c r="I236" s="129"/>
      <c r="J236" s="129"/>
      <c r="K236" s="129"/>
      <c r="L236" s="129"/>
      <c r="M236" s="129"/>
      <c r="N236" s="129"/>
      <c r="O236" s="129"/>
      <c r="P236" s="129"/>
      <c r="Q236" s="129"/>
      <c r="R236" s="129"/>
      <c r="S236" s="129"/>
      <c r="T236" s="129"/>
      <c r="U236" s="106"/>
      <c r="V236" s="106"/>
      <c r="W236" s="106"/>
      <c r="X236" s="106"/>
      <c r="Y236" s="106"/>
      <c r="Z236" s="129"/>
      <c r="AA236" s="129"/>
      <c r="AB236" s="129"/>
      <c r="AC236" s="129"/>
      <c r="AD236" s="129"/>
      <c r="AE236" s="129"/>
      <c r="AF236" s="129"/>
      <c r="AG236" s="117"/>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c r="BK236" s="124"/>
      <c r="BL236" s="124"/>
      <c r="BM236" s="124"/>
      <c r="BN236" s="124"/>
      <c r="BO236" s="124"/>
      <c r="BP236" s="124"/>
      <c r="BQ236" s="124"/>
      <c r="BR236" s="124"/>
      <c r="BS236" s="124"/>
      <c r="BT236" s="124"/>
      <c r="BU236" s="124"/>
      <c r="BV236" s="124"/>
      <c r="BW236" s="124"/>
      <c r="BX236" s="124"/>
      <c r="BY236" s="124"/>
      <c r="BZ236" s="124"/>
      <c r="CA236" s="124"/>
    </row>
    <row r="237">
      <c r="A237" s="141"/>
      <c r="B237" s="107"/>
      <c r="C237" s="107"/>
      <c r="D237" s="143"/>
      <c r="E237" s="129"/>
      <c r="F237" s="129"/>
      <c r="G237" s="129"/>
      <c r="H237" s="129"/>
      <c r="I237" s="129"/>
      <c r="J237" s="129"/>
      <c r="K237" s="129"/>
      <c r="L237" s="129"/>
      <c r="M237" s="129"/>
      <c r="N237" s="129"/>
      <c r="O237" s="129"/>
      <c r="P237" s="129"/>
      <c r="Q237" s="129"/>
      <c r="R237" s="129"/>
      <c r="S237" s="129"/>
      <c r="T237" s="129"/>
      <c r="U237" s="106"/>
      <c r="V237" s="106"/>
      <c r="W237" s="106"/>
      <c r="X237" s="106"/>
      <c r="Y237" s="106"/>
      <c r="Z237" s="129"/>
      <c r="AA237" s="129"/>
      <c r="AB237" s="129"/>
      <c r="AC237" s="129"/>
      <c r="AD237" s="129"/>
      <c r="AE237" s="129"/>
      <c r="AF237" s="129"/>
      <c r="AG237" s="117"/>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124"/>
      <c r="BO237" s="124"/>
      <c r="BP237" s="124"/>
      <c r="BQ237" s="124"/>
      <c r="BR237" s="124"/>
      <c r="BS237" s="124"/>
      <c r="BT237" s="124"/>
      <c r="BU237" s="124"/>
      <c r="BV237" s="124"/>
      <c r="BW237" s="124"/>
      <c r="BX237" s="124"/>
      <c r="BY237" s="124"/>
      <c r="BZ237" s="124"/>
      <c r="CA237" s="124"/>
    </row>
    <row r="238">
      <c r="A238" s="141"/>
      <c r="B238" s="107"/>
      <c r="C238" s="107"/>
      <c r="D238" s="143"/>
      <c r="E238" s="129"/>
      <c r="F238" s="129"/>
      <c r="G238" s="129"/>
      <c r="H238" s="129"/>
      <c r="I238" s="129"/>
      <c r="J238" s="129"/>
      <c r="K238" s="129"/>
      <c r="L238" s="129"/>
      <c r="M238" s="129"/>
      <c r="N238" s="129"/>
      <c r="O238" s="129"/>
      <c r="P238" s="129"/>
      <c r="Q238" s="129"/>
      <c r="R238" s="129"/>
      <c r="S238" s="129"/>
      <c r="T238" s="129"/>
      <c r="U238" s="106"/>
      <c r="V238" s="106"/>
      <c r="W238" s="106"/>
      <c r="X238" s="106"/>
      <c r="Y238" s="106"/>
      <c r="Z238" s="129"/>
      <c r="AA238" s="129"/>
      <c r="AB238" s="129"/>
      <c r="AC238" s="129"/>
      <c r="AD238" s="129"/>
      <c r="AE238" s="129"/>
      <c r="AF238" s="129"/>
      <c r="AG238" s="117"/>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c r="BK238" s="124"/>
      <c r="BL238" s="124"/>
      <c r="BM238" s="124"/>
      <c r="BN238" s="124"/>
      <c r="BO238" s="124"/>
      <c r="BP238" s="124"/>
      <c r="BQ238" s="124"/>
      <c r="BR238" s="124"/>
      <c r="BS238" s="124"/>
      <c r="BT238" s="124"/>
      <c r="BU238" s="124"/>
      <c r="BV238" s="124"/>
      <c r="BW238" s="124"/>
      <c r="BX238" s="124"/>
      <c r="BY238" s="124"/>
      <c r="BZ238" s="124"/>
      <c r="CA238" s="124"/>
    </row>
    <row r="239">
      <c r="A239" s="141"/>
      <c r="B239" s="107"/>
      <c r="C239" s="107"/>
      <c r="D239" s="143"/>
      <c r="E239" s="129"/>
      <c r="F239" s="129"/>
      <c r="G239" s="129"/>
      <c r="H239" s="129"/>
      <c r="I239" s="129"/>
      <c r="J239" s="129"/>
      <c r="K239" s="129"/>
      <c r="L239" s="129"/>
      <c r="M239" s="129"/>
      <c r="N239" s="129"/>
      <c r="O239" s="129"/>
      <c r="P239" s="129"/>
      <c r="Q239" s="129"/>
      <c r="R239" s="129"/>
      <c r="S239" s="129"/>
      <c r="T239" s="129"/>
      <c r="U239" s="106"/>
      <c r="V239" s="106"/>
      <c r="W239" s="106"/>
      <c r="X239" s="106"/>
      <c r="Y239" s="106"/>
      <c r="Z239" s="129"/>
      <c r="AA239" s="129"/>
      <c r="AB239" s="129"/>
      <c r="AC239" s="129"/>
      <c r="AD239" s="129"/>
      <c r="AE239" s="129"/>
      <c r="AF239" s="129"/>
      <c r="AG239" s="117"/>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row>
    <row r="240">
      <c r="A240" s="141"/>
      <c r="B240" s="107"/>
      <c r="C240" s="107"/>
      <c r="D240" s="143"/>
      <c r="E240" s="129"/>
      <c r="F240" s="129"/>
      <c r="G240" s="129"/>
      <c r="H240" s="129"/>
      <c r="I240" s="129"/>
      <c r="J240" s="129"/>
      <c r="K240" s="129"/>
      <c r="L240" s="129"/>
      <c r="M240" s="129"/>
      <c r="N240" s="129"/>
      <c r="O240" s="129"/>
      <c r="P240" s="129"/>
      <c r="Q240" s="129"/>
      <c r="R240" s="129"/>
      <c r="S240" s="129"/>
      <c r="T240" s="129"/>
      <c r="U240" s="106"/>
      <c r="V240" s="106"/>
      <c r="W240" s="106"/>
      <c r="X240" s="106"/>
      <c r="Y240" s="106"/>
      <c r="Z240" s="129"/>
      <c r="AA240" s="129"/>
      <c r="AB240" s="129"/>
      <c r="AC240" s="129"/>
      <c r="AD240" s="129"/>
      <c r="AE240" s="129"/>
      <c r="AF240" s="129"/>
      <c r="AG240" s="117"/>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124"/>
      <c r="BO240" s="124"/>
      <c r="BP240" s="124"/>
      <c r="BQ240" s="124"/>
      <c r="BR240" s="124"/>
      <c r="BS240" s="124"/>
      <c r="BT240" s="124"/>
      <c r="BU240" s="124"/>
      <c r="BV240" s="124"/>
      <c r="BW240" s="124"/>
      <c r="BX240" s="124"/>
      <c r="BY240" s="124"/>
      <c r="BZ240" s="124"/>
      <c r="CA240" s="124"/>
    </row>
    <row r="241">
      <c r="A241" s="141"/>
      <c r="B241" s="107"/>
      <c r="C241" s="107"/>
      <c r="D241" s="143"/>
      <c r="E241" s="129"/>
      <c r="F241" s="129"/>
      <c r="G241" s="129"/>
      <c r="H241" s="129"/>
      <c r="I241" s="129"/>
      <c r="J241" s="129"/>
      <c r="K241" s="129"/>
      <c r="L241" s="129"/>
      <c r="M241" s="129"/>
      <c r="N241" s="129"/>
      <c r="O241" s="129"/>
      <c r="P241" s="129"/>
      <c r="Q241" s="129"/>
      <c r="R241" s="129"/>
      <c r="S241" s="129"/>
      <c r="T241" s="129"/>
      <c r="U241" s="106"/>
      <c r="V241" s="106"/>
      <c r="W241" s="106"/>
      <c r="X241" s="106"/>
      <c r="Y241" s="106"/>
      <c r="Z241" s="129"/>
      <c r="AA241" s="129"/>
      <c r="AB241" s="129"/>
      <c r="AC241" s="129"/>
      <c r="AD241" s="129"/>
      <c r="AE241" s="129"/>
      <c r="AF241" s="129"/>
      <c r="AG241" s="117"/>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124"/>
      <c r="BO241" s="124"/>
      <c r="BP241" s="124"/>
      <c r="BQ241" s="124"/>
      <c r="BR241" s="124"/>
      <c r="BS241" s="124"/>
      <c r="BT241" s="124"/>
      <c r="BU241" s="124"/>
      <c r="BV241" s="124"/>
      <c r="BW241" s="124"/>
      <c r="BX241" s="124"/>
      <c r="BY241" s="124"/>
      <c r="BZ241" s="124"/>
      <c r="CA241" s="124"/>
    </row>
    <row r="242">
      <c r="A242" s="141"/>
      <c r="B242" s="107"/>
      <c r="C242" s="107"/>
      <c r="D242" s="143"/>
      <c r="E242" s="129"/>
      <c r="F242" s="129"/>
      <c r="G242" s="129"/>
      <c r="H242" s="129"/>
      <c r="I242" s="129"/>
      <c r="J242" s="129"/>
      <c r="K242" s="129"/>
      <c r="L242" s="129"/>
      <c r="M242" s="129"/>
      <c r="N242" s="129"/>
      <c r="O242" s="129"/>
      <c r="P242" s="129"/>
      <c r="Q242" s="129"/>
      <c r="R242" s="129"/>
      <c r="S242" s="129"/>
      <c r="T242" s="129"/>
      <c r="U242" s="106"/>
      <c r="V242" s="106"/>
      <c r="W242" s="106"/>
      <c r="X242" s="106"/>
      <c r="Y242" s="106"/>
      <c r="Z242" s="129"/>
      <c r="AA242" s="129"/>
      <c r="AB242" s="129"/>
      <c r="AC242" s="129"/>
      <c r="AD242" s="129"/>
      <c r="AE242" s="129"/>
      <c r="AF242" s="129"/>
      <c r="AG242" s="117"/>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c r="BK242" s="124"/>
      <c r="BL242" s="124"/>
      <c r="BM242" s="124"/>
      <c r="BN242" s="124"/>
      <c r="BO242" s="124"/>
      <c r="BP242" s="124"/>
      <c r="BQ242" s="124"/>
      <c r="BR242" s="124"/>
      <c r="BS242" s="124"/>
      <c r="BT242" s="124"/>
      <c r="BU242" s="124"/>
      <c r="BV242" s="124"/>
      <c r="BW242" s="124"/>
      <c r="BX242" s="124"/>
      <c r="BY242" s="124"/>
      <c r="BZ242" s="124"/>
      <c r="CA242" s="124"/>
    </row>
    <row r="243">
      <c r="A243" s="141"/>
      <c r="B243" s="107"/>
      <c r="C243" s="107"/>
      <c r="D243" s="143"/>
      <c r="E243" s="129"/>
      <c r="F243" s="129"/>
      <c r="G243" s="129"/>
      <c r="H243" s="129"/>
      <c r="I243" s="129"/>
      <c r="J243" s="129"/>
      <c r="K243" s="129"/>
      <c r="L243" s="129"/>
      <c r="M243" s="129"/>
      <c r="N243" s="129"/>
      <c r="O243" s="129"/>
      <c r="P243" s="129"/>
      <c r="Q243" s="129"/>
      <c r="R243" s="129"/>
      <c r="S243" s="129"/>
      <c r="T243" s="129"/>
      <c r="U243" s="106"/>
      <c r="V243" s="106"/>
      <c r="W243" s="106"/>
      <c r="X243" s="106"/>
      <c r="Y243" s="106"/>
      <c r="Z243" s="129"/>
      <c r="AA243" s="129"/>
      <c r="AB243" s="129"/>
      <c r="AC243" s="129"/>
      <c r="AD243" s="129"/>
      <c r="AE243" s="129"/>
      <c r="AF243" s="129"/>
      <c r="AG243" s="117"/>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124"/>
      <c r="BO243" s="124"/>
      <c r="BP243" s="124"/>
      <c r="BQ243" s="124"/>
      <c r="BR243" s="124"/>
      <c r="BS243" s="124"/>
      <c r="BT243" s="124"/>
      <c r="BU243" s="124"/>
      <c r="BV243" s="124"/>
      <c r="BW243" s="124"/>
      <c r="BX243" s="124"/>
      <c r="BY243" s="124"/>
      <c r="BZ243" s="124"/>
      <c r="CA243" s="124"/>
    </row>
    <row r="244">
      <c r="A244" s="141"/>
      <c r="B244" s="107"/>
      <c r="C244" s="107"/>
      <c r="D244" s="143"/>
      <c r="E244" s="129"/>
      <c r="F244" s="129"/>
      <c r="G244" s="129"/>
      <c r="H244" s="129"/>
      <c r="I244" s="129"/>
      <c r="J244" s="129"/>
      <c r="K244" s="129"/>
      <c r="L244" s="129"/>
      <c r="M244" s="129"/>
      <c r="N244" s="129"/>
      <c r="O244" s="129"/>
      <c r="P244" s="129"/>
      <c r="Q244" s="129"/>
      <c r="R244" s="129"/>
      <c r="S244" s="129"/>
      <c r="T244" s="129"/>
      <c r="U244" s="106"/>
      <c r="V244" s="106"/>
      <c r="W244" s="106"/>
      <c r="X244" s="106"/>
      <c r="Y244" s="106"/>
      <c r="Z244" s="129"/>
      <c r="AA244" s="129"/>
      <c r="AB244" s="129"/>
      <c r="AC244" s="129"/>
      <c r="AD244" s="129"/>
      <c r="AE244" s="129"/>
      <c r="AF244" s="129"/>
      <c r="AG244" s="117"/>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124"/>
      <c r="BO244" s="124"/>
      <c r="BP244" s="124"/>
      <c r="BQ244" s="124"/>
      <c r="BR244" s="124"/>
      <c r="BS244" s="124"/>
      <c r="BT244" s="124"/>
      <c r="BU244" s="124"/>
      <c r="BV244" s="124"/>
      <c r="BW244" s="124"/>
      <c r="BX244" s="124"/>
      <c r="BY244" s="124"/>
      <c r="BZ244" s="124"/>
      <c r="CA244" s="124"/>
    </row>
    <row r="245">
      <c r="A245" s="141"/>
      <c r="B245" s="107"/>
      <c r="C245" s="107"/>
      <c r="D245" s="143"/>
      <c r="E245" s="129"/>
      <c r="F245" s="129"/>
      <c r="G245" s="129"/>
      <c r="H245" s="129"/>
      <c r="I245" s="129"/>
      <c r="J245" s="129"/>
      <c r="K245" s="129"/>
      <c r="L245" s="129"/>
      <c r="M245" s="129"/>
      <c r="N245" s="129"/>
      <c r="O245" s="129"/>
      <c r="P245" s="129"/>
      <c r="Q245" s="129"/>
      <c r="R245" s="129"/>
      <c r="S245" s="129"/>
      <c r="T245" s="129"/>
      <c r="U245" s="106"/>
      <c r="V245" s="106"/>
      <c r="W245" s="106"/>
      <c r="X245" s="106"/>
      <c r="Y245" s="106"/>
      <c r="Z245" s="129"/>
      <c r="AA245" s="129"/>
      <c r="AB245" s="129"/>
      <c r="AC245" s="129"/>
      <c r="AD245" s="129"/>
      <c r="AE245" s="129"/>
      <c r="AF245" s="129"/>
      <c r="AG245" s="117"/>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row>
    <row r="246">
      <c r="A246" s="141"/>
      <c r="B246" s="107"/>
      <c r="C246" s="107"/>
      <c r="D246" s="143"/>
      <c r="E246" s="129"/>
      <c r="F246" s="129"/>
      <c r="G246" s="129"/>
      <c r="H246" s="129"/>
      <c r="I246" s="129"/>
      <c r="J246" s="129"/>
      <c r="K246" s="129"/>
      <c r="L246" s="129"/>
      <c r="M246" s="129"/>
      <c r="N246" s="129"/>
      <c r="O246" s="129"/>
      <c r="P246" s="129"/>
      <c r="Q246" s="129"/>
      <c r="R246" s="129"/>
      <c r="S246" s="129"/>
      <c r="T246" s="129"/>
      <c r="U246" s="106"/>
      <c r="V246" s="106"/>
      <c r="W246" s="106"/>
      <c r="X246" s="106"/>
      <c r="Y246" s="106"/>
      <c r="Z246" s="129"/>
      <c r="AA246" s="129"/>
      <c r="AB246" s="129"/>
      <c r="AC246" s="129"/>
      <c r="AD246" s="129"/>
      <c r="AE246" s="129"/>
      <c r="AF246" s="129"/>
      <c r="AG246" s="117"/>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row>
    <row r="247">
      <c r="A247" s="141"/>
      <c r="B247" s="107"/>
      <c r="C247" s="107"/>
      <c r="D247" s="143"/>
      <c r="E247" s="129"/>
      <c r="F247" s="129"/>
      <c r="G247" s="129"/>
      <c r="H247" s="129"/>
      <c r="I247" s="129"/>
      <c r="J247" s="129"/>
      <c r="K247" s="129"/>
      <c r="L247" s="129"/>
      <c r="M247" s="129"/>
      <c r="N247" s="129"/>
      <c r="O247" s="129"/>
      <c r="P247" s="129"/>
      <c r="Q247" s="129"/>
      <c r="R247" s="129"/>
      <c r="S247" s="129"/>
      <c r="T247" s="129"/>
      <c r="U247" s="106"/>
      <c r="V247" s="106"/>
      <c r="W247" s="106"/>
      <c r="X247" s="106"/>
      <c r="Y247" s="106"/>
      <c r="Z247" s="129"/>
      <c r="AA247" s="129"/>
      <c r="AB247" s="129"/>
      <c r="AC247" s="129"/>
      <c r="AD247" s="129"/>
      <c r="AE247" s="129"/>
      <c r="AF247" s="129"/>
      <c r="AG247" s="117"/>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124"/>
      <c r="BO247" s="124"/>
      <c r="BP247" s="124"/>
      <c r="BQ247" s="124"/>
      <c r="BR247" s="124"/>
      <c r="BS247" s="124"/>
      <c r="BT247" s="124"/>
      <c r="BU247" s="124"/>
      <c r="BV247" s="124"/>
      <c r="BW247" s="124"/>
      <c r="BX247" s="124"/>
      <c r="BY247" s="124"/>
      <c r="BZ247" s="124"/>
      <c r="CA247" s="124"/>
    </row>
    <row r="248">
      <c r="A248" s="141"/>
      <c r="B248" s="107"/>
      <c r="C248" s="107"/>
      <c r="D248" s="143"/>
      <c r="E248" s="129"/>
      <c r="F248" s="129"/>
      <c r="G248" s="129"/>
      <c r="H248" s="129"/>
      <c r="I248" s="129"/>
      <c r="J248" s="129"/>
      <c r="K248" s="129"/>
      <c r="L248" s="129"/>
      <c r="M248" s="129"/>
      <c r="N248" s="129"/>
      <c r="O248" s="129"/>
      <c r="P248" s="129"/>
      <c r="Q248" s="129"/>
      <c r="R248" s="129"/>
      <c r="S248" s="129"/>
      <c r="T248" s="129"/>
      <c r="U248" s="106"/>
      <c r="V248" s="106"/>
      <c r="W248" s="106"/>
      <c r="X248" s="106"/>
      <c r="Y248" s="106"/>
      <c r="Z248" s="129"/>
      <c r="AA248" s="129"/>
      <c r="AB248" s="129"/>
      <c r="AC248" s="129"/>
      <c r="AD248" s="129"/>
      <c r="AE248" s="129"/>
      <c r="AF248" s="129"/>
      <c r="AG248" s="117"/>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c r="BK248" s="124"/>
      <c r="BL248" s="124"/>
      <c r="BM248" s="124"/>
      <c r="BN248" s="124"/>
      <c r="BO248" s="124"/>
      <c r="BP248" s="124"/>
      <c r="BQ248" s="124"/>
      <c r="BR248" s="124"/>
      <c r="BS248" s="124"/>
      <c r="BT248" s="124"/>
      <c r="BU248" s="124"/>
      <c r="BV248" s="124"/>
      <c r="BW248" s="124"/>
      <c r="BX248" s="124"/>
      <c r="BY248" s="124"/>
      <c r="BZ248" s="124"/>
      <c r="CA248" s="124"/>
    </row>
    <row r="249">
      <c r="A249" s="141"/>
      <c r="B249" s="107"/>
      <c r="C249" s="107"/>
      <c r="D249" s="143"/>
      <c r="E249" s="129"/>
      <c r="F249" s="129"/>
      <c r="G249" s="129"/>
      <c r="H249" s="129"/>
      <c r="I249" s="129"/>
      <c r="J249" s="129"/>
      <c r="K249" s="129"/>
      <c r="L249" s="129"/>
      <c r="M249" s="129"/>
      <c r="N249" s="129"/>
      <c r="O249" s="129"/>
      <c r="P249" s="129"/>
      <c r="Q249" s="129"/>
      <c r="R249" s="129"/>
      <c r="S249" s="129"/>
      <c r="T249" s="129"/>
      <c r="U249" s="106"/>
      <c r="V249" s="106"/>
      <c r="W249" s="106"/>
      <c r="X249" s="106"/>
      <c r="Y249" s="106"/>
      <c r="Z249" s="129"/>
      <c r="AA249" s="129"/>
      <c r="AB249" s="129"/>
      <c r="AC249" s="129"/>
      <c r="AD249" s="129"/>
      <c r="AE249" s="129"/>
      <c r="AF249" s="129"/>
      <c r="AG249" s="117"/>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c r="BK249" s="124"/>
      <c r="BL249" s="124"/>
      <c r="BM249" s="124"/>
      <c r="BN249" s="124"/>
      <c r="BO249" s="124"/>
      <c r="BP249" s="124"/>
      <c r="BQ249" s="124"/>
      <c r="BR249" s="124"/>
      <c r="BS249" s="124"/>
      <c r="BT249" s="124"/>
      <c r="BU249" s="124"/>
      <c r="BV249" s="124"/>
      <c r="BW249" s="124"/>
      <c r="BX249" s="124"/>
      <c r="BY249" s="124"/>
      <c r="BZ249" s="124"/>
      <c r="CA249" s="124"/>
    </row>
    <row r="250">
      <c r="A250" s="141"/>
      <c r="B250" s="107"/>
      <c r="C250" s="107"/>
      <c r="D250" s="143"/>
      <c r="E250" s="129"/>
      <c r="F250" s="129"/>
      <c r="G250" s="129"/>
      <c r="H250" s="129"/>
      <c r="I250" s="129"/>
      <c r="J250" s="129"/>
      <c r="K250" s="129"/>
      <c r="L250" s="129"/>
      <c r="M250" s="129"/>
      <c r="N250" s="129"/>
      <c r="O250" s="129"/>
      <c r="P250" s="129"/>
      <c r="Q250" s="129"/>
      <c r="R250" s="129"/>
      <c r="S250" s="129"/>
      <c r="T250" s="129"/>
      <c r="U250" s="106"/>
      <c r="V250" s="106"/>
      <c r="W250" s="106"/>
      <c r="X250" s="106"/>
      <c r="Y250" s="106"/>
      <c r="Z250" s="129"/>
      <c r="AA250" s="129"/>
      <c r="AB250" s="129"/>
      <c r="AC250" s="129"/>
      <c r="AD250" s="129"/>
      <c r="AE250" s="129"/>
      <c r="AF250" s="129"/>
      <c r="AG250" s="117"/>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c r="BK250" s="124"/>
      <c r="BL250" s="124"/>
      <c r="BM250" s="124"/>
      <c r="BN250" s="124"/>
      <c r="BO250" s="124"/>
      <c r="BP250" s="124"/>
      <c r="BQ250" s="124"/>
      <c r="BR250" s="124"/>
      <c r="BS250" s="124"/>
      <c r="BT250" s="124"/>
      <c r="BU250" s="124"/>
      <c r="BV250" s="124"/>
      <c r="BW250" s="124"/>
      <c r="BX250" s="124"/>
      <c r="BY250" s="124"/>
      <c r="BZ250" s="124"/>
      <c r="CA250" s="124"/>
    </row>
    <row r="251">
      <c r="A251" s="141"/>
      <c r="B251" s="107"/>
      <c r="C251" s="107"/>
      <c r="D251" s="143"/>
      <c r="E251" s="129"/>
      <c r="F251" s="129"/>
      <c r="G251" s="129"/>
      <c r="H251" s="129"/>
      <c r="I251" s="129"/>
      <c r="J251" s="129"/>
      <c r="K251" s="129"/>
      <c r="L251" s="129"/>
      <c r="M251" s="129"/>
      <c r="N251" s="129"/>
      <c r="O251" s="129"/>
      <c r="P251" s="129"/>
      <c r="Q251" s="129"/>
      <c r="R251" s="129"/>
      <c r="S251" s="129"/>
      <c r="T251" s="129"/>
      <c r="U251" s="106"/>
      <c r="V251" s="106"/>
      <c r="W251" s="106"/>
      <c r="X251" s="106"/>
      <c r="Y251" s="106"/>
      <c r="Z251" s="129"/>
      <c r="AA251" s="129"/>
      <c r="AB251" s="129"/>
      <c r="AC251" s="129"/>
      <c r="AD251" s="129"/>
      <c r="AE251" s="129"/>
      <c r="AF251" s="129"/>
      <c r="AG251" s="117"/>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row>
    <row r="252">
      <c r="A252" s="141"/>
      <c r="B252" s="107"/>
      <c r="C252" s="107"/>
      <c r="D252" s="143"/>
      <c r="E252" s="129"/>
      <c r="F252" s="129"/>
      <c r="G252" s="129"/>
      <c r="H252" s="129"/>
      <c r="I252" s="129"/>
      <c r="J252" s="129"/>
      <c r="K252" s="129"/>
      <c r="L252" s="129"/>
      <c r="M252" s="129"/>
      <c r="N252" s="129"/>
      <c r="O252" s="129"/>
      <c r="P252" s="129"/>
      <c r="Q252" s="129"/>
      <c r="R252" s="129"/>
      <c r="S252" s="129"/>
      <c r="T252" s="129"/>
      <c r="U252" s="106"/>
      <c r="V252" s="106"/>
      <c r="W252" s="106"/>
      <c r="X252" s="106"/>
      <c r="Y252" s="106"/>
      <c r="Z252" s="129"/>
      <c r="AA252" s="129"/>
      <c r="AB252" s="129"/>
      <c r="AC252" s="129"/>
      <c r="AD252" s="129"/>
      <c r="AE252" s="129"/>
      <c r="AF252" s="129"/>
      <c r="AG252" s="117"/>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c r="BK252" s="124"/>
      <c r="BL252" s="124"/>
      <c r="BM252" s="124"/>
      <c r="BN252" s="124"/>
      <c r="BO252" s="124"/>
      <c r="BP252" s="124"/>
      <c r="BQ252" s="124"/>
      <c r="BR252" s="124"/>
      <c r="BS252" s="124"/>
      <c r="BT252" s="124"/>
      <c r="BU252" s="124"/>
      <c r="BV252" s="124"/>
      <c r="BW252" s="124"/>
      <c r="BX252" s="124"/>
      <c r="BY252" s="124"/>
      <c r="BZ252" s="124"/>
      <c r="CA252" s="124"/>
    </row>
    <row r="253">
      <c r="A253" s="141"/>
      <c r="B253" s="107"/>
      <c r="C253" s="107"/>
      <c r="D253" s="143"/>
      <c r="E253" s="129"/>
      <c r="F253" s="129"/>
      <c r="G253" s="129"/>
      <c r="H253" s="129"/>
      <c r="I253" s="129"/>
      <c r="J253" s="129"/>
      <c r="K253" s="129"/>
      <c r="L253" s="129"/>
      <c r="M253" s="129"/>
      <c r="N253" s="129"/>
      <c r="O253" s="129"/>
      <c r="P253" s="129"/>
      <c r="Q253" s="129"/>
      <c r="R253" s="129"/>
      <c r="S253" s="129"/>
      <c r="T253" s="129"/>
      <c r="U253" s="106"/>
      <c r="V253" s="106"/>
      <c r="W253" s="106"/>
      <c r="X253" s="106"/>
      <c r="Y253" s="106"/>
      <c r="Z253" s="129"/>
      <c r="AA253" s="129"/>
      <c r="AB253" s="129"/>
      <c r="AC253" s="129"/>
      <c r="AD253" s="129"/>
      <c r="AE253" s="129"/>
      <c r="AF253" s="129"/>
      <c r="AG253" s="117"/>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c r="BK253" s="124"/>
      <c r="BL253" s="124"/>
      <c r="BM253" s="124"/>
      <c r="BN253" s="124"/>
      <c r="BO253" s="124"/>
      <c r="BP253" s="124"/>
      <c r="BQ253" s="124"/>
      <c r="BR253" s="124"/>
      <c r="BS253" s="124"/>
      <c r="BT253" s="124"/>
      <c r="BU253" s="124"/>
      <c r="BV253" s="124"/>
      <c r="BW253" s="124"/>
      <c r="BX253" s="124"/>
      <c r="BY253" s="124"/>
      <c r="BZ253" s="124"/>
      <c r="CA253" s="124"/>
    </row>
    <row r="254">
      <c r="A254" s="141"/>
      <c r="B254" s="107"/>
      <c r="C254" s="107"/>
      <c r="D254" s="143"/>
      <c r="E254" s="129"/>
      <c r="F254" s="129"/>
      <c r="G254" s="129"/>
      <c r="H254" s="129"/>
      <c r="I254" s="129"/>
      <c r="J254" s="129"/>
      <c r="K254" s="129"/>
      <c r="L254" s="129"/>
      <c r="M254" s="129"/>
      <c r="N254" s="129"/>
      <c r="O254" s="129"/>
      <c r="P254" s="129"/>
      <c r="Q254" s="129"/>
      <c r="R254" s="129"/>
      <c r="S254" s="129"/>
      <c r="T254" s="129"/>
      <c r="U254" s="106"/>
      <c r="V254" s="106"/>
      <c r="W254" s="106"/>
      <c r="X254" s="106"/>
      <c r="Y254" s="106"/>
      <c r="Z254" s="129"/>
      <c r="AA254" s="129"/>
      <c r="AB254" s="129"/>
      <c r="AC254" s="129"/>
      <c r="AD254" s="129"/>
      <c r="AE254" s="129"/>
      <c r="AF254" s="129"/>
      <c r="AG254" s="117"/>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c r="BK254" s="124"/>
      <c r="BL254" s="124"/>
      <c r="BM254" s="124"/>
      <c r="BN254" s="124"/>
      <c r="BO254" s="124"/>
      <c r="BP254" s="124"/>
      <c r="BQ254" s="124"/>
      <c r="BR254" s="124"/>
      <c r="BS254" s="124"/>
      <c r="BT254" s="124"/>
      <c r="BU254" s="124"/>
      <c r="BV254" s="124"/>
      <c r="BW254" s="124"/>
      <c r="BX254" s="124"/>
      <c r="BY254" s="124"/>
      <c r="BZ254" s="124"/>
      <c r="CA254" s="124"/>
    </row>
    <row r="255">
      <c r="A255" s="141"/>
      <c r="B255" s="107"/>
      <c r="C255" s="107"/>
      <c r="D255" s="143"/>
      <c r="E255" s="129"/>
      <c r="F255" s="129"/>
      <c r="G255" s="129"/>
      <c r="H255" s="129"/>
      <c r="I255" s="129"/>
      <c r="J255" s="129"/>
      <c r="K255" s="129"/>
      <c r="L255" s="129"/>
      <c r="M255" s="129"/>
      <c r="N255" s="129"/>
      <c r="O255" s="129"/>
      <c r="P255" s="129"/>
      <c r="Q255" s="129"/>
      <c r="R255" s="129"/>
      <c r="S255" s="129"/>
      <c r="T255" s="129"/>
      <c r="U255" s="106"/>
      <c r="V255" s="106"/>
      <c r="W255" s="106"/>
      <c r="X255" s="106"/>
      <c r="Y255" s="106"/>
      <c r="Z255" s="129"/>
      <c r="AA255" s="129"/>
      <c r="AB255" s="129"/>
      <c r="AC255" s="129"/>
      <c r="AD255" s="129"/>
      <c r="AE255" s="129"/>
      <c r="AF255" s="129"/>
      <c r="AG255" s="117"/>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c r="BK255" s="124"/>
      <c r="BL255" s="124"/>
      <c r="BM255" s="124"/>
      <c r="BN255" s="124"/>
      <c r="BO255" s="124"/>
      <c r="BP255" s="124"/>
      <c r="BQ255" s="124"/>
      <c r="BR255" s="124"/>
      <c r="BS255" s="124"/>
      <c r="BT255" s="124"/>
      <c r="BU255" s="124"/>
      <c r="BV255" s="124"/>
      <c r="BW255" s="124"/>
      <c r="BX255" s="124"/>
      <c r="BY255" s="124"/>
      <c r="BZ255" s="124"/>
      <c r="CA255" s="124"/>
    </row>
    <row r="256">
      <c r="A256" s="141"/>
      <c r="B256" s="107"/>
      <c r="C256" s="107"/>
      <c r="D256" s="143"/>
      <c r="E256" s="129"/>
      <c r="F256" s="129"/>
      <c r="G256" s="129"/>
      <c r="H256" s="129"/>
      <c r="I256" s="129"/>
      <c r="J256" s="129"/>
      <c r="K256" s="129"/>
      <c r="L256" s="129"/>
      <c r="M256" s="129"/>
      <c r="N256" s="129"/>
      <c r="O256" s="129"/>
      <c r="P256" s="129"/>
      <c r="Q256" s="129"/>
      <c r="R256" s="129"/>
      <c r="S256" s="129"/>
      <c r="T256" s="129"/>
      <c r="U256" s="106"/>
      <c r="V256" s="106"/>
      <c r="W256" s="106"/>
      <c r="X256" s="106"/>
      <c r="Y256" s="106"/>
      <c r="Z256" s="129"/>
      <c r="AA256" s="129"/>
      <c r="AB256" s="129"/>
      <c r="AC256" s="129"/>
      <c r="AD256" s="129"/>
      <c r="AE256" s="129"/>
      <c r="AF256" s="129"/>
      <c r="AG256" s="117"/>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124"/>
      <c r="BO256" s="124"/>
      <c r="BP256" s="124"/>
      <c r="BQ256" s="124"/>
      <c r="BR256" s="124"/>
      <c r="BS256" s="124"/>
      <c r="BT256" s="124"/>
      <c r="BU256" s="124"/>
      <c r="BV256" s="124"/>
      <c r="BW256" s="124"/>
      <c r="BX256" s="124"/>
      <c r="BY256" s="124"/>
      <c r="BZ256" s="124"/>
      <c r="CA256" s="124"/>
    </row>
    <row r="257">
      <c r="A257" s="141"/>
      <c r="B257" s="107"/>
      <c r="C257" s="107"/>
      <c r="D257" s="143"/>
      <c r="E257" s="129"/>
      <c r="F257" s="129"/>
      <c r="G257" s="129"/>
      <c r="H257" s="129"/>
      <c r="I257" s="129"/>
      <c r="J257" s="129"/>
      <c r="K257" s="129"/>
      <c r="L257" s="129"/>
      <c r="M257" s="129"/>
      <c r="N257" s="129"/>
      <c r="O257" s="129"/>
      <c r="P257" s="129"/>
      <c r="Q257" s="129"/>
      <c r="R257" s="129"/>
      <c r="S257" s="129"/>
      <c r="T257" s="129"/>
      <c r="U257" s="106"/>
      <c r="V257" s="106"/>
      <c r="W257" s="106"/>
      <c r="X257" s="106"/>
      <c r="Y257" s="106"/>
      <c r="Z257" s="129"/>
      <c r="AA257" s="129"/>
      <c r="AB257" s="129"/>
      <c r="AC257" s="129"/>
      <c r="AD257" s="129"/>
      <c r="AE257" s="129"/>
      <c r="AF257" s="129"/>
      <c r="AG257" s="117"/>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124"/>
      <c r="BO257" s="124"/>
      <c r="BP257" s="124"/>
      <c r="BQ257" s="124"/>
      <c r="BR257" s="124"/>
      <c r="BS257" s="124"/>
      <c r="BT257" s="124"/>
      <c r="BU257" s="124"/>
      <c r="BV257" s="124"/>
      <c r="BW257" s="124"/>
      <c r="BX257" s="124"/>
      <c r="BY257" s="124"/>
      <c r="BZ257" s="124"/>
      <c r="CA257" s="124"/>
    </row>
    <row r="258">
      <c r="A258" s="141"/>
      <c r="B258" s="107"/>
      <c r="C258" s="107"/>
      <c r="D258" s="143"/>
      <c r="E258" s="129"/>
      <c r="F258" s="129"/>
      <c r="G258" s="129"/>
      <c r="H258" s="129"/>
      <c r="I258" s="129"/>
      <c r="J258" s="129"/>
      <c r="K258" s="129"/>
      <c r="L258" s="129"/>
      <c r="M258" s="129"/>
      <c r="N258" s="129"/>
      <c r="O258" s="129"/>
      <c r="P258" s="129"/>
      <c r="Q258" s="129"/>
      <c r="R258" s="129"/>
      <c r="S258" s="129"/>
      <c r="T258" s="129"/>
      <c r="U258" s="106"/>
      <c r="V258" s="106"/>
      <c r="W258" s="106"/>
      <c r="X258" s="106"/>
      <c r="Y258" s="106"/>
      <c r="Z258" s="129"/>
      <c r="AA258" s="129"/>
      <c r="AB258" s="129"/>
      <c r="AC258" s="129"/>
      <c r="AD258" s="129"/>
      <c r="AE258" s="129"/>
      <c r="AF258" s="129"/>
      <c r="AG258" s="117"/>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row>
    <row r="259">
      <c r="A259" s="141"/>
      <c r="B259" s="107"/>
      <c r="C259" s="107"/>
      <c r="D259" s="143"/>
      <c r="E259" s="129"/>
      <c r="F259" s="129"/>
      <c r="G259" s="129"/>
      <c r="H259" s="129"/>
      <c r="I259" s="129"/>
      <c r="J259" s="129"/>
      <c r="K259" s="129"/>
      <c r="L259" s="129"/>
      <c r="M259" s="129"/>
      <c r="N259" s="129"/>
      <c r="O259" s="129"/>
      <c r="P259" s="129"/>
      <c r="Q259" s="129"/>
      <c r="R259" s="129"/>
      <c r="S259" s="129"/>
      <c r="T259" s="129"/>
      <c r="U259" s="106"/>
      <c r="V259" s="106"/>
      <c r="W259" s="106"/>
      <c r="X259" s="106"/>
      <c r="Y259" s="106"/>
      <c r="Z259" s="129"/>
      <c r="AA259" s="129"/>
      <c r="AB259" s="129"/>
      <c r="AC259" s="129"/>
      <c r="AD259" s="129"/>
      <c r="AE259" s="129"/>
      <c r="AF259" s="129"/>
      <c r="AG259" s="117"/>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c r="BK259" s="124"/>
      <c r="BL259" s="124"/>
      <c r="BM259" s="124"/>
      <c r="BN259" s="124"/>
      <c r="BO259" s="124"/>
      <c r="BP259" s="124"/>
      <c r="BQ259" s="124"/>
      <c r="BR259" s="124"/>
      <c r="BS259" s="124"/>
      <c r="BT259" s="124"/>
      <c r="BU259" s="124"/>
      <c r="BV259" s="124"/>
      <c r="BW259" s="124"/>
      <c r="BX259" s="124"/>
      <c r="BY259" s="124"/>
      <c r="BZ259" s="124"/>
      <c r="CA259" s="124"/>
    </row>
    <row r="260">
      <c r="A260" s="141"/>
      <c r="B260" s="107"/>
      <c r="C260" s="107"/>
      <c r="D260" s="143"/>
      <c r="E260" s="129"/>
      <c r="F260" s="129"/>
      <c r="G260" s="129"/>
      <c r="H260" s="129"/>
      <c r="I260" s="129"/>
      <c r="J260" s="129"/>
      <c r="K260" s="129"/>
      <c r="L260" s="129"/>
      <c r="M260" s="129"/>
      <c r="N260" s="129"/>
      <c r="O260" s="129"/>
      <c r="P260" s="129"/>
      <c r="Q260" s="129"/>
      <c r="R260" s="129"/>
      <c r="S260" s="129"/>
      <c r="T260" s="129"/>
      <c r="U260" s="106"/>
      <c r="V260" s="106"/>
      <c r="W260" s="106"/>
      <c r="X260" s="106"/>
      <c r="Y260" s="106"/>
      <c r="Z260" s="129"/>
      <c r="AA260" s="129"/>
      <c r="AB260" s="129"/>
      <c r="AC260" s="129"/>
      <c r="AD260" s="129"/>
      <c r="AE260" s="129"/>
      <c r="AF260" s="129"/>
      <c r="AG260" s="117"/>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c r="BK260" s="124"/>
      <c r="BL260" s="124"/>
      <c r="BM260" s="124"/>
      <c r="BN260" s="124"/>
      <c r="BO260" s="124"/>
      <c r="BP260" s="124"/>
      <c r="BQ260" s="124"/>
      <c r="BR260" s="124"/>
      <c r="BS260" s="124"/>
      <c r="BT260" s="124"/>
      <c r="BU260" s="124"/>
      <c r="BV260" s="124"/>
      <c r="BW260" s="124"/>
      <c r="BX260" s="124"/>
      <c r="BY260" s="124"/>
      <c r="BZ260" s="124"/>
      <c r="CA260" s="124"/>
    </row>
    <row r="261">
      <c r="A261" s="141"/>
      <c r="B261" s="107"/>
      <c r="C261" s="107"/>
      <c r="D261" s="143"/>
      <c r="E261" s="129"/>
      <c r="F261" s="129"/>
      <c r="G261" s="129"/>
      <c r="H261" s="129"/>
      <c r="I261" s="129"/>
      <c r="J261" s="129"/>
      <c r="K261" s="129"/>
      <c r="L261" s="129"/>
      <c r="M261" s="129"/>
      <c r="N261" s="129"/>
      <c r="O261" s="129"/>
      <c r="P261" s="129"/>
      <c r="Q261" s="129"/>
      <c r="R261" s="129"/>
      <c r="S261" s="129"/>
      <c r="T261" s="129"/>
      <c r="U261" s="106"/>
      <c r="V261" s="106"/>
      <c r="W261" s="106"/>
      <c r="X261" s="106"/>
      <c r="Y261" s="106"/>
      <c r="Z261" s="129"/>
      <c r="AA261" s="129"/>
      <c r="AB261" s="129"/>
      <c r="AC261" s="129"/>
      <c r="AD261" s="129"/>
      <c r="AE261" s="129"/>
      <c r="AF261" s="129"/>
      <c r="AG261" s="117"/>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row>
    <row r="262">
      <c r="A262" s="141"/>
      <c r="B262" s="107"/>
      <c r="C262" s="107"/>
      <c r="D262" s="143"/>
      <c r="E262" s="129"/>
      <c r="F262" s="129"/>
      <c r="G262" s="129"/>
      <c r="H262" s="129"/>
      <c r="I262" s="129"/>
      <c r="J262" s="129"/>
      <c r="K262" s="129"/>
      <c r="L262" s="129"/>
      <c r="M262" s="129"/>
      <c r="N262" s="129"/>
      <c r="O262" s="129"/>
      <c r="P262" s="129"/>
      <c r="Q262" s="129"/>
      <c r="R262" s="129"/>
      <c r="S262" s="129"/>
      <c r="T262" s="129"/>
      <c r="U262" s="106"/>
      <c r="V262" s="106"/>
      <c r="W262" s="106"/>
      <c r="X262" s="106"/>
      <c r="Y262" s="106"/>
      <c r="Z262" s="129"/>
      <c r="AA262" s="129"/>
      <c r="AB262" s="129"/>
      <c r="AC262" s="129"/>
      <c r="AD262" s="129"/>
      <c r="AE262" s="129"/>
      <c r="AF262" s="129"/>
      <c r="AG262" s="117"/>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c r="BK262" s="124"/>
      <c r="BL262" s="124"/>
      <c r="BM262" s="124"/>
      <c r="BN262" s="124"/>
      <c r="BO262" s="124"/>
      <c r="BP262" s="124"/>
      <c r="BQ262" s="124"/>
      <c r="BR262" s="124"/>
      <c r="BS262" s="124"/>
      <c r="BT262" s="124"/>
      <c r="BU262" s="124"/>
      <c r="BV262" s="124"/>
      <c r="BW262" s="124"/>
      <c r="BX262" s="124"/>
      <c r="BY262" s="124"/>
      <c r="BZ262" s="124"/>
      <c r="CA262" s="124"/>
    </row>
    <row r="263">
      <c r="A263" s="141"/>
      <c r="B263" s="107"/>
      <c r="C263" s="107"/>
      <c r="D263" s="143"/>
      <c r="E263" s="129"/>
      <c r="F263" s="129"/>
      <c r="G263" s="129"/>
      <c r="H263" s="129"/>
      <c r="I263" s="129"/>
      <c r="J263" s="129"/>
      <c r="K263" s="129"/>
      <c r="L263" s="129"/>
      <c r="M263" s="129"/>
      <c r="N263" s="129"/>
      <c r="O263" s="129"/>
      <c r="P263" s="129"/>
      <c r="Q263" s="129"/>
      <c r="R263" s="129"/>
      <c r="S263" s="129"/>
      <c r="T263" s="129"/>
      <c r="U263" s="106"/>
      <c r="V263" s="106"/>
      <c r="W263" s="106"/>
      <c r="X263" s="106"/>
      <c r="Y263" s="106"/>
      <c r="Z263" s="129"/>
      <c r="AA263" s="129"/>
      <c r="AB263" s="129"/>
      <c r="AC263" s="129"/>
      <c r="AD263" s="129"/>
      <c r="AE263" s="129"/>
      <c r="AF263" s="129"/>
      <c r="AG263" s="117"/>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124"/>
      <c r="BO263" s="124"/>
      <c r="BP263" s="124"/>
      <c r="BQ263" s="124"/>
      <c r="BR263" s="124"/>
      <c r="BS263" s="124"/>
      <c r="BT263" s="124"/>
      <c r="BU263" s="124"/>
      <c r="BV263" s="124"/>
      <c r="BW263" s="124"/>
      <c r="BX263" s="124"/>
      <c r="BY263" s="124"/>
      <c r="BZ263" s="124"/>
      <c r="CA263" s="124"/>
    </row>
    <row r="264">
      <c r="A264" s="141"/>
      <c r="B264" s="107"/>
      <c r="C264" s="107"/>
      <c r="D264" s="143"/>
      <c r="E264" s="129"/>
      <c r="F264" s="129"/>
      <c r="G264" s="129"/>
      <c r="H264" s="129"/>
      <c r="I264" s="129"/>
      <c r="J264" s="129"/>
      <c r="K264" s="129"/>
      <c r="L264" s="129"/>
      <c r="M264" s="129"/>
      <c r="N264" s="129"/>
      <c r="O264" s="129"/>
      <c r="P264" s="129"/>
      <c r="Q264" s="129"/>
      <c r="R264" s="129"/>
      <c r="S264" s="129"/>
      <c r="T264" s="129"/>
      <c r="U264" s="106"/>
      <c r="V264" s="106"/>
      <c r="W264" s="106"/>
      <c r="X264" s="106"/>
      <c r="Y264" s="106"/>
      <c r="Z264" s="129"/>
      <c r="AA264" s="129"/>
      <c r="AB264" s="129"/>
      <c r="AC264" s="129"/>
      <c r="AD264" s="129"/>
      <c r="AE264" s="129"/>
      <c r="AF264" s="129"/>
      <c r="AG264" s="117"/>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row>
    <row r="265">
      <c r="A265" s="141"/>
      <c r="B265" s="107"/>
      <c r="C265" s="107"/>
      <c r="D265" s="143"/>
      <c r="E265" s="129"/>
      <c r="F265" s="129"/>
      <c r="G265" s="129"/>
      <c r="H265" s="129"/>
      <c r="I265" s="129"/>
      <c r="J265" s="129"/>
      <c r="K265" s="129"/>
      <c r="L265" s="129"/>
      <c r="M265" s="129"/>
      <c r="N265" s="129"/>
      <c r="O265" s="129"/>
      <c r="P265" s="129"/>
      <c r="Q265" s="129"/>
      <c r="R265" s="129"/>
      <c r="S265" s="129"/>
      <c r="T265" s="129"/>
      <c r="U265" s="106"/>
      <c r="V265" s="106"/>
      <c r="W265" s="106"/>
      <c r="X265" s="106"/>
      <c r="Y265" s="106"/>
      <c r="Z265" s="129"/>
      <c r="AA265" s="129"/>
      <c r="AB265" s="129"/>
      <c r="AC265" s="129"/>
      <c r="AD265" s="129"/>
      <c r="AE265" s="129"/>
      <c r="AF265" s="129"/>
      <c r="AG265" s="117"/>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124"/>
      <c r="BO265" s="124"/>
      <c r="BP265" s="124"/>
      <c r="BQ265" s="124"/>
      <c r="BR265" s="124"/>
      <c r="BS265" s="124"/>
      <c r="BT265" s="124"/>
      <c r="BU265" s="124"/>
      <c r="BV265" s="124"/>
      <c r="BW265" s="124"/>
      <c r="BX265" s="124"/>
      <c r="BY265" s="124"/>
      <c r="BZ265" s="124"/>
      <c r="CA265" s="124"/>
    </row>
    <row r="266">
      <c r="A266" s="141"/>
      <c r="B266" s="107"/>
      <c r="C266" s="107"/>
      <c r="D266" s="143"/>
      <c r="E266" s="129"/>
      <c r="F266" s="129"/>
      <c r="G266" s="129"/>
      <c r="H266" s="129"/>
      <c r="I266" s="129"/>
      <c r="J266" s="129"/>
      <c r="K266" s="129"/>
      <c r="L266" s="129"/>
      <c r="M266" s="129"/>
      <c r="N266" s="129"/>
      <c r="O266" s="129"/>
      <c r="P266" s="129"/>
      <c r="Q266" s="129"/>
      <c r="R266" s="129"/>
      <c r="S266" s="129"/>
      <c r="T266" s="129"/>
      <c r="U266" s="106"/>
      <c r="V266" s="106"/>
      <c r="W266" s="106"/>
      <c r="X266" s="106"/>
      <c r="Y266" s="106"/>
      <c r="Z266" s="129"/>
      <c r="AA266" s="129"/>
      <c r="AB266" s="129"/>
      <c r="AC266" s="129"/>
      <c r="AD266" s="129"/>
      <c r="AE266" s="129"/>
      <c r="AF266" s="129"/>
      <c r="AG266" s="117"/>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124"/>
      <c r="BO266" s="124"/>
      <c r="BP266" s="124"/>
      <c r="BQ266" s="124"/>
      <c r="BR266" s="124"/>
      <c r="BS266" s="124"/>
      <c r="BT266" s="124"/>
      <c r="BU266" s="124"/>
      <c r="BV266" s="124"/>
      <c r="BW266" s="124"/>
      <c r="BX266" s="124"/>
      <c r="BY266" s="124"/>
      <c r="BZ266" s="124"/>
      <c r="CA266" s="124"/>
    </row>
    <row r="267">
      <c r="A267" s="141"/>
      <c r="B267" s="107"/>
      <c r="C267" s="107"/>
      <c r="D267" s="143"/>
      <c r="E267" s="129"/>
      <c r="F267" s="129"/>
      <c r="G267" s="129"/>
      <c r="H267" s="129"/>
      <c r="I267" s="129"/>
      <c r="J267" s="129"/>
      <c r="K267" s="129"/>
      <c r="L267" s="129"/>
      <c r="M267" s="129"/>
      <c r="N267" s="129"/>
      <c r="O267" s="129"/>
      <c r="P267" s="129"/>
      <c r="Q267" s="129"/>
      <c r="R267" s="129"/>
      <c r="S267" s="129"/>
      <c r="T267" s="129"/>
      <c r="U267" s="106"/>
      <c r="V267" s="106"/>
      <c r="W267" s="106"/>
      <c r="X267" s="106"/>
      <c r="Y267" s="106"/>
      <c r="Z267" s="129"/>
      <c r="AA267" s="129"/>
      <c r="AB267" s="129"/>
      <c r="AC267" s="129"/>
      <c r="AD267" s="129"/>
      <c r="AE267" s="129"/>
      <c r="AF267" s="129"/>
      <c r="AG267" s="117"/>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124"/>
      <c r="BO267" s="124"/>
      <c r="BP267" s="124"/>
      <c r="BQ267" s="124"/>
      <c r="BR267" s="124"/>
      <c r="BS267" s="124"/>
      <c r="BT267" s="124"/>
      <c r="BU267" s="124"/>
      <c r="BV267" s="124"/>
      <c r="BW267" s="124"/>
      <c r="BX267" s="124"/>
      <c r="BY267" s="124"/>
      <c r="BZ267" s="124"/>
      <c r="CA267" s="124"/>
    </row>
    <row r="268">
      <c r="A268" s="141"/>
      <c r="B268" s="107"/>
      <c r="C268" s="107"/>
      <c r="D268" s="143"/>
      <c r="E268" s="129"/>
      <c r="F268" s="129"/>
      <c r="G268" s="129"/>
      <c r="H268" s="129"/>
      <c r="I268" s="129"/>
      <c r="J268" s="129"/>
      <c r="K268" s="129"/>
      <c r="L268" s="129"/>
      <c r="M268" s="129"/>
      <c r="N268" s="129"/>
      <c r="O268" s="129"/>
      <c r="P268" s="129"/>
      <c r="Q268" s="129"/>
      <c r="R268" s="129"/>
      <c r="S268" s="129"/>
      <c r="T268" s="129"/>
      <c r="U268" s="106"/>
      <c r="V268" s="106"/>
      <c r="W268" s="106"/>
      <c r="X268" s="106"/>
      <c r="Y268" s="106"/>
      <c r="Z268" s="129"/>
      <c r="AA268" s="129"/>
      <c r="AB268" s="129"/>
      <c r="AC268" s="129"/>
      <c r="AD268" s="129"/>
      <c r="AE268" s="129"/>
      <c r="AF268" s="129"/>
      <c r="AG268" s="117"/>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c r="BK268" s="124"/>
      <c r="BL268" s="124"/>
      <c r="BM268" s="124"/>
      <c r="BN268" s="124"/>
      <c r="BO268" s="124"/>
      <c r="BP268" s="124"/>
      <c r="BQ268" s="124"/>
      <c r="BR268" s="124"/>
      <c r="BS268" s="124"/>
      <c r="BT268" s="124"/>
      <c r="BU268" s="124"/>
      <c r="BV268" s="124"/>
      <c r="BW268" s="124"/>
      <c r="BX268" s="124"/>
      <c r="BY268" s="124"/>
      <c r="BZ268" s="124"/>
      <c r="CA268" s="124"/>
    </row>
    <row r="269">
      <c r="A269" s="141"/>
      <c r="B269" s="107"/>
      <c r="C269" s="107"/>
      <c r="D269" s="143"/>
      <c r="E269" s="129"/>
      <c r="F269" s="129"/>
      <c r="G269" s="129"/>
      <c r="H269" s="129"/>
      <c r="I269" s="129"/>
      <c r="J269" s="129"/>
      <c r="K269" s="129"/>
      <c r="L269" s="129"/>
      <c r="M269" s="129"/>
      <c r="N269" s="129"/>
      <c r="O269" s="129"/>
      <c r="P269" s="129"/>
      <c r="Q269" s="129"/>
      <c r="R269" s="129"/>
      <c r="S269" s="129"/>
      <c r="T269" s="129"/>
      <c r="U269" s="106"/>
      <c r="V269" s="106"/>
      <c r="W269" s="106"/>
      <c r="X269" s="106"/>
      <c r="Y269" s="106"/>
      <c r="Z269" s="129"/>
      <c r="AA269" s="129"/>
      <c r="AB269" s="129"/>
      <c r="AC269" s="129"/>
      <c r="AD269" s="129"/>
      <c r="AE269" s="129"/>
      <c r="AF269" s="129"/>
      <c r="AG269" s="117"/>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c r="BK269" s="124"/>
      <c r="BL269" s="124"/>
      <c r="BM269" s="124"/>
      <c r="BN269" s="124"/>
      <c r="BO269" s="124"/>
      <c r="BP269" s="124"/>
      <c r="BQ269" s="124"/>
      <c r="BR269" s="124"/>
      <c r="BS269" s="124"/>
      <c r="BT269" s="124"/>
      <c r="BU269" s="124"/>
      <c r="BV269" s="124"/>
      <c r="BW269" s="124"/>
      <c r="BX269" s="124"/>
      <c r="BY269" s="124"/>
      <c r="BZ269" s="124"/>
      <c r="CA269" s="124"/>
    </row>
    <row r="270">
      <c r="A270" s="141"/>
      <c r="B270" s="107"/>
      <c r="C270" s="107"/>
      <c r="D270" s="143"/>
      <c r="E270" s="129"/>
      <c r="F270" s="129"/>
      <c r="G270" s="129"/>
      <c r="H270" s="129"/>
      <c r="I270" s="129"/>
      <c r="J270" s="129"/>
      <c r="K270" s="129"/>
      <c r="L270" s="129"/>
      <c r="M270" s="129"/>
      <c r="N270" s="129"/>
      <c r="O270" s="129"/>
      <c r="P270" s="129"/>
      <c r="Q270" s="129"/>
      <c r="R270" s="129"/>
      <c r="S270" s="129"/>
      <c r="T270" s="129"/>
      <c r="U270" s="106"/>
      <c r="V270" s="106"/>
      <c r="W270" s="106"/>
      <c r="X270" s="106"/>
      <c r="Y270" s="106"/>
      <c r="Z270" s="129"/>
      <c r="AA270" s="129"/>
      <c r="AB270" s="129"/>
      <c r="AC270" s="129"/>
      <c r="AD270" s="129"/>
      <c r="AE270" s="129"/>
      <c r="AF270" s="129"/>
      <c r="AG270" s="117"/>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c r="BK270" s="124"/>
      <c r="BL270" s="124"/>
      <c r="BM270" s="124"/>
      <c r="BN270" s="124"/>
      <c r="BO270" s="124"/>
      <c r="BP270" s="124"/>
      <c r="BQ270" s="124"/>
      <c r="BR270" s="124"/>
      <c r="BS270" s="124"/>
      <c r="BT270" s="124"/>
      <c r="BU270" s="124"/>
      <c r="BV270" s="124"/>
      <c r="BW270" s="124"/>
      <c r="BX270" s="124"/>
      <c r="BY270" s="124"/>
      <c r="BZ270" s="124"/>
      <c r="CA270" s="124"/>
    </row>
    <row r="271">
      <c r="A271" s="141"/>
      <c r="B271" s="107"/>
      <c r="C271" s="107"/>
      <c r="D271" s="143"/>
      <c r="E271" s="129"/>
      <c r="F271" s="129"/>
      <c r="G271" s="129"/>
      <c r="H271" s="129"/>
      <c r="I271" s="129"/>
      <c r="J271" s="129"/>
      <c r="K271" s="129"/>
      <c r="L271" s="129"/>
      <c r="M271" s="129"/>
      <c r="N271" s="129"/>
      <c r="O271" s="129"/>
      <c r="P271" s="129"/>
      <c r="Q271" s="129"/>
      <c r="R271" s="129"/>
      <c r="S271" s="129"/>
      <c r="T271" s="129"/>
      <c r="U271" s="106"/>
      <c r="V271" s="106"/>
      <c r="W271" s="106"/>
      <c r="X271" s="106"/>
      <c r="Y271" s="106"/>
      <c r="Z271" s="129"/>
      <c r="AA271" s="129"/>
      <c r="AB271" s="129"/>
      <c r="AC271" s="129"/>
      <c r="AD271" s="129"/>
      <c r="AE271" s="129"/>
      <c r="AF271" s="129"/>
      <c r="AG271" s="117"/>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row>
    <row r="272">
      <c r="A272" s="141"/>
      <c r="B272" s="107"/>
      <c r="C272" s="107"/>
      <c r="D272" s="143"/>
      <c r="E272" s="129"/>
      <c r="F272" s="129"/>
      <c r="G272" s="129"/>
      <c r="H272" s="129"/>
      <c r="I272" s="129"/>
      <c r="J272" s="129"/>
      <c r="K272" s="129"/>
      <c r="L272" s="129"/>
      <c r="M272" s="129"/>
      <c r="N272" s="129"/>
      <c r="O272" s="129"/>
      <c r="P272" s="129"/>
      <c r="Q272" s="129"/>
      <c r="R272" s="129"/>
      <c r="S272" s="129"/>
      <c r="T272" s="129"/>
      <c r="U272" s="106"/>
      <c r="V272" s="106"/>
      <c r="W272" s="106"/>
      <c r="X272" s="106"/>
      <c r="Y272" s="106"/>
      <c r="Z272" s="129"/>
      <c r="AA272" s="129"/>
      <c r="AB272" s="129"/>
      <c r="AC272" s="129"/>
      <c r="AD272" s="129"/>
      <c r="AE272" s="129"/>
      <c r="AF272" s="129"/>
      <c r="AG272" s="117"/>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c r="BX272" s="124"/>
      <c r="BY272" s="124"/>
      <c r="BZ272" s="124"/>
      <c r="CA272" s="124"/>
    </row>
    <row r="273">
      <c r="A273" s="141"/>
      <c r="B273" s="107"/>
      <c r="C273" s="107"/>
      <c r="D273" s="143"/>
      <c r="E273" s="129"/>
      <c r="F273" s="129"/>
      <c r="G273" s="129"/>
      <c r="H273" s="129"/>
      <c r="I273" s="129"/>
      <c r="J273" s="129"/>
      <c r="K273" s="129"/>
      <c r="L273" s="129"/>
      <c r="M273" s="129"/>
      <c r="N273" s="129"/>
      <c r="O273" s="129"/>
      <c r="P273" s="129"/>
      <c r="Q273" s="129"/>
      <c r="R273" s="129"/>
      <c r="S273" s="129"/>
      <c r="T273" s="129"/>
      <c r="U273" s="106"/>
      <c r="V273" s="106"/>
      <c r="W273" s="106"/>
      <c r="X273" s="106"/>
      <c r="Y273" s="106"/>
      <c r="Z273" s="129"/>
      <c r="AA273" s="129"/>
      <c r="AB273" s="129"/>
      <c r="AC273" s="129"/>
      <c r="AD273" s="129"/>
      <c r="AE273" s="129"/>
      <c r="AF273" s="129"/>
      <c r="AG273" s="117"/>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row>
    <row r="274">
      <c r="A274" s="141"/>
      <c r="B274" s="107"/>
      <c r="C274" s="107"/>
      <c r="D274" s="143"/>
      <c r="E274" s="129"/>
      <c r="F274" s="129"/>
      <c r="G274" s="129"/>
      <c r="H274" s="129"/>
      <c r="I274" s="129"/>
      <c r="J274" s="129"/>
      <c r="K274" s="129"/>
      <c r="L274" s="129"/>
      <c r="M274" s="129"/>
      <c r="N274" s="129"/>
      <c r="O274" s="129"/>
      <c r="P274" s="129"/>
      <c r="Q274" s="129"/>
      <c r="R274" s="129"/>
      <c r="S274" s="129"/>
      <c r="T274" s="129"/>
      <c r="U274" s="106"/>
      <c r="V274" s="106"/>
      <c r="W274" s="106"/>
      <c r="X274" s="106"/>
      <c r="Y274" s="106"/>
      <c r="Z274" s="129"/>
      <c r="AA274" s="129"/>
      <c r="AB274" s="129"/>
      <c r="AC274" s="129"/>
      <c r="AD274" s="129"/>
      <c r="AE274" s="129"/>
      <c r="AF274" s="129"/>
      <c r="AG274" s="117"/>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c r="BK274" s="124"/>
      <c r="BL274" s="124"/>
      <c r="BM274" s="124"/>
      <c r="BN274" s="124"/>
      <c r="BO274" s="124"/>
      <c r="BP274" s="124"/>
      <c r="BQ274" s="124"/>
      <c r="BR274" s="124"/>
      <c r="BS274" s="124"/>
      <c r="BT274" s="124"/>
      <c r="BU274" s="124"/>
      <c r="BV274" s="124"/>
      <c r="BW274" s="124"/>
      <c r="BX274" s="124"/>
      <c r="BY274" s="124"/>
      <c r="BZ274" s="124"/>
      <c r="CA274" s="124"/>
    </row>
    <row r="275">
      <c r="A275" s="141"/>
      <c r="B275" s="107"/>
      <c r="C275" s="107"/>
      <c r="D275" s="143"/>
      <c r="E275" s="129"/>
      <c r="F275" s="129"/>
      <c r="G275" s="129"/>
      <c r="H275" s="129"/>
      <c r="I275" s="129"/>
      <c r="J275" s="129"/>
      <c r="K275" s="129"/>
      <c r="L275" s="129"/>
      <c r="M275" s="129"/>
      <c r="N275" s="129"/>
      <c r="O275" s="129"/>
      <c r="P275" s="129"/>
      <c r="Q275" s="129"/>
      <c r="R275" s="129"/>
      <c r="S275" s="129"/>
      <c r="T275" s="129"/>
      <c r="U275" s="106"/>
      <c r="V275" s="106"/>
      <c r="W275" s="106"/>
      <c r="X275" s="106"/>
      <c r="Y275" s="106"/>
      <c r="Z275" s="129"/>
      <c r="AA275" s="129"/>
      <c r="AB275" s="129"/>
      <c r="AC275" s="129"/>
      <c r="AD275" s="129"/>
      <c r="AE275" s="129"/>
      <c r="AF275" s="129"/>
      <c r="AG275" s="117"/>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c r="BK275" s="124"/>
      <c r="BL275" s="124"/>
      <c r="BM275" s="124"/>
      <c r="BN275" s="124"/>
      <c r="BO275" s="124"/>
      <c r="BP275" s="124"/>
      <c r="BQ275" s="124"/>
      <c r="BR275" s="124"/>
      <c r="BS275" s="124"/>
      <c r="BT275" s="124"/>
      <c r="BU275" s="124"/>
      <c r="BV275" s="124"/>
      <c r="BW275" s="124"/>
      <c r="BX275" s="124"/>
      <c r="BY275" s="124"/>
      <c r="BZ275" s="124"/>
      <c r="CA275" s="124"/>
    </row>
    <row r="276">
      <c r="A276" s="141"/>
      <c r="B276" s="107"/>
      <c r="C276" s="107"/>
      <c r="D276" s="143"/>
      <c r="E276" s="129"/>
      <c r="F276" s="129"/>
      <c r="G276" s="129"/>
      <c r="H276" s="129"/>
      <c r="I276" s="129"/>
      <c r="J276" s="129"/>
      <c r="K276" s="129"/>
      <c r="L276" s="129"/>
      <c r="M276" s="129"/>
      <c r="N276" s="129"/>
      <c r="O276" s="129"/>
      <c r="P276" s="129"/>
      <c r="Q276" s="129"/>
      <c r="R276" s="129"/>
      <c r="S276" s="129"/>
      <c r="T276" s="129"/>
      <c r="U276" s="106"/>
      <c r="V276" s="106"/>
      <c r="W276" s="106"/>
      <c r="X276" s="106"/>
      <c r="Y276" s="106"/>
      <c r="Z276" s="129"/>
      <c r="AA276" s="129"/>
      <c r="AB276" s="129"/>
      <c r="AC276" s="129"/>
      <c r="AD276" s="129"/>
      <c r="AE276" s="129"/>
      <c r="AF276" s="129"/>
      <c r="AG276" s="117"/>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c r="BK276" s="124"/>
      <c r="BL276" s="124"/>
      <c r="BM276" s="124"/>
      <c r="BN276" s="124"/>
      <c r="BO276" s="124"/>
      <c r="BP276" s="124"/>
      <c r="BQ276" s="124"/>
      <c r="BR276" s="124"/>
      <c r="BS276" s="124"/>
      <c r="BT276" s="124"/>
      <c r="BU276" s="124"/>
      <c r="BV276" s="124"/>
      <c r="BW276" s="124"/>
      <c r="BX276" s="124"/>
      <c r="BY276" s="124"/>
      <c r="BZ276" s="124"/>
      <c r="CA276" s="124"/>
    </row>
    <row r="277">
      <c r="A277" s="141"/>
      <c r="B277" s="107"/>
      <c r="C277" s="107"/>
      <c r="D277" s="143"/>
      <c r="E277" s="129"/>
      <c r="F277" s="129"/>
      <c r="G277" s="129"/>
      <c r="H277" s="129"/>
      <c r="I277" s="129"/>
      <c r="J277" s="129"/>
      <c r="K277" s="129"/>
      <c r="L277" s="129"/>
      <c r="M277" s="129"/>
      <c r="N277" s="129"/>
      <c r="O277" s="129"/>
      <c r="P277" s="129"/>
      <c r="Q277" s="129"/>
      <c r="R277" s="129"/>
      <c r="S277" s="129"/>
      <c r="T277" s="129"/>
      <c r="U277" s="106"/>
      <c r="V277" s="106"/>
      <c r="W277" s="106"/>
      <c r="X277" s="106"/>
      <c r="Y277" s="106"/>
      <c r="Z277" s="129"/>
      <c r="AA277" s="129"/>
      <c r="AB277" s="129"/>
      <c r="AC277" s="129"/>
      <c r="AD277" s="129"/>
      <c r="AE277" s="129"/>
      <c r="AF277" s="129"/>
      <c r="AG277" s="117"/>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row>
    <row r="278">
      <c r="A278" s="141"/>
      <c r="B278" s="107"/>
      <c r="C278" s="107"/>
      <c r="D278" s="143"/>
      <c r="E278" s="129"/>
      <c r="F278" s="129"/>
      <c r="G278" s="129"/>
      <c r="H278" s="129"/>
      <c r="I278" s="129"/>
      <c r="J278" s="129"/>
      <c r="K278" s="129"/>
      <c r="L278" s="129"/>
      <c r="M278" s="129"/>
      <c r="N278" s="129"/>
      <c r="O278" s="129"/>
      <c r="P278" s="129"/>
      <c r="Q278" s="129"/>
      <c r="R278" s="129"/>
      <c r="S278" s="129"/>
      <c r="T278" s="129"/>
      <c r="U278" s="106"/>
      <c r="V278" s="106"/>
      <c r="W278" s="106"/>
      <c r="X278" s="106"/>
      <c r="Y278" s="106"/>
      <c r="Z278" s="129"/>
      <c r="AA278" s="129"/>
      <c r="AB278" s="129"/>
      <c r="AC278" s="129"/>
      <c r="AD278" s="129"/>
      <c r="AE278" s="129"/>
      <c r="AF278" s="129"/>
      <c r="AG278" s="117"/>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c r="BK278" s="124"/>
      <c r="BL278" s="124"/>
      <c r="BM278" s="124"/>
      <c r="BN278" s="124"/>
      <c r="BO278" s="124"/>
      <c r="BP278" s="124"/>
      <c r="BQ278" s="124"/>
      <c r="BR278" s="124"/>
      <c r="BS278" s="124"/>
      <c r="BT278" s="124"/>
      <c r="BU278" s="124"/>
      <c r="BV278" s="124"/>
      <c r="BW278" s="124"/>
      <c r="BX278" s="124"/>
      <c r="BY278" s="124"/>
      <c r="BZ278" s="124"/>
      <c r="CA278" s="124"/>
    </row>
    <row r="279">
      <c r="A279" s="141"/>
      <c r="B279" s="107"/>
      <c r="C279" s="107"/>
      <c r="D279" s="143"/>
      <c r="E279" s="129"/>
      <c r="F279" s="129"/>
      <c r="G279" s="129"/>
      <c r="H279" s="129"/>
      <c r="I279" s="129"/>
      <c r="J279" s="129"/>
      <c r="K279" s="129"/>
      <c r="L279" s="129"/>
      <c r="M279" s="129"/>
      <c r="N279" s="129"/>
      <c r="O279" s="129"/>
      <c r="P279" s="129"/>
      <c r="Q279" s="129"/>
      <c r="R279" s="129"/>
      <c r="S279" s="129"/>
      <c r="T279" s="129"/>
      <c r="U279" s="106"/>
      <c r="V279" s="106"/>
      <c r="W279" s="106"/>
      <c r="X279" s="106"/>
      <c r="Y279" s="106"/>
      <c r="Z279" s="129"/>
      <c r="AA279" s="129"/>
      <c r="AB279" s="129"/>
      <c r="AC279" s="129"/>
      <c r="AD279" s="129"/>
      <c r="AE279" s="129"/>
      <c r="AF279" s="129"/>
      <c r="AG279" s="117"/>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124"/>
      <c r="BO279" s="124"/>
      <c r="BP279" s="124"/>
      <c r="BQ279" s="124"/>
      <c r="BR279" s="124"/>
      <c r="BS279" s="124"/>
      <c r="BT279" s="124"/>
      <c r="BU279" s="124"/>
      <c r="BV279" s="124"/>
      <c r="BW279" s="124"/>
      <c r="BX279" s="124"/>
      <c r="BY279" s="124"/>
      <c r="BZ279" s="124"/>
      <c r="CA279" s="124"/>
    </row>
    <row r="280">
      <c r="A280" s="141"/>
      <c r="B280" s="107"/>
      <c r="C280" s="107"/>
      <c r="D280" s="143"/>
      <c r="E280" s="129"/>
      <c r="F280" s="129"/>
      <c r="G280" s="129"/>
      <c r="H280" s="129"/>
      <c r="I280" s="129"/>
      <c r="J280" s="129"/>
      <c r="K280" s="129"/>
      <c r="L280" s="129"/>
      <c r="M280" s="129"/>
      <c r="N280" s="129"/>
      <c r="O280" s="129"/>
      <c r="P280" s="129"/>
      <c r="Q280" s="129"/>
      <c r="R280" s="129"/>
      <c r="S280" s="129"/>
      <c r="T280" s="129"/>
      <c r="U280" s="106"/>
      <c r="V280" s="106"/>
      <c r="W280" s="106"/>
      <c r="X280" s="106"/>
      <c r="Y280" s="106"/>
      <c r="Z280" s="129"/>
      <c r="AA280" s="129"/>
      <c r="AB280" s="129"/>
      <c r="AC280" s="129"/>
      <c r="AD280" s="129"/>
      <c r="AE280" s="129"/>
      <c r="AF280" s="129"/>
      <c r="AG280" s="117"/>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c r="BK280" s="124"/>
      <c r="BL280" s="124"/>
      <c r="BM280" s="124"/>
      <c r="BN280" s="124"/>
      <c r="BO280" s="124"/>
      <c r="BP280" s="124"/>
      <c r="BQ280" s="124"/>
      <c r="BR280" s="124"/>
      <c r="BS280" s="124"/>
      <c r="BT280" s="124"/>
      <c r="BU280" s="124"/>
      <c r="BV280" s="124"/>
      <c r="BW280" s="124"/>
      <c r="BX280" s="124"/>
      <c r="BY280" s="124"/>
      <c r="BZ280" s="124"/>
      <c r="CA280" s="124"/>
    </row>
    <row r="281">
      <c r="A281" s="141"/>
      <c r="B281" s="107"/>
      <c r="C281" s="107"/>
      <c r="D281" s="143"/>
      <c r="E281" s="129"/>
      <c r="F281" s="129"/>
      <c r="G281" s="129"/>
      <c r="H281" s="129"/>
      <c r="I281" s="129"/>
      <c r="J281" s="129"/>
      <c r="K281" s="129"/>
      <c r="L281" s="129"/>
      <c r="M281" s="129"/>
      <c r="N281" s="129"/>
      <c r="O281" s="129"/>
      <c r="P281" s="129"/>
      <c r="Q281" s="129"/>
      <c r="R281" s="129"/>
      <c r="S281" s="129"/>
      <c r="T281" s="129"/>
      <c r="U281" s="106"/>
      <c r="V281" s="106"/>
      <c r="W281" s="106"/>
      <c r="X281" s="106"/>
      <c r="Y281" s="106"/>
      <c r="Z281" s="129"/>
      <c r="AA281" s="129"/>
      <c r="AB281" s="129"/>
      <c r="AC281" s="129"/>
      <c r="AD281" s="129"/>
      <c r="AE281" s="129"/>
      <c r="AF281" s="129"/>
      <c r="AG281" s="117"/>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4"/>
      <c r="BV281" s="124"/>
      <c r="BW281" s="124"/>
      <c r="BX281" s="124"/>
      <c r="BY281" s="124"/>
      <c r="BZ281" s="124"/>
      <c r="CA281" s="124"/>
    </row>
    <row r="282">
      <c r="A282" s="141"/>
      <c r="B282" s="107"/>
      <c r="C282" s="107"/>
      <c r="D282" s="143"/>
      <c r="E282" s="129"/>
      <c r="F282" s="129"/>
      <c r="G282" s="129"/>
      <c r="H282" s="129"/>
      <c r="I282" s="129"/>
      <c r="J282" s="129"/>
      <c r="K282" s="129"/>
      <c r="L282" s="129"/>
      <c r="M282" s="129"/>
      <c r="N282" s="129"/>
      <c r="O282" s="129"/>
      <c r="P282" s="129"/>
      <c r="Q282" s="129"/>
      <c r="R282" s="129"/>
      <c r="S282" s="129"/>
      <c r="T282" s="129"/>
      <c r="U282" s="106"/>
      <c r="V282" s="106"/>
      <c r="W282" s="106"/>
      <c r="X282" s="106"/>
      <c r="Y282" s="106"/>
      <c r="Z282" s="129"/>
      <c r="AA282" s="129"/>
      <c r="AB282" s="129"/>
      <c r="AC282" s="129"/>
      <c r="AD282" s="129"/>
      <c r="AE282" s="129"/>
      <c r="AF282" s="129"/>
      <c r="AG282" s="117"/>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124"/>
      <c r="BO282" s="124"/>
      <c r="BP282" s="124"/>
      <c r="BQ282" s="124"/>
      <c r="BR282" s="124"/>
      <c r="BS282" s="124"/>
      <c r="BT282" s="124"/>
      <c r="BU282" s="124"/>
      <c r="BV282" s="124"/>
      <c r="BW282" s="124"/>
      <c r="BX282" s="124"/>
      <c r="BY282" s="124"/>
      <c r="BZ282" s="124"/>
      <c r="CA282" s="124"/>
    </row>
    <row r="283">
      <c r="A283" s="141"/>
      <c r="B283" s="107"/>
      <c r="C283" s="107"/>
      <c r="D283" s="143"/>
      <c r="E283" s="129"/>
      <c r="F283" s="129"/>
      <c r="G283" s="129"/>
      <c r="H283" s="129"/>
      <c r="I283" s="129"/>
      <c r="J283" s="129"/>
      <c r="K283" s="129"/>
      <c r="L283" s="129"/>
      <c r="M283" s="129"/>
      <c r="N283" s="129"/>
      <c r="O283" s="129"/>
      <c r="P283" s="129"/>
      <c r="Q283" s="129"/>
      <c r="R283" s="129"/>
      <c r="S283" s="129"/>
      <c r="T283" s="129"/>
      <c r="U283" s="106"/>
      <c r="V283" s="106"/>
      <c r="W283" s="106"/>
      <c r="X283" s="106"/>
      <c r="Y283" s="106"/>
      <c r="Z283" s="129"/>
      <c r="AA283" s="129"/>
      <c r="AB283" s="129"/>
      <c r="AC283" s="129"/>
      <c r="AD283" s="129"/>
      <c r="AE283" s="129"/>
      <c r="AF283" s="129"/>
      <c r="AG283" s="117"/>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4"/>
      <c r="BR283" s="124"/>
      <c r="BS283" s="124"/>
      <c r="BT283" s="124"/>
      <c r="BU283" s="124"/>
      <c r="BV283" s="124"/>
      <c r="BW283" s="124"/>
      <c r="BX283" s="124"/>
      <c r="BY283" s="124"/>
      <c r="BZ283" s="124"/>
      <c r="CA283" s="124"/>
    </row>
    <row r="284">
      <c r="A284" s="141"/>
      <c r="B284" s="107"/>
      <c r="C284" s="107"/>
      <c r="D284" s="143"/>
      <c r="E284" s="129"/>
      <c r="F284" s="129"/>
      <c r="G284" s="129"/>
      <c r="H284" s="129"/>
      <c r="I284" s="129"/>
      <c r="J284" s="129"/>
      <c r="K284" s="129"/>
      <c r="L284" s="129"/>
      <c r="M284" s="129"/>
      <c r="N284" s="129"/>
      <c r="O284" s="129"/>
      <c r="P284" s="129"/>
      <c r="Q284" s="129"/>
      <c r="R284" s="129"/>
      <c r="S284" s="129"/>
      <c r="T284" s="129"/>
      <c r="U284" s="106"/>
      <c r="V284" s="106"/>
      <c r="W284" s="106"/>
      <c r="X284" s="106"/>
      <c r="Y284" s="106"/>
      <c r="Z284" s="129"/>
      <c r="AA284" s="129"/>
      <c r="AB284" s="129"/>
      <c r="AC284" s="129"/>
      <c r="AD284" s="129"/>
      <c r="AE284" s="129"/>
      <c r="AF284" s="129"/>
      <c r="AG284" s="117"/>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row>
    <row r="285">
      <c r="A285" s="141"/>
      <c r="B285" s="107"/>
      <c r="C285" s="107"/>
      <c r="D285" s="143"/>
      <c r="E285" s="129"/>
      <c r="F285" s="129"/>
      <c r="G285" s="129"/>
      <c r="H285" s="129"/>
      <c r="I285" s="129"/>
      <c r="J285" s="129"/>
      <c r="K285" s="129"/>
      <c r="L285" s="129"/>
      <c r="M285" s="129"/>
      <c r="N285" s="129"/>
      <c r="O285" s="129"/>
      <c r="P285" s="129"/>
      <c r="Q285" s="129"/>
      <c r="R285" s="129"/>
      <c r="S285" s="129"/>
      <c r="T285" s="129"/>
      <c r="U285" s="106"/>
      <c r="V285" s="106"/>
      <c r="W285" s="106"/>
      <c r="X285" s="106"/>
      <c r="Y285" s="106"/>
      <c r="Z285" s="129"/>
      <c r="AA285" s="129"/>
      <c r="AB285" s="129"/>
      <c r="AC285" s="129"/>
      <c r="AD285" s="129"/>
      <c r="AE285" s="129"/>
      <c r="AF285" s="129"/>
      <c r="AG285" s="117"/>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row>
    <row r="286">
      <c r="A286" s="141"/>
      <c r="B286" s="107"/>
      <c r="C286" s="107"/>
      <c r="D286" s="143"/>
      <c r="E286" s="129"/>
      <c r="F286" s="129"/>
      <c r="G286" s="129"/>
      <c r="H286" s="129"/>
      <c r="I286" s="129"/>
      <c r="J286" s="129"/>
      <c r="K286" s="129"/>
      <c r="L286" s="129"/>
      <c r="M286" s="129"/>
      <c r="N286" s="129"/>
      <c r="O286" s="129"/>
      <c r="P286" s="129"/>
      <c r="Q286" s="129"/>
      <c r="R286" s="129"/>
      <c r="S286" s="129"/>
      <c r="T286" s="129"/>
      <c r="U286" s="106"/>
      <c r="V286" s="106"/>
      <c r="W286" s="106"/>
      <c r="X286" s="106"/>
      <c r="Y286" s="106"/>
      <c r="Z286" s="129"/>
      <c r="AA286" s="129"/>
      <c r="AB286" s="129"/>
      <c r="AC286" s="129"/>
      <c r="AD286" s="129"/>
      <c r="AE286" s="129"/>
      <c r="AF286" s="129"/>
      <c r="AG286" s="117"/>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row>
    <row r="287">
      <c r="A287" s="141"/>
      <c r="B287" s="107"/>
      <c r="C287" s="107"/>
      <c r="D287" s="143"/>
      <c r="E287" s="129"/>
      <c r="F287" s="129"/>
      <c r="G287" s="129"/>
      <c r="H287" s="129"/>
      <c r="I287" s="129"/>
      <c r="J287" s="129"/>
      <c r="K287" s="129"/>
      <c r="L287" s="129"/>
      <c r="M287" s="129"/>
      <c r="N287" s="129"/>
      <c r="O287" s="129"/>
      <c r="P287" s="129"/>
      <c r="Q287" s="129"/>
      <c r="R287" s="129"/>
      <c r="S287" s="129"/>
      <c r="T287" s="129"/>
      <c r="U287" s="106"/>
      <c r="V287" s="106"/>
      <c r="W287" s="106"/>
      <c r="X287" s="106"/>
      <c r="Y287" s="106"/>
      <c r="Z287" s="129"/>
      <c r="AA287" s="129"/>
      <c r="AB287" s="129"/>
      <c r="AC287" s="129"/>
      <c r="AD287" s="129"/>
      <c r="AE287" s="129"/>
      <c r="AF287" s="129"/>
      <c r="AG287" s="117"/>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c r="BK287" s="124"/>
      <c r="BL287" s="124"/>
      <c r="BM287" s="124"/>
      <c r="BN287" s="124"/>
      <c r="BO287" s="124"/>
      <c r="BP287" s="124"/>
      <c r="BQ287" s="124"/>
      <c r="BR287" s="124"/>
      <c r="BS287" s="124"/>
      <c r="BT287" s="124"/>
      <c r="BU287" s="124"/>
      <c r="BV287" s="124"/>
      <c r="BW287" s="124"/>
      <c r="BX287" s="124"/>
      <c r="BY287" s="124"/>
      <c r="BZ287" s="124"/>
      <c r="CA287" s="124"/>
    </row>
    <row r="288">
      <c r="A288" s="141"/>
      <c r="B288" s="107"/>
      <c r="C288" s="107"/>
      <c r="D288" s="143"/>
      <c r="E288" s="129"/>
      <c r="F288" s="129"/>
      <c r="G288" s="129"/>
      <c r="H288" s="129"/>
      <c r="I288" s="129"/>
      <c r="J288" s="129"/>
      <c r="K288" s="129"/>
      <c r="L288" s="129"/>
      <c r="M288" s="129"/>
      <c r="N288" s="129"/>
      <c r="O288" s="129"/>
      <c r="P288" s="129"/>
      <c r="Q288" s="129"/>
      <c r="R288" s="129"/>
      <c r="S288" s="129"/>
      <c r="T288" s="129"/>
      <c r="U288" s="106"/>
      <c r="V288" s="106"/>
      <c r="W288" s="106"/>
      <c r="X288" s="106"/>
      <c r="Y288" s="106"/>
      <c r="Z288" s="129"/>
      <c r="AA288" s="129"/>
      <c r="AB288" s="129"/>
      <c r="AC288" s="129"/>
      <c r="AD288" s="129"/>
      <c r="AE288" s="129"/>
      <c r="AF288" s="129"/>
      <c r="AG288" s="117"/>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row>
    <row r="289">
      <c r="A289" s="141"/>
      <c r="B289" s="107"/>
      <c r="C289" s="107"/>
      <c r="D289" s="143"/>
      <c r="E289" s="129"/>
      <c r="F289" s="129"/>
      <c r="G289" s="129"/>
      <c r="H289" s="129"/>
      <c r="I289" s="129"/>
      <c r="J289" s="129"/>
      <c r="K289" s="129"/>
      <c r="L289" s="129"/>
      <c r="M289" s="129"/>
      <c r="N289" s="129"/>
      <c r="O289" s="129"/>
      <c r="P289" s="129"/>
      <c r="Q289" s="129"/>
      <c r="R289" s="129"/>
      <c r="S289" s="129"/>
      <c r="T289" s="129"/>
      <c r="U289" s="106"/>
      <c r="V289" s="106"/>
      <c r="W289" s="106"/>
      <c r="X289" s="106"/>
      <c r="Y289" s="106"/>
      <c r="Z289" s="129"/>
      <c r="AA289" s="129"/>
      <c r="AB289" s="129"/>
      <c r="AC289" s="129"/>
      <c r="AD289" s="129"/>
      <c r="AE289" s="129"/>
      <c r="AF289" s="129"/>
      <c r="AG289" s="117"/>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row>
    <row r="290">
      <c r="A290" s="141"/>
      <c r="B290" s="107"/>
      <c r="C290" s="107"/>
      <c r="D290" s="143"/>
      <c r="E290" s="129"/>
      <c r="F290" s="129"/>
      <c r="G290" s="129"/>
      <c r="H290" s="129"/>
      <c r="I290" s="129"/>
      <c r="J290" s="129"/>
      <c r="K290" s="129"/>
      <c r="L290" s="129"/>
      <c r="M290" s="129"/>
      <c r="N290" s="129"/>
      <c r="O290" s="129"/>
      <c r="P290" s="129"/>
      <c r="Q290" s="129"/>
      <c r="R290" s="129"/>
      <c r="S290" s="129"/>
      <c r="T290" s="129"/>
      <c r="U290" s="106"/>
      <c r="V290" s="106"/>
      <c r="W290" s="106"/>
      <c r="X290" s="106"/>
      <c r="Y290" s="106"/>
      <c r="Z290" s="129"/>
      <c r="AA290" s="129"/>
      <c r="AB290" s="129"/>
      <c r="AC290" s="129"/>
      <c r="AD290" s="129"/>
      <c r="AE290" s="129"/>
      <c r="AF290" s="129"/>
      <c r="AG290" s="117"/>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row>
    <row r="291">
      <c r="A291" s="141"/>
      <c r="B291" s="107"/>
      <c r="C291" s="107"/>
      <c r="D291" s="143"/>
      <c r="E291" s="129"/>
      <c r="F291" s="129"/>
      <c r="G291" s="129"/>
      <c r="H291" s="129"/>
      <c r="I291" s="129"/>
      <c r="J291" s="129"/>
      <c r="K291" s="129"/>
      <c r="L291" s="129"/>
      <c r="M291" s="129"/>
      <c r="N291" s="129"/>
      <c r="O291" s="129"/>
      <c r="P291" s="129"/>
      <c r="Q291" s="129"/>
      <c r="R291" s="129"/>
      <c r="S291" s="129"/>
      <c r="T291" s="129"/>
      <c r="U291" s="106"/>
      <c r="V291" s="106"/>
      <c r="W291" s="106"/>
      <c r="X291" s="106"/>
      <c r="Y291" s="106"/>
      <c r="Z291" s="129"/>
      <c r="AA291" s="129"/>
      <c r="AB291" s="129"/>
      <c r="AC291" s="129"/>
      <c r="AD291" s="129"/>
      <c r="AE291" s="129"/>
      <c r="AF291" s="129"/>
      <c r="AG291" s="117"/>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row>
    <row r="292">
      <c r="A292" s="141"/>
      <c r="B292" s="107"/>
      <c r="C292" s="107"/>
      <c r="D292" s="143"/>
      <c r="E292" s="129"/>
      <c r="F292" s="129"/>
      <c r="G292" s="129"/>
      <c r="H292" s="129"/>
      <c r="I292" s="129"/>
      <c r="J292" s="129"/>
      <c r="K292" s="129"/>
      <c r="L292" s="129"/>
      <c r="M292" s="129"/>
      <c r="N292" s="129"/>
      <c r="O292" s="129"/>
      <c r="P292" s="129"/>
      <c r="Q292" s="129"/>
      <c r="R292" s="129"/>
      <c r="S292" s="129"/>
      <c r="T292" s="129"/>
      <c r="U292" s="106"/>
      <c r="V292" s="106"/>
      <c r="W292" s="106"/>
      <c r="X292" s="106"/>
      <c r="Y292" s="106"/>
      <c r="Z292" s="129"/>
      <c r="AA292" s="129"/>
      <c r="AB292" s="129"/>
      <c r="AC292" s="129"/>
      <c r="AD292" s="129"/>
      <c r="AE292" s="129"/>
      <c r="AF292" s="129"/>
      <c r="AG292" s="117"/>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c r="BK292" s="124"/>
      <c r="BL292" s="124"/>
      <c r="BM292" s="124"/>
      <c r="BN292" s="124"/>
      <c r="BO292" s="124"/>
      <c r="BP292" s="124"/>
      <c r="BQ292" s="124"/>
      <c r="BR292" s="124"/>
      <c r="BS292" s="124"/>
      <c r="BT292" s="124"/>
      <c r="BU292" s="124"/>
      <c r="BV292" s="124"/>
      <c r="BW292" s="124"/>
      <c r="BX292" s="124"/>
      <c r="BY292" s="124"/>
      <c r="BZ292" s="124"/>
      <c r="CA292" s="124"/>
    </row>
    <row r="293">
      <c r="A293" s="141"/>
      <c r="B293" s="107"/>
      <c r="C293" s="107"/>
      <c r="D293" s="143"/>
      <c r="E293" s="129"/>
      <c r="F293" s="129"/>
      <c r="G293" s="129"/>
      <c r="H293" s="129"/>
      <c r="I293" s="129"/>
      <c r="J293" s="129"/>
      <c r="K293" s="129"/>
      <c r="L293" s="129"/>
      <c r="M293" s="129"/>
      <c r="N293" s="129"/>
      <c r="O293" s="129"/>
      <c r="P293" s="129"/>
      <c r="Q293" s="129"/>
      <c r="R293" s="129"/>
      <c r="S293" s="129"/>
      <c r="T293" s="129"/>
      <c r="U293" s="106"/>
      <c r="V293" s="106"/>
      <c r="W293" s="106"/>
      <c r="X293" s="106"/>
      <c r="Y293" s="106"/>
      <c r="Z293" s="129"/>
      <c r="AA293" s="129"/>
      <c r="AB293" s="129"/>
      <c r="AC293" s="129"/>
      <c r="AD293" s="129"/>
      <c r="AE293" s="129"/>
      <c r="AF293" s="129"/>
      <c r="AG293" s="117"/>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124"/>
      <c r="BO293" s="124"/>
      <c r="BP293" s="124"/>
      <c r="BQ293" s="124"/>
      <c r="BR293" s="124"/>
      <c r="BS293" s="124"/>
      <c r="BT293" s="124"/>
      <c r="BU293" s="124"/>
      <c r="BV293" s="124"/>
      <c r="BW293" s="124"/>
      <c r="BX293" s="124"/>
      <c r="BY293" s="124"/>
      <c r="BZ293" s="124"/>
      <c r="CA293" s="124"/>
    </row>
    <row r="294">
      <c r="A294" s="141"/>
      <c r="B294" s="107"/>
      <c r="C294" s="107"/>
      <c r="D294" s="143"/>
      <c r="E294" s="129"/>
      <c r="F294" s="129"/>
      <c r="G294" s="129"/>
      <c r="H294" s="129"/>
      <c r="I294" s="129"/>
      <c r="J294" s="129"/>
      <c r="K294" s="129"/>
      <c r="L294" s="129"/>
      <c r="M294" s="129"/>
      <c r="N294" s="129"/>
      <c r="O294" s="129"/>
      <c r="P294" s="129"/>
      <c r="Q294" s="129"/>
      <c r="R294" s="129"/>
      <c r="S294" s="129"/>
      <c r="T294" s="129"/>
      <c r="U294" s="106"/>
      <c r="V294" s="106"/>
      <c r="W294" s="106"/>
      <c r="X294" s="106"/>
      <c r="Y294" s="106"/>
      <c r="Z294" s="129"/>
      <c r="AA294" s="129"/>
      <c r="AB294" s="129"/>
      <c r="AC294" s="129"/>
      <c r="AD294" s="129"/>
      <c r="AE294" s="129"/>
      <c r="AF294" s="129"/>
      <c r="AG294" s="117"/>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124"/>
      <c r="BO294" s="124"/>
      <c r="BP294" s="124"/>
      <c r="BQ294" s="124"/>
      <c r="BR294" s="124"/>
      <c r="BS294" s="124"/>
      <c r="BT294" s="124"/>
      <c r="BU294" s="124"/>
      <c r="BV294" s="124"/>
      <c r="BW294" s="124"/>
      <c r="BX294" s="124"/>
      <c r="BY294" s="124"/>
      <c r="BZ294" s="124"/>
      <c r="CA294" s="124"/>
    </row>
    <row r="295">
      <c r="A295" s="141"/>
      <c r="B295" s="107"/>
      <c r="C295" s="107"/>
      <c r="D295" s="143"/>
      <c r="E295" s="129"/>
      <c r="F295" s="129"/>
      <c r="G295" s="129"/>
      <c r="H295" s="129"/>
      <c r="I295" s="129"/>
      <c r="J295" s="129"/>
      <c r="K295" s="129"/>
      <c r="L295" s="129"/>
      <c r="M295" s="129"/>
      <c r="N295" s="129"/>
      <c r="O295" s="129"/>
      <c r="P295" s="129"/>
      <c r="Q295" s="129"/>
      <c r="R295" s="129"/>
      <c r="S295" s="129"/>
      <c r="T295" s="129"/>
      <c r="U295" s="106"/>
      <c r="V295" s="106"/>
      <c r="W295" s="106"/>
      <c r="X295" s="106"/>
      <c r="Y295" s="106"/>
      <c r="Z295" s="129"/>
      <c r="AA295" s="129"/>
      <c r="AB295" s="129"/>
      <c r="AC295" s="129"/>
      <c r="AD295" s="129"/>
      <c r="AE295" s="129"/>
      <c r="AF295" s="129"/>
      <c r="AG295" s="117"/>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row>
    <row r="296">
      <c r="A296" s="141"/>
      <c r="B296" s="107"/>
      <c r="C296" s="107"/>
      <c r="D296" s="143"/>
      <c r="E296" s="129"/>
      <c r="F296" s="129"/>
      <c r="G296" s="129"/>
      <c r="H296" s="129"/>
      <c r="I296" s="129"/>
      <c r="J296" s="129"/>
      <c r="K296" s="129"/>
      <c r="L296" s="129"/>
      <c r="M296" s="129"/>
      <c r="N296" s="129"/>
      <c r="O296" s="129"/>
      <c r="P296" s="129"/>
      <c r="Q296" s="129"/>
      <c r="R296" s="129"/>
      <c r="S296" s="129"/>
      <c r="T296" s="129"/>
      <c r="U296" s="106"/>
      <c r="V296" s="106"/>
      <c r="W296" s="106"/>
      <c r="X296" s="106"/>
      <c r="Y296" s="106"/>
      <c r="Z296" s="129"/>
      <c r="AA296" s="129"/>
      <c r="AB296" s="129"/>
      <c r="AC296" s="129"/>
      <c r="AD296" s="129"/>
      <c r="AE296" s="129"/>
      <c r="AF296" s="129"/>
      <c r="AG296" s="117"/>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row>
    <row r="297">
      <c r="A297" s="141"/>
      <c r="B297" s="107"/>
      <c r="C297" s="107"/>
      <c r="D297" s="143"/>
      <c r="E297" s="129"/>
      <c r="F297" s="129"/>
      <c r="G297" s="129"/>
      <c r="H297" s="129"/>
      <c r="I297" s="129"/>
      <c r="J297" s="129"/>
      <c r="K297" s="129"/>
      <c r="L297" s="129"/>
      <c r="M297" s="129"/>
      <c r="N297" s="129"/>
      <c r="O297" s="129"/>
      <c r="P297" s="129"/>
      <c r="Q297" s="129"/>
      <c r="R297" s="129"/>
      <c r="S297" s="129"/>
      <c r="T297" s="129"/>
      <c r="U297" s="106"/>
      <c r="V297" s="106"/>
      <c r="W297" s="106"/>
      <c r="X297" s="106"/>
      <c r="Y297" s="106"/>
      <c r="Z297" s="129"/>
      <c r="AA297" s="129"/>
      <c r="AB297" s="129"/>
      <c r="AC297" s="129"/>
      <c r="AD297" s="129"/>
      <c r="AE297" s="129"/>
      <c r="AF297" s="129"/>
      <c r="AG297" s="117"/>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row>
    <row r="298">
      <c r="A298" s="141"/>
      <c r="B298" s="107"/>
      <c r="C298" s="107"/>
      <c r="D298" s="143"/>
      <c r="E298" s="129"/>
      <c r="F298" s="129"/>
      <c r="G298" s="129"/>
      <c r="H298" s="129"/>
      <c r="I298" s="129"/>
      <c r="J298" s="129"/>
      <c r="K298" s="129"/>
      <c r="L298" s="129"/>
      <c r="M298" s="129"/>
      <c r="N298" s="129"/>
      <c r="O298" s="129"/>
      <c r="P298" s="129"/>
      <c r="Q298" s="129"/>
      <c r="R298" s="129"/>
      <c r="S298" s="129"/>
      <c r="T298" s="129"/>
      <c r="U298" s="106"/>
      <c r="V298" s="106"/>
      <c r="W298" s="106"/>
      <c r="X298" s="106"/>
      <c r="Y298" s="106"/>
      <c r="Z298" s="129"/>
      <c r="AA298" s="129"/>
      <c r="AB298" s="129"/>
      <c r="AC298" s="129"/>
      <c r="AD298" s="129"/>
      <c r="AE298" s="129"/>
      <c r="AF298" s="129"/>
      <c r="AG298" s="117"/>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c r="BK298" s="124"/>
      <c r="BL298" s="124"/>
      <c r="BM298" s="124"/>
      <c r="BN298" s="124"/>
      <c r="BO298" s="124"/>
      <c r="BP298" s="124"/>
      <c r="BQ298" s="124"/>
      <c r="BR298" s="124"/>
      <c r="BS298" s="124"/>
      <c r="BT298" s="124"/>
      <c r="BU298" s="124"/>
      <c r="BV298" s="124"/>
      <c r="BW298" s="124"/>
      <c r="BX298" s="124"/>
      <c r="BY298" s="124"/>
      <c r="BZ298" s="124"/>
      <c r="CA298" s="124"/>
    </row>
    <row r="299">
      <c r="A299" s="141"/>
      <c r="B299" s="107"/>
      <c r="C299" s="107"/>
      <c r="D299" s="143"/>
      <c r="E299" s="129"/>
      <c r="F299" s="129"/>
      <c r="G299" s="129"/>
      <c r="H299" s="129"/>
      <c r="I299" s="129"/>
      <c r="J299" s="129"/>
      <c r="K299" s="129"/>
      <c r="L299" s="129"/>
      <c r="M299" s="129"/>
      <c r="N299" s="129"/>
      <c r="O299" s="129"/>
      <c r="P299" s="129"/>
      <c r="Q299" s="129"/>
      <c r="R299" s="129"/>
      <c r="S299" s="129"/>
      <c r="T299" s="129"/>
      <c r="U299" s="106"/>
      <c r="V299" s="106"/>
      <c r="W299" s="106"/>
      <c r="X299" s="106"/>
      <c r="Y299" s="106"/>
      <c r="Z299" s="129"/>
      <c r="AA299" s="129"/>
      <c r="AB299" s="129"/>
      <c r="AC299" s="129"/>
      <c r="AD299" s="129"/>
      <c r="AE299" s="129"/>
      <c r="AF299" s="129"/>
      <c r="AG299" s="117"/>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c r="BK299" s="124"/>
      <c r="BL299" s="124"/>
      <c r="BM299" s="124"/>
      <c r="BN299" s="124"/>
      <c r="BO299" s="124"/>
      <c r="BP299" s="124"/>
      <c r="BQ299" s="124"/>
      <c r="BR299" s="124"/>
      <c r="BS299" s="124"/>
      <c r="BT299" s="124"/>
      <c r="BU299" s="124"/>
      <c r="BV299" s="124"/>
      <c r="BW299" s="124"/>
      <c r="BX299" s="124"/>
      <c r="BY299" s="124"/>
      <c r="BZ299" s="124"/>
      <c r="CA299" s="124"/>
    </row>
    <row r="300">
      <c r="A300" s="141"/>
      <c r="B300" s="107"/>
      <c r="C300" s="107"/>
      <c r="D300" s="143"/>
      <c r="E300" s="129"/>
      <c r="F300" s="129"/>
      <c r="G300" s="129"/>
      <c r="H300" s="129"/>
      <c r="I300" s="129"/>
      <c r="J300" s="129"/>
      <c r="K300" s="129"/>
      <c r="L300" s="129"/>
      <c r="M300" s="129"/>
      <c r="N300" s="129"/>
      <c r="O300" s="129"/>
      <c r="P300" s="129"/>
      <c r="Q300" s="129"/>
      <c r="R300" s="129"/>
      <c r="S300" s="129"/>
      <c r="T300" s="129"/>
      <c r="U300" s="106"/>
      <c r="V300" s="106"/>
      <c r="W300" s="106"/>
      <c r="X300" s="106"/>
      <c r="Y300" s="106"/>
      <c r="Z300" s="129"/>
      <c r="AA300" s="129"/>
      <c r="AB300" s="129"/>
      <c r="AC300" s="129"/>
      <c r="AD300" s="129"/>
      <c r="AE300" s="129"/>
      <c r="AF300" s="129"/>
      <c r="AG300" s="117"/>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row>
    <row r="301">
      <c r="A301" s="141"/>
      <c r="B301" s="107"/>
      <c r="C301" s="107"/>
      <c r="D301" s="143"/>
      <c r="E301" s="129"/>
      <c r="F301" s="129"/>
      <c r="G301" s="129"/>
      <c r="H301" s="129"/>
      <c r="I301" s="129"/>
      <c r="J301" s="129"/>
      <c r="K301" s="129"/>
      <c r="L301" s="129"/>
      <c r="M301" s="129"/>
      <c r="N301" s="129"/>
      <c r="O301" s="129"/>
      <c r="P301" s="129"/>
      <c r="Q301" s="129"/>
      <c r="R301" s="129"/>
      <c r="S301" s="129"/>
      <c r="T301" s="129"/>
      <c r="U301" s="106"/>
      <c r="V301" s="106"/>
      <c r="W301" s="106"/>
      <c r="X301" s="106"/>
      <c r="Y301" s="106"/>
      <c r="Z301" s="129"/>
      <c r="AA301" s="129"/>
      <c r="AB301" s="129"/>
      <c r="AC301" s="129"/>
      <c r="AD301" s="129"/>
      <c r="AE301" s="129"/>
      <c r="AF301" s="129"/>
      <c r="AG301" s="117"/>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row>
    <row r="302">
      <c r="A302" s="141"/>
      <c r="B302" s="107"/>
      <c r="C302" s="107"/>
      <c r="D302" s="143"/>
      <c r="E302" s="129"/>
      <c r="F302" s="129"/>
      <c r="G302" s="129"/>
      <c r="H302" s="129"/>
      <c r="I302" s="129"/>
      <c r="J302" s="129"/>
      <c r="K302" s="129"/>
      <c r="L302" s="129"/>
      <c r="M302" s="129"/>
      <c r="N302" s="129"/>
      <c r="O302" s="129"/>
      <c r="P302" s="129"/>
      <c r="Q302" s="129"/>
      <c r="R302" s="129"/>
      <c r="S302" s="129"/>
      <c r="T302" s="129"/>
      <c r="U302" s="106"/>
      <c r="V302" s="106"/>
      <c r="W302" s="106"/>
      <c r="X302" s="106"/>
      <c r="Y302" s="106"/>
      <c r="Z302" s="129"/>
      <c r="AA302" s="129"/>
      <c r="AB302" s="129"/>
      <c r="AC302" s="129"/>
      <c r="AD302" s="129"/>
      <c r="AE302" s="129"/>
      <c r="AF302" s="129"/>
      <c r="AG302" s="117"/>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row>
    <row r="303">
      <c r="A303" s="141"/>
      <c r="B303" s="107"/>
      <c r="C303" s="107"/>
      <c r="D303" s="143"/>
      <c r="E303" s="129"/>
      <c r="F303" s="129"/>
      <c r="G303" s="129"/>
      <c r="H303" s="129"/>
      <c r="I303" s="129"/>
      <c r="J303" s="129"/>
      <c r="K303" s="129"/>
      <c r="L303" s="129"/>
      <c r="M303" s="129"/>
      <c r="N303" s="129"/>
      <c r="O303" s="129"/>
      <c r="P303" s="129"/>
      <c r="Q303" s="129"/>
      <c r="R303" s="129"/>
      <c r="S303" s="129"/>
      <c r="T303" s="129"/>
      <c r="U303" s="106"/>
      <c r="V303" s="106"/>
      <c r="W303" s="106"/>
      <c r="X303" s="106"/>
      <c r="Y303" s="106"/>
      <c r="Z303" s="129"/>
      <c r="AA303" s="129"/>
      <c r="AB303" s="129"/>
      <c r="AC303" s="129"/>
      <c r="AD303" s="129"/>
      <c r="AE303" s="129"/>
      <c r="AF303" s="129"/>
      <c r="AG303" s="117"/>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row>
    <row r="304">
      <c r="A304" s="141"/>
      <c r="B304" s="107"/>
      <c r="C304" s="107"/>
      <c r="D304" s="143"/>
      <c r="E304" s="129"/>
      <c r="F304" s="129"/>
      <c r="G304" s="129"/>
      <c r="H304" s="129"/>
      <c r="I304" s="129"/>
      <c r="J304" s="129"/>
      <c r="K304" s="129"/>
      <c r="L304" s="129"/>
      <c r="M304" s="129"/>
      <c r="N304" s="129"/>
      <c r="O304" s="129"/>
      <c r="P304" s="129"/>
      <c r="Q304" s="129"/>
      <c r="R304" s="129"/>
      <c r="S304" s="129"/>
      <c r="T304" s="129"/>
      <c r="U304" s="106"/>
      <c r="V304" s="106"/>
      <c r="W304" s="106"/>
      <c r="X304" s="106"/>
      <c r="Y304" s="106"/>
      <c r="Z304" s="129"/>
      <c r="AA304" s="129"/>
      <c r="AB304" s="129"/>
      <c r="AC304" s="129"/>
      <c r="AD304" s="129"/>
      <c r="AE304" s="129"/>
      <c r="AF304" s="129"/>
      <c r="AG304" s="117"/>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row>
    <row r="305">
      <c r="A305" s="141"/>
      <c r="B305" s="107"/>
      <c r="C305" s="107"/>
      <c r="D305" s="143"/>
      <c r="E305" s="129"/>
      <c r="F305" s="129"/>
      <c r="G305" s="129"/>
      <c r="H305" s="129"/>
      <c r="I305" s="129"/>
      <c r="J305" s="129"/>
      <c r="K305" s="129"/>
      <c r="L305" s="129"/>
      <c r="M305" s="129"/>
      <c r="N305" s="129"/>
      <c r="O305" s="129"/>
      <c r="P305" s="129"/>
      <c r="Q305" s="129"/>
      <c r="R305" s="129"/>
      <c r="S305" s="129"/>
      <c r="T305" s="129"/>
      <c r="U305" s="106"/>
      <c r="V305" s="106"/>
      <c r="W305" s="106"/>
      <c r="X305" s="106"/>
      <c r="Y305" s="106"/>
      <c r="Z305" s="129"/>
      <c r="AA305" s="129"/>
      <c r="AB305" s="129"/>
      <c r="AC305" s="129"/>
      <c r="AD305" s="129"/>
      <c r="AE305" s="129"/>
      <c r="AF305" s="129"/>
      <c r="AG305" s="117"/>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row>
    <row r="306">
      <c r="A306" s="141"/>
      <c r="B306" s="107"/>
      <c r="C306" s="107"/>
      <c r="D306" s="143"/>
      <c r="E306" s="129"/>
      <c r="F306" s="129"/>
      <c r="G306" s="129"/>
      <c r="H306" s="129"/>
      <c r="I306" s="129"/>
      <c r="J306" s="129"/>
      <c r="K306" s="129"/>
      <c r="L306" s="129"/>
      <c r="M306" s="129"/>
      <c r="N306" s="129"/>
      <c r="O306" s="129"/>
      <c r="P306" s="129"/>
      <c r="Q306" s="129"/>
      <c r="R306" s="129"/>
      <c r="S306" s="129"/>
      <c r="T306" s="129"/>
      <c r="U306" s="106"/>
      <c r="V306" s="106"/>
      <c r="W306" s="106"/>
      <c r="X306" s="106"/>
      <c r="Y306" s="106"/>
      <c r="Z306" s="129"/>
      <c r="AA306" s="129"/>
      <c r="AB306" s="129"/>
      <c r="AC306" s="129"/>
      <c r="AD306" s="129"/>
      <c r="AE306" s="129"/>
      <c r="AF306" s="129"/>
      <c r="AG306" s="117"/>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row>
    <row r="307">
      <c r="A307" s="141"/>
      <c r="B307" s="107"/>
      <c r="C307" s="107"/>
      <c r="D307" s="143"/>
      <c r="E307" s="129"/>
      <c r="F307" s="129"/>
      <c r="G307" s="129"/>
      <c r="H307" s="129"/>
      <c r="I307" s="129"/>
      <c r="J307" s="129"/>
      <c r="K307" s="129"/>
      <c r="L307" s="129"/>
      <c r="M307" s="129"/>
      <c r="N307" s="129"/>
      <c r="O307" s="129"/>
      <c r="P307" s="129"/>
      <c r="Q307" s="129"/>
      <c r="R307" s="129"/>
      <c r="S307" s="129"/>
      <c r="T307" s="129"/>
      <c r="U307" s="106"/>
      <c r="V307" s="106"/>
      <c r="W307" s="106"/>
      <c r="X307" s="106"/>
      <c r="Y307" s="106"/>
      <c r="Z307" s="129"/>
      <c r="AA307" s="129"/>
      <c r="AB307" s="129"/>
      <c r="AC307" s="129"/>
      <c r="AD307" s="129"/>
      <c r="AE307" s="129"/>
      <c r="AF307" s="129"/>
      <c r="AG307" s="117"/>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row>
    <row r="308">
      <c r="A308" s="141"/>
      <c r="B308" s="107"/>
      <c r="C308" s="107"/>
      <c r="D308" s="143"/>
      <c r="E308" s="129"/>
      <c r="F308" s="129"/>
      <c r="G308" s="129"/>
      <c r="H308" s="129"/>
      <c r="I308" s="129"/>
      <c r="J308" s="129"/>
      <c r="K308" s="129"/>
      <c r="L308" s="129"/>
      <c r="M308" s="129"/>
      <c r="N308" s="129"/>
      <c r="O308" s="129"/>
      <c r="P308" s="129"/>
      <c r="Q308" s="129"/>
      <c r="R308" s="129"/>
      <c r="S308" s="129"/>
      <c r="T308" s="129"/>
      <c r="U308" s="106"/>
      <c r="V308" s="106"/>
      <c r="W308" s="106"/>
      <c r="X308" s="106"/>
      <c r="Y308" s="106"/>
      <c r="Z308" s="129"/>
      <c r="AA308" s="129"/>
      <c r="AB308" s="129"/>
      <c r="AC308" s="129"/>
      <c r="AD308" s="129"/>
      <c r="AE308" s="129"/>
      <c r="AF308" s="129"/>
      <c r="AG308" s="117"/>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row>
    <row r="309">
      <c r="A309" s="141"/>
      <c r="B309" s="107"/>
      <c r="C309" s="107"/>
      <c r="D309" s="143"/>
      <c r="E309" s="129"/>
      <c r="F309" s="129"/>
      <c r="G309" s="129"/>
      <c r="H309" s="129"/>
      <c r="I309" s="129"/>
      <c r="J309" s="129"/>
      <c r="K309" s="129"/>
      <c r="L309" s="129"/>
      <c r="M309" s="129"/>
      <c r="N309" s="129"/>
      <c r="O309" s="129"/>
      <c r="P309" s="129"/>
      <c r="Q309" s="129"/>
      <c r="R309" s="129"/>
      <c r="S309" s="129"/>
      <c r="T309" s="129"/>
      <c r="U309" s="106"/>
      <c r="V309" s="106"/>
      <c r="W309" s="106"/>
      <c r="X309" s="106"/>
      <c r="Y309" s="106"/>
      <c r="Z309" s="129"/>
      <c r="AA309" s="129"/>
      <c r="AB309" s="129"/>
      <c r="AC309" s="129"/>
      <c r="AD309" s="129"/>
      <c r="AE309" s="129"/>
      <c r="AF309" s="129"/>
      <c r="AG309" s="117"/>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row>
    <row r="310">
      <c r="A310" s="141"/>
      <c r="B310" s="107"/>
      <c r="C310" s="107"/>
      <c r="D310" s="143"/>
      <c r="E310" s="129"/>
      <c r="F310" s="129"/>
      <c r="G310" s="129"/>
      <c r="H310" s="129"/>
      <c r="I310" s="129"/>
      <c r="J310" s="129"/>
      <c r="K310" s="129"/>
      <c r="L310" s="129"/>
      <c r="M310" s="129"/>
      <c r="N310" s="129"/>
      <c r="O310" s="129"/>
      <c r="P310" s="129"/>
      <c r="Q310" s="129"/>
      <c r="R310" s="129"/>
      <c r="S310" s="129"/>
      <c r="T310" s="129"/>
      <c r="U310" s="106"/>
      <c r="V310" s="106"/>
      <c r="W310" s="106"/>
      <c r="X310" s="106"/>
      <c r="Y310" s="106"/>
      <c r="Z310" s="129"/>
      <c r="AA310" s="129"/>
      <c r="AB310" s="129"/>
      <c r="AC310" s="129"/>
      <c r="AD310" s="129"/>
      <c r="AE310" s="129"/>
      <c r="AF310" s="129"/>
      <c r="AG310" s="117"/>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124"/>
      <c r="BO310" s="124"/>
      <c r="BP310" s="124"/>
      <c r="BQ310" s="124"/>
      <c r="BR310" s="124"/>
      <c r="BS310" s="124"/>
      <c r="BT310" s="124"/>
      <c r="BU310" s="124"/>
      <c r="BV310" s="124"/>
      <c r="BW310" s="124"/>
      <c r="BX310" s="124"/>
      <c r="BY310" s="124"/>
      <c r="BZ310" s="124"/>
      <c r="CA310" s="124"/>
    </row>
    <row r="311">
      <c r="A311" s="141"/>
      <c r="B311" s="107"/>
      <c r="C311" s="107"/>
      <c r="D311" s="143"/>
      <c r="E311" s="129"/>
      <c r="F311" s="129"/>
      <c r="G311" s="129"/>
      <c r="H311" s="129"/>
      <c r="I311" s="129"/>
      <c r="J311" s="129"/>
      <c r="K311" s="129"/>
      <c r="L311" s="129"/>
      <c r="M311" s="129"/>
      <c r="N311" s="129"/>
      <c r="O311" s="129"/>
      <c r="P311" s="129"/>
      <c r="Q311" s="129"/>
      <c r="R311" s="129"/>
      <c r="S311" s="129"/>
      <c r="T311" s="129"/>
      <c r="U311" s="106"/>
      <c r="V311" s="106"/>
      <c r="W311" s="106"/>
      <c r="X311" s="106"/>
      <c r="Y311" s="106"/>
      <c r="Z311" s="129"/>
      <c r="AA311" s="129"/>
      <c r="AB311" s="129"/>
      <c r="AC311" s="129"/>
      <c r="AD311" s="129"/>
      <c r="AE311" s="129"/>
      <c r="AF311" s="129"/>
      <c r="AG311" s="117"/>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c r="BK311" s="124"/>
      <c r="BL311" s="124"/>
      <c r="BM311" s="124"/>
      <c r="BN311" s="124"/>
      <c r="BO311" s="124"/>
      <c r="BP311" s="124"/>
      <c r="BQ311" s="124"/>
      <c r="BR311" s="124"/>
      <c r="BS311" s="124"/>
      <c r="BT311" s="124"/>
      <c r="BU311" s="124"/>
      <c r="BV311" s="124"/>
      <c r="BW311" s="124"/>
      <c r="BX311" s="124"/>
      <c r="BY311" s="124"/>
      <c r="BZ311" s="124"/>
      <c r="CA311" s="124"/>
    </row>
    <row r="312">
      <c r="A312" s="141"/>
      <c r="B312" s="107"/>
      <c r="C312" s="107"/>
      <c r="D312" s="143"/>
      <c r="E312" s="129"/>
      <c r="F312" s="129"/>
      <c r="G312" s="129"/>
      <c r="H312" s="129"/>
      <c r="I312" s="129"/>
      <c r="J312" s="129"/>
      <c r="K312" s="129"/>
      <c r="L312" s="129"/>
      <c r="M312" s="129"/>
      <c r="N312" s="129"/>
      <c r="O312" s="129"/>
      <c r="P312" s="129"/>
      <c r="Q312" s="129"/>
      <c r="R312" s="129"/>
      <c r="S312" s="129"/>
      <c r="T312" s="129"/>
      <c r="U312" s="106"/>
      <c r="V312" s="106"/>
      <c r="W312" s="106"/>
      <c r="X312" s="106"/>
      <c r="Y312" s="106"/>
      <c r="Z312" s="129"/>
      <c r="AA312" s="129"/>
      <c r="AB312" s="129"/>
      <c r="AC312" s="129"/>
      <c r="AD312" s="129"/>
      <c r="AE312" s="129"/>
      <c r="AF312" s="129"/>
      <c r="AG312" s="117"/>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124"/>
      <c r="BO312" s="124"/>
      <c r="BP312" s="124"/>
      <c r="BQ312" s="124"/>
      <c r="BR312" s="124"/>
      <c r="BS312" s="124"/>
      <c r="BT312" s="124"/>
      <c r="BU312" s="124"/>
      <c r="BV312" s="124"/>
      <c r="BW312" s="124"/>
      <c r="BX312" s="124"/>
      <c r="BY312" s="124"/>
      <c r="BZ312" s="124"/>
      <c r="CA312" s="124"/>
    </row>
    <row r="313">
      <c r="A313" s="141"/>
      <c r="B313" s="107"/>
      <c r="C313" s="107"/>
      <c r="D313" s="143"/>
      <c r="E313" s="129"/>
      <c r="F313" s="129"/>
      <c r="G313" s="129"/>
      <c r="H313" s="129"/>
      <c r="I313" s="129"/>
      <c r="J313" s="129"/>
      <c r="K313" s="129"/>
      <c r="L313" s="129"/>
      <c r="M313" s="129"/>
      <c r="N313" s="129"/>
      <c r="O313" s="129"/>
      <c r="P313" s="129"/>
      <c r="Q313" s="129"/>
      <c r="R313" s="129"/>
      <c r="S313" s="129"/>
      <c r="T313" s="129"/>
      <c r="U313" s="106"/>
      <c r="V313" s="106"/>
      <c r="W313" s="106"/>
      <c r="X313" s="106"/>
      <c r="Y313" s="106"/>
      <c r="Z313" s="129"/>
      <c r="AA313" s="129"/>
      <c r="AB313" s="129"/>
      <c r="AC313" s="129"/>
      <c r="AD313" s="129"/>
      <c r="AE313" s="129"/>
      <c r="AF313" s="129"/>
      <c r="AG313" s="117"/>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124"/>
      <c r="BO313" s="124"/>
      <c r="BP313" s="124"/>
      <c r="BQ313" s="124"/>
      <c r="BR313" s="124"/>
      <c r="BS313" s="124"/>
      <c r="BT313" s="124"/>
      <c r="BU313" s="124"/>
      <c r="BV313" s="124"/>
      <c r="BW313" s="124"/>
      <c r="BX313" s="124"/>
      <c r="BY313" s="124"/>
      <c r="BZ313" s="124"/>
      <c r="CA313" s="124"/>
    </row>
    <row r="314">
      <c r="A314" s="141"/>
      <c r="B314" s="107"/>
      <c r="C314" s="107"/>
      <c r="D314" s="143"/>
      <c r="E314" s="129"/>
      <c r="F314" s="129"/>
      <c r="G314" s="129"/>
      <c r="H314" s="129"/>
      <c r="I314" s="129"/>
      <c r="J314" s="129"/>
      <c r="K314" s="129"/>
      <c r="L314" s="129"/>
      <c r="M314" s="129"/>
      <c r="N314" s="129"/>
      <c r="O314" s="129"/>
      <c r="P314" s="129"/>
      <c r="Q314" s="129"/>
      <c r="R314" s="129"/>
      <c r="S314" s="129"/>
      <c r="T314" s="129"/>
      <c r="U314" s="106"/>
      <c r="V314" s="106"/>
      <c r="W314" s="106"/>
      <c r="X314" s="106"/>
      <c r="Y314" s="106"/>
      <c r="Z314" s="129"/>
      <c r="AA314" s="129"/>
      <c r="AB314" s="129"/>
      <c r="AC314" s="129"/>
      <c r="AD314" s="129"/>
      <c r="AE314" s="129"/>
      <c r="AF314" s="129"/>
      <c r="AG314" s="117"/>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row>
    <row r="315">
      <c r="A315" s="141"/>
      <c r="B315" s="107"/>
      <c r="C315" s="107"/>
      <c r="D315" s="143"/>
      <c r="E315" s="129"/>
      <c r="F315" s="129"/>
      <c r="G315" s="129"/>
      <c r="H315" s="129"/>
      <c r="I315" s="129"/>
      <c r="J315" s="129"/>
      <c r="K315" s="129"/>
      <c r="L315" s="129"/>
      <c r="M315" s="129"/>
      <c r="N315" s="129"/>
      <c r="O315" s="129"/>
      <c r="P315" s="129"/>
      <c r="Q315" s="129"/>
      <c r="R315" s="129"/>
      <c r="S315" s="129"/>
      <c r="T315" s="129"/>
      <c r="U315" s="106"/>
      <c r="V315" s="106"/>
      <c r="W315" s="106"/>
      <c r="X315" s="106"/>
      <c r="Y315" s="106"/>
      <c r="Z315" s="129"/>
      <c r="AA315" s="129"/>
      <c r="AB315" s="129"/>
      <c r="AC315" s="129"/>
      <c r="AD315" s="129"/>
      <c r="AE315" s="129"/>
      <c r="AF315" s="129"/>
      <c r="AG315" s="117"/>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row>
    <row r="316">
      <c r="A316" s="141"/>
      <c r="B316" s="107"/>
      <c r="C316" s="107"/>
      <c r="D316" s="143"/>
      <c r="E316" s="129"/>
      <c r="F316" s="129"/>
      <c r="G316" s="129"/>
      <c r="H316" s="129"/>
      <c r="I316" s="129"/>
      <c r="J316" s="129"/>
      <c r="K316" s="129"/>
      <c r="L316" s="129"/>
      <c r="M316" s="129"/>
      <c r="N316" s="129"/>
      <c r="O316" s="129"/>
      <c r="P316" s="129"/>
      <c r="Q316" s="129"/>
      <c r="R316" s="129"/>
      <c r="S316" s="129"/>
      <c r="T316" s="129"/>
      <c r="U316" s="106"/>
      <c r="V316" s="106"/>
      <c r="W316" s="106"/>
      <c r="X316" s="106"/>
      <c r="Y316" s="106"/>
      <c r="Z316" s="129"/>
      <c r="AA316" s="129"/>
      <c r="AB316" s="129"/>
      <c r="AC316" s="129"/>
      <c r="AD316" s="129"/>
      <c r="AE316" s="129"/>
      <c r="AF316" s="129"/>
      <c r="AG316" s="117"/>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124"/>
      <c r="BO316" s="124"/>
      <c r="BP316" s="124"/>
      <c r="BQ316" s="124"/>
      <c r="BR316" s="124"/>
      <c r="BS316" s="124"/>
      <c r="BT316" s="124"/>
      <c r="BU316" s="124"/>
      <c r="BV316" s="124"/>
      <c r="BW316" s="124"/>
      <c r="BX316" s="124"/>
      <c r="BY316" s="124"/>
      <c r="BZ316" s="124"/>
      <c r="CA316" s="124"/>
    </row>
    <row r="317">
      <c r="A317" s="141"/>
      <c r="B317" s="107"/>
      <c r="C317" s="107"/>
      <c r="D317" s="143"/>
      <c r="E317" s="129"/>
      <c r="F317" s="129"/>
      <c r="G317" s="129"/>
      <c r="H317" s="129"/>
      <c r="I317" s="129"/>
      <c r="J317" s="129"/>
      <c r="K317" s="129"/>
      <c r="L317" s="129"/>
      <c r="M317" s="129"/>
      <c r="N317" s="129"/>
      <c r="O317" s="129"/>
      <c r="P317" s="129"/>
      <c r="Q317" s="129"/>
      <c r="R317" s="129"/>
      <c r="S317" s="129"/>
      <c r="T317" s="129"/>
      <c r="U317" s="106"/>
      <c r="V317" s="106"/>
      <c r="W317" s="106"/>
      <c r="X317" s="106"/>
      <c r="Y317" s="106"/>
      <c r="Z317" s="129"/>
      <c r="AA317" s="129"/>
      <c r="AB317" s="129"/>
      <c r="AC317" s="129"/>
      <c r="AD317" s="129"/>
      <c r="AE317" s="129"/>
      <c r="AF317" s="129"/>
      <c r="AG317" s="117"/>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124"/>
      <c r="BO317" s="124"/>
      <c r="BP317" s="124"/>
      <c r="BQ317" s="124"/>
      <c r="BR317" s="124"/>
      <c r="BS317" s="124"/>
      <c r="BT317" s="124"/>
      <c r="BU317" s="124"/>
      <c r="BV317" s="124"/>
      <c r="BW317" s="124"/>
      <c r="BX317" s="124"/>
      <c r="BY317" s="124"/>
      <c r="BZ317" s="124"/>
      <c r="CA317" s="124"/>
    </row>
    <row r="318">
      <c r="A318" s="141"/>
      <c r="B318" s="107"/>
      <c r="C318" s="107"/>
      <c r="D318" s="143"/>
      <c r="E318" s="129"/>
      <c r="F318" s="129"/>
      <c r="G318" s="129"/>
      <c r="H318" s="129"/>
      <c r="I318" s="129"/>
      <c r="J318" s="129"/>
      <c r="K318" s="129"/>
      <c r="L318" s="129"/>
      <c r="M318" s="129"/>
      <c r="N318" s="129"/>
      <c r="O318" s="129"/>
      <c r="P318" s="129"/>
      <c r="Q318" s="129"/>
      <c r="R318" s="129"/>
      <c r="S318" s="129"/>
      <c r="T318" s="129"/>
      <c r="U318" s="106"/>
      <c r="V318" s="106"/>
      <c r="W318" s="106"/>
      <c r="X318" s="106"/>
      <c r="Y318" s="106"/>
      <c r="Z318" s="129"/>
      <c r="AA318" s="129"/>
      <c r="AB318" s="129"/>
      <c r="AC318" s="129"/>
      <c r="AD318" s="129"/>
      <c r="AE318" s="129"/>
      <c r="AF318" s="129"/>
      <c r="AG318" s="117"/>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c r="BK318" s="124"/>
      <c r="BL318" s="124"/>
      <c r="BM318" s="124"/>
      <c r="BN318" s="124"/>
      <c r="BO318" s="124"/>
      <c r="BP318" s="124"/>
      <c r="BQ318" s="124"/>
      <c r="BR318" s="124"/>
      <c r="BS318" s="124"/>
      <c r="BT318" s="124"/>
      <c r="BU318" s="124"/>
      <c r="BV318" s="124"/>
      <c r="BW318" s="124"/>
      <c r="BX318" s="124"/>
      <c r="BY318" s="124"/>
      <c r="BZ318" s="124"/>
      <c r="CA318" s="124"/>
    </row>
    <row r="319">
      <c r="A319" s="141"/>
      <c r="B319" s="107"/>
      <c r="C319" s="107"/>
      <c r="D319" s="143"/>
      <c r="E319" s="129"/>
      <c r="F319" s="129"/>
      <c r="G319" s="129"/>
      <c r="H319" s="129"/>
      <c r="I319" s="129"/>
      <c r="J319" s="129"/>
      <c r="K319" s="129"/>
      <c r="L319" s="129"/>
      <c r="M319" s="129"/>
      <c r="N319" s="129"/>
      <c r="O319" s="129"/>
      <c r="P319" s="129"/>
      <c r="Q319" s="129"/>
      <c r="R319" s="129"/>
      <c r="S319" s="129"/>
      <c r="T319" s="129"/>
      <c r="U319" s="106"/>
      <c r="V319" s="106"/>
      <c r="W319" s="106"/>
      <c r="X319" s="106"/>
      <c r="Y319" s="106"/>
      <c r="Z319" s="129"/>
      <c r="AA319" s="129"/>
      <c r="AB319" s="129"/>
      <c r="AC319" s="129"/>
      <c r="AD319" s="129"/>
      <c r="AE319" s="129"/>
      <c r="AF319" s="129"/>
      <c r="AG319" s="117"/>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124"/>
      <c r="BO319" s="124"/>
      <c r="BP319" s="124"/>
      <c r="BQ319" s="124"/>
      <c r="BR319" s="124"/>
      <c r="BS319" s="124"/>
      <c r="BT319" s="124"/>
      <c r="BU319" s="124"/>
      <c r="BV319" s="124"/>
      <c r="BW319" s="124"/>
      <c r="BX319" s="124"/>
      <c r="BY319" s="124"/>
      <c r="BZ319" s="124"/>
      <c r="CA319" s="124"/>
    </row>
    <row r="320">
      <c r="A320" s="141"/>
      <c r="B320" s="107"/>
      <c r="C320" s="107"/>
      <c r="D320" s="143"/>
      <c r="E320" s="129"/>
      <c r="F320" s="129"/>
      <c r="G320" s="129"/>
      <c r="H320" s="129"/>
      <c r="I320" s="129"/>
      <c r="J320" s="129"/>
      <c r="K320" s="129"/>
      <c r="L320" s="129"/>
      <c r="M320" s="129"/>
      <c r="N320" s="129"/>
      <c r="O320" s="129"/>
      <c r="P320" s="129"/>
      <c r="Q320" s="129"/>
      <c r="R320" s="129"/>
      <c r="S320" s="129"/>
      <c r="T320" s="129"/>
      <c r="U320" s="106"/>
      <c r="V320" s="106"/>
      <c r="W320" s="106"/>
      <c r="X320" s="106"/>
      <c r="Y320" s="106"/>
      <c r="Z320" s="129"/>
      <c r="AA320" s="129"/>
      <c r="AB320" s="129"/>
      <c r="AC320" s="129"/>
      <c r="AD320" s="129"/>
      <c r="AE320" s="129"/>
      <c r="AF320" s="129"/>
      <c r="AG320" s="117"/>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row>
    <row r="321">
      <c r="A321" s="141"/>
      <c r="B321" s="107"/>
      <c r="C321" s="107"/>
      <c r="D321" s="143"/>
      <c r="E321" s="129"/>
      <c r="F321" s="129"/>
      <c r="G321" s="129"/>
      <c r="H321" s="129"/>
      <c r="I321" s="129"/>
      <c r="J321" s="129"/>
      <c r="K321" s="129"/>
      <c r="L321" s="129"/>
      <c r="M321" s="129"/>
      <c r="N321" s="129"/>
      <c r="O321" s="129"/>
      <c r="P321" s="129"/>
      <c r="Q321" s="129"/>
      <c r="R321" s="129"/>
      <c r="S321" s="129"/>
      <c r="T321" s="129"/>
      <c r="U321" s="106"/>
      <c r="V321" s="106"/>
      <c r="W321" s="106"/>
      <c r="X321" s="106"/>
      <c r="Y321" s="106"/>
      <c r="Z321" s="129"/>
      <c r="AA321" s="129"/>
      <c r="AB321" s="129"/>
      <c r="AC321" s="129"/>
      <c r="AD321" s="129"/>
      <c r="AE321" s="129"/>
      <c r="AF321" s="129"/>
      <c r="AG321" s="117"/>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c r="BZ321" s="124"/>
      <c r="CA321" s="124"/>
    </row>
    <row r="322">
      <c r="A322" s="141"/>
      <c r="B322" s="107"/>
      <c r="C322" s="107"/>
      <c r="D322" s="143"/>
      <c r="E322" s="129"/>
      <c r="F322" s="129"/>
      <c r="G322" s="129"/>
      <c r="H322" s="129"/>
      <c r="I322" s="129"/>
      <c r="J322" s="129"/>
      <c r="K322" s="129"/>
      <c r="L322" s="129"/>
      <c r="M322" s="129"/>
      <c r="N322" s="129"/>
      <c r="O322" s="129"/>
      <c r="P322" s="129"/>
      <c r="Q322" s="129"/>
      <c r="R322" s="129"/>
      <c r="S322" s="129"/>
      <c r="T322" s="129"/>
      <c r="U322" s="106"/>
      <c r="V322" s="106"/>
      <c r="W322" s="106"/>
      <c r="X322" s="106"/>
      <c r="Y322" s="106"/>
      <c r="Z322" s="129"/>
      <c r="AA322" s="129"/>
      <c r="AB322" s="129"/>
      <c r="AC322" s="129"/>
      <c r="AD322" s="129"/>
      <c r="AE322" s="129"/>
      <c r="AF322" s="129"/>
      <c r="AG322" s="117"/>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124"/>
      <c r="BO322" s="124"/>
      <c r="BP322" s="124"/>
      <c r="BQ322" s="124"/>
      <c r="BR322" s="124"/>
      <c r="BS322" s="124"/>
      <c r="BT322" s="124"/>
      <c r="BU322" s="124"/>
      <c r="BV322" s="124"/>
      <c r="BW322" s="124"/>
      <c r="BX322" s="124"/>
      <c r="BY322" s="124"/>
      <c r="BZ322" s="124"/>
      <c r="CA322" s="124"/>
    </row>
    <row r="323">
      <c r="A323" s="141"/>
      <c r="B323" s="107"/>
      <c r="C323" s="107"/>
      <c r="D323" s="143"/>
      <c r="E323" s="129"/>
      <c r="F323" s="129"/>
      <c r="G323" s="129"/>
      <c r="H323" s="129"/>
      <c r="I323" s="129"/>
      <c r="J323" s="129"/>
      <c r="K323" s="129"/>
      <c r="L323" s="129"/>
      <c r="M323" s="129"/>
      <c r="N323" s="129"/>
      <c r="O323" s="129"/>
      <c r="P323" s="129"/>
      <c r="Q323" s="129"/>
      <c r="R323" s="129"/>
      <c r="S323" s="129"/>
      <c r="T323" s="129"/>
      <c r="U323" s="106"/>
      <c r="V323" s="106"/>
      <c r="W323" s="106"/>
      <c r="X323" s="106"/>
      <c r="Y323" s="106"/>
      <c r="Z323" s="129"/>
      <c r="AA323" s="129"/>
      <c r="AB323" s="129"/>
      <c r="AC323" s="129"/>
      <c r="AD323" s="129"/>
      <c r="AE323" s="129"/>
      <c r="AF323" s="129"/>
      <c r="AG323" s="117"/>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4"/>
      <c r="BR323" s="124"/>
      <c r="BS323" s="124"/>
      <c r="BT323" s="124"/>
      <c r="BU323" s="124"/>
      <c r="BV323" s="124"/>
      <c r="BW323" s="124"/>
      <c r="BX323" s="124"/>
      <c r="BY323" s="124"/>
      <c r="BZ323" s="124"/>
      <c r="CA323" s="124"/>
    </row>
    <row r="324">
      <c r="A324" s="141"/>
      <c r="B324" s="107"/>
      <c r="C324" s="107"/>
      <c r="D324" s="143"/>
      <c r="E324" s="129"/>
      <c r="F324" s="129"/>
      <c r="G324" s="129"/>
      <c r="H324" s="129"/>
      <c r="I324" s="129"/>
      <c r="J324" s="129"/>
      <c r="K324" s="129"/>
      <c r="L324" s="129"/>
      <c r="M324" s="129"/>
      <c r="N324" s="129"/>
      <c r="O324" s="129"/>
      <c r="P324" s="129"/>
      <c r="Q324" s="129"/>
      <c r="R324" s="129"/>
      <c r="S324" s="129"/>
      <c r="T324" s="129"/>
      <c r="U324" s="106"/>
      <c r="V324" s="106"/>
      <c r="W324" s="106"/>
      <c r="X324" s="106"/>
      <c r="Y324" s="106"/>
      <c r="Z324" s="129"/>
      <c r="AA324" s="129"/>
      <c r="AB324" s="129"/>
      <c r="AC324" s="129"/>
      <c r="AD324" s="129"/>
      <c r="AE324" s="129"/>
      <c r="AF324" s="129"/>
      <c r="AG324" s="117"/>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124"/>
      <c r="BO324" s="124"/>
      <c r="BP324" s="124"/>
      <c r="BQ324" s="124"/>
      <c r="BR324" s="124"/>
      <c r="BS324" s="124"/>
      <c r="BT324" s="124"/>
      <c r="BU324" s="124"/>
      <c r="BV324" s="124"/>
      <c r="BW324" s="124"/>
      <c r="BX324" s="124"/>
      <c r="BY324" s="124"/>
      <c r="BZ324" s="124"/>
      <c r="CA324" s="124"/>
    </row>
    <row r="325">
      <c r="A325" s="141"/>
      <c r="B325" s="107"/>
      <c r="C325" s="107"/>
      <c r="D325" s="143"/>
      <c r="E325" s="129"/>
      <c r="F325" s="129"/>
      <c r="G325" s="129"/>
      <c r="H325" s="129"/>
      <c r="I325" s="129"/>
      <c r="J325" s="129"/>
      <c r="K325" s="129"/>
      <c r="L325" s="129"/>
      <c r="M325" s="129"/>
      <c r="N325" s="129"/>
      <c r="O325" s="129"/>
      <c r="P325" s="129"/>
      <c r="Q325" s="129"/>
      <c r="R325" s="129"/>
      <c r="S325" s="129"/>
      <c r="T325" s="129"/>
      <c r="U325" s="106"/>
      <c r="V325" s="106"/>
      <c r="W325" s="106"/>
      <c r="X325" s="106"/>
      <c r="Y325" s="106"/>
      <c r="Z325" s="129"/>
      <c r="AA325" s="129"/>
      <c r="AB325" s="129"/>
      <c r="AC325" s="129"/>
      <c r="AD325" s="129"/>
      <c r="AE325" s="129"/>
      <c r="AF325" s="129"/>
      <c r="AG325" s="117"/>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c r="BK325" s="124"/>
      <c r="BL325" s="124"/>
      <c r="BM325" s="124"/>
      <c r="BN325" s="124"/>
      <c r="BO325" s="124"/>
      <c r="BP325" s="124"/>
      <c r="BQ325" s="124"/>
      <c r="BR325" s="124"/>
      <c r="BS325" s="124"/>
      <c r="BT325" s="124"/>
      <c r="BU325" s="124"/>
      <c r="BV325" s="124"/>
      <c r="BW325" s="124"/>
      <c r="BX325" s="124"/>
      <c r="BY325" s="124"/>
      <c r="BZ325" s="124"/>
      <c r="CA325" s="124"/>
    </row>
    <row r="326">
      <c r="A326" s="141"/>
      <c r="B326" s="107"/>
      <c r="C326" s="107"/>
      <c r="D326" s="143"/>
      <c r="E326" s="129"/>
      <c r="F326" s="129"/>
      <c r="G326" s="129"/>
      <c r="H326" s="129"/>
      <c r="I326" s="129"/>
      <c r="J326" s="129"/>
      <c r="K326" s="129"/>
      <c r="L326" s="129"/>
      <c r="M326" s="129"/>
      <c r="N326" s="129"/>
      <c r="O326" s="129"/>
      <c r="P326" s="129"/>
      <c r="Q326" s="129"/>
      <c r="R326" s="129"/>
      <c r="S326" s="129"/>
      <c r="T326" s="129"/>
      <c r="U326" s="106"/>
      <c r="V326" s="106"/>
      <c r="W326" s="106"/>
      <c r="X326" s="106"/>
      <c r="Y326" s="106"/>
      <c r="Z326" s="129"/>
      <c r="AA326" s="129"/>
      <c r="AB326" s="129"/>
      <c r="AC326" s="129"/>
      <c r="AD326" s="129"/>
      <c r="AE326" s="129"/>
      <c r="AF326" s="129"/>
      <c r="AG326" s="117"/>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row>
    <row r="327">
      <c r="A327" s="141"/>
      <c r="B327" s="107"/>
      <c r="C327" s="107"/>
      <c r="D327" s="143"/>
      <c r="E327" s="129"/>
      <c r="F327" s="129"/>
      <c r="G327" s="129"/>
      <c r="H327" s="129"/>
      <c r="I327" s="129"/>
      <c r="J327" s="129"/>
      <c r="K327" s="129"/>
      <c r="L327" s="129"/>
      <c r="M327" s="129"/>
      <c r="N327" s="129"/>
      <c r="O327" s="129"/>
      <c r="P327" s="129"/>
      <c r="Q327" s="129"/>
      <c r="R327" s="129"/>
      <c r="S327" s="129"/>
      <c r="T327" s="129"/>
      <c r="U327" s="106"/>
      <c r="V327" s="106"/>
      <c r="W327" s="106"/>
      <c r="X327" s="106"/>
      <c r="Y327" s="106"/>
      <c r="Z327" s="129"/>
      <c r="AA327" s="129"/>
      <c r="AB327" s="129"/>
      <c r="AC327" s="129"/>
      <c r="AD327" s="129"/>
      <c r="AE327" s="129"/>
      <c r="AF327" s="129"/>
      <c r="AG327" s="117"/>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c r="BK327" s="124"/>
      <c r="BL327" s="124"/>
      <c r="BM327" s="124"/>
      <c r="BN327" s="124"/>
      <c r="BO327" s="124"/>
      <c r="BP327" s="124"/>
      <c r="BQ327" s="124"/>
      <c r="BR327" s="124"/>
      <c r="BS327" s="124"/>
      <c r="BT327" s="124"/>
      <c r="BU327" s="124"/>
      <c r="BV327" s="124"/>
      <c r="BW327" s="124"/>
      <c r="BX327" s="124"/>
      <c r="BY327" s="124"/>
      <c r="BZ327" s="124"/>
      <c r="CA327" s="124"/>
    </row>
    <row r="328">
      <c r="A328" s="141"/>
      <c r="B328" s="107"/>
      <c r="C328" s="107"/>
      <c r="D328" s="143"/>
      <c r="E328" s="129"/>
      <c r="F328" s="129"/>
      <c r="G328" s="129"/>
      <c r="H328" s="129"/>
      <c r="I328" s="129"/>
      <c r="J328" s="129"/>
      <c r="K328" s="129"/>
      <c r="L328" s="129"/>
      <c r="M328" s="129"/>
      <c r="N328" s="129"/>
      <c r="O328" s="129"/>
      <c r="P328" s="129"/>
      <c r="Q328" s="129"/>
      <c r="R328" s="129"/>
      <c r="S328" s="129"/>
      <c r="T328" s="129"/>
      <c r="U328" s="106"/>
      <c r="V328" s="106"/>
      <c r="W328" s="106"/>
      <c r="X328" s="106"/>
      <c r="Y328" s="106"/>
      <c r="Z328" s="129"/>
      <c r="AA328" s="129"/>
      <c r="AB328" s="129"/>
      <c r="AC328" s="129"/>
      <c r="AD328" s="129"/>
      <c r="AE328" s="129"/>
      <c r="AF328" s="129"/>
      <c r="AG328" s="117"/>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124"/>
      <c r="BO328" s="124"/>
      <c r="BP328" s="124"/>
      <c r="BQ328" s="124"/>
      <c r="BR328" s="124"/>
      <c r="BS328" s="124"/>
      <c r="BT328" s="124"/>
      <c r="BU328" s="124"/>
      <c r="BV328" s="124"/>
      <c r="BW328" s="124"/>
      <c r="BX328" s="124"/>
      <c r="BY328" s="124"/>
      <c r="BZ328" s="124"/>
      <c r="CA328" s="124"/>
    </row>
    <row r="329">
      <c r="A329" s="141"/>
      <c r="B329" s="107"/>
      <c r="C329" s="107"/>
      <c r="D329" s="143"/>
      <c r="E329" s="129"/>
      <c r="F329" s="129"/>
      <c r="G329" s="129"/>
      <c r="H329" s="129"/>
      <c r="I329" s="129"/>
      <c r="J329" s="129"/>
      <c r="K329" s="129"/>
      <c r="L329" s="129"/>
      <c r="M329" s="129"/>
      <c r="N329" s="129"/>
      <c r="O329" s="129"/>
      <c r="P329" s="129"/>
      <c r="Q329" s="129"/>
      <c r="R329" s="129"/>
      <c r="S329" s="129"/>
      <c r="T329" s="129"/>
      <c r="U329" s="106"/>
      <c r="V329" s="106"/>
      <c r="W329" s="106"/>
      <c r="X329" s="106"/>
      <c r="Y329" s="106"/>
      <c r="Z329" s="129"/>
      <c r="AA329" s="129"/>
      <c r="AB329" s="129"/>
      <c r="AC329" s="129"/>
      <c r="AD329" s="129"/>
      <c r="AE329" s="129"/>
      <c r="AF329" s="129"/>
      <c r="AG329" s="117"/>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row>
    <row r="330">
      <c r="A330" s="141"/>
      <c r="B330" s="107"/>
      <c r="C330" s="107"/>
      <c r="D330" s="143"/>
      <c r="E330" s="129"/>
      <c r="F330" s="129"/>
      <c r="G330" s="129"/>
      <c r="H330" s="129"/>
      <c r="I330" s="129"/>
      <c r="J330" s="129"/>
      <c r="K330" s="129"/>
      <c r="L330" s="129"/>
      <c r="M330" s="129"/>
      <c r="N330" s="129"/>
      <c r="O330" s="129"/>
      <c r="P330" s="129"/>
      <c r="Q330" s="129"/>
      <c r="R330" s="129"/>
      <c r="S330" s="129"/>
      <c r="T330" s="129"/>
      <c r="U330" s="106"/>
      <c r="V330" s="106"/>
      <c r="W330" s="106"/>
      <c r="X330" s="106"/>
      <c r="Y330" s="106"/>
      <c r="Z330" s="129"/>
      <c r="AA330" s="129"/>
      <c r="AB330" s="129"/>
      <c r="AC330" s="129"/>
      <c r="AD330" s="129"/>
      <c r="AE330" s="129"/>
      <c r="AF330" s="129"/>
      <c r="AG330" s="117"/>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124"/>
      <c r="BO330" s="124"/>
      <c r="BP330" s="124"/>
      <c r="BQ330" s="124"/>
      <c r="BR330" s="124"/>
      <c r="BS330" s="124"/>
      <c r="BT330" s="124"/>
      <c r="BU330" s="124"/>
      <c r="BV330" s="124"/>
      <c r="BW330" s="124"/>
      <c r="BX330" s="124"/>
      <c r="BY330" s="124"/>
      <c r="BZ330" s="124"/>
      <c r="CA330" s="124"/>
    </row>
    <row r="331">
      <c r="A331" s="141"/>
      <c r="B331" s="107"/>
      <c r="C331" s="107"/>
      <c r="D331" s="143"/>
      <c r="E331" s="129"/>
      <c r="F331" s="129"/>
      <c r="G331" s="129"/>
      <c r="H331" s="129"/>
      <c r="I331" s="129"/>
      <c r="J331" s="129"/>
      <c r="K331" s="129"/>
      <c r="L331" s="129"/>
      <c r="M331" s="129"/>
      <c r="N331" s="129"/>
      <c r="O331" s="129"/>
      <c r="P331" s="129"/>
      <c r="Q331" s="129"/>
      <c r="R331" s="129"/>
      <c r="S331" s="129"/>
      <c r="T331" s="129"/>
      <c r="U331" s="106"/>
      <c r="V331" s="106"/>
      <c r="W331" s="106"/>
      <c r="X331" s="106"/>
      <c r="Y331" s="106"/>
      <c r="Z331" s="129"/>
      <c r="AA331" s="129"/>
      <c r="AB331" s="129"/>
      <c r="AC331" s="129"/>
      <c r="AD331" s="129"/>
      <c r="AE331" s="129"/>
      <c r="AF331" s="129"/>
      <c r="AG331" s="117"/>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c r="BK331" s="124"/>
      <c r="BL331" s="124"/>
      <c r="BM331" s="124"/>
      <c r="BN331" s="124"/>
      <c r="BO331" s="124"/>
      <c r="BP331" s="124"/>
      <c r="BQ331" s="124"/>
      <c r="BR331" s="124"/>
      <c r="BS331" s="124"/>
      <c r="BT331" s="124"/>
      <c r="BU331" s="124"/>
      <c r="BV331" s="124"/>
      <c r="BW331" s="124"/>
      <c r="BX331" s="124"/>
      <c r="BY331" s="124"/>
      <c r="BZ331" s="124"/>
      <c r="CA331" s="124"/>
    </row>
    <row r="332">
      <c r="A332" s="141"/>
      <c r="B332" s="107"/>
      <c r="C332" s="107"/>
      <c r="D332" s="143"/>
      <c r="E332" s="129"/>
      <c r="F332" s="129"/>
      <c r="G332" s="129"/>
      <c r="H332" s="129"/>
      <c r="I332" s="129"/>
      <c r="J332" s="129"/>
      <c r="K332" s="129"/>
      <c r="L332" s="129"/>
      <c r="M332" s="129"/>
      <c r="N332" s="129"/>
      <c r="O332" s="129"/>
      <c r="P332" s="129"/>
      <c r="Q332" s="129"/>
      <c r="R332" s="129"/>
      <c r="S332" s="129"/>
      <c r="T332" s="129"/>
      <c r="U332" s="106"/>
      <c r="V332" s="106"/>
      <c r="W332" s="106"/>
      <c r="X332" s="106"/>
      <c r="Y332" s="106"/>
      <c r="Z332" s="129"/>
      <c r="AA332" s="129"/>
      <c r="AB332" s="129"/>
      <c r="AC332" s="129"/>
      <c r="AD332" s="129"/>
      <c r="AE332" s="129"/>
      <c r="AF332" s="129"/>
      <c r="AG332" s="117"/>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row>
    <row r="333">
      <c r="A333" s="141"/>
      <c r="B333" s="107"/>
      <c r="C333" s="107"/>
      <c r="D333" s="143"/>
      <c r="E333" s="129"/>
      <c r="F333" s="129"/>
      <c r="G333" s="129"/>
      <c r="H333" s="129"/>
      <c r="I333" s="129"/>
      <c r="J333" s="129"/>
      <c r="K333" s="129"/>
      <c r="L333" s="129"/>
      <c r="M333" s="129"/>
      <c r="N333" s="129"/>
      <c r="O333" s="129"/>
      <c r="P333" s="129"/>
      <c r="Q333" s="129"/>
      <c r="R333" s="129"/>
      <c r="S333" s="129"/>
      <c r="T333" s="129"/>
      <c r="U333" s="106"/>
      <c r="V333" s="106"/>
      <c r="W333" s="106"/>
      <c r="X333" s="106"/>
      <c r="Y333" s="106"/>
      <c r="Z333" s="129"/>
      <c r="AA333" s="129"/>
      <c r="AB333" s="129"/>
      <c r="AC333" s="129"/>
      <c r="AD333" s="129"/>
      <c r="AE333" s="129"/>
      <c r="AF333" s="129"/>
      <c r="AG333" s="117"/>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c r="BK333" s="124"/>
      <c r="BL333" s="124"/>
      <c r="BM333" s="124"/>
      <c r="BN333" s="124"/>
      <c r="BO333" s="124"/>
      <c r="BP333" s="124"/>
      <c r="BQ333" s="124"/>
      <c r="BR333" s="124"/>
      <c r="BS333" s="124"/>
      <c r="BT333" s="124"/>
      <c r="BU333" s="124"/>
      <c r="BV333" s="124"/>
      <c r="BW333" s="124"/>
      <c r="BX333" s="124"/>
      <c r="BY333" s="124"/>
      <c r="BZ333" s="124"/>
      <c r="CA333" s="124"/>
    </row>
    <row r="334">
      <c r="A334" s="141"/>
      <c r="B334" s="107"/>
      <c r="C334" s="107"/>
      <c r="D334" s="143"/>
      <c r="E334" s="129"/>
      <c r="F334" s="129"/>
      <c r="G334" s="129"/>
      <c r="H334" s="129"/>
      <c r="I334" s="129"/>
      <c r="J334" s="129"/>
      <c r="K334" s="129"/>
      <c r="L334" s="129"/>
      <c r="M334" s="129"/>
      <c r="N334" s="129"/>
      <c r="O334" s="129"/>
      <c r="P334" s="129"/>
      <c r="Q334" s="129"/>
      <c r="R334" s="129"/>
      <c r="S334" s="129"/>
      <c r="T334" s="129"/>
      <c r="U334" s="106"/>
      <c r="V334" s="106"/>
      <c r="W334" s="106"/>
      <c r="X334" s="106"/>
      <c r="Y334" s="106"/>
      <c r="Z334" s="129"/>
      <c r="AA334" s="129"/>
      <c r="AB334" s="129"/>
      <c r="AC334" s="129"/>
      <c r="AD334" s="129"/>
      <c r="AE334" s="129"/>
      <c r="AF334" s="129"/>
      <c r="AG334" s="117"/>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c r="BK334" s="124"/>
      <c r="BL334" s="124"/>
      <c r="BM334" s="124"/>
      <c r="BN334" s="124"/>
      <c r="BO334" s="124"/>
      <c r="BP334" s="124"/>
      <c r="BQ334" s="124"/>
      <c r="BR334" s="124"/>
      <c r="BS334" s="124"/>
      <c r="BT334" s="124"/>
      <c r="BU334" s="124"/>
      <c r="BV334" s="124"/>
      <c r="BW334" s="124"/>
      <c r="BX334" s="124"/>
      <c r="BY334" s="124"/>
      <c r="BZ334" s="124"/>
      <c r="CA334" s="124"/>
    </row>
    <row r="335">
      <c r="A335" s="141"/>
      <c r="B335" s="107"/>
      <c r="C335" s="107"/>
      <c r="D335" s="143"/>
      <c r="E335" s="129"/>
      <c r="F335" s="129"/>
      <c r="G335" s="129"/>
      <c r="H335" s="129"/>
      <c r="I335" s="129"/>
      <c r="J335" s="129"/>
      <c r="K335" s="129"/>
      <c r="L335" s="129"/>
      <c r="M335" s="129"/>
      <c r="N335" s="129"/>
      <c r="O335" s="129"/>
      <c r="P335" s="129"/>
      <c r="Q335" s="129"/>
      <c r="R335" s="129"/>
      <c r="S335" s="129"/>
      <c r="T335" s="129"/>
      <c r="U335" s="106"/>
      <c r="V335" s="106"/>
      <c r="W335" s="106"/>
      <c r="X335" s="106"/>
      <c r="Y335" s="106"/>
      <c r="Z335" s="129"/>
      <c r="AA335" s="129"/>
      <c r="AB335" s="129"/>
      <c r="AC335" s="129"/>
      <c r="AD335" s="129"/>
      <c r="AE335" s="129"/>
      <c r="AF335" s="129"/>
      <c r="AG335" s="117"/>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c r="BK335" s="124"/>
      <c r="BL335" s="124"/>
      <c r="BM335" s="124"/>
      <c r="BN335" s="124"/>
      <c r="BO335" s="124"/>
      <c r="BP335" s="124"/>
      <c r="BQ335" s="124"/>
      <c r="BR335" s="124"/>
      <c r="BS335" s="124"/>
      <c r="BT335" s="124"/>
      <c r="BU335" s="124"/>
      <c r="BV335" s="124"/>
      <c r="BW335" s="124"/>
      <c r="BX335" s="124"/>
      <c r="BY335" s="124"/>
      <c r="BZ335" s="124"/>
      <c r="CA335" s="124"/>
    </row>
    <row r="336">
      <c r="A336" s="141"/>
      <c r="B336" s="107"/>
      <c r="C336" s="107"/>
      <c r="D336" s="143"/>
      <c r="E336" s="129"/>
      <c r="F336" s="129"/>
      <c r="G336" s="129"/>
      <c r="H336" s="129"/>
      <c r="I336" s="129"/>
      <c r="J336" s="129"/>
      <c r="K336" s="129"/>
      <c r="L336" s="129"/>
      <c r="M336" s="129"/>
      <c r="N336" s="129"/>
      <c r="O336" s="129"/>
      <c r="P336" s="129"/>
      <c r="Q336" s="129"/>
      <c r="R336" s="129"/>
      <c r="S336" s="129"/>
      <c r="T336" s="129"/>
      <c r="U336" s="106"/>
      <c r="V336" s="106"/>
      <c r="W336" s="106"/>
      <c r="X336" s="106"/>
      <c r="Y336" s="106"/>
      <c r="Z336" s="129"/>
      <c r="AA336" s="129"/>
      <c r="AB336" s="129"/>
      <c r="AC336" s="129"/>
      <c r="AD336" s="129"/>
      <c r="AE336" s="129"/>
      <c r="AF336" s="129"/>
      <c r="AG336" s="117"/>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c r="BK336" s="124"/>
      <c r="BL336" s="124"/>
      <c r="BM336" s="124"/>
      <c r="BN336" s="124"/>
      <c r="BO336" s="124"/>
      <c r="BP336" s="124"/>
      <c r="BQ336" s="124"/>
      <c r="BR336" s="124"/>
      <c r="BS336" s="124"/>
      <c r="BT336" s="124"/>
      <c r="BU336" s="124"/>
      <c r="BV336" s="124"/>
      <c r="BW336" s="124"/>
      <c r="BX336" s="124"/>
      <c r="BY336" s="124"/>
      <c r="BZ336" s="124"/>
      <c r="CA336" s="124"/>
    </row>
    <row r="337">
      <c r="A337" s="141"/>
      <c r="B337" s="107"/>
      <c r="C337" s="107"/>
      <c r="D337" s="143"/>
      <c r="E337" s="129"/>
      <c r="F337" s="129"/>
      <c r="G337" s="129"/>
      <c r="H337" s="129"/>
      <c r="I337" s="129"/>
      <c r="J337" s="129"/>
      <c r="K337" s="129"/>
      <c r="L337" s="129"/>
      <c r="M337" s="129"/>
      <c r="N337" s="129"/>
      <c r="O337" s="129"/>
      <c r="P337" s="129"/>
      <c r="Q337" s="129"/>
      <c r="R337" s="129"/>
      <c r="S337" s="129"/>
      <c r="T337" s="129"/>
      <c r="U337" s="106"/>
      <c r="V337" s="106"/>
      <c r="W337" s="106"/>
      <c r="X337" s="106"/>
      <c r="Y337" s="106"/>
      <c r="Z337" s="129"/>
      <c r="AA337" s="129"/>
      <c r="AB337" s="129"/>
      <c r="AC337" s="129"/>
      <c r="AD337" s="129"/>
      <c r="AE337" s="129"/>
      <c r="AF337" s="129"/>
      <c r="AG337" s="117"/>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c r="BK337" s="124"/>
      <c r="BL337" s="124"/>
      <c r="BM337" s="124"/>
      <c r="BN337" s="124"/>
      <c r="BO337" s="124"/>
      <c r="BP337" s="124"/>
      <c r="BQ337" s="124"/>
      <c r="BR337" s="124"/>
      <c r="BS337" s="124"/>
      <c r="BT337" s="124"/>
      <c r="BU337" s="124"/>
      <c r="BV337" s="124"/>
      <c r="BW337" s="124"/>
      <c r="BX337" s="124"/>
      <c r="BY337" s="124"/>
      <c r="BZ337" s="124"/>
      <c r="CA337" s="124"/>
    </row>
    <row r="338">
      <c r="A338" s="141"/>
      <c r="B338" s="107"/>
      <c r="C338" s="107"/>
      <c r="D338" s="143"/>
      <c r="E338" s="129"/>
      <c r="F338" s="129"/>
      <c r="G338" s="129"/>
      <c r="H338" s="129"/>
      <c r="I338" s="129"/>
      <c r="J338" s="129"/>
      <c r="K338" s="129"/>
      <c r="L338" s="129"/>
      <c r="M338" s="129"/>
      <c r="N338" s="129"/>
      <c r="O338" s="129"/>
      <c r="P338" s="129"/>
      <c r="Q338" s="129"/>
      <c r="R338" s="129"/>
      <c r="S338" s="129"/>
      <c r="T338" s="129"/>
      <c r="U338" s="106"/>
      <c r="V338" s="106"/>
      <c r="W338" s="106"/>
      <c r="X338" s="106"/>
      <c r="Y338" s="106"/>
      <c r="Z338" s="129"/>
      <c r="AA338" s="129"/>
      <c r="AB338" s="129"/>
      <c r="AC338" s="129"/>
      <c r="AD338" s="129"/>
      <c r="AE338" s="129"/>
      <c r="AF338" s="129"/>
      <c r="AG338" s="117"/>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row>
    <row r="339">
      <c r="A339" s="141"/>
      <c r="B339" s="107"/>
      <c r="C339" s="107"/>
      <c r="D339" s="143"/>
      <c r="E339" s="129"/>
      <c r="F339" s="129"/>
      <c r="G339" s="129"/>
      <c r="H339" s="129"/>
      <c r="I339" s="129"/>
      <c r="J339" s="129"/>
      <c r="K339" s="129"/>
      <c r="L339" s="129"/>
      <c r="M339" s="129"/>
      <c r="N339" s="129"/>
      <c r="O339" s="129"/>
      <c r="P339" s="129"/>
      <c r="Q339" s="129"/>
      <c r="R339" s="129"/>
      <c r="S339" s="129"/>
      <c r="T339" s="129"/>
      <c r="U339" s="106"/>
      <c r="V339" s="106"/>
      <c r="W339" s="106"/>
      <c r="X339" s="106"/>
      <c r="Y339" s="106"/>
      <c r="Z339" s="129"/>
      <c r="AA339" s="129"/>
      <c r="AB339" s="129"/>
      <c r="AC339" s="129"/>
      <c r="AD339" s="129"/>
      <c r="AE339" s="129"/>
      <c r="AF339" s="129"/>
      <c r="AG339" s="117"/>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c r="BK339" s="124"/>
      <c r="BL339" s="124"/>
      <c r="BM339" s="124"/>
      <c r="BN339" s="124"/>
      <c r="BO339" s="124"/>
      <c r="BP339" s="124"/>
      <c r="BQ339" s="124"/>
      <c r="BR339" s="124"/>
      <c r="BS339" s="124"/>
      <c r="BT339" s="124"/>
      <c r="BU339" s="124"/>
      <c r="BV339" s="124"/>
      <c r="BW339" s="124"/>
      <c r="BX339" s="124"/>
      <c r="BY339" s="124"/>
      <c r="BZ339" s="124"/>
      <c r="CA339" s="124"/>
    </row>
    <row r="340">
      <c r="A340" s="141"/>
      <c r="B340" s="107"/>
      <c r="C340" s="107"/>
      <c r="D340" s="143"/>
      <c r="E340" s="129"/>
      <c r="F340" s="129"/>
      <c r="G340" s="129"/>
      <c r="H340" s="129"/>
      <c r="I340" s="129"/>
      <c r="J340" s="129"/>
      <c r="K340" s="129"/>
      <c r="L340" s="129"/>
      <c r="M340" s="129"/>
      <c r="N340" s="129"/>
      <c r="O340" s="129"/>
      <c r="P340" s="129"/>
      <c r="Q340" s="129"/>
      <c r="R340" s="129"/>
      <c r="S340" s="129"/>
      <c r="T340" s="129"/>
      <c r="U340" s="106"/>
      <c r="V340" s="106"/>
      <c r="W340" s="106"/>
      <c r="X340" s="106"/>
      <c r="Y340" s="106"/>
      <c r="Z340" s="129"/>
      <c r="AA340" s="129"/>
      <c r="AB340" s="129"/>
      <c r="AC340" s="129"/>
      <c r="AD340" s="129"/>
      <c r="AE340" s="129"/>
      <c r="AF340" s="129"/>
      <c r="AG340" s="117"/>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c r="BK340" s="124"/>
      <c r="BL340" s="124"/>
      <c r="BM340" s="124"/>
      <c r="BN340" s="124"/>
      <c r="BO340" s="124"/>
      <c r="BP340" s="124"/>
      <c r="BQ340" s="124"/>
      <c r="BR340" s="124"/>
      <c r="BS340" s="124"/>
      <c r="BT340" s="124"/>
      <c r="BU340" s="124"/>
      <c r="BV340" s="124"/>
      <c r="BW340" s="124"/>
      <c r="BX340" s="124"/>
      <c r="BY340" s="124"/>
      <c r="BZ340" s="124"/>
      <c r="CA340" s="124"/>
    </row>
    <row r="341">
      <c r="A341" s="141"/>
      <c r="B341" s="107"/>
      <c r="C341" s="107"/>
      <c r="D341" s="143"/>
      <c r="E341" s="129"/>
      <c r="F341" s="129"/>
      <c r="G341" s="129"/>
      <c r="H341" s="129"/>
      <c r="I341" s="129"/>
      <c r="J341" s="129"/>
      <c r="K341" s="129"/>
      <c r="L341" s="129"/>
      <c r="M341" s="129"/>
      <c r="N341" s="129"/>
      <c r="O341" s="129"/>
      <c r="P341" s="129"/>
      <c r="Q341" s="129"/>
      <c r="R341" s="129"/>
      <c r="S341" s="129"/>
      <c r="T341" s="129"/>
      <c r="U341" s="106"/>
      <c r="V341" s="106"/>
      <c r="W341" s="106"/>
      <c r="X341" s="106"/>
      <c r="Y341" s="106"/>
      <c r="Z341" s="129"/>
      <c r="AA341" s="129"/>
      <c r="AB341" s="129"/>
      <c r="AC341" s="129"/>
      <c r="AD341" s="129"/>
      <c r="AE341" s="129"/>
      <c r="AF341" s="129"/>
      <c r="AG341" s="117"/>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c r="BK341" s="124"/>
      <c r="BL341" s="124"/>
      <c r="BM341" s="124"/>
      <c r="BN341" s="124"/>
      <c r="BO341" s="124"/>
      <c r="BP341" s="124"/>
      <c r="BQ341" s="124"/>
      <c r="BR341" s="124"/>
      <c r="BS341" s="124"/>
      <c r="BT341" s="124"/>
      <c r="BU341" s="124"/>
      <c r="BV341" s="124"/>
      <c r="BW341" s="124"/>
      <c r="BX341" s="124"/>
      <c r="BY341" s="124"/>
      <c r="BZ341" s="124"/>
      <c r="CA341" s="124"/>
    </row>
    <row r="342">
      <c r="A342" s="141"/>
      <c r="B342" s="107"/>
      <c r="C342" s="107"/>
      <c r="D342" s="143"/>
      <c r="E342" s="129"/>
      <c r="F342" s="129"/>
      <c r="G342" s="129"/>
      <c r="H342" s="129"/>
      <c r="I342" s="129"/>
      <c r="J342" s="129"/>
      <c r="K342" s="129"/>
      <c r="L342" s="129"/>
      <c r="M342" s="129"/>
      <c r="N342" s="129"/>
      <c r="O342" s="129"/>
      <c r="P342" s="129"/>
      <c r="Q342" s="129"/>
      <c r="R342" s="129"/>
      <c r="S342" s="129"/>
      <c r="T342" s="129"/>
      <c r="U342" s="106"/>
      <c r="V342" s="106"/>
      <c r="W342" s="106"/>
      <c r="X342" s="106"/>
      <c r="Y342" s="106"/>
      <c r="Z342" s="129"/>
      <c r="AA342" s="129"/>
      <c r="AB342" s="129"/>
      <c r="AC342" s="129"/>
      <c r="AD342" s="129"/>
      <c r="AE342" s="129"/>
      <c r="AF342" s="129"/>
      <c r="AG342" s="117"/>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c r="BK342" s="124"/>
      <c r="BL342" s="124"/>
      <c r="BM342" s="124"/>
      <c r="BN342" s="124"/>
      <c r="BO342" s="124"/>
      <c r="BP342" s="124"/>
      <c r="BQ342" s="124"/>
      <c r="BR342" s="124"/>
      <c r="BS342" s="124"/>
      <c r="BT342" s="124"/>
      <c r="BU342" s="124"/>
      <c r="BV342" s="124"/>
      <c r="BW342" s="124"/>
      <c r="BX342" s="124"/>
      <c r="BY342" s="124"/>
      <c r="BZ342" s="124"/>
      <c r="CA342" s="124"/>
    </row>
    <row r="343">
      <c r="A343" s="141"/>
      <c r="B343" s="107"/>
      <c r="C343" s="107"/>
      <c r="D343" s="143"/>
      <c r="E343" s="129"/>
      <c r="F343" s="129"/>
      <c r="G343" s="129"/>
      <c r="H343" s="129"/>
      <c r="I343" s="129"/>
      <c r="J343" s="129"/>
      <c r="K343" s="129"/>
      <c r="L343" s="129"/>
      <c r="M343" s="129"/>
      <c r="N343" s="129"/>
      <c r="O343" s="129"/>
      <c r="P343" s="129"/>
      <c r="Q343" s="129"/>
      <c r="R343" s="129"/>
      <c r="S343" s="129"/>
      <c r="T343" s="129"/>
      <c r="U343" s="106"/>
      <c r="V343" s="106"/>
      <c r="W343" s="106"/>
      <c r="X343" s="106"/>
      <c r="Y343" s="106"/>
      <c r="Z343" s="129"/>
      <c r="AA343" s="129"/>
      <c r="AB343" s="129"/>
      <c r="AC343" s="129"/>
      <c r="AD343" s="129"/>
      <c r="AE343" s="129"/>
      <c r="AF343" s="129"/>
      <c r="AG343" s="117"/>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c r="BK343" s="124"/>
      <c r="BL343" s="124"/>
      <c r="BM343" s="124"/>
      <c r="BN343" s="124"/>
      <c r="BO343" s="124"/>
      <c r="BP343" s="124"/>
      <c r="BQ343" s="124"/>
      <c r="BR343" s="124"/>
      <c r="BS343" s="124"/>
      <c r="BT343" s="124"/>
      <c r="BU343" s="124"/>
      <c r="BV343" s="124"/>
      <c r="BW343" s="124"/>
      <c r="BX343" s="124"/>
      <c r="BY343" s="124"/>
      <c r="BZ343" s="124"/>
      <c r="CA343" s="124"/>
    </row>
    <row r="344">
      <c r="A344" s="141"/>
      <c r="B344" s="107"/>
      <c r="C344" s="107"/>
      <c r="D344" s="143"/>
      <c r="E344" s="129"/>
      <c r="F344" s="129"/>
      <c r="G344" s="129"/>
      <c r="H344" s="129"/>
      <c r="I344" s="129"/>
      <c r="J344" s="129"/>
      <c r="K344" s="129"/>
      <c r="L344" s="129"/>
      <c r="M344" s="129"/>
      <c r="N344" s="129"/>
      <c r="O344" s="129"/>
      <c r="P344" s="129"/>
      <c r="Q344" s="129"/>
      <c r="R344" s="129"/>
      <c r="S344" s="129"/>
      <c r="T344" s="129"/>
      <c r="U344" s="106"/>
      <c r="V344" s="106"/>
      <c r="W344" s="106"/>
      <c r="X344" s="106"/>
      <c r="Y344" s="106"/>
      <c r="Z344" s="129"/>
      <c r="AA344" s="129"/>
      <c r="AB344" s="129"/>
      <c r="AC344" s="129"/>
      <c r="AD344" s="129"/>
      <c r="AE344" s="129"/>
      <c r="AF344" s="129"/>
      <c r="AG344" s="117"/>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c r="BK344" s="124"/>
      <c r="BL344" s="124"/>
      <c r="BM344" s="124"/>
      <c r="BN344" s="124"/>
      <c r="BO344" s="124"/>
      <c r="BP344" s="124"/>
      <c r="BQ344" s="124"/>
      <c r="BR344" s="124"/>
      <c r="BS344" s="124"/>
      <c r="BT344" s="124"/>
      <c r="BU344" s="124"/>
      <c r="BV344" s="124"/>
      <c r="BW344" s="124"/>
      <c r="BX344" s="124"/>
      <c r="BY344" s="124"/>
      <c r="BZ344" s="124"/>
      <c r="CA344" s="124"/>
    </row>
    <row r="345">
      <c r="A345" s="141"/>
      <c r="B345" s="107"/>
      <c r="C345" s="107"/>
      <c r="D345" s="143"/>
      <c r="E345" s="129"/>
      <c r="F345" s="129"/>
      <c r="G345" s="129"/>
      <c r="H345" s="129"/>
      <c r="I345" s="129"/>
      <c r="J345" s="129"/>
      <c r="K345" s="129"/>
      <c r="L345" s="129"/>
      <c r="M345" s="129"/>
      <c r="N345" s="129"/>
      <c r="O345" s="129"/>
      <c r="P345" s="129"/>
      <c r="Q345" s="129"/>
      <c r="R345" s="129"/>
      <c r="S345" s="129"/>
      <c r="T345" s="129"/>
      <c r="U345" s="106"/>
      <c r="V345" s="106"/>
      <c r="W345" s="106"/>
      <c r="X345" s="106"/>
      <c r="Y345" s="106"/>
      <c r="Z345" s="129"/>
      <c r="AA345" s="129"/>
      <c r="AB345" s="129"/>
      <c r="AC345" s="129"/>
      <c r="AD345" s="129"/>
      <c r="AE345" s="129"/>
      <c r="AF345" s="129"/>
      <c r="AG345" s="117"/>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row>
    <row r="346">
      <c r="A346" s="141"/>
      <c r="B346" s="107"/>
      <c r="C346" s="107"/>
      <c r="D346" s="143"/>
      <c r="E346" s="129"/>
      <c r="F346" s="129"/>
      <c r="G346" s="129"/>
      <c r="H346" s="129"/>
      <c r="I346" s="129"/>
      <c r="J346" s="129"/>
      <c r="K346" s="129"/>
      <c r="L346" s="129"/>
      <c r="M346" s="129"/>
      <c r="N346" s="129"/>
      <c r="O346" s="129"/>
      <c r="P346" s="129"/>
      <c r="Q346" s="129"/>
      <c r="R346" s="129"/>
      <c r="S346" s="129"/>
      <c r="T346" s="129"/>
      <c r="U346" s="106"/>
      <c r="V346" s="106"/>
      <c r="W346" s="106"/>
      <c r="X346" s="106"/>
      <c r="Y346" s="106"/>
      <c r="Z346" s="129"/>
      <c r="AA346" s="129"/>
      <c r="AB346" s="129"/>
      <c r="AC346" s="129"/>
      <c r="AD346" s="129"/>
      <c r="AE346" s="129"/>
      <c r="AF346" s="129"/>
      <c r="AG346" s="117"/>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c r="BK346" s="124"/>
      <c r="BL346" s="124"/>
      <c r="BM346" s="124"/>
      <c r="BN346" s="124"/>
      <c r="BO346" s="124"/>
      <c r="BP346" s="124"/>
      <c r="BQ346" s="124"/>
      <c r="BR346" s="124"/>
      <c r="BS346" s="124"/>
      <c r="BT346" s="124"/>
      <c r="BU346" s="124"/>
      <c r="BV346" s="124"/>
      <c r="BW346" s="124"/>
      <c r="BX346" s="124"/>
      <c r="BY346" s="124"/>
      <c r="BZ346" s="124"/>
      <c r="CA346" s="124"/>
    </row>
    <row r="347">
      <c r="A347" s="141"/>
      <c r="B347" s="107"/>
      <c r="C347" s="107"/>
      <c r="D347" s="143"/>
      <c r="E347" s="129"/>
      <c r="F347" s="129"/>
      <c r="G347" s="129"/>
      <c r="H347" s="129"/>
      <c r="I347" s="129"/>
      <c r="J347" s="129"/>
      <c r="K347" s="129"/>
      <c r="L347" s="129"/>
      <c r="M347" s="129"/>
      <c r="N347" s="129"/>
      <c r="O347" s="129"/>
      <c r="P347" s="129"/>
      <c r="Q347" s="129"/>
      <c r="R347" s="129"/>
      <c r="S347" s="129"/>
      <c r="T347" s="129"/>
      <c r="U347" s="106"/>
      <c r="V347" s="106"/>
      <c r="W347" s="106"/>
      <c r="X347" s="106"/>
      <c r="Y347" s="106"/>
      <c r="Z347" s="129"/>
      <c r="AA347" s="129"/>
      <c r="AB347" s="129"/>
      <c r="AC347" s="129"/>
      <c r="AD347" s="129"/>
      <c r="AE347" s="129"/>
      <c r="AF347" s="129"/>
      <c r="AG347" s="117"/>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c r="BK347" s="124"/>
      <c r="BL347" s="124"/>
      <c r="BM347" s="124"/>
      <c r="BN347" s="124"/>
      <c r="BO347" s="124"/>
      <c r="BP347" s="124"/>
      <c r="BQ347" s="124"/>
      <c r="BR347" s="124"/>
      <c r="BS347" s="124"/>
      <c r="BT347" s="124"/>
      <c r="BU347" s="124"/>
      <c r="BV347" s="124"/>
      <c r="BW347" s="124"/>
      <c r="BX347" s="124"/>
      <c r="BY347" s="124"/>
      <c r="BZ347" s="124"/>
      <c r="CA347" s="124"/>
    </row>
    <row r="348">
      <c r="A348" s="141"/>
      <c r="B348" s="107"/>
      <c r="C348" s="107"/>
      <c r="D348" s="143"/>
      <c r="E348" s="129"/>
      <c r="F348" s="129"/>
      <c r="G348" s="129"/>
      <c r="H348" s="129"/>
      <c r="I348" s="129"/>
      <c r="J348" s="129"/>
      <c r="K348" s="129"/>
      <c r="L348" s="129"/>
      <c r="M348" s="129"/>
      <c r="N348" s="129"/>
      <c r="O348" s="129"/>
      <c r="P348" s="129"/>
      <c r="Q348" s="129"/>
      <c r="R348" s="129"/>
      <c r="S348" s="129"/>
      <c r="T348" s="129"/>
      <c r="U348" s="106"/>
      <c r="V348" s="106"/>
      <c r="W348" s="106"/>
      <c r="X348" s="106"/>
      <c r="Y348" s="106"/>
      <c r="Z348" s="129"/>
      <c r="AA348" s="129"/>
      <c r="AB348" s="129"/>
      <c r="AC348" s="129"/>
      <c r="AD348" s="129"/>
      <c r="AE348" s="129"/>
      <c r="AF348" s="129"/>
      <c r="AG348" s="117"/>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c r="BK348" s="124"/>
      <c r="BL348" s="124"/>
      <c r="BM348" s="124"/>
      <c r="BN348" s="124"/>
      <c r="BO348" s="124"/>
      <c r="BP348" s="124"/>
      <c r="BQ348" s="124"/>
      <c r="BR348" s="124"/>
      <c r="BS348" s="124"/>
      <c r="BT348" s="124"/>
      <c r="BU348" s="124"/>
      <c r="BV348" s="124"/>
      <c r="BW348" s="124"/>
      <c r="BX348" s="124"/>
      <c r="BY348" s="124"/>
      <c r="BZ348" s="124"/>
      <c r="CA348" s="124"/>
    </row>
    <row r="349">
      <c r="A349" s="141"/>
      <c r="B349" s="107"/>
      <c r="C349" s="107"/>
      <c r="D349" s="143"/>
      <c r="E349" s="129"/>
      <c r="F349" s="129"/>
      <c r="G349" s="129"/>
      <c r="H349" s="129"/>
      <c r="I349" s="129"/>
      <c r="J349" s="129"/>
      <c r="K349" s="129"/>
      <c r="L349" s="129"/>
      <c r="M349" s="129"/>
      <c r="N349" s="129"/>
      <c r="O349" s="129"/>
      <c r="P349" s="129"/>
      <c r="Q349" s="129"/>
      <c r="R349" s="129"/>
      <c r="S349" s="129"/>
      <c r="T349" s="129"/>
      <c r="U349" s="106"/>
      <c r="V349" s="106"/>
      <c r="W349" s="106"/>
      <c r="X349" s="106"/>
      <c r="Y349" s="106"/>
      <c r="Z349" s="129"/>
      <c r="AA349" s="129"/>
      <c r="AB349" s="129"/>
      <c r="AC349" s="129"/>
      <c r="AD349" s="129"/>
      <c r="AE349" s="129"/>
      <c r="AF349" s="129"/>
      <c r="AG349" s="117"/>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c r="BK349" s="124"/>
      <c r="BL349" s="124"/>
      <c r="BM349" s="124"/>
      <c r="BN349" s="124"/>
      <c r="BO349" s="124"/>
      <c r="BP349" s="124"/>
      <c r="BQ349" s="124"/>
      <c r="BR349" s="124"/>
      <c r="BS349" s="124"/>
      <c r="BT349" s="124"/>
      <c r="BU349" s="124"/>
      <c r="BV349" s="124"/>
      <c r="BW349" s="124"/>
      <c r="BX349" s="124"/>
      <c r="BY349" s="124"/>
      <c r="BZ349" s="124"/>
      <c r="CA349" s="124"/>
    </row>
    <row r="350">
      <c r="A350" s="141"/>
      <c r="B350" s="107"/>
      <c r="C350" s="107"/>
      <c r="D350" s="143"/>
      <c r="E350" s="129"/>
      <c r="F350" s="129"/>
      <c r="G350" s="129"/>
      <c r="H350" s="129"/>
      <c r="I350" s="129"/>
      <c r="J350" s="129"/>
      <c r="K350" s="129"/>
      <c r="L350" s="129"/>
      <c r="M350" s="129"/>
      <c r="N350" s="129"/>
      <c r="O350" s="129"/>
      <c r="P350" s="129"/>
      <c r="Q350" s="129"/>
      <c r="R350" s="129"/>
      <c r="S350" s="129"/>
      <c r="T350" s="129"/>
      <c r="U350" s="106"/>
      <c r="V350" s="106"/>
      <c r="W350" s="106"/>
      <c r="X350" s="106"/>
      <c r="Y350" s="106"/>
      <c r="Z350" s="129"/>
      <c r="AA350" s="129"/>
      <c r="AB350" s="129"/>
      <c r="AC350" s="129"/>
      <c r="AD350" s="129"/>
      <c r="AE350" s="129"/>
      <c r="AF350" s="129"/>
      <c r="AG350" s="117"/>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c r="BK350" s="124"/>
      <c r="BL350" s="124"/>
      <c r="BM350" s="124"/>
      <c r="BN350" s="124"/>
      <c r="BO350" s="124"/>
      <c r="BP350" s="124"/>
      <c r="BQ350" s="124"/>
      <c r="BR350" s="124"/>
      <c r="BS350" s="124"/>
      <c r="BT350" s="124"/>
      <c r="BU350" s="124"/>
      <c r="BV350" s="124"/>
      <c r="BW350" s="124"/>
      <c r="BX350" s="124"/>
      <c r="BY350" s="124"/>
      <c r="BZ350" s="124"/>
      <c r="CA350" s="124"/>
    </row>
    <row r="351">
      <c r="A351" s="141"/>
      <c r="B351" s="107"/>
      <c r="C351" s="107"/>
      <c r="D351" s="143"/>
      <c r="E351" s="129"/>
      <c r="F351" s="129"/>
      <c r="G351" s="129"/>
      <c r="H351" s="129"/>
      <c r="I351" s="129"/>
      <c r="J351" s="129"/>
      <c r="K351" s="129"/>
      <c r="L351" s="129"/>
      <c r="M351" s="129"/>
      <c r="N351" s="129"/>
      <c r="O351" s="129"/>
      <c r="P351" s="129"/>
      <c r="Q351" s="129"/>
      <c r="R351" s="129"/>
      <c r="S351" s="129"/>
      <c r="T351" s="129"/>
      <c r="U351" s="106"/>
      <c r="V351" s="106"/>
      <c r="W351" s="106"/>
      <c r="X351" s="106"/>
      <c r="Y351" s="106"/>
      <c r="Z351" s="129"/>
      <c r="AA351" s="129"/>
      <c r="AB351" s="129"/>
      <c r="AC351" s="129"/>
      <c r="AD351" s="129"/>
      <c r="AE351" s="129"/>
      <c r="AF351" s="129"/>
      <c r="AG351" s="117"/>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c r="BK351" s="124"/>
      <c r="BL351" s="124"/>
      <c r="BM351" s="124"/>
      <c r="BN351" s="124"/>
      <c r="BO351" s="124"/>
      <c r="BP351" s="124"/>
      <c r="BQ351" s="124"/>
      <c r="BR351" s="124"/>
      <c r="BS351" s="124"/>
      <c r="BT351" s="124"/>
      <c r="BU351" s="124"/>
      <c r="BV351" s="124"/>
      <c r="BW351" s="124"/>
      <c r="BX351" s="124"/>
      <c r="BY351" s="124"/>
      <c r="BZ351" s="124"/>
      <c r="CA351" s="124"/>
    </row>
    <row r="352">
      <c r="A352" s="141"/>
      <c r="B352" s="107"/>
      <c r="C352" s="107"/>
      <c r="D352" s="143"/>
      <c r="E352" s="129"/>
      <c r="F352" s="129"/>
      <c r="G352" s="129"/>
      <c r="H352" s="129"/>
      <c r="I352" s="129"/>
      <c r="J352" s="129"/>
      <c r="K352" s="129"/>
      <c r="L352" s="129"/>
      <c r="M352" s="129"/>
      <c r="N352" s="129"/>
      <c r="O352" s="129"/>
      <c r="P352" s="129"/>
      <c r="Q352" s="129"/>
      <c r="R352" s="129"/>
      <c r="S352" s="129"/>
      <c r="T352" s="129"/>
      <c r="U352" s="106"/>
      <c r="V352" s="106"/>
      <c r="W352" s="106"/>
      <c r="X352" s="106"/>
      <c r="Y352" s="106"/>
      <c r="Z352" s="129"/>
      <c r="AA352" s="129"/>
      <c r="AB352" s="129"/>
      <c r="AC352" s="129"/>
      <c r="AD352" s="129"/>
      <c r="AE352" s="129"/>
      <c r="AF352" s="129"/>
      <c r="AG352" s="117"/>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c r="BK352" s="124"/>
      <c r="BL352" s="124"/>
      <c r="BM352" s="124"/>
      <c r="BN352" s="124"/>
      <c r="BO352" s="124"/>
      <c r="BP352" s="124"/>
      <c r="BQ352" s="124"/>
      <c r="BR352" s="124"/>
      <c r="BS352" s="124"/>
      <c r="BT352" s="124"/>
      <c r="BU352" s="124"/>
      <c r="BV352" s="124"/>
      <c r="BW352" s="124"/>
      <c r="BX352" s="124"/>
      <c r="BY352" s="124"/>
      <c r="BZ352" s="124"/>
      <c r="CA352" s="124"/>
    </row>
    <row r="353">
      <c r="A353" s="141"/>
      <c r="B353" s="107"/>
      <c r="C353" s="107"/>
      <c r="D353" s="143"/>
      <c r="E353" s="129"/>
      <c r="F353" s="129"/>
      <c r="G353" s="129"/>
      <c r="H353" s="129"/>
      <c r="I353" s="129"/>
      <c r="J353" s="129"/>
      <c r="K353" s="129"/>
      <c r="L353" s="129"/>
      <c r="M353" s="129"/>
      <c r="N353" s="129"/>
      <c r="O353" s="129"/>
      <c r="P353" s="129"/>
      <c r="Q353" s="129"/>
      <c r="R353" s="129"/>
      <c r="S353" s="129"/>
      <c r="T353" s="129"/>
      <c r="U353" s="106"/>
      <c r="V353" s="106"/>
      <c r="W353" s="106"/>
      <c r="X353" s="106"/>
      <c r="Y353" s="106"/>
      <c r="Z353" s="129"/>
      <c r="AA353" s="129"/>
      <c r="AB353" s="129"/>
      <c r="AC353" s="129"/>
      <c r="AD353" s="129"/>
      <c r="AE353" s="129"/>
      <c r="AF353" s="129"/>
      <c r="AG353" s="117"/>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c r="BK353" s="124"/>
      <c r="BL353" s="124"/>
      <c r="BM353" s="124"/>
      <c r="BN353" s="124"/>
      <c r="BO353" s="124"/>
      <c r="BP353" s="124"/>
      <c r="BQ353" s="124"/>
      <c r="BR353" s="124"/>
      <c r="BS353" s="124"/>
      <c r="BT353" s="124"/>
      <c r="BU353" s="124"/>
      <c r="BV353" s="124"/>
      <c r="BW353" s="124"/>
      <c r="BX353" s="124"/>
      <c r="BY353" s="124"/>
      <c r="BZ353" s="124"/>
      <c r="CA353" s="124"/>
    </row>
    <row r="354">
      <c r="A354" s="141"/>
      <c r="B354" s="107"/>
      <c r="C354" s="107"/>
      <c r="D354" s="143"/>
      <c r="E354" s="129"/>
      <c r="F354" s="129"/>
      <c r="G354" s="129"/>
      <c r="H354" s="129"/>
      <c r="I354" s="129"/>
      <c r="J354" s="129"/>
      <c r="K354" s="129"/>
      <c r="L354" s="129"/>
      <c r="M354" s="129"/>
      <c r="N354" s="129"/>
      <c r="O354" s="129"/>
      <c r="P354" s="129"/>
      <c r="Q354" s="129"/>
      <c r="R354" s="129"/>
      <c r="S354" s="129"/>
      <c r="T354" s="129"/>
      <c r="U354" s="106"/>
      <c r="V354" s="106"/>
      <c r="W354" s="106"/>
      <c r="X354" s="106"/>
      <c r="Y354" s="106"/>
      <c r="Z354" s="129"/>
      <c r="AA354" s="129"/>
      <c r="AB354" s="129"/>
      <c r="AC354" s="129"/>
      <c r="AD354" s="129"/>
      <c r="AE354" s="129"/>
      <c r="AF354" s="129"/>
      <c r="AG354" s="117"/>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row>
    <row r="355">
      <c r="A355" s="141"/>
      <c r="B355" s="107"/>
      <c r="C355" s="107"/>
      <c r="D355" s="143"/>
      <c r="E355" s="129"/>
      <c r="F355" s="129"/>
      <c r="G355" s="129"/>
      <c r="H355" s="129"/>
      <c r="I355" s="129"/>
      <c r="J355" s="129"/>
      <c r="K355" s="129"/>
      <c r="L355" s="129"/>
      <c r="M355" s="129"/>
      <c r="N355" s="129"/>
      <c r="O355" s="129"/>
      <c r="P355" s="129"/>
      <c r="Q355" s="129"/>
      <c r="R355" s="129"/>
      <c r="S355" s="129"/>
      <c r="T355" s="129"/>
      <c r="U355" s="106"/>
      <c r="V355" s="106"/>
      <c r="W355" s="106"/>
      <c r="X355" s="106"/>
      <c r="Y355" s="106"/>
      <c r="Z355" s="129"/>
      <c r="AA355" s="129"/>
      <c r="AB355" s="129"/>
      <c r="AC355" s="129"/>
      <c r="AD355" s="129"/>
      <c r="AE355" s="129"/>
      <c r="AF355" s="129"/>
      <c r="AG355" s="117"/>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c r="BK355" s="124"/>
      <c r="BL355" s="124"/>
      <c r="BM355" s="124"/>
      <c r="BN355" s="124"/>
      <c r="BO355" s="124"/>
      <c r="BP355" s="124"/>
      <c r="BQ355" s="124"/>
      <c r="BR355" s="124"/>
      <c r="BS355" s="124"/>
      <c r="BT355" s="124"/>
      <c r="BU355" s="124"/>
      <c r="BV355" s="124"/>
      <c r="BW355" s="124"/>
      <c r="BX355" s="124"/>
      <c r="BY355" s="124"/>
      <c r="BZ355" s="124"/>
      <c r="CA355" s="124"/>
    </row>
    <row r="356">
      <c r="A356" s="141"/>
      <c r="B356" s="107"/>
      <c r="C356" s="107"/>
      <c r="D356" s="143"/>
      <c r="E356" s="129"/>
      <c r="F356" s="129"/>
      <c r="G356" s="129"/>
      <c r="H356" s="129"/>
      <c r="I356" s="129"/>
      <c r="J356" s="129"/>
      <c r="K356" s="129"/>
      <c r="L356" s="129"/>
      <c r="M356" s="129"/>
      <c r="N356" s="129"/>
      <c r="O356" s="129"/>
      <c r="P356" s="129"/>
      <c r="Q356" s="129"/>
      <c r="R356" s="129"/>
      <c r="S356" s="129"/>
      <c r="T356" s="129"/>
      <c r="U356" s="106"/>
      <c r="V356" s="106"/>
      <c r="W356" s="106"/>
      <c r="X356" s="106"/>
      <c r="Y356" s="106"/>
      <c r="Z356" s="129"/>
      <c r="AA356" s="129"/>
      <c r="AB356" s="129"/>
      <c r="AC356" s="129"/>
      <c r="AD356" s="129"/>
      <c r="AE356" s="129"/>
      <c r="AF356" s="129"/>
      <c r="AG356" s="117"/>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row>
    <row r="357">
      <c r="A357" s="141"/>
      <c r="B357" s="107"/>
      <c r="C357" s="107"/>
      <c r="D357" s="143"/>
      <c r="E357" s="129"/>
      <c r="F357" s="129"/>
      <c r="G357" s="129"/>
      <c r="H357" s="129"/>
      <c r="I357" s="129"/>
      <c r="J357" s="129"/>
      <c r="K357" s="129"/>
      <c r="L357" s="129"/>
      <c r="M357" s="129"/>
      <c r="N357" s="129"/>
      <c r="O357" s="129"/>
      <c r="P357" s="129"/>
      <c r="Q357" s="129"/>
      <c r="R357" s="129"/>
      <c r="S357" s="129"/>
      <c r="T357" s="129"/>
      <c r="U357" s="106"/>
      <c r="V357" s="106"/>
      <c r="W357" s="106"/>
      <c r="X357" s="106"/>
      <c r="Y357" s="106"/>
      <c r="Z357" s="129"/>
      <c r="AA357" s="129"/>
      <c r="AB357" s="129"/>
      <c r="AC357" s="129"/>
      <c r="AD357" s="129"/>
      <c r="AE357" s="129"/>
      <c r="AF357" s="129"/>
      <c r="AG357" s="117"/>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c r="BK357" s="124"/>
      <c r="BL357" s="124"/>
      <c r="BM357" s="124"/>
      <c r="BN357" s="124"/>
      <c r="BO357" s="124"/>
      <c r="BP357" s="124"/>
      <c r="BQ357" s="124"/>
      <c r="BR357" s="124"/>
      <c r="BS357" s="124"/>
      <c r="BT357" s="124"/>
      <c r="BU357" s="124"/>
      <c r="BV357" s="124"/>
      <c r="BW357" s="124"/>
      <c r="BX357" s="124"/>
      <c r="BY357" s="124"/>
      <c r="BZ357" s="124"/>
      <c r="CA357" s="124"/>
    </row>
    <row r="358">
      <c r="A358" s="141"/>
      <c r="B358" s="107"/>
      <c r="C358" s="107"/>
      <c r="D358" s="143"/>
      <c r="E358" s="129"/>
      <c r="F358" s="129"/>
      <c r="G358" s="129"/>
      <c r="H358" s="129"/>
      <c r="I358" s="129"/>
      <c r="J358" s="129"/>
      <c r="K358" s="129"/>
      <c r="L358" s="129"/>
      <c r="M358" s="129"/>
      <c r="N358" s="129"/>
      <c r="O358" s="129"/>
      <c r="P358" s="129"/>
      <c r="Q358" s="129"/>
      <c r="R358" s="129"/>
      <c r="S358" s="129"/>
      <c r="T358" s="129"/>
      <c r="U358" s="106"/>
      <c r="V358" s="106"/>
      <c r="W358" s="106"/>
      <c r="X358" s="106"/>
      <c r="Y358" s="106"/>
      <c r="Z358" s="129"/>
      <c r="AA358" s="129"/>
      <c r="AB358" s="129"/>
      <c r="AC358" s="129"/>
      <c r="AD358" s="129"/>
      <c r="AE358" s="129"/>
      <c r="AF358" s="129"/>
      <c r="AG358" s="117"/>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c r="BK358" s="124"/>
      <c r="BL358" s="124"/>
      <c r="BM358" s="124"/>
      <c r="BN358" s="124"/>
      <c r="BO358" s="124"/>
      <c r="BP358" s="124"/>
      <c r="BQ358" s="124"/>
      <c r="BR358" s="124"/>
      <c r="BS358" s="124"/>
      <c r="BT358" s="124"/>
      <c r="BU358" s="124"/>
      <c r="BV358" s="124"/>
      <c r="BW358" s="124"/>
      <c r="BX358" s="124"/>
      <c r="BY358" s="124"/>
      <c r="BZ358" s="124"/>
      <c r="CA358" s="124"/>
    </row>
    <row r="359">
      <c r="A359" s="141"/>
      <c r="B359" s="107"/>
      <c r="C359" s="107"/>
      <c r="D359" s="143"/>
      <c r="E359" s="129"/>
      <c r="F359" s="129"/>
      <c r="G359" s="129"/>
      <c r="H359" s="129"/>
      <c r="I359" s="129"/>
      <c r="J359" s="129"/>
      <c r="K359" s="129"/>
      <c r="L359" s="129"/>
      <c r="M359" s="129"/>
      <c r="N359" s="129"/>
      <c r="O359" s="129"/>
      <c r="P359" s="129"/>
      <c r="Q359" s="129"/>
      <c r="R359" s="129"/>
      <c r="S359" s="129"/>
      <c r="T359" s="129"/>
      <c r="U359" s="106"/>
      <c r="V359" s="106"/>
      <c r="W359" s="106"/>
      <c r="X359" s="106"/>
      <c r="Y359" s="106"/>
      <c r="Z359" s="129"/>
      <c r="AA359" s="129"/>
      <c r="AB359" s="129"/>
      <c r="AC359" s="129"/>
      <c r="AD359" s="129"/>
      <c r="AE359" s="129"/>
      <c r="AF359" s="129"/>
      <c r="AG359" s="117"/>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c r="BK359" s="124"/>
      <c r="BL359" s="124"/>
      <c r="BM359" s="124"/>
      <c r="BN359" s="124"/>
      <c r="BO359" s="124"/>
      <c r="BP359" s="124"/>
      <c r="BQ359" s="124"/>
      <c r="BR359" s="124"/>
      <c r="BS359" s="124"/>
      <c r="BT359" s="124"/>
      <c r="BU359" s="124"/>
      <c r="BV359" s="124"/>
      <c r="BW359" s="124"/>
      <c r="BX359" s="124"/>
      <c r="BY359" s="124"/>
      <c r="BZ359" s="124"/>
      <c r="CA359" s="124"/>
    </row>
    <row r="360">
      <c r="A360" s="141"/>
      <c r="B360" s="107"/>
      <c r="C360" s="107"/>
      <c r="D360" s="143"/>
      <c r="E360" s="129"/>
      <c r="F360" s="129"/>
      <c r="G360" s="129"/>
      <c r="H360" s="129"/>
      <c r="I360" s="129"/>
      <c r="J360" s="129"/>
      <c r="K360" s="129"/>
      <c r="L360" s="129"/>
      <c r="M360" s="129"/>
      <c r="N360" s="129"/>
      <c r="O360" s="129"/>
      <c r="P360" s="129"/>
      <c r="Q360" s="129"/>
      <c r="R360" s="129"/>
      <c r="S360" s="129"/>
      <c r="T360" s="129"/>
      <c r="U360" s="106"/>
      <c r="V360" s="106"/>
      <c r="W360" s="106"/>
      <c r="X360" s="106"/>
      <c r="Y360" s="106"/>
      <c r="Z360" s="129"/>
      <c r="AA360" s="129"/>
      <c r="AB360" s="129"/>
      <c r="AC360" s="129"/>
      <c r="AD360" s="129"/>
      <c r="AE360" s="129"/>
      <c r="AF360" s="129"/>
      <c r="AG360" s="117"/>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row>
    <row r="361">
      <c r="A361" s="141"/>
      <c r="B361" s="107"/>
      <c r="C361" s="107"/>
      <c r="D361" s="143"/>
      <c r="E361" s="129"/>
      <c r="F361" s="129"/>
      <c r="G361" s="129"/>
      <c r="H361" s="129"/>
      <c r="I361" s="129"/>
      <c r="J361" s="129"/>
      <c r="K361" s="129"/>
      <c r="L361" s="129"/>
      <c r="M361" s="129"/>
      <c r="N361" s="129"/>
      <c r="O361" s="129"/>
      <c r="P361" s="129"/>
      <c r="Q361" s="129"/>
      <c r="R361" s="129"/>
      <c r="S361" s="129"/>
      <c r="T361" s="129"/>
      <c r="U361" s="106"/>
      <c r="V361" s="106"/>
      <c r="W361" s="106"/>
      <c r="X361" s="106"/>
      <c r="Y361" s="106"/>
      <c r="Z361" s="129"/>
      <c r="AA361" s="129"/>
      <c r="AB361" s="129"/>
      <c r="AC361" s="129"/>
      <c r="AD361" s="129"/>
      <c r="AE361" s="129"/>
      <c r="AF361" s="129"/>
      <c r="AG361" s="117"/>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c r="BK361" s="124"/>
      <c r="BL361" s="124"/>
      <c r="BM361" s="124"/>
      <c r="BN361" s="124"/>
      <c r="BO361" s="124"/>
      <c r="BP361" s="124"/>
      <c r="BQ361" s="124"/>
      <c r="BR361" s="124"/>
      <c r="BS361" s="124"/>
      <c r="BT361" s="124"/>
      <c r="BU361" s="124"/>
      <c r="BV361" s="124"/>
      <c r="BW361" s="124"/>
      <c r="BX361" s="124"/>
      <c r="BY361" s="124"/>
      <c r="BZ361" s="124"/>
      <c r="CA361" s="124"/>
    </row>
    <row r="362">
      <c r="A362" s="141"/>
      <c r="B362" s="107"/>
      <c r="C362" s="107"/>
      <c r="D362" s="143"/>
      <c r="E362" s="129"/>
      <c r="F362" s="129"/>
      <c r="G362" s="129"/>
      <c r="H362" s="129"/>
      <c r="I362" s="129"/>
      <c r="J362" s="129"/>
      <c r="K362" s="129"/>
      <c r="L362" s="129"/>
      <c r="M362" s="129"/>
      <c r="N362" s="129"/>
      <c r="O362" s="129"/>
      <c r="P362" s="129"/>
      <c r="Q362" s="129"/>
      <c r="R362" s="129"/>
      <c r="S362" s="129"/>
      <c r="T362" s="129"/>
      <c r="U362" s="106"/>
      <c r="V362" s="106"/>
      <c r="W362" s="106"/>
      <c r="X362" s="106"/>
      <c r="Y362" s="106"/>
      <c r="Z362" s="129"/>
      <c r="AA362" s="129"/>
      <c r="AB362" s="129"/>
      <c r="AC362" s="129"/>
      <c r="AD362" s="129"/>
      <c r="AE362" s="129"/>
      <c r="AF362" s="129"/>
      <c r="AG362" s="117"/>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row>
    <row r="363">
      <c r="A363" s="141"/>
      <c r="B363" s="107"/>
      <c r="C363" s="107"/>
      <c r="D363" s="143"/>
      <c r="E363" s="129"/>
      <c r="F363" s="129"/>
      <c r="G363" s="129"/>
      <c r="H363" s="129"/>
      <c r="I363" s="129"/>
      <c r="J363" s="129"/>
      <c r="K363" s="129"/>
      <c r="L363" s="129"/>
      <c r="M363" s="129"/>
      <c r="N363" s="129"/>
      <c r="O363" s="129"/>
      <c r="P363" s="129"/>
      <c r="Q363" s="129"/>
      <c r="R363" s="129"/>
      <c r="S363" s="129"/>
      <c r="T363" s="129"/>
      <c r="U363" s="106"/>
      <c r="V363" s="106"/>
      <c r="W363" s="106"/>
      <c r="X363" s="106"/>
      <c r="Y363" s="106"/>
      <c r="Z363" s="129"/>
      <c r="AA363" s="129"/>
      <c r="AB363" s="129"/>
      <c r="AC363" s="129"/>
      <c r="AD363" s="129"/>
      <c r="AE363" s="129"/>
      <c r="AF363" s="129"/>
      <c r="AG363" s="117"/>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c r="BK363" s="124"/>
      <c r="BL363" s="124"/>
      <c r="BM363" s="124"/>
      <c r="BN363" s="124"/>
      <c r="BO363" s="124"/>
      <c r="BP363" s="124"/>
      <c r="BQ363" s="124"/>
      <c r="BR363" s="124"/>
      <c r="BS363" s="124"/>
      <c r="BT363" s="124"/>
      <c r="BU363" s="124"/>
      <c r="BV363" s="124"/>
      <c r="BW363" s="124"/>
      <c r="BX363" s="124"/>
      <c r="BY363" s="124"/>
      <c r="BZ363" s="124"/>
      <c r="CA363" s="124"/>
    </row>
    <row r="364">
      <c r="A364" s="141"/>
      <c r="B364" s="107"/>
      <c r="C364" s="107"/>
      <c r="D364" s="143"/>
      <c r="E364" s="129"/>
      <c r="F364" s="129"/>
      <c r="G364" s="129"/>
      <c r="H364" s="129"/>
      <c r="I364" s="129"/>
      <c r="J364" s="129"/>
      <c r="K364" s="129"/>
      <c r="L364" s="129"/>
      <c r="M364" s="129"/>
      <c r="N364" s="129"/>
      <c r="O364" s="129"/>
      <c r="P364" s="129"/>
      <c r="Q364" s="129"/>
      <c r="R364" s="129"/>
      <c r="S364" s="129"/>
      <c r="T364" s="129"/>
      <c r="U364" s="106"/>
      <c r="V364" s="106"/>
      <c r="W364" s="106"/>
      <c r="X364" s="106"/>
      <c r="Y364" s="106"/>
      <c r="Z364" s="129"/>
      <c r="AA364" s="129"/>
      <c r="AB364" s="129"/>
      <c r="AC364" s="129"/>
      <c r="AD364" s="129"/>
      <c r="AE364" s="129"/>
      <c r="AF364" s="129"/>
      <c r="AG364" s="117"/>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124"/>
      <c r="BY364" s="124"/>
      <c r="BZ364" s="124"/>
      <c r="CA364" s="124"/>
    </row>
    <row r="365">
      <c r="A365" s="141"/>
      <c r="B365" s="107"/>
      <c r="C365" s="107"/>
      <c r="D365" s="143"/>
      <c r="E365" s="129"/>
      <c r="F365" s="129"/>
      <c r="G365" s="129"/>
      <c r="H365" s="129"/>
      <c r="I365" s="129"/>
      <c r="J365" s="129"/>
      <c r="K365" s="129"/>
      <c r="L365" s="129"/>
      <c r="M365" s="129"/>
      <c r="N365" s="129"/>
      <c r="O365" s="129"/>
      <c r="P365" s="129"/>
      <c r="Q365" s="129"/>
      <c r="R365" s="129"/>
      <c r="S365" s="129"/>
      <c r="T365" s="129"/>
      <c r="U365" s="106"/>
      <c r="V365" s="106"/>
      <c r="W365" s="106"/>
      <c r="X365" s="106"/>
      <c r="Y365" s="106"/>
      <c r="Z365" s="129"/>
      <c r="AA365" s="129"/>
      <c r="AB365" s="129"/>
      <c r="AC365" s="129"/>
      <c r="AD365" s="129"/>
      <c r="AE365" s="129"/>
      <c r="AF365" s="129"/>
      <c r="AG365" s="117"/>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c r="BK365" s="124"/>
      <c r="BL365" s="124"/>
      <c r="BM365" s="124"/>
      <c r="BN365" s="124"/>
      <c r="BO365" s="124"/>
      <c r="BP365" s="124"/>
      <c r="BQ365" s="124"/>
      <c r="BR365" s="124"/>
      <c r="BS365" s="124"/>
      <c r="BT365" s="124"/>
      <c r="BU365" s="124"/>
      <c r="BV365" s="124"/>
      <c r="BW365" s="124"/>
      <c r="BX365" s="124"/>
      <c r="BY365" s="124"/>
      <c r="BZ365" s="124"/>
      <c r="CA365" s="124"/>
    </row>
    <row r="366">
      <c r="A366" s="141"/>
      <c r="B366" s="107"/>
      <c r="C366" s="107"/>
      <c r="D366" s="143"/>
      <c r="E366" s="129"/>
      <c r="F366" s="129"/>
      <c r="G366" s="129"/>
      <c r="H366" s="129"/>
      <c r="I366" s="129"/>
      <c r="J366" s="129"/>
      <c r="K366" s="129"/>
      <c r="L366" s="129"/>
      <c r="M366" s="129"/>
      <c r="N366" s="129"/>
      <c r="O366" s="129"/>
      <c r="P366" s="129"/>
      <c r="Q366" s="129"/>
      <c r="R366" s="129"/>
      <c r="S366" s="129"/>
      <c r="T366" s="129"/>
      <c r="U366" s="106"/>
      <c r="V366" s="106"/>
      <c r="W366" s="106"/>
      <c r="X366" s="106"/>
      <c r="Y366" s="106"/>
      <c r="Z366" s="129"/>
      <c r="AA366" s="129"/>
      <c r="AB366" s="129"/>
      <c r="AC366" s="129"/>
      <c r="AD366" s="129"/>
      <c r="AE366" s="129"/>
      <c r="AF366" s="129"/>
      <c r="AG366" s="117"/>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row>
    <row r="367">
      <c r="A367" s="141"/>
      <c r="B367" s="107"/>
      <c r="C367" s="107"/>
      <c r="D367" s="143"/>
      <c r="E367" s="129"/>
      <c r="F367" s="129"/>
      <c r="G367" s="129"/>
      <c r="H367" s="129"/>
      <c r="I367" s="129"/>
      <c r="J367" s="129"/>
      <c r="K367" s="129"/>
      <c r="L367" s="129"/>
      <c r="M367" s="129"/>
      <c r="N367" s="129"/>
      <c r="O367" s="129"/>
      <c r="P367" s="129"/>
      <c r="Q367" s="129"/>
      <c r="R367" s="129"/>
      <c r="S367" s="129"/>
      <c r="T367" s="129"/>
      <c r="U367" s="106"/>
      <c r="V367" s="106"/>
      <c r="W367" s="106"/>
      <c r="X367" s="106"/>
      <c r="Y367" s="106"/>
      <c r="Z367" s="129"/>
      <c r="AA367" s="129"/>
      <c r="AB367" s="129"/>
      <c r="AC367" s="129"/>
      <c r="AD367" s="129"/>
      <c r="AE367" s="129"/>
      <c r="AF367" s="129"/>
      <c r="AG367" s="117"/>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c r="BK367" s="124"/>
      <c r="BL367" s="124"/>
      <c r="BM367" s="124"/>
      <c r="BN367" s="124"/>
      <c r="BO367" s="124"/>
      <c r="BP367" s="124"/>
      <c r="BQ367" s="124"/>
      <c r="BR367" s="124"/>
      <c r="BS367" s="124"/>
      <c r="BT367" s="124"/>
      <c r="BU367" s="124"/>
      <c r="BV367" s="124"/>
      <c r="BW367" s="124"/>
      <c r="BX367" s="124"/>
      <c r="BY367" s="124"/>
      <c r="BZ367" s="124"/>
      <c r="CA367" s="124"/>
    </row>
    <row r="368">
      <c r="A368" s="141"/>
      <c r="B368" s="107"/>
      <c r="C368" s="107"/>
      <c r="D368" s="143"/>
      <c r="E368" s="129"/>
      <c r="F368" s="129"/>
      <c r="G368" s="129"/>
      <c r="H368" s="129"/>
      <c r="I368" s="129"/>
      <c r="J368" s="129"/>
      <c r="K368" s="129"/>
      <c r="L368" s="129"/>
      <c r="M368" s="129"/>
      <c r="N368" s="129"/>
      <c r="O368" s="129"/>
      <c r="P368" s="129"/>
      <c r="Q368" s="129"/>
      <c r="R368" s="129"/>
      <c r="S368" s="129"/>
      <c r="T368" s="129"/>
      <c r="U368" s="106"/>
      <c r="V368" s="106"/>
      <c r="W368" s="106"/>
      <c r="X368" s="106"/>
      <c r="Y368" s="106"/>
      <c r="Z368" s="129"/>
      <c r="AA368" s="129"/>
      <c r="AB368" s="129"/>
      <c r="AC368" s="129"/>
      <c r="AD368" s="129"/>
      <c r="AE368" s="129"/>
      <c r="AF368" s="129"/>
      <c r="AG368" s="117"/>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row>
    <row r="369">
      <c r="A369" s="141"/>
      <c r="B369" s="107"/>
      <c r="C369" s="107"/>
      <c r="D369" s="143"/>
      <c r="E369" s="129"/>
      <c r="F369" s="129"/>
      <c r="G369" s="129"/>
      <c r="H369" s="129"/>
      <c r="I369" s="129"/>
      <c r="J369" s="129"/>
      <c r="K369" s="129"/>
      <c r="L369" s="129"/>
      <c r="M369" s="129"/>
      <c r="N369" s="129"/>
      <c r="O369" s="129"/>
      <c r="P369" s="129"/>
      <c r="Q369" s="129"/>
      <c r="R369" s="129"/>
      <c r="S369" s="129"/>
      <c r="T369" s="129"/>
      <c r="U369" s="106"/>
      <c r="V369" s="106"/>
      <c r="W369" s="106"/>
      <c r="X369" s="106"/>
      <c r="Y369" s="106"/>
      <c r="Z369" s="129"/>
      <c r="AA369" s="129"/>
      <c r="AB369" s="129"/>
      <c r="AC369" s="129"/>
      <c r="AD369" s="129"/>
      <c r="AE369" s="129"/>
      <c r="AF369" s="129"/>
      <c r="AG369" s="117"/>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row>
    <row r="370">
      <c r="A370" s="141"/>
      <c r="B370" s="107"/>
      <c r="C370" s="107"/>
      <c r="D370" s="143"/>
      <c r="E370" s="129"/>
      <c r="F370" s="129"/>
      <c r="G370" s="129"/>
      <c r="H370" s="129"/>
      <c r="I370" s="129"/>
      <c r="J370" s="129"/>
      <c r="K370" s="129"/>
      <c r="L370" s="129"/>
      <c r="M370" s="129"/>
      <c r="N370" s="129"/>
      <c r="O370" s="129"/>
      <c r="P370" s="129"/>
      <c r="Q370" s="129"/>
      <c r="R370" s="129"/>
      <c r="S370" s="129"/>
      <c r="T370" s="129"/>
      <c r="U370" s="106"/>
      <c r="V370" s="106"/>
      <c r="W370" s="106"/>
      <c r="X370" s="106"/>
      <c r="Y370" s="106"/>
      <c r="Z370" s="129"/>
      <c r="AA370" s="129"/>
      <c r="AB370" s="129"/>
      <c r="AC370" s="129"/>
      <c r="AD370" s="129"/>
      <c r="AE370" s="129"/>
      <c r="AF370" s="129"/>
      <c r="AG370" s="117"/>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c r="BK370" s="124"/>
      <c r="BL370" s="124"/>
      <c r="BM370" s="124"/>
      <c r="BN370" s="124"/>
      <c r="BO370" s="124"/>
      <c r="BP370" s="124"/>
      <c r="BQ370" s="124"/>
      <c r="BR370" s="124"/>
      <c r="BS370" s="124"/>
      <c r="BT370" s="124"/>
      <c r="BU370" s="124"/>
      <c r="BV370" s="124"/>
      <c r="BW370" s="124"/>
      <c r="BX370" s="124"/>
      <c r="BY370" s="124"/>
      <c r="BZ370" s="124"/>
      <c r="CA370" s="124"/>
    </row>
    <row r="371">
      <c r="A371" s="141"/>
      <c r="B371" s="107"/>
      <c r="C371" s="107"/>
      <c r="D371" s="143"/>
      <c r="E371" s="129"/>
      <c r="F371" s="129"/>
      <c r="G371" s="129"/>
      <c r="H371" s="129"/>
      <c r="I371" s="129"/>
      <c r="J371" s="129"/>
      <c r="K371" s="129"/>
      <c r="L371" s="129"/>
      <c r="M371" s="129"/>
      <c r="N371" s="129"/>
      <c r="O371" s="129"/>
      <c r="P371" s="129"/>
      <c r="Q371" s="129"/>
      <c r="R371" s="129"/>
      <c r="S371" s="129"/>
      <c r="T371" s="129"/>
      <c r="U371" s="106"/>
      <c r="V371" s="106"/>
      <c r="W371" s="106"/>
      <c r="X371" s="106"/>
      <c r="Y371" s="106"/>
      <c r="Z371" s="129"/>
      <c r="AA371" s="129"/>
      <c r="AB371" s="129"/>
      <c r="AC371" s="129"/>
      <c r="AD371" s="129"/>
      <c r="AE371" s="129"/>
      <c r="AF371" s="129"/>
      <c r="AG371" s="117"/>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c r="BK371" s="124"/>
      <c r="BL371" s="124"/>
      <c r="BM371" s="124"/>
      <c r="BN371" s="124"/>
      <c r="BO371" s="124"/>
      <c r="BP371" s="124"/>
      <c r="BQ371" s="124"/>
      <c r="BR371" s="124"/>
      <c r="BS371" s="124"/>
      <c r="BT371" s="124"/>
      <c r="BU371" s="124"/>
      <c r="BV371" s="124"/>
      <c r="BW371" s="124"/>
      <c r="BX371" s="124"/>
      <c r="BY371" s="124"/>
      <c r="BZ371" s="124"/>
      <c r="CA371" s="124"/>
    </row>
    <row r="372">
      <c r="A372" s="141"/>
      <c r="B372" s="107"/>
      <c r="C372" s="107"/>
      <c r="D372" s="143"/>
      <c r="E372" s="129"/>
      <c r="F372" s="129"/>
      <c r="G372" s="129"/>
      <c r="H372" s="129"/>
      <c r="I372" s="129"/>
      <c r="J372" s="129"/>
      <c r="K372" s="129"/>
      <c r="L372" s="129"/>
      <c r="M372" s="129"/>
      <c r="N372" s="129"/>
      <c r="O372" s="129"/>
      <c r="P372" s="129"/>
      <c r="Q372" s="129"/>
      <c r="R372" s="129"/>
      <c r="S372" s="129"/>
      <c r="T372" s="129"/>
      <c r="U372" s="106"/>
      <c r="V372" s="106"/>
      <c r="W372" s="106"/>
      <c r="X372" s="106"/>
      <c r="Y372" s="106"/>
      <c r="Z372" s="129"/>
      <c r="AA372" s="129"/>
      <c r="AB372" s="129"/>
      <c r="AC372" s="129"/>
      <c r="AD372" s="129"/>
      <c r="AE372" s="129"/>
      <c r="AF372" s="129"/>
      <c r="AG372" s="117"/>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row>
    <row r="373">
      <c r="A373" s="141"/>
      <c r="B373" s="107"/>
      <c r="C373" s="107"/>
      <c r="D373" s="143"/>
      <c r="E373" s="129"/>
      <c r="F373" s="129"/>
      <c r="G373" s="129"/>
      <c r="H373" s="129"/>
      <c r="I373" s="129"/>
      <c r="J373" s="129"/>
      <c r="K373" s="129"/>
      <c r="L373" s="129"/>
      <c r="M373" s="129"/>
      <c r="N373" s="129"/>
      <c r="O373" s="129"/>
      <c r="P373" s="129"/>
      <c r="Q373" s="129"/>
      <c r="R373" s="129"/>
      <c r="S373" s="129"/>
      <c r="T373" s="129"/>
      <c r="U373" s="106"/>
      <c r="V373" s="106"/>
      <c r="W373" s="106"/>
      <c r="X373" s="106"/>
      <c r="Y373" s="106"/>
      <c r="Z373" s="129"/>
      <c r="AA373" s="129"/>
      <c r="AB373" s="129"/>
      <c r="AC373" s="129"/>
      <c r="AD373" s="129"/>
      <c r="AE373" s="129"/>
      <c r="AF373" s="129"/>
      <c r="AG373" s="117"/>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c r="BK373" s="124"/>
      <c r="BL373" s="124"/>
      <c r="BM373" s="124"/>
      <c r="BN373" s="124"/>
      <c r="BO373" s="124"/>
      <c r="BP373" s="124"/>
      <c r="BQ373" s="124"/>
      <c r="BR373" s="124"/>
      <c r="BS373" s="124"/>
      <c r="BT373" s="124"/>
      <c r="BU373" s="124"/>
      <c r="BV373" s="124"/>
      <c r="BW373" s="124"/>
      <c r="BX373" s="124"/>
      <c r="BY373" s="124"/>
      <c r="BZ373" s="124"/>
      <c r="CA373" s="124"/>
    </row>
    <row r="374">
      <c r="A374" s="141"/>
      <c r="B374" s="107"/>
      <c r="C374" s="107"/>
      <c r="D374" s="143"/>
      <c r="E374" s="129"/>
      <c r="F374" s="129"/>
      <c r="G374" s="129"/>
      <c r="H374" s="129"/>
      <c r="I374" s="129"/>
      <c r="J374" s="129"/>
      <c r="K374" s="129"/>
      <c r="L374" s="129"/>
      <c r="M374" s="129"/>
      <c r="N374" s="129"/>
      <c r="O374" s="129"/>
      <c r="P374" s="129"/>
      <c r="Q374" s="129"/>
      <c r="R374" s="129"/>
      <c r="S374" s="129"/>
      <c r="T374" s="129"/>
      <c r="U374" s="106"/>
      <c r="V374" s="106"/>
      <c r="W374" s="106"/>
      <c r="X374" s="106"/>
      <c r="Y374" s="106"/>
      <c r="Z374" s="129"/>
      <c r="AA374" s="129"/>
      <c r="AB374" s="129"/>
      <c r="AC374" s="129"/>
      <c r="AD374" s="129"/>
      <c r="AE374" s="129"/>
      <c r="AF374" s="129"/>
      <c r="AG374" s="117"/>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row>
    <row r="375">
      <c r="A375" s="141"/>
      <c r="B375" s="107"/>
      <c r="C375" s="107"/>
      <c r="D375" s="143"/>
      <c r="E375" s="129"/>
      <c r="F375" s="129"/>
      <c r="G375" s="129"/>
      <c r="H375" s="129"/>
      <c r="I375" s="129"/>
      <c r="J375" s="129"/>
      <c r="K375" s="129"/>
      <c r="L375" s="129"/>
      <c r="M375" s="129"/>
      <c r="N375" s="129"/>
      <c r="O375" s="129"/>
      <c r="P375" s="129"/>
      <c r="Q375" s="129"/>
      <c r="R375" s="129"/>
      <c r="S375" s="129"/>
      <c r="T375" s="129"/>
      <c r="U375" s="106"/>
      <c r="V375" s="106"/>
      <c r="W375" s="106"/>
      <c r="X375" s="106"/>
      <c r="Y375" s="106"/>
      <c r="Z375" s="129"/>
      <c r="AA375" s="129"/>
      <c r="AB375" s="129"/>
      <c r="AC375" s="129"/>
      <c r="AD375" s="129"/>
      <c r="AE375" s="129"/>
      <c r="AF375" s="129"/>
      <c r="AG375" s="117"/>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c r="BK375" s="124"/>
      <c r="BL375" s="124"/>
      <c r="BM375" s="124"/>
      <c r="BN375" s="124"/>
      <c r="BO375" s="124"/>
      <c r="BP375" s="124"/>
      <c r="BQ375" s="124"/>
      <c r="BR375" s="124"/>
      <c r="BS375" s="124"/>
      <c r="BT375" s="124"/>
      <c r="BU375" s="124"/>
      <c r="BV375" s="124"/>
      <c r="BW375" s="124"/>
      <c r="BX375" s="124"/>
      <c r="BY375" s="124"/>
      <c r="BZ375" s="124"/>
      <c r="CA375" s="124"/>
    </row>
    <row r="376">
      <c r="A376" s="141"/>
      <c r="B376" s="107"/>
      <c r="C376" s="107"/>
      <c r="D376" s="143"/>
      <c r="E376" s="129"/>
      <c r="F376" s="129"/>
      <c r="G376" s="129"/>
      <c r="H376" s="129"/>
      <c r="I376" s="129"/>
      <c r="J376" s="129"/>
      <c r="K376" s="129"/>
      <c r="L376" s="129"/>
      <c r="M376" s="129"/>
      <c r="N376" s="129"/>
      <c r="O376" s="129"/>
      <c r="P376" s="129"/>
      <c r="Q376" s="129"/>
      <c r="R376" s="129"/>
      <c r="S376" s="129"/>
      <c r="T376" s="129"/>
      <c r="U376" s="106"/>
      <c r="V376" s="106"/>
      <c r="W376" s="106"/>
      <c r="X376" s="106"/>
      <c r="Y376" s="106"/>
      <c r="Z376" s="129"/>
      <c r="AA376" s="129"/>
      <c r="AB376" s="129"/>
      <c r="AC376" s="129"/>
      <c r="AD376" s="129"/>
      <c r="AE376" s="129"/>
      <c r="AF376" s="129"/>
      <c r="AG376" s="117"/>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c r="BK376" s="124"/>
      <c r="BL376" s="124"/>
      <c r="BM376" s="124"/>
      <c r="BN376" s="124"/>
      <c r="BO376" s="124"/>
      <c r="BP376" s="124"/>
      <c r="BQ376" s="124"/>
      <c r="BR376" s="124"/>
      <c r="BS376" s="124"/>
      <c r="BT376" s="124"/>
      <c r="BU376" s="124"/>
      <c r="BV376" s="124"/>
      <c r="BW376" s="124"/>
      <c r="BX376" s="124"/>
      <c r="BY376" s="124"/>
      <c r="BZ376" s="124"/>
      <c r="CA376" s="124"/>
    </row>
    <row r="377">
      <c r="A377" s="141"/>
      <c r="B377" s="107"/>
      <c r="C377" s="107"/>
      <c r="D377" s="143"/>
      <c r="E377" s="129"/>
      <c r="F377" s="129"/>
      <c r="G377" s="129"/>
      <c r="H377" s="129"/>
      <c r="I377" s="129"/>
      <c r="J377" s="129"/>
      <c r="K377" s="129"/>
      <c r="L377" s="129"/>
      <c r="M377" s="129"/>
      <c r="N377" s="129"/>
      <c r="O377" s="129"/>
      <c r="P377" s="129"/>
      <c r="Q377" s="129"/>
      <c r="R377" s="129"/>
      <c r="S377" s="129"/>
      <c r="T377" s="129"/>
      <c r="U377" s="106"/>
      <c r="V377" s="106"/>
      <c r="W377" s="106"/>
      <c r="X377" s="106"/>
      <c r="Y377" s="106"/>
      <c r="Z377" s="129"/>
      <c r="AA377" s="129"/>
      <c r="AB377" s="129"/>
      <c r="AC377" s="129"/>
      <c r="AD377" s="129"/>
      <c r="AE377" s="129"/>
      <c r="AF377" s="129"/>
      <c r="AG377" s="117"/>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c r="BK377" s="124"/>
      <c r="BL377" s="124"/>
      <c r="BM377" s="124"/>
      <c r="BN377" s="124"/>
      <c r="BO377" s="124"/>
      <c r="BP377" s="124"/>
      <c r="BQ377" s="124"/>
      <c r="BR377" s="124"/>
      <c r="BS377" s="124"/>
      <c r="BT377" s="124"/>
      <c r="BU377" s="124"/>
      <c r="BV377" s="124"/>
      <c r="BW377" s="124"/>
      <c r="BX377" s="124"/>
      <c r="BY377" s="124"/>
      <c r="BZ377" s="124"/>
      <c r="CA377" s="124"/>
    </row>
    <row r="378">
      <c r="A378" s="141"/>
      <c r="B378" s="107"/>
      <c r="C378" s="107"/>
      <c r="D378" s="143"/>
      <c r="E378" s="129"/>
      <c r="F378" s="129"/>
      <c r="G378" s="129"/>
      <c r="H378" s="129"/>
      <c r="I378" s="129"/>
      <c r="J378" s="129"/>
      <c r="K378" s="129"/>
      <c r="L378" s="129"/>
      <c r="M378" s="129"/>
      <c r="N378" s="129"/>
      <c r="O378" s="129"/>
      <c r="P378" s="129"/>
      <c r="Q378" s="129"/>
      <c r="R378" s="129"/>
      <c r="S378" s="129"/>
      <c r="T378" s="129"/>
      <c r="U378" s="106"/>
      <c r="V378" s="106"/>
      <c r="W378" s="106"/>
      <c r="X378" s="106"/>
      <c r="Y378" s="106"/>
      <c r="Z378" s="129"/>
      <c r="AA378" s="129"/>
      <c r="AB378" s="129"/>
      <c r="AC378" s="129"/>
      <c r="AD378" s="129"/>
      <c r="AE378" s="129"/>
      <c r="AF378" s="129"/>
      <c r="AG378" s="117"/>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row>
    <row r="379">
      <c r="A379" s="141"/>
      <c r="B379" s="107"/>
      <c r="C379" s="107"/>
      <c r="D379" s="143"/>
      <c r="E379" s="129"/>
      <c r="F379" s="129"/>
      <c r="G379" s="129"/>
      <c r="H379" s="129"/>
      <c r="I379" s="129"/>
      <c r="J379" s="129"/>
      <c r="K379" s="129"/>
      <c r="L379" s="129"/>
      <c r="M379" s="129"/>
      <c r="N379" s="129"/>
      <c r="O379" s="129"/>
      <c r="P379" s="129"/>
      <c r="Q379" s="129"/>
      <c r="R379" s="129"/>
      <c r="S379" s="129"/>
      <c r="T379" s="129"/>
      <c r="U379" s="106"/>
      <c r="V379" s="106"/>
      <c r="W379" s="106"/>
      <c r="X379" s="106"/>
      <c r="Y379" s="106"/>
      <c r="Z379" s="129"/>
      <c r="AA379" s="129"/>
      <c r="AB379" s="129"/>
      <c r="AC379" s="129"/>
      <c r="AD379" s="129"/>
      <c r="AE379" s="129"/>
      <c r="AF379" s="129"/>
      <c r="AG379" s="117"/>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c r="BK379" s="124"/>
      <c r="BL379" s="124"/>
      <c r="BM379" s="124"/>
      <c r="BN379" s="124"/>
      <c r="BO379" s="124"/>
      <c r="BP379" s="124"/>
      <c r="BQ379" s="124"/>
      <c r="BR379" s="124"/>
      <c r="BS379" s="124"/>
      <c r="BT379" s="124"/>
      <c r="BU379" s="124"/>
      <c r="BV379" s="124"/>
      <c r="BW379" s="124"/>
      <c r="BX379" s="124"/>
      <c r="BY379" s="124"/>
      <c r="BZ379" s="124"/>
      <c r="CA379" s="124"/>
    </row>
    <row r="380">
      <c r="A380" s="141"/>
      <c r="B380" s="107"/>
      <c r="C380" s="107"/>
      <c r="D380" s="143"/>
      <c r="E380" s="129"/>
      <c r="F380" s="129"/>
      <c r="G380" s="129"/>
      <c r="H380" s="129"/>
      <c r="I380" s="129"/>
      <c r="J380" s="129"/>
      <c r="K380" s="129"/>
      <c r="L380" s="129"/>
      <c r="M380" s="129"/>
      <c r="N380" s="129"/>
      <c r="O380" s="129"/>
      <c r="P380" s="129"/>
      <c r="Q380" s="129"/>
      <c r="R380" s="129"/>
      <c r="S380" s="129"/>
      <c r="T380" s="129"/>
      <c r="U380" s="106"/>
      <c r="V380" s="106"/>
      <c r="W380" s="106"/>
      <c r="X380" s="106"/>
      <c r="Y380" s="106"/>
      <c r="Z380" s="129"/>
      <c r="AA380" s="129"/>
      <c r="AB380" s="129"/>
      <c r="AC380" s="129"/>
      <c r="AD380" s="129"/>
      <c r="AE380" s="129"/>
      <c r="AF380" s="129"/>
      <c r="AG380" s="117"/>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c r="BK380" s="124"/>
      <c r="BL380" s="124"/>
      <c r="BM380" s="124"/>
      <c r="BN380" s="124"/>
      <c r="BO380" s="124"/>
      <c r="BP380" s="124"/>
      <c r="BQ380" s="124"/>
      <c r="BR380" s="124"/>
      <c r="BS380" s="124"/>
      <c r="BT380" s="124"/>
      <c r="BU380" s="124"/>
      <c r="BV380" s="124"/>
      <c r="BW380" s="124"/>
      <c r="BX380" s="124"/>
      <c r="BY380" s="124"/>
      <c r="BZ380" s="124"/>
      <c r="CA380" s="124"/>
    </row>
    <row r="381">
      <c r="A381" s="141"/>
      <c r="B381" s="107"/>
      <c r="C381" s="107"/>
      <c r="D381" s="143"/>
      <c r="E381" s="129"/>
      <c r="F381" s="129"/>
      <c r="G381" s="129"/>
      <c r="H381" s="129"/>
      <c r="I381" s="129"/>
      <c r="J381" s="129"/>
      <c r="K381" s="129"/>
      <c r="L381" s="129"/>
      <c r="M381" s="129"/>
      <c r="N381" s="129"/>
      <c r="O381" s="129"/>
      <c r="P381" s="129"/>
      <c r="Q381" s="129"/>
      <c r="R381" s="129"/>
      <c r="S381" s="129"/>
      <c r="T381" s="129"/>
      <c r="U381" s="106"/>
      <c r="V381" s="106"/>
      <c r="W381" s="106"/>
      <c r="X381" s="106"/>
      <c r="Y381" s="106"/>
      <c r="Z381" s="129"/>
      <c r="AA381" s="129"/>
      <c r="AB381" s="129"/>
      <c r="AC381" s="129"/>
      <c r="AD381" s="129"/>
      <c r="AE381" s="129"/>
      <c r="AF381" s="129"/>
      <c r="AG381" s="117"/>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c r="BK381" s="124"/>
      <c r="BL381" s="124"/>
      <c r="BM381" s="124"/>
      <c r="BN381" s="124"/>
      <c r="BO381" s="124"/>
      <c r="BP381" s="124"/>
      <c r="BQ381" s="124"/>
      <c r="BR381" s="124"/>
      <c r="BS381" s="124"/>
      <c r="BT381" s="124"/>
      <c r="BU381" s="124"/>
      <c r="BV381" s="124"/>
      <c r="BW381" s="124"/>
      <c r="BX381" s="124"/>
      <c r="BY381" s="124"/>
      <c r="BZ381" s="124"/>
      <c r="CA381" s="124"/>
    </row>
    <row r="382">
      <c r="A382" s="141"/>
      <c r="B382" s="107"/>
      <c r="C382" s="107"/>
      <c r="D382" s="143"/>
      <c r="E382" s="129"/>
      <c r="F382" s="129"/>
      <c r="G382" s="129"/>
      <c r="H382" s="129"/>
      <c r="I382" s="129"/>
      <c r="J382" s="129"/>
      <c r="K382" s="129"/>
      <c r="L382" s="129"/>
      <c r="M382" s="129"/>
      <c r="N382" s="129"/>
      <c r="O382" s="129"/>
      <c r="P382" s="129"/>
      <c r="Q382" s="129"/>
      <c r="R382" s="129"/>
      <c r="S382" s="129"/>
      <c r="T382" s="129"/>
      <c r="U382" s="106"/>
      <c r="V382" s="106"/>
      <c r="W382" s="106"/>
      <c r="X382" s="106"/>
      <c r="Y382" s="106"/>
      <c r="Z382" s="129"/>
      <c r="AA382" s="129"/>
      <c r="AB382" s="129"/>
      <c r="AC382" s="129"/>
      <c r="AD382" s="129"/>
      <c r="AE382" s="129"/>
      <c r="AF382" s="129"/>
      <c r="AG382" s="117"/>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row>
    <row r="383">
      <c r="A383" s="141"/>
      <c r="B383" s="107"/>
      <c r="C383" s="107"/>
      <c r="D383" s="143"/>
      <c r="E383" s="129"/>
      <c r="F383" s="129"/>
      <c r="G383" s="129"/>
      <c r="H383" s="129"/>
      <c r="I383" s="129"/>
      <c r="J383" s="129"/>
      <c r="K383" s="129"/>
      <c r="L383" s="129"/>
      <c r="M383" s="129"/>
      <c r="N383" s="129"/>
      <c r="O383" s="129"/>
      <c r="P383" s="129"/>
      <c r="Q383" s="129"/>
      <c r="R383" s="129"/>
      <c r="S383" s="129"/>
      <c r="T383" s="129"/>
      <c r="U383" s="106"/>
      <c r="V383" s="106"/>
      <c r="W383" s="106"/>
      <c r="X383" s="106"/>
      <c r="Y383" s="106"/>
      <c r="Z383" s="129"/>
      <c r="AA383" s="129"/>
      <c r="AB383" s="129"/>
      <c r="AC383" s="129"/>
      <c r="AD383" s="129"/>
      <c r="AE383" s="129"/>
      <c r="AF383" s="129"/>
      <c r="AG383" s="117"/>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c r="BK383" s="124"/>
      <c r="BL383" s="124"/>
      <c r="BM383" s="124"/>
      <c r="BN383" s="124"/>
      <c r="BO383" s="124"/>
      <c r="BP383" s="124"/>
      <c r="BQ383" s="124"/>
      <c r="BR383" s="124"/>
      <c r="BS383" s="124"/>
      <c r="BT383" s="124"/>
      <c r="BU383" s="124"/>
      <c r="BV383" s="124"/>
      <c r="BW383" s="124"/>
      <c r="BX383" s="124"/>
      <c r="BY383" s="124"/>
      <c r="BZ383" s="124"/>
      <c r="CA383" s="124"/>
    </row>
    <row r="384">
      <c r="A384" s="141"/>
      <c r="B384" s="107"/>
      <c r="C384" s="107"/>
      <c r="D384" s="143"/>
      <c r="E384" s="129"/>
      <c r="F384" s="129"/>
      <c r="G384" s="129"/>
      <c r="H384" s="129"/>
      <c r="I384" s="129"/>
      <c r="J384" s="129"/>
      <c r="K384" s="129"/>
      <c r="L384" s="129"/>
      <c r="M384" s="129"/>
      <c r="N384" s="129"/>
      <c r="O384" s="129"/>
      <c r="P384" s="129"/>
      <c r="Q384" s="129"/>
      <c r="R384" s="129"/>
      <c r="S384" s="129"/>
      <c r="T384" s="129"/>
      <c r="U384" s="106"/>
      <c r="V384" s="106"/>
      <c r="W384" s="106"/>
      <c r="X384" s="106"/>
      <c r="Y384" s="106"/>
      <c r="Z384" s="129"/>
      <c r="AA384" s="129"/>
      <c r="AB384" s="129"/>
      <c r="AC384" s="129"/>
      <c r="AD384" s="129"/>
      <c r="AE384" s="129"/>
      <c r="AF384" s="129"/>
      <c r="AG384" s="117"/>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row>
    <row r="385">
      <c r="A385" s="141"/>
      <c r="B385" s="107"/>
      <c r="C385" s="107"/>
      <c r="D385" s="143"/>
      <c r="E385" s="129"/>
      <c r="F385" s="129"/>
      <c r="G385" s="129"/>
      <c r="H385" s="129"/>
      <c r="I385" s="129"/>
      <c r="J385" s="129"/>
      <c r="K385" s="129"/>
      <c r="L385" s="129"/>
      <c r="M385" s="129"/>
      <c r="N385" s="129"/>
      <c r="O385" s="129"/>
      <c r="P385" s="129"/>
      <c r="Q385" s="129"/>
      <c r="R385" s="129"/>
      <c r="S385" s="129"/>
      <c r="T385" s="129"/>
      <c r="U385" s="106"/>
      <c r="V385" s="106"/>
      <c r="W385" s="106"/>
      <c r="X385" s="106"/>
      <c r="Y385" s="106"/>
      <c r="Z385" s="129"/>
      <c r="AA385" s="129"/>
      <c r="AB385" s="129"/>
      <c r="AC385" s="129"/>
      <c r="AD385" s="129"/>
      <c r="AE385" s="129"/>
      <c r="AF385" s="129"/>
      <c r="AG385" s="117"/>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c r="BK385" s="124"/>
      <c r="BL385" s="124"/>
      <c r="BM385" s="124"/>
      <c r="BN385" s="124"/>
      <c r="BO385" s="124"/>
      <c r="BP385" s="124"/>
      <c r="BQ385" s="124"/>
      <c r="BR385" s="124"/>
      <c r="BS385" s="124"/>
      <c r="BT385" s="124"/>
      <c r="BU385" s="124"/>
      <c r="BV385" s="124"/>
      <c r="BW385" s="124"/>
      <c r="BX385" s="124"/>
      <c r="BY385" s="124"/>
      <c r="BZ385" s="124"/>
      <c r="CA385" s="124"/>
    </row>
    <row r="386">
      <c r="A386" s="141"/>
      <c r="B386" s="107"/>
      <c r="C386" s="107"/>
      <c r="D386" s="143"/>
      <c r="E386" s="129"/>
      <c r="F386" s="129"/>
      <c r="G386" s="129"/>
      <c r="H386" s="129"/>
      <c r="I386" s="129"/>
      <c r="J386" s="129"/>
      <c r="K386" s="129"/>
      <c r="L386" s="129"/>
      <c r="M386" s="129"/>
      <c r="N386" s="129"/>
      <c r="O386" s="129"/>
      <c r="P386" s="129"/>
      <c r="Q386" s="129"/>
      <c r="R386" s="129"/>
      <c r="S386" s="129"/>
      <c r="T386" s="129"/>
      <c r="U386" s="106"/>
      <c r="V386" s="106"/>
      <c r="W386" s="106"/>
      <c r="X386" s="106"/>
      <c r="Y386" s="106"/>
      <c r="Z386" s="129"/>
      <c r="AA386" s="129"/>
      <c r="AB386" s="129"/>
      <c r="AC386" s="129"/>
      <c r="AD386" s="129"/>
      <c r="AE386" s="129"/>
      <c r="AF386" s="129"/>
      <c r="AG386" s="117"/>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c r="BK386" s="124"/>
      <c r="BL386" s="124"/>
      <c r="BM386" s="124"/>
      <c r="BN386" s="124"/>
      <c r="BO386" s="124"/>
      <c r="BP386" s="124"/>
      <c r="BQ386" s="124"/>
      <c r="BR386" s="124"/>
      <c r="BS386" s="124"/>
      <c r="BT386" s="124"/>
      <c r="BU386" s="124"/>
      <c r="BV386" s="124"/>
      <c r="BW386" s="124"/>
      <c r="BX386" s="124"/>
      <c r="BY386" s="124"/>
      <c r="BZ386" s="124"/>
      <c r="CA386" s="124"/>
    </row>
    <row r="387">
      <c r="A387" s="141"/>
      <c r="B387" s="107"/>
      <c r="C387" s="107"/>
      <c r="D387" s="143"/>
      <c r="E387" s="129"/>
      <c r="F387" s="129"/>
      <c r="G387" s="129"/>
      <c r="H387" s="129"/>
      <c r="I387" s="129"/>
      <c r="J387" s="129"/>
      <c r="K387" s="129"/>
      <c r="L387" s="129"/>
      <c r="M387" s="129"/>
      <c r="N387" s="129"/>
      <c r="O387" s="129"/>
      <c r="P387" s="129"/>
      <c r="Q387" s="129"/>
      <c r="R387" s="129"/>
      <c r="S387" s="129"/>
      <c r="T387" s="129"/>
      <c r="U387" s="106"/>
      <c r="V387" s="106"/>
      <c r="W387" s="106"/>
      <c r="X387" s="106"/>
      <c r="Y387" s="106"/>
      <c r="Z387" s="129"/>
      <c r="AA387" s="129"/>
      <c r="AB387" s="129"/>
      <c r="AC387" s="129"/>
      <c r="AD387" s="129"/>
      <c r="AE387" s="129"/>
      <c r="AF387" s="129"/>
      <c r="AG387" s="117"/>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c r="BK387" s="124"/>
      <c r="BL387" s="124"/>
      <c r="BM387" s="124"/>
      <c r="BN387" s="124"/>
      <c r="BO387" s="124"/>
      <c r="BP387" s="124"/>
      <c r="BQ387" s="124"/>
      <c r="BR387" s="124"/>
      <c r="BS387" s="124"/>
      <c r="BT387" s="124"/>
      <c r="BU387" s="124"/>
      <c r="BV387" s="124"/>
      <c r="BW387" s="124"/>
      <c r="BX387" s="124"/>
      <c r="BY387" s="124"/>
      <c r="BZ387" s="124"/>
      <c r="CA387" s="124"/>
    </row>
    <row r="388">
      <c r="A388" s="141"/>
      <c r="B388" s="107"/>
      <c r="C388" s="107"/>
      <c r="D388" s="143"/>
      <c r="E388" s="129"/>
      <c r="F388" s="129"/>
      <c r="G388" s="129"/>
      <c r="H388" s="129"/>
      <c r="I388" s="129"/>
      <c r="J388" s="129"/>
      <c r="K388" s="129"/>
      <c r="L388" s="129"/>
      <c r="M388" s="129"/>
      <c r="N388" s="129"/>
      <c r="O388" s="129"/>
      <c r="P388" s="129"/>
      <c r="Q388" s="129"/>
      <c r="R388" s="129"/>
      <c r="S388" s="129"/>
      <c r="T388" s="129"/>
      <c r="U388" s="106"/>
      <c r="V388" s="106"/>
      <c r="W388" s="106"/>
      <c r="X388" s="106"/>
      <c r="Y388" s="106"/>
      <c r="Z388" s="129"/>
      <c r="AA388" s="129"/>
      <c r="AB388" s="129"/>
      <c r="AC388" s="129"/>
      <c r="AD388" s="129"/>
      <c r="AE388" s="129"/>
      <c r="AF388" s="129"/>
      <c r="AG388" s="117"/>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c r="BK388" s="124"/>
      <c r="BL388" s="124"/>
      <c r="BM388" s="124"/>
      <c r="BN388" s="124"/>
      <c r="BO388" s="124"/>
      <c r="BP388" s="124"/>
      <c r="BQ388" s="124"/>
      <c r="BR388" s="124"/>
      <c r="BS388" s="124"/>
      <c r="BT388" s="124"/>
      <c r="BU388" s="124"/>
      <c r="BV388" s="124"/>
      <c r="BW388" s="124"/>
      <c r="BX388" s="124"/>
      <c r="BY388" s="124"/>
      <c r="BZ388" s="124"/>
      <c r="CA388" s="124"/>
    </row>
    <row r="389">
      <c r="A389" s="141"/>
      <c r="B389" s="107"/>
      <c r="C389" s="107"/>
      <c r="D389" s="143"/>
      <c r="E389" s="129"/>
      <c r="F389" s="129"/>
      <c r="G389" s="129"/>
      <c r="H389" s="129"/>
      <c r="I389" s="129"/>
      <c r="J389" s="129"/>
      <c r="K389" s="129"/>
      <c r="L389" s="129"/>
      <c r="M389" s="129"/>
      <c r="N389" s="129"/>
      <c r="O389" s="129"/>
      <c r="P389" s="129"/>
      <c r="Q389" s="129"/>
      <c r="R389" s="129"/>
      <c r="S389" s="129"/>
      <c r="T389" s="129"/>
      <c r="U389" s="106"/>
      <c r="V389" s="106"/>
      <c r="W389" s="106"/>
      <c r="X389" s="106"/>
      <c r="Y389" s="106"/>
      <c r="Z389" s="129"/>
      <c r="AA389" s="129"/>
      <c r="AB389" s="129"/>
      <c r="AC389" s="129"/>
      <c r="AD389" s="129"/>
      <c r="AE389" s="129"/>
      <c r="AF389" s="129"/>
      <c r="AG389" s="117"/>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c r="BK389" s="124"/>
      <c r="BL389" s="124"/>
      <c r="BM389" s="124"/>
      <c r="BN389" s="124"/>
      <c r="BO389" s="124"/>
      <c r="BP389" s="124"/>
      <c r="BQ389" s="124"/>
      <c r="BR389" s="124"/>
      <c r="BS389" s="124"/>
      <c r="BT389" s="124"/>
      <c r="BU389" s="124"/>
      <c r="BV389" s="124"/>
      <c r="BW389" s="124"/>
      <c r="BX389" s="124"/>
      <c r="BY389" s="124"/>
      <c r="BZ389" s="124"/>
      <c r="CA389" s="124"/>
    </row>
    <row r="390">
      <c r="A390" s="141"/>
      <c r="B390" s="107"/>
      <c r="C390" s="107"/>
      <c r="D390" s="143"/>
      <c r="E390" s="129"/>
      <c r="F390" s="129"/>
      <c r="G390" s="129"/>
      <c r="H390" s="129"/>
      <c r="I390" s="129"/>
      <c r="J390" s="129"/>
      <c r="K390" s="129"/>
      <c r="L390" s="129"/>
      <c r="M390" s="129"/>
      <c r="N390" s="129"/>
      <c r="O390" s="129"/>
      <c r="P390" s="129"/>
      <c r="Q390" s="129"/>
      <c r="R390" s="129"/>
      <c r="S390" s="129"/>
      <c r="T390" s="129"/>
      <c r="U390" s="106"/>
      <c r="V390" s="106"/>
      <c r="W390" s="106"/>
      <c r="X390" s="106"/>
      <c r="Y390" s="106"/>
      <c r="Z390" s="129"/>
      <c r="AA390" s="129"/>
      <c r="AB390" s="129"/>
      <c r="AC390" s="129"/>
      <c r="AD390" s="129"/>
      <c r="AE390" s="129"/>
      <c r="AF390" s="129"/>
      <c r="AG390" s="117"/>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row>
    <row r="391">
      <c r="A391" s="141"/>
      <c r="B391" s="107"/>
      <c r="C391" s="107"/>
      <c r="D391" s="143"/>
      <c r="E391" s="129"/>
      <c r="F391" s="129"/>
      <c r="G391" s="129"/>
      <c r="H391" s="129"/>
      <c r="I391" s="129"/>
      <c r="J391" s="129"/>
      <c r="K391" s="129"/>
      <c r="L391" s="129"/>
      <c r="M391" s="129"/>
      <c r="N391" s="129"/>
      <c r="O391" s="129"/>
      <c r="P391" s="129"/>
      <c r="Q391" s="129"/>
      <c r="R391" s="129"/>
      <c r="S391" s="129"/>
      <c r="T391" s="129"/>
      <c r="U391" s="106"/>
      <c r="V391" s="106"/>
      <c r="W391" s="106"/>
      <c r="X391" s="106"/>
      <c r="Y391" s="106"/>
      <c r="Z391" s="129"/>
      <c r="AA391" s="129"/>
      <c r="AB391" s="129"/>
      <c r="AC391" s="129"/>
      <c r="AD391" s="129"/>
      <c r="AE391" s="129"/>
      <c r="AF391" s="129"/>
      <c r="AG391" s="117"/>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c r="BK391" s="124"/>
      <c r="BL391" s="124"/>
      <c r="BM391" s="124"/>
      <c r="BN391" s="124"/>
      <c r="BO391" s="124"/>
      <c r="BP391" s="124"/>
      <c r="BQ391" s="124"/>
      <c r="BR391" s="124"/>
      <c r="BS391" s="124"/>
      <c r="BT391" s="124"/>
      <c r="BU391" s="124"/>
      <c r="BV391" s="124"/>
      <c r="BW391" s="124"/>
      <c r="BX391" s="124"/>
      <c r="BY391" s="124"/>
      <c r="BZ391" s="124"/>
      <c r="CA391" s="124"/>
    </row>
    <row r="392">
      <c r="A392" s="141"/>
      <c r="B392" s="107"/>
      <c r="C392" s="107"/>
      <c r="D392" s="143"/>
      <c r="E392" s="129"/>
      <c r="F392" s="129"/>
      <c r="G392" s="129"/>
      <c r="H392" s="129"/>
      <c r="I392" s="129"/>
      <c r="J392" s="129"/>
      <c r="K392" s="129"/>
      <c r="L392" s="129"/>
      <c r="M392" s="129"/>
      <c r="N392" s="129"/>
      <c r="O392" s="129"/>
      <c r="P392" s="129"/>
      <c r="Q392" s="129"/>
      <c r="R392" s="129"/>
      <c r="S392" s="129"/>
      <c r="T392" s="129"/>
      <c r="U392" s="106"/>
      <c r="V392" s="106"/>
      <c r="W392" s="106"/>
      <c r="X392" s="106"/>
      <c r="Y392" s="106"/>
      <c r="Z392" s="129"/>
      <c r="AA392" s="129"/>
      <c r="AB392" s="129"/>
      <c r="AC392" s="129"/>
      <c r="AD392" s="129"/>
      <c r="AE392" s="129"/>
      <c r="AF392" s="129"/>
      <c r="AG392" s="117"/>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c r="BK392" s="124"/>
      <c r="BL392" s="124"/>
      <c r="BM392" s="124"/>
      <c r="BN392" s="124"/>
      <c r="BO392" s="124"/>
      <c r="BP392" s="124"/>
      <c r="BQ392" s="124"/>
      <c r="BR392" s="124"/>
      <c r="BS392" s="124"/>
      <c r="BT392" s="124"/>
      <c r="BU392" s="124"/>
      <c r="BV392" s="124"/>
      <c r="BW392" s="124"/>
      <c r="BX392" s="124"/>
      <c r="BY392" s="124"/>
      <c r="BZ392" s="124"/>
      <c r="CA392" s="124"/>
    </row>
    <row r="393">
      <c r="A393" s="141"/>
      <c r="B393" s="107"/>
      <c r="C393" s="107"/>
      <c r="D393" s="143"/>
      <c r="E393" s="129"/>
      <c r="F393" s="129"/>
      <c r="G393" s="129"/>
      <c r="H393" s="129"/>
      <c r="I393" s="129"/>
      <c r="J393" s="129"/>
      <c r="K393" s="129"/>
      <c r="L393" s="129"/>
      <c r="M393" s="129"/>
      <c r="N393" s="129"/>
      <c r="O393" s="129"/>
      <c r="P393" s="129"/>
      <c r="Q393" s="129"/>
      <c r="R393" s="129"/>
      <c r="S393" s="129"/>
      <c r="T393" s="129"/>
      <c r="U393" s="106"/>
      <c r="V393" s="106"/>
      <c r="W393" s="106"/>
      <c r="X393" s="106"/>
      <c r="Y393" s="106"/>
      <c r="Z393" s="129"/>
      <c r="AA393" s="129"/>
      <c r="AB393" s="129"/>
      <c r="AC393" s="129"/>
      <c r="AD393" s="129"/>
      <c r="AE393" s="129"/>
      <c r="AF393" s="129"/>
      <c r="AG393" s="117"/>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row>
    <row r="394">
      <c r="A394" s="141"/>
      <c r="B394" s="107"/>
      <c r="C394" s="107"/>
      <c r="D394" s="143"/>
      <c r="E394" s="129"/>
      <c r="F394" s="129"/>
      <c r="G394" s="129"/>
      <c r="H394" s="129"/>
      <c r="I394" s="129"/>
      <c r="J394" s="129"/>
      <c r="K394" s="129"/>
      <c r="L394" s="129"/>
      <c r="M394" s="129"/>
      <c r="N394" s="129"/>
      <c r="O394" s="129"/>
      <c r="P394" s="129"/>
      <c r="Q394" s="129"/>
      <c r="R394" s="129"/>
      <c r="S394" s="129"/>
      <c r="T394" s="129"/>
      <c r="U394" s="106"/>
      <c r="V394" s="106"/>
      <c r="W394" s="106"/>
      <c r="X394" s="106"/>
      <c r="Y394" s="106"/>
      <c r="Z394" s="129"/>
      <c r="AA394" s="129"/>
      <c r="AB394" s="129"/>
      <c r="AC394" s="129"/>
      <c r="AD394" s="129"/>
      <c r="AE394" s="129"/>
      <c r="AF394" s="129"/>
      <c r="AG394" s="117"/>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row>
    <row r="395">
      <c r="A395" s="141"/>
      <c r="B395" s="107"/>
      <c r="C395" s="107"/>
      <c r="D395" s="143"/>
      <c r="E395" s="129"/>
      <c r="F395" s="129"/>
      <c r="G395" s="129"/>
      <c r="H395" s="129"/>
      <c r="I395" s="129"/>
      <c r="J395" s="129"/>
      <c r="K395" s="129"/>
      <c r="L395" s="129"/>
      <c r="M395" s="129"/>
      <c r="N395" s="129"/>
      <c r="O395" s="129"/>
      <c r="P395" s="129"/>
      <c r="Q395" s="129"/>
      <c r="R395" s="129"/>
      <c r="S395" s="129"/>
      <c r="T395" s="129"/>
      <c r="U395" s="106"/>
      <c r="V395" s="106"/>
      <c r="W395" s="106"/>
      <c r="X395" s="106"/>
      <c r="Y395" s="106"/>
      <c r="Z395" s="129"/>
      <c r="AA395" s="129"/>
      <c r="AB395" s="129"/>
      <c r="AC395" s="129"/>
      <c r="AD395" s="129"/>
      <c r="AE395" s="129"/>
      <c r="AF395" s="129"/>
      <c r="AG395" s="117"/>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c r="BK395" s="124"/>
      <c r="BL395" s="124"/>
      <c r="BM395" s="124"/>
      <c r="BN395" s="124"/>
      <c r="BO395" s="124"/>
      <c r="BP395" s="124"/>
      <c r="BQ395" s="124"/>
      <c r="BR395" s="124"/>
      <c r="BS395" s="124"/>
      <c r="BT395" s="124"/>
      <c r="BU395" s="124"/>
      <c r="BV395" s="124"/>
      <c r="BW395" s="124"/>
      <c r="BX395" s="124"/>
      <c r="BY395" s="124"/>
      <c r="BZ395" s="124"/>
      <c r="CA395" s="124"/>
    </row>
    <row r="396">
      <c r="A396" s="141"/>
      <c r="B396" s="107"/>
      <c r="C396" s="107"/>
      <c r="D396" s="143"/>
      <c r="E396" s="129"/>
      <c r="F396" s="129"/>
      <c r="G396" s="129"/>
      <c r="H396" s="129"/>
      <c r="I396" s="129"/>
      <c r="J396" s="129"/>
      <c r="K396" s="129"/>
      <c r="L396" s="129"/>
      <c r="M396" s="129"/>
      <c r="N396" s="129"/>
      <c r="O396" s="129"/>
      <c r="P396" s="129"/>
      <c r="Q396" s="129"/>
      <c r="R396" s="129"/>
      <c r="S396" s="129"/>
      <c r="T396" s="129"/>
      <c r="U396" s="106"/>
      <c r="V396" s="106"/>
      <c r="W396" s="106"/>
      <c r="X396" s="106"/>
      <c r="Y396" s="106"/>
      <c r="Z396" s="129"/>
      <c r="AA396" s="129"/>
      <c r="AB396" s="129"/>
      <c r="AC396" s="129"/>
      <c r="AD396" s="129"/>
      <c r="AE396" s="129"/>
      <c r="AF396" s="129"/>
      <c r="AG396" s="117"/>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row>
    <row r="397">
      <c r="A397" s="141"/>
      <c r="B397" s="107"/>
      <c r="C397" s="107"/>
      <c r="D397" s="143"/>
      <c r="E397" s="129"/>
      <c r="F397" s="129"/>
      <c r="G397" s="129"/>
      <c r="H397" s="129"/>
      <c r="I397" s="129"/>
      <c r="J397" s="129"/>
      <c r="K397" s="129"/>
      <c r="L397" s="129"/>
      <c r="M397" s="129"/>
      <c r="N397" s="129"/>
      <c r="O397" s="129"/>
      <c r="P397" s="129"/>
      <c r="Q397" s="129"/>
      <c r="R397" s="129"/>
      <c r="S397" s="129"/>
      <c r="T397" s="129"/>
      <c r="U397" s="106"/>
      <c r="V397" s="106"/>
      <c r="W397" s="106"/>
      <c r="X397" s="106"/>
      <c r="Y397" s="106"/>
      <c r="Z397" s="129"/>
      <c r="AA397" s="129"/>
      <c r="AB397" s="129"/>
      <c r="AC397" s="129"/>
      <c r="AD397" s="129"/>
      <c r="AE397" s="129"/>
      <c r="AF397" s="129"/>
      <c r="AG397" s="117"/>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row>
    <row r="398">
      <c r="A398" s="141"/>
      <c r="B398" s="107"/>
      <c r="C398" s="107"/>
      <c r="D398" s="143"/>
      <c r="E398" s="129"/>
      <c r="F398" s="129"/>
      <c r="G398" s="129"/>
      <c r="H398" s="129"/>
      <c r="I398" s="129"/>
      <c r="J398" s="129"/>
      <c r="K398" s="129"/>
      <c r="L398" s="129"/>
      <c r="M398" s="129"/>
      <c r="N398" s="129"/>
      <c r="O398" s="129"/>
      <c r="P398" s="129"/>
      <c r="Q398" s="129"/>
      <c r="R398" s="129"/>
      <c r="S398" s="129"/>
      <c r="T398" s="129"/>
      <c r="U398" s="106"/>
      <c r="V398" s="106"/>
      <c r="W398" s="106"/>
      <c r="X398" s="106"/>
      <c r="Y398" s="106"/>
      <c r="Z398" s="129"/>
      <c r="AA398" s="129"/>
      <c r="AB398" s="129"/>
      <c r="AC398" s="129"/>
      <c r="AD398" s="129"/>
      <c r="AE398" s="129"/>
      <c r="AF398" s="129"/>
      <c r="AG398" s="117"/>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row>
    <row r="399">
      <c r="A399" s="141"/>
      <c r="B399" s="107"/>
      <c r="C399" s="107"/>
      <c r="D399" s="143"/>
      <c r="E399" s="129"/>
      <c r="F399" s="129"/>
      <c r="G399" s="129"/>
      <c r="H399" s="129"/>
      <c r="I399" s="129"/>
      <c r="J399" s="129"/>
      <c r="K399" s="129"/>
      <c r="L399" s="129"/>
      <c r="M399" s="129"/>
      <c r="N399" s="129"/>
      <c r="O399" s="129"/>
      <c r="P399" s="129"/>
      <c r="Q399" s="129"/>
      <c r="R399" s="129"/>
      <c r="S399" s="129"/>
      <c r="T399" s="129"/>
      <c r="U399" s="106"/>
      <c r="V399" s="106"/>
      <c r="W399" s="106"/>
      <c r="X399" s="106"/>
      <c r="Y399" s="106"/>
      <c r="Z399" s="129"/>
      <c r="AA399" s="129"/>
      <c r="AB399" s="129"/>
      <c r="AC399" s="129"/>
      <c r="AD399" s="129"/>
      <c r="AE399" s="129"/>
      <c r="AF399" s="129"/>
      <c r="AG399" s="117"/>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c r="BK399" s="124"/>
      <c r="BL399" s="124"/>
      <c r="BM399" s="124"/>
      <c r="BN399" s="124"/>
      <c r="BO399" s="124"/>
      <c r="BP399" s="124"/>
      <c r="BQ399" s="124"/>
      <c r="BR399" s="124"/>
      <c r="BS399" s="124"/>
      <c r="BT399" s="124"/>
      <c r="BU399" s="124"/>
      <c r="BV399" s="124"/>
      <c r="BW399" s="124"/>
      <c r="BX399" s="124"/>
      <c r="BY399" s="124"/>
      <c r="BZ399" s="124"/>
      <c r="CA399" s="124"/>
    </row>
    <row r="400">
      <c r="A400" s="141"/>
      <c r="B400" s="107"/>
      <c r="C400" s="107"/>
      <c r="D400" s="143"/>
      <c r="E400" s="129"/>
      <c r="F400" s="129"/>
      <c r="G400" s="129"/>
      <c r="H400" s="129"/>
      <c r="I400" s="129"/>
      <c r="J400" s="129"/>
      <c r="K400" s="129"/>
      <c r="L400" s="129"/>
      <c r="M400" s="129"/>
      <c r="N400" s="129"/>
      <c r="O400" s="129"/>
      <c r="P400" s="129"/>
      <c r="Q400" s="129"/>
      <c r="R400" s="129"/>
      <c r="S400" s="129"/>
      <c r="T400" s="129"/>
      <c r="U400" s="106"/>
      <c r="V400" s="106"/>
      <c r="W400" s="106"/>
      <c r="X400" s="106"/>
      <c r="Y400" s="106"/>
      <c r="Z400" s="129"/>
      <c r="AA400" s="129"/>
      <c r="AB400" s="129"/>
      <c r="AC400" s="129"/>
      <c r="AD400" s="129"/>
      <c r="AE400" s="129"/>
      <c r="AF400" s="129"/>
      <c r="AG400" s="117"/>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row>
    <row r="401">
      <c r="A401" s="141"/>
      <c r="B401" s="107"/>
      <c r="C401" s="107"/>
      <c r="D401" s="143"/>
      <c r="E401" s="129"/>
      <c r="F401" s="129"/>
      <c r="G401" s="129"/>
      <c r="H401" s="129"/>
      <c r="I401" s="129"/>
      <c r="J401" s="129"/>
      <c r="K401" s="129"/>
      <c r="L401" s="129"/>
      <c r="M401" s="129"/>
      <c r="N401" s="129"/>
      <c r="O401" s="129"/>
      <c r="P401" s="129"/>
      <c r="Q401" s="129"/>
      <c r="R401" s="129"/>
      <c r="S401" s="129"/>
      <c r="T401" s="129"/>
      <c r="U401" s="106"/>
      <c r="V401" s="106"/>
      <c r="W401" s="106"/>
      <c r="X401" s="106"/>
      <c r="Y401" s="106"/>
      <c r="Z401" s="129"/>
      <c r="AA401" s="129"/>
      <c r="AB401" s="129"/>
      <c r="AC401" s="129"/>
      <c r="AD401" s="129"/>
      <c r="AE401" s="129"/>
      <c r="AF401" s="129"/>
      <c r="AG401" s="117"/>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row>
    <row r="402">
      <c r="A402" s="141"/>
      <c r="B402" s="107"/>
      <c r="C402" s="107"/>
      <c r="D402" s="143"/>
      <c r="E402" s="129"/>
      <c r="F402" s="129"/>
      <c r="G402" s="129"/>
      <c r="H402" s="129"/>
      <c r="I402" s="129"/>
      <c r="J402" s="129"/>
      <c r="K402" s="129"/>
      <c r="L402" s="129"/>
      <c r="M402" s="129"/>
      <c r="N402" s="129"/>
      <c r="O402" s="129"/>
      <c r="P402" s="129"/>
      <c r="Q402" s="129"/>
      <c r="R402" s="129"/>
      <c r="S402" s="129"/>
      <c r="T402" s="129"/>
      <c r="U402" s="106"/>
      <c r="V402" s="106"/>
      <c r="W402" s="106"/>
      <c r="X402" s="106"/>
      <c r="Y402" s="106"/>
      <c r="Z402" s="129"/>
      <c r="AA402" s="129"/>
      <c r="AB402" s="129"/>
      <c r="AC402" s="129"/>
      <c r="AD402" s="129"/>
      <c r="AE402" s="129"/>
      <c r="AF402" s="129"/>
      <c r="AG402" s="117"/>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row>
    <row r="403">
      <c r="A403" s="141"/>
      <c r="B403" s="107"/>
      <c r="C403" s="107"/>
      <c r="D403" s="143"/>
      <c r="E403" s="129"/>
      <c r="F403" s="129"/>
      <c r="G403" s="129"/>
      <c r="H403" s="129"/>
      <c r="I403" s="129"/>
      <c r="J403" s="129"/>
      <c r="K403" s="129"/>
      <c r="L403" s="129"/>
      <c r="M403" s="129"/>
      <c r="N403" s="129"/>
      <c r="O403" s="129"/>
      <c r="P403" s="129"/>
      <c r="Q403" s="129"/>
      <c r="R403" s="129"/>
      <c r="S403" s="129"/>
      <c r="T403" s="129"/>
      <c r="U403" s="106"/>
      <c r="V403" s="106"/>
      <c r="W403" s="106"/>
      <c r="X403" s="106"/>
      <c r="Y403" s="106"/>
      <c r="Z403" s="129"/>
      <c r="AA403" s="129"/>
      <c r="AB403" s="129"/>
      <c r="AC403" s="129"/>
      <c r="AD403" s="129"/>
      <c r="AE403" s="129"/>
      <c r="AF403" s="129"/>
      <c r="AG403" s="117"/>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c r="BK403" s="124"/>
      <c r="BL403" s="124"/>
      <c r="BM403" s="124"/>
      <c r="BN403" s="124"/>
      <c r="BO403" s="124"/>
      <c r="BP403" s="124"/>
      <c r="BQ403" s="124"/>
      <c r="BR403" s="124"/>
      <c r="BS403" s="124"/>
      <c r="BT403" s="124"/>
      <c r="BU403" s="124"/>
      <c r="BV403" s="124"/>
      <c r="BW403" s="124"/>
      <c r="BX403" s="124"/>
      <c r="BY403" s="124"/>
      <c r="BZ403" s="124"/>
      <c r="CA403" s="124"/>
    </row>
    <row r="404">
      <c r="A404" s="141"/>
      <c r="B404" s="107"/>
      <c r="C404" s="107"/>
      <c r="D404" s="143"/>
      <c r="E404" s="129"/>
      <c r="F404" s="129"/>
      <c r="G404" s="129"/>
      <c r="H404" s="129"/>
      <c r="I404" s="129"/>
      <c r="J404" s="129"/>
      <c r="K404" s="129"/>
      <c r="L404" s="129"/>
      <c r="M404" s="129"/>
      <c r="N404" s="129"/>
      <c r="O404" s="129"/>
      <c r="P404" s="129"/>
      <c r="Q404" s="129"/>
      <c r="R404" s="129"/>
      <c r="S404" s="129"/>
      <c r="T404" s="129"/>
      <c r="U404" s="106"/>
      <c r="V404" s="106"/>
      <c r="W404" s="106"/>
      <c r="X404" s="106"/>
      <c r="Y404" s="106"/>
      <c r="Z404" s="129"/>
      <c r="AA404" s="129"/>
      <c r="AB404" s="129"/>
      <c r="AC404" s="129"/>
      <c r="AD404" s="129"/>
      <c r="AE404" s="129"/>
      <c r="AF404" s="129"/>
      <c r="AG404" s="117"/>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row>
    <row r="405">
      <c r="A405" s="141"/>
      <c r="B405" s="107"/>
      <c r="C405" s="107"/>
      <c r="D405" s="143"/>
      <c r="E405" s="129"/>
      <c r="F405" s="129"/>
      <c r="G405" s="129"/>
      <c r="H405" s="129"/>
      <c r="I405" s="129"/>
      <c r="J405" s="129"/>
      <c r="K405" s="129"/>
      <c r="L405" s="129"/>
      <c r="M405" s="129"/>
      <c r="N405" s="129"/>
      <c r="O405" s="129"/>
      <c r="P405" s="129"/>
      <c r="Q405" s="129"/>
      <c r="R405" s="129"/>
      <c r="S405" s="129"/>
      <c r="T405" s="129"/>
      <c r="U405" s="106"/>
      <c r="V405" s="106"/>
      <c r="W405" s="106"/>
      <c r="X405" s="106"/>
      <c r="Y405" s="106"/>
      <c r="Z405" s="129"/>
      <c r="AA405" s="129"/>
      <c r="AB405" s="129"/>
      <c r="AC405" s="129"/>
      <c r="AD405" s="129"/>
      <c r="AE405" s="129"/>
      <c r="AF405" s="129"/>
      <c r="AG405" s="117"/>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row>
    <row r="406">
      <c r="A406" s="141"/>
      <c r="B406" s="107"/>
      <c r="C406" s="107"/>
      <c r="D406" s="143"/>
      <c r="E406" s="129"/>
      <c r="F406" s="129"/>
      <c r="G406" s="129"/>
      <c r="H406" s="129"/>
      <c r="I406" s="129"/>
      <c r="J406" s="129"/>
      <c r="K406" s="129"/>
      <c r="L406" s="129"/>
      <c r="M406" s="129"/>
      <c r="N406" s="129"/>
      <c r="O406" s="129"/>
      <c r="P406" s="129"/>
      <c r="Q406" s="129"/>
      <c r="R406" s="129"/>
      <c r="S406" s="129"/>
      <c r="T406" s="129"/>
      <c r="U406" s="106"/>
      <c r="V406" s="106"/>
      <c r="W406" s="106"/>
      <c r="X406" s="106"/>
      <c r="Y406" s="106"/>
      <c r="Z406" s="129"/>
      <c r="AA406" s="129"/>
      <c r="AB406" s="129"/>
      <c r="AC406" s="129"/>
      <c r="AD406" s="129"/>
      <c r="AE406" s="129"/>
      <c r="AF406" s="129"/>
      <c r="AG406" s="117"/>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row>
    <row r="407">
      <c r="A407" s="141"/>
      <c r="B407" s="107"/>
      <c r="C407" s="107"/>
      <c r="D407" s="143"/>
      <c r="E407" s="129"/>
      <c r="F407" s="129"/>
      <c r="G407" s="129"/>
      <c r="H407" s="129"/>
      <c r="I407" s="129"/>
      <c r="J407" s="129"/>
      <c r="K407" s="129"/>
      <c r="L407" s="129"/>
      <c r="M407" s="129"/>
      <c r="N407" s="129"/>
      <c r="O407" s="129"/>
      <c r="P407" s="129"/>
      <c r="Q407" s="129"/>
      <c r="R407" s="129"/>
      <c r="S407" s="129"/>
      <c r="T407" s="129"/>
      <c r="U407" s="106"/>
      <c r="V407" s="106"/>
      <c r="W407" s="106"/>
      <c r="X407" s="106"/>
      <c r="Y407" s="106"/>
      <c r="Z407" s="129"/>
      <c r="AA407" s="129"/>
      <c r="AB407" s="129"/>
      <c r="AC407" s="129"/>
      <c r="AD407" s="129"/>
      <c r="AE407" s="129"/>
      <c r="AF407" s="129"/>
      <c r="AG407" s="117"/>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row>
    <row r="408">
      <c r="A408" s="141"/>
      <c r="B408" s="107"/>
      <c r="C408" s="107"/>
      <c r="D408" s="143"/>
      <c r="E408" s="129"/>
      <c r="F408" s="129"/>
      <c r="G408" s="129"/>
      <c r="H408" s="129"/>
      <c r="I408" s="129"/>
      <c r="J408" s="129"/>
      <c r="K408" s="129"/>
      <c r="L408" s="129"/>
      <c r="M408" s="129"/>
      <c r="N408" s="129"/>
      <c r="O408" s="129"/>
      <c r="P408" s="129"/>
      <c r="Q408" s="129"/>
      <c r="R408" s="129"/>
      <c r="S408" s="129"/>
      <c r="T408" s="129"/>
      <c r="U408" s="106"/>
      <c r="V408" s="106"/>
      <c r="W408" s="106"/>
      <c r="X408" s="106"/>
      <c r="Y408" s="106"/>
      <c r="Z408" s="129"/>
      <c r="AA408" s="129"/>
      <c r="AB408" s="129"/>
      <c r="AC408" s="129"/>
      <c r="AD408" s="129"/>
      <c r="AE408" s="129"/>
      <c r="AF408" s="129"/>
      <c r="AG408" s="117"/>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24"/>
      <c r="BP408" s="124"/>
      <c r="BQ408" s="124"/>
      <c r="BR408" s="124"/>
      <c r="BS408" s="124"/>
      <c r="BT408" s="124"/>
      <c r="BU408" s="124"/>
      <c r="BV408" s="124"/>
      <c r="BW408" s="124"/>
      <c r="BX408" s="124"/>
      <c r="BY408" s="124"/>
      <c r="BZ408" s="124"/>
      <c r="CA408" s="124"/>
    </row>
    <row r="409">
      <c r="A409" s="141"/>
      <c r="B409" s="107"/>
      <c r="C409" s="107"/>
      <c r="D409" s="143"/>
      <c r="E409" s="129"/>
      <c r="F409" s="129"/>
      <c r="G409" s="129"/>
      <c r="H409" s="129"/>
      <c r="I409" s="129"/>
      <c r="J409" s="129"/>
      <c r="K409" s="129"/>
      <c r="L409" s="129"/>
      <c r="M409" s="129"/>
      <c r="N409" s="129"/>
      <c r="O409" s="129"/>
      <c r="P409" s="129"/>
      <c r="Q409" s="129"/>
      <c r="R409" s="129"/>
      <c r="S409" s="129"/>
      <c r="T409" s="129"/>
      <c r="U409" s="106"/>
      <c r="V409" s="106"/>
      <c r="W409" s="106"/>
      <c r="X409" s="106"/>
      <c r="Y409" s="106"/>
      <c r="Z409" s="129"/>
      <c r="AA409" s="129"/>
      <c r="AB409" s="129"/>
      <c r="AC409" s="129"/>
      <c r="AD409" s="129"/>
      <c r="AE409" s="129"/>
      <c r="AF409" s="129"/>
      <c r="AG409" s="117"/>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row>
    <row r="410">
      <c r="A410" s="141"/>
      <c r="B410" s="107"/>
      <c r="C410" s="107"/>
      <c r="D410" s="143"/>
      <c r="E410" s="129"/>
      <c r="F410" s="129"/>
      <c r="G410" s="129"/>
      <c r="H410" s="129"/>
      <c r="I410" s="129"/>
      <c r="J410" s="129"/>
      <c r="K410" s="129"/>
      <c r="L410" s="129"/>
      <c r="M410" s="129"/>
      <c r="N410" s="129"/>
      <c r="O410" s="129"/>
      <c r="P410" s="129"/>
      <c r="Q410" s="129"/>
      <c r="R410" s="129"/>
      <c r="S410" s="129"/>
      <c r="T410" s="129"/>
      <c r="U410" s="106"/>
      <c r="V410" s="106"/>
      <c r="W410" s="106"/>
      <c r="X410" s="106"/>
      <c r="Y410" s="106"/>
      <c r="Z410" s="129"/>
      <c r="AA410" s="129"/>
      <c r="AB410" s="129"/>
      <c r="AC410" s="129"/>
      <c r="AD410" s="129"/>
      <c r="AE410" s="129"/>
      <c r="AF410" s="129"/>
      <c r="AG410" s="117"/>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row>
    <row r="411">
      <c r="A411" s="141"/>
      <c r="B411" s="107"/>
      <c r="C411" s="107"/>
      <c r="D411" s="143"/>
      <c r="E411" s="129"/>
      <c r="F411" s="129"/>
      <c r="G411" s="129"/>
      <c r="H411" s="129"/>
      <c r="I411" s="129"/>
      <c r="J411" s="129"/>
      <c r="K411" s="129"/>
      <c r="L411" s="129"/>
      <c r="M411" s="129"/>
      <c r="N411" s="129"/>
      <c r="O411" s="129"/>
      <c r="P411" s="129"/>
      <c r="Q411" s="129"/>
      <c r="R411" s="129"/>
      <c r="S411" s="129"/>
      <c r="T411" s="129"/>
      <c r="U411" s="106"/>
      <c r="V411" s="106"/>
      <c r="W411" s="106"/>
      <c r="X411" s="106"/>
      <c r="Y411" s="106"/>
      <c r="Z411" s="129"/>
      <c r="AA411" s="129"/>
      <c r="AB411" s="129"/>
      <c r="AC411" s="129"/>
      <c r="AD411" s="129"/>
      <c r="AE411" s="129"/>
      <c r="AF411" s="129"/>
      <c r="AG411" s="117"/>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c r="BK411" s="124"/>
      <c r="BL411" s="124"/>
      <c r="BM411" s="124"/>
      <c r="BN411" s="124"/>
      <c r="BO411" s="124"/>
      <c r="BP411" s="124"/>
      <c r="BQ411" s="124"/>
      <c r="BR411" s="124"/>
      <c r="BS411" s="124"/>
      <c r="BT411" s="124"/>
      <c r="BU411" s="124"/>
      <c r="BV411" s="124"/>
      <c r="BW411" s="124"/>
      <c r="BX411" s="124"/>
      <c r="BY411" s="124"/>
      <c r="BZ411" s="124"/>
      <c r="CA411" s="124"/>
    </row>
    <row r="412">
      <c r="A412" s="141"/>
      <c r="B412" s="107"/>
      <c r="C412" s="107"/>
      <c r="D412" s="143"/>
      <c r="E412" s="129"/>
      <c r="F412" s="129"/>
      <c r="G412" s="129"/>
      <c r="H412" s="129"/>
      <c r="I412" s="129"/>
      <c r="J412" s="129"/>
      <c r="K412" s="129"/>
      <c r="L412" s="129"/>
      <c r="M412" s="129"/>
      <c r="N412" s="129"/>
      <c r="O412" s="129"/>
      <c r="P412" s="129"/>
      <c r="Q412" s="129"/>
      <c r="R412" s="129"/>
      <c r="S412" s="129"/>
      <c r="T412" s="129"/>
      <c r="U412" s="106"/>
      <c r="V412" s="106"/>
      <c r="W412" s="106"/>
      <c r="X412" s="106"/>
      <c r="Y412" s="106"/>
      <c r="Z412" s="129"/>
      <c r="AA412" s="129"/>
      <c r="AB412" s="129"/>
      <c r="AC412" s="129"/>
      <c r="AD412" s="129"/>
      <c r="AE412" s="129"/>
      <c r="AF412" s="129"/>
      <c r="AG412" s="117"/>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row>
    <row r="413">
      <c r="A413" s="141"/>
      <c r="B413" s="107"/>
      <c r="C413" s="107"/>
      <c r="D413" s="143"/>
      <c r="E413" s="129"/>
      <c r="F413" s="129"/>
      <c r="G413" s="129"/>
      <c r="H413" s="129"/>
      <c r="I413" s="129"/>
      <c r="J413" s="129"/>
      <c r="K413" s="129"/>
      <c r="L413" s="129"/>
      <c r="M413" s="129"/>
      <c r="N413" s="129"/>
      <c r="O413" s="129"/>
      <c r="P413" s="129"/>
      <c r="Q413" s="129"/>
      <c r="R413" s="129"/>
      <c r="S413" s="129"/>
      <c r="T413" s="129"/>
      <c r="U413" s="106"/>
      <c r="V413" s="106"/>
      <c r="W413" s="106"/>
      <c r="X413" s="106"/>
      <c r="Y413" s="106"/>
      <c r="Z413" s="129"/>
      <c r="AA413" s="129"/>
      <c r="AB413" s="129"/>
      <c r="AC413" s="129"/>
      <c r="AD413" s="129"/>
      <c r="AE413" s="129"/>
      <c r="AF413" s="129"/>
      <c r="AG413" s="117"/>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c r="BK413" s="124"/>
      <c r="BL413" s="124"/>
      <c r="BM413" s="124"/>
      <c r="BN413" s="124"/>
      <c r="BO413" s="124"/>
      <c r="BP413" s="124"/>
      <c r="BQ413" s="124"/>
      <c r="BR413" s="124"/>
      <c r="BS413" s="124"/>
      <c r="BT413" s="124"/>
      <c r="BU413" s="124"/>
      <c r="BV413" s="124"/>
      <c r="BW413" s="124"/>
      <c r="BX413" s="124"/>
      <c r="BY413" s="124"/>
      <c r="BZ413" s="124"/>
      <c r="CA413" s="124"/>
    </row>
    <row r="414">
      <c r="A414" s="141"/>
      <c r="B414" s="107"/>
      <c r="C414" s="107"/>
      <c r="D414" s="143"/>
      <c r="E414" s="129"/>
      <c r="F414" s="129"/>
      <c r="G414" s="129"/>
      <c r="H414" s="129"/>
      <c r="I414" s="129"/>
      <c r="J414" s="129"/>
      <c r="K414" s="129"/>
      <c r="L414" s="129"/>
      <c r="M414" s="129"/>
      <c r="N414" s="129"/>
      <c r="O414" s="129"/>
      <c r="P414" s="129"/>
      <c r="Q414" s="129"/>
      <c r="R414" s="129"/>
      <c r="S414" s="129"/>
      <c r="T414" s="129"/>
      <c r="U414" s="106"/>
      <c r="V414" s="106"/>
      <c r="W414" s="106"/>
      <c r="X414" s="106"/>
      <c r="Y414" s="106"/>
      <c r="Z414" s="129"/>
      <c r="AA414" s="129"/>
      <c r="AB414" s="129"/>
      <c r="AC414" s="129"/>
      <c r="AD414" s="129"/>
      <c r="AE414" s="129"/>
      <c r="AF414" s="129"/>
      <c r="AG414" s="117"/>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c r="BK414" s="124"/>
      <c r="BL414" s="124"/>
      <c r="BM414" s="124"/>
      <c r="BN414" s="124"/>
      <c r="BO414" s="124"/>
      <c r="BP414" s="124"/>
      <c r="BQ414" s="124"/>
      <c r="BR414" s="124"/>
      <c r="BS414" s="124"/>
      <c r="BT414" s="124"/>
      <c r="BU414" s="124"/>
      <c r="BV414" s="124"/>
      <c r="BW414" s="124"/>
      <c r="BX414" s="124"/>
      <c r="BY414" s="124"/>
      <c r="BZ414" s="124"/>
      <c r="CA414" s="124"/>
    </row>
    <row r="415">
      <c r="A415" s="141"/>
      <c r="B415" s="107"/>
      <c r="C415" s="107"/>
      <c r="D415" s="143"/>
      <c r="E415" s="129"/>
      <c r="F415" s="129"/>
      <c r="G415" s="129"/>
      <c r="H415" s="129"/>
      <c r="I415" s="129"/>
      <c r="J415" s="129"/>
      <c r="K415" s="129"/>
      <c r="L415" s="129"/>
      <c r="M415" s="129"/>
      <c r="N415" s="129"/>
      <c r="O415" s="129"/>
      <c r="P415" s="129"/>
      <c r="Q415" s="129"/>
      <c r="R415" s="129"/>
      <c r="S415" s="129"/>
      <c r="T415" s="129"/>
      <c r="U415" s="106"/>
      <c r="V415" s="106"/>
      <c r="W415" s="106"/>
      <c r="X415" s="106"/>
      <c r="Y415" s="106"/>
      <c r="Z415" s="129"/>
      <c r="AA415" s="129"/>
      <c r="AB415" s="129"/>
      <c r="AC415" s="129"/>
      <c r="AD415" s="129"/>
      <c r="AE415" s="129"/>
      <c r="AF415" s="129"/>
      <c r="AG415" s="117"/>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row>
    <row r="416">
      <c r="A416" s="141"/>
      <c r="B416" s="107"/>
      <c r="C416" s="107"/>
      <c r="D416" s="143"/>
      <c r="E416" s="129"/>
      <c r="F416" s="129"/>
      <c r="G416" s="129"/>
      <c r="H416" s="129"/>
      <c r="I416" s="129"/>
      <c r="J416" s="129"/>
      <c r="K416" s="129"/>
      <c r="L416" s="129"/>
      <c r="M416" s="129"/>
      <c r="N416" s="129"/>
      <c r="O416" s="129"/>
      <c r="P416" s="129"/>
      <c r="Q416" s="129"/>
      <c r="R416" s="129"/>
      <c r="S416" s="129"/>
      <c r="T416" s="129"/>
      <c r="U416" s="106"/>
      <c r="V416" s="106"/>
      <c r="W416" s="106"/>
      <c r="X416" s="106"/>
      <c r="Y416" s="106"/>
      <c r="Z416" s="129"/>
      <c r="AA416" s="129"/>
      <c r="AB416" s="129"/>
      <c r="AC416" s="129"/>
      <c r="AD416" s="129"/>
      <c r="AE416" s="129"/>
      <c r="AF416" s="129"/>
      <c r="AG416" s="117"/>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c r="BK416" s="124"/>
      <c r="BL416" s="124"/>
      <c r="BM416" s="124"/>
      <c r="BN416" s="124"/>
      <c r="BO416" s="124"/>
      <c r="BP416" s="124"/>
      <c r="BQ416" s="124"/>
      <c r="BR416" s="124"/>
      <c r="BS416" s="124"/>
      <c r="BT416" s="124"/>
      <c r="BU416" s="124"/>
      <c r="BV416" s="124"/>
      <c r="BW416" s="124"/>
      <c r="BX416" s="124"/>
      <c r="BY416" s="124"/>
      <c r="BZ416" s="124"/>
      <c r="CA416" s="124"/>
    </row>
    <row r="417">
      <c r="A417" s="141"/>
      <c r="B417" s="107"/>
      <c r="C417" s="107"/>
      <c r="D417" s="143"/>
      <c r="E417" s="129"/>
      <c r="F417" s="129"/>
      <c r="G417" s="129"/>
      <c r="H417" s="129"/>
      <c r="I417" s="129"/>
      <c r="J417" s="129"/>
      <c r="K417" s="129"/>
      <c r="L417" s="129"/>
      <c r="M417" s="129"/>
      <c r="N417" s="129"/>
      <c r="O417" s="129"/>
      <c r="P417" s="129"/>
      <c r="Q417" s="129"/>
      <c r="R417" s="129"/>
      <c r="S417" s="129"/>
      <c r="T417" s="129"/>
      <c r="U417" s="106"/>
      <c r="V417" s="106"/>
      <c r="W417" s="106"/>
      <c r="X417" s="106"/>
      <c r="Y417" s="106"/>
      <c r="Z417" s="129"/>
      <c r="AA417" s="129"/>
      <c r="AB417" s="129"/>
      <c r="AC417" s="129"/>
      <c r="AD417" s="129"/>
      <c r="AE417" s="129"/>
      <c r="AF417" s="129"/>
      <c r="AG417" s="117"/>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4"/>
      <c r="BR417" s="124"/>
      <c r="BS417" s="124"/>
      <c r="BT417" s="124"/>
      <c r="BU417" s="124"/>
      <c r="BV417" s="124"/>
      <c r="BW417" s="124"/>
      <c r="BX417" s="124"/>
      <c r="BY417" s="124"/>
      <c r="BZ417" s="124"/>
      <c r="CA417" s="124"/>
    </row>
    <row r="418">
      <c r="A418" s="141"/>
      <c r="B418" s="107"/>
      <c r="C418" s="107"/>
      <c r="D418" s="143"/>
      <c r="E418" s="129"/>
      <c r="F418" s="129"/>
      <c r="G418" s="129"/>
      <c r="H418" s="129"/>
      <c r="I418" s="129"/>
      <c r="J418" s="129"/>
      <c r="K418" s="129"/>
      <c r="L418" s="129"/>
      <c r="M418" s="129"/>
      <c r="N418" s="129"/>
      <c r="O418" s="129"/>
      <c r="P418" s="129"/>
      <c r="Q418" s="129"/>
      <c r="R418" s="129"/>
      <c r="S418" s="129"/>
      <c r="T418" s="129"/>
      <c r="U418" s="106"/>
      <c r="V418" s="106"/>
      <c r="W418" s="106"/>
      <c r="X418" s="106"/>
      <c r="Y418" s="106"/>
      <c r="Z418" s="129"/>
      <c r="AA418" s="129"/>
      <c r="AB418" s="129"/>
      <c r="AC418" s="129"/>
      <c r="AD418" s="129"/>
      <c r="AE418" s="129"/>
      <c r="AF418" s="129"/>
      <c r="AG418" s="117"/>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c r="BK418" s="124"/>
      <c r="BL418" s="124"/>
      <c r="BM418" s="124"/>
      <c r="BN418" s="124"/>
      <c r="BO418" s="124"/>
      <c r="BP418" s="124"/>
      <c r="BQ418" s="124"/>
      <c r="BR418" s="124"/>
      <c r="BS418" s="124"/>
      <c r="BT418" s="124"/>
      <c r="BU418" s="124"/>
      <c r="BV418" s="124"/>
      <c r="BW418" s="124"/>
      <c r="BX418" s="124"/>
      <c r="BY418" s="124"/>
      <c r="BZ418" s="124"/>
      <c r="CA418" s="124"/>
    </row>
    <row r="419">
      <c r="A419" s="141"/>
      <c r="B419" s="107"/>
      <c r="C419" s="107"/>
      <c r="D419" s="143"/>
      <c r="E419" s="129"/>
      <c r="F419" s="129"/>
      <c r="G419" s="129"/>
      <c r="H419" s="129"/>
      <c r="I419" s="129"/>
      <c r="J419" s="129"/>
      <c r="K419" s="129"/>
      <c r="L419" s="129"/>
      <c r="M419" s="129"/>
      <c r="N419" s="129"/>
      <c r="O419" s="129"/>
      <c r="P419" s="129"/>
      <c r="Q419" s="129"/>
      <c r="R419" s="129"/>
      <c r="S419" s="129"/>
      <c r="T419" s="129"/>
      <c r="U419" s="106"/>
      <c r="V419" s="106"/>
      <c r="W419" s="106"/>
      <c r="X419" s="106"/>
      <c r="Y419" s="106"/>
      <c r="Z419" s="129"/>
      <c r="AA419" s="129"/>
      <c r="AB419" s="129"/>
      <c r="AC419" s="129"/>
      <c r="AD419" s="129"/>
      <c r="AE419" s="129"/>
      <c r="AF419" s="129"/>
      <c r="AG419" s="117"/>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c r="BK419" s="124"/>
      <c r="BL419" s="124"/>
      <c r="BM419" s="124"/>
      <c r="BN419" s="124"/>
      <c r="BO419" s="124"/>
      <c r="BP419" s="124"/>
      <c r="BQ419" s="124"/>
      <c r="BR419" s="124"/>
      <c r="BS419" s="124"/>
      <c r="BT419" s="124"/>
      <c r="BU419" s="124"/>
      <c r="BV419" s="124"/>
      <c r="BW419" s="124"/>
      <c r="BX419" s="124"/>
      <c r="BY419" s="124"/>
      <c r="BZ419" s="124"/>
      <c r="CA419" s="124"/>
    </row>
    <row r="420">
      <c r="A420" s="141"/>
      <c r="B420" s="107"/>
      <c r="C420" s="107"/>
      <c r="D420" s="143"/>
      <c r="E420" s="129"/>
      <c r="F420" s="129"/>
      <c r="G420" s="129"/>
      <c r="H420" s="129"/>
      <c r="I420" s="129"/>
      <c r="J420" s="129"/>
      <c r="K420" s="129"/>
      <c r="L420" s="129"/>
      <c r="M420" s="129"/>
      <c r="N420" s="129"/>
      <c r="O420" s="129"/>
      <c r="P420" s="129"/>
      <c r="Q420" s="129"/>
      <c r="R420" s="129"/>
      <c r="S420" s="129"/>
      <c r="T420" s="129"/>
      <c r="U420" s="106"/>
      <c r="V420" s="106"/>
      <c r="W420" s="106"/>
      <c r="X420" s="106"/>
      <c r="Y420" s="106"/>
      <c r="Z420" s="129"/>
      <c r="AA420" s="129"/>
      <c r="AB420" s="129"/>
      <c r="AC420" s="129"/>
      <c r="AD420" s="129"/>
      <c r="AE420" s="129"/>
      <c r="AF420" s="129"/>
      <c r="AG420" s="117"/>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row>
    <row r="421">
      <c r="A421" s="141"/>
      <c r="B421" s="107"/>
      <c r="C421" s="107"/>
      <c r="D421" s="143"/>
      <c r="E421" s="129"/>
      <c r="F421" s="129"/>
      <c r="G421" s="129"/>
      <c r="H421" s="129"/>
      <c r="I421" s="129"/>
      <c r="J421" s="129"/>
      <c r="K421" s="129"/>
      <c r="L421" s="129"/>
      <c r="M421" s="129"/>
      <c r="N421" s="129"/>
      <c r="O421" s="129"/>
      <c r="P421" s="129"/>
      <c r="Q421" s="129"/>
      <c r="R421" s="129"/>
      <c r="S421" s="129"/>
      <c r="T421" s="129"/>
      <c r="U421" s="106"/>
      <c r="V421" s="106"/>
      <c r="W421" s="106"/>
      <c r="X421" s="106"/>
      <c r="Y421" s="106"/>
      <c r="Z421" s="129"/>
      <c r="AA421" s="129"/>
      <c r="AB421" s="129"/>
      <c r="AC421" s="129"/>
      <c r="AD421" s="129"/>
      <c r="AE421" s="129"/>
      <c r="AF421" s="129"/>
      <c r="AG421" s="117"/>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row>
    <row r="422">
      <c r="A422" s="141"/>
      <c r="B422" s="107"/>
      <c r="C422" s="107"/>
      <c r="D422" s="143"/>
      <c r="E422" s="129"/>
      <c r="F422" s="129"/>
      <c r="G422" s="129"/>
      <c r="H422" s="129"/>
      <c r="I422" s="129"/>
      <c r="J422" s="129"/>
      <c r="K422" s="129"/>
      <c r="L422" s="129"/>
      <c r="M422" s="129"/>
      <c r="N422" s="129"/>
      <c r="O422" s="129"/>
      <c r="P422" s="129"/>
      <c r="Q422" s="129"/>
      <c r="R422" s="129"/>
      <c r="S422" s="129"/>
      <c r="T422" s="129"/>
      <c r="U422" s="106"/>
      <c r="V422" s="106"/>
      <c r="W422" s="106"/>
      <c r="X422" s="106"/>
      <c r="Y422" s="106"/>
      <c r="Z422" s="129"/>
      <c r="AA422" s="129"/>
      <c r="AB422" s="129"/>
      <c r="AC422" s="129"/>
      <c r="AD422" s="129"/>
      <c r="AE422" s="129"/>
      <c r="AF422" s="129"/>
      <c r="AG422" s="117"/>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c r="BK422" s="124"/>
      <c r="BL422" s="124"/>
      <c r="BM422" s="124"/>
      <c r="BN422" s="124"/>
      <c r="BO422" s="124"/>
      <c r="BP422" s="124"/>
      <c r="BQ422" s="124"/>
      <c r="BR422" s="124"/>
      <c r="BS422" s="124"/>
      <c r="BT422" s="124"/>
      <c r="BU422" s="124"/>
      <c r="BV422" s="124"/>
      <c r="BW422" s="124"/>
      <c r="BX422" s="124"/>
      <c r="BY422" s="124"/>
      <c r="BZ422" s="124"/>
      <c r="CA422" s="124"/>
    </row>
    <row r="423">
      <c r="A423" s="141"/>
      <c r="B423" s="107"/>
      <c r="C423" s="107"/>
      <c r="D423" s="143"/>
      <c r="E423" s="129"/>
      <c r="F423" s="129"/>
      <c r="G423" s="129"/>
      <c r="H423" s="129"/>
      <c r="I423" s="129"/>
      <c r="J423" s="129"/>
      <c r="K423" s="129"/>
      <c r="L423" s="129"/>
      <c r="M423" s="129"/>
      <c r="N423" s="129"/>
      <c r="O423" s="129"/>
      <c r="P423" s="129"/>
      <c r="Q423" s="129"/>
      <c r="R423" s="129"/>
      <c r="S423" s="129"/>
      <c r="T423" s="129"/>
      <c r="U423" s="106"/>
      <c r="V423" s="106"/>
      <c r="W423" s="106"/>
      <c r="X423" s="106"/>
      <c r="Y423" s="106"/>
      <c r="Z423" s="129"/>
      <c r="AA423" s="129"/>
      <c r="AB423" s="129"/>
      <c r="AC423" s="129"/>
      <c r="AD423" s="129"/>
      <c r="AE423" s="129"/>
      <c r="AF423" s="129"/>
      <c r="AG423" s="117"/>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4"/>
      <c r="BV423" s="124"/>
      <c r="BW423" s="124"/>
      <c r="BX423" s="124"/>
      <c r="BY423" s="124"/>
      <c r="BZ423" s="124"/>
      <c r="CA423" s="124"/>
    </row>
    <row r="424">
      <c r="A424" s="141"/>
      <c r="B424" s="107"/>
      <c r="C424" s="107"/>
      <c r="D424" s="143"/>
      <c r="E424" s="129"/>
      <c r="F424" s="129"/>
      <c r="G424" s="129"/>
      <c r="H424" s="129"/>
      <c r="I424" s="129"/>
      <c r="J424" s="129"/>
      <c r="K424" s="129"/>
      <c r="L424" s="129"/>
      <c r="M424" s="129"/>
      <c r="N424" s="129"/>
      <c r="O424" s="129"/>
      <c r="P424" s="129"/>
      <c r="Q424" s="129"/>
      <c r="R424" s="129"/>
      <c r="S424" s="129"/>
      <c r="T424" s="129"/>
      <c r="U424" s="106"/>
      <c r="V424" s="106"/>
      <c r="W424" s="106"/>
      <c r="X424" s="106"/>
      <c r="Y424" s="106"/>
      <c r="Z424" s="129"/>
      <c r="AA424" s="129"/>
      <c r="AB424" s="129"/>
      <c r="AC424" s="129"/>
      <c r="AD424" s="129"/>
      <c r="AE424" s="129"/>
      <c r="AF424" s="129"/>
      <c r="AG424" s="117"/>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c r="BK424" s="124"/>
      <c r="BL424" s="124"/>
      <c r="BM424" s="124"/>
      <c r="BN424" s="124"/>
      <c r="BO424" s="124"/>
      <c r="BP424" s="124"/>
      <c r="BQ424" s="124"/>
      <c r="BR424" s="124"/>
      <c r="BS424" s="124"/>
      <c r="BT424" s="124"/>
      <c r="BU424" s="124"/>
      <c r="BV424" s="124"/>
      <c r="BW424" s="124"/>
      <c r="BX424" s="124"/>
      <c r="BY424" s="124"/>
      <c r="BZ424" s="124"/>
      <c r="CA424" s="124"/>
    </row>
    <row r="425">
      <c r="A425" s="141"/>
      <c r="B425" s="107"/>
      <c r="C425" s="107"/>
      <c r="D425" s="143"/>
      <c r="E425" s="129"/>
      <c r="F425" s="129"/>
      <c r="G425" s="129"/>
      <c r="H425" s="129"/>
      <c r="I425" s="129"/>
      <c r="J425" s="129"/>
      <c r="K425" s="129"/>
      <c r="L425" s="129"/>
      <c r="M425" s="129"/>
      <c r="N425" s="129"/>
      <c r="O425" s="129"/>
      <c r="P425" s="129"/>
      <c r="Q425" s="129"/>
      <c r="R425" s="129"/>
      <c r="S425" s="129"/>
      <c r="T425" s="129"/>
      <c r="U425" s="106"/>
      <c r="V425" s="106"/>
      <c r="W425" s="106"/>
      <c r="X425" s="106"/>
      <c r="Y425" s="106"/>
      <c r="Z425" s="129"/>
      <c r="AA425" s="129"/>
      <c r="AB425" s="129"/>
      <c r="AC425" s="129"/>
      <c r="AD425" s="129"/>
      <c r="AE425" s="129"/>
      <c r="AF425" s="129"/>
      <c r="AG425" s="117"/>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c r="BK425" s="124"/>
      <c r="BL425" s="124"/>
      <c r="BM425" s="124"/>
      <c r="BN425" s="124"/>
      <c r="BO425" s="124"/>
      <c r="BP425" s="124"/>
      <c r="BQ425" s="124"/>
      <c r="BR425" s="124"/>
      <c r="BS425" s="124"/>
      <c r="BT425" s="124"/>
      <c r="BU425" s="124"/>
      <c r="BV425" s="124"/>
      <c r="BW425" s="124"/>
      <c r="BX425" s="124"/>
      <c r="BY425" s="124"/>
      <c r="BZ425" s="124"/>
      <c r="CA425" s="124"/>
    </row>
    <row r="426">
      <c r="A426" s="141"/>
      <c r="B426" s="107"/>
      <c r="C426" s="107"/>
      <c r="D426" s="143"/>
      <c r="E426" s="129"/>
      <c r="F426" s="129"/>
      <c r="G426" s="129"/>
      <c r="H426" s="129"/>
      <c r="I426" s="129"/>
      <c r="J426" s="129"/>
      <c r="K426" s="129"/>
      <c r="L426" s="129"/>
      <c r="M426" s="129"/>
      <c r="N426" s="129"/>
      <c r="O426" s="129"/>
      <c r="P426" s="129"/>
      <c r="Q426" s="129"/>
      <c r="R426" s="129"/>
      <c r="S426" s="129"/>
      <c r="T426" s="129"/>
      <c r="U426" s="106"/>
      <c r="V426" s="106"/>
      <c r="W426" s="106"/>
      <c r="X426" s="106"/>
      <c r="Y426" s="106"/>
      <c r="Z426" s="129"/>
      <c r="AA426" s="129"/>
      <c r="AB426" s="129"/>
      <c r="AC426" s="129"/>
      <c r="AD426" s="129"/>
      <c r="AE426" s="129"/>
      <c r="AF426" s="129"/>
      <c r="AG426" s="117"/>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c r="BK426" s="124"/>
      <c r="BL426" s="124"/>
      <c r="BM426" s="124"/>
      <c r="BN426" s="124"/>
      <c r="BO426" s="124"/>
      <c r="BP426" s="124"/>
      <c r="BQ426" s="124"/>
      <c r="BR426" s="124"/>
      <c r="BS426" s="124"/>
      <c r="BT426" s="124"/>
      <c r="BU426" s="124"/>
      <c r="BV426" s="124"/>
      <c r="BW426" s="124"/>
      <c r="BX426" s="124"/>
      <c r="BY426" s="124"/>
      <c r="BZ426" s="124"/>
      <c r="CA426" s="124"/>
    </row>
    <row r="427">
      <c r="A427" s="141"/>
      <c r="B427" s="107"/>
      <c r="C427" s="107"/>
      <c r="D427" s="143"/>
      <c r="E427" s="129"/>
      <c r="F427" s="129"/>
      <c r="G427" s="129"/>
      <c r="H427" s="129"/>
      <c r="I427" s="129"/>
      <c r="J427" s="129"/>
      <c r="K427" s="129"/>
      <c r="L427" s="129"/>
      <c r="M427" s="129"/>
      <c r="N427" s="129"/>
      <c r="O427" s="129"/>
      <c r="P427" s="129"/>
      <c r="Q427" s="129"/>
      <c r="R427" s="129"/>
      <c r="S427" s="129"/>
      <c r="T427" s="129"/>
      <c r="U427" s="106"/>
      <c r="V427" s="106"/>
      <c r="W427" s="106"/>
      <c r="X427" s="106"/>
      <c r="Y427" s="106"/>
      <c r="Z427" s="129"/>
      <c r="AA427" s="129"/>
      <c r="AB427" s="129"/>
      <c r="AC427" s="129"/>
      <c r="AD427" s="129"/>
      <c r="AE427" s="129"/>
      <c r="AF427" s="129"/>
      <c r="AG427" s="117"/>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row>
    <row r="428">
      <c r="A428" s="141"/>
      <c r="B428" s="107"/>
      <c r="C428" s="107"/>
      <c r="D428" s="143"/>
      <c r="E428" s="129"/>
      <c r="F428" s="129"/>
      <c r="G428" s="129"/>
      <c r="H428" s="129"/>
      <c r="I428" s="129"/>
      <c r="J428" s="129"/>
      <c r="K428" s="129"/>
      <c r="L428" s="129"/>
      <c r="M428" s="129"/>
      <c r="N428" s="129"/>
      <c r="O428" s="129"/>
      <c r="P428" s="129"/>
      <c r="Q428" s="129"/>
      <c r="R428" s="129"/>
      <c r="S428" s="129"/>
      <c r="T428" s="129"/>
      <c r="U428" s="106"/>
      <c r="V428" s="106"/>
      <c r="W428" s="106"/>
      <c r="X428" s="106"/>
      <c r="Y428" s="106"/>
      <c r="Z428" s="129"/>
      <c r="AA428" s="129"/>
      <c r="AB428" s="129"/>
      <c r="AC428" s="129"/>
      <c r="AD428" s="129"/>
      <c r="AE428" s="129"/>
      <c r="AF428" s="129"/>
      <c r="AG428" s="117"/>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c r="BK428" s="124"/>
      <c r="BL428" s="124"/>
      <c r="BM428" s="124"/>
      <c r="BN428" s="124"/>
      <c r="BO428" s="124"/>
      <c r="BP428" s="124"/>
      <c r="BQ428" s="124"/>
      <c r="BR428" s="124"/>
      <c r="BS428" s="124"/>
      <c r="BT428" s="124"/>
      <c r="BU428" s="124"/>
      <c r="BV428" s="124"/>
      <c r="BW428" s="124"/>
      <c r="BX428" s="124"/>
      <c r="BY428" s="124"/>
      <c r="BZ428" s="124"/>
      <c r="CA428" s="124"/>
    </row>
    <row r="429">
      <c r="A429" s="141"/>
      <c r="B429" s="107"/>
      <c r="C429" s="107"/>
      <c r="D429" s="143"/>
      <c r="E429" s="129"/>
      <c r="F429" s="129"/>
      <c r="G429" s="129"/>
      <c r="H429" s="129"/>
      <c r="I429" s="129"/>
      <c r="J429" s="129"/>
      <c r="K429" s="129"/>
      <c r="L429" s="129"/>
      <c r="M429" s="129"/>
      <c r="N429" s="129"/>
      <c r="O429" s="129"/>
      <c r="P429" s="129"/>
      <c r="Q429" s="129"/>
      <c r="R429" s="129"/>
      <c r="S429" s="129"/>
      <c r="T429" s="129"/>
      <c r="U429" s="106"/>
      <c r="V429" s="106"/>
      <c r="W429" s="106"/>
      <c r="X429" s="106"/>
      <c r="Y429" s="106"/>
      <c r="Z429" s="129"/>
      <c r="AA429" s="129"/>
      <c r="AB429" s="129"/>
      <c r="AC429" s="129"/>
      <c r="AD429" s="129"/>
      <c r="AE429" s="129"/>
      <c r="AF429" s="129"/>
      <c r="AG429" s="117"/>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c r="BK429" s="124"/>
      <c r="BL429" s="124"/>
      <c r="BM429" s="124"/>
      <c r="BN429" s="124"/>
      <c r="BO429" s="124"/>
      <c r="BP429" s="124"/>
      <c r="BQ429" s="124"/>
      <c r="BR429" s="124"/>
      <c r="BS429" s="124"/>
      <c r="BT429" s="124"/>
      <c r="BU429" s="124"/>
      <c r="BV429" s="124"/>
      <c r="BW429" s="124"/>
      <c r="BX429" s="124"/>
      <c r="BY429" s="124"/>
      <c r="BZ429" s="124"/>
      <c r="CA429" s="124"/>
    </row>
    <row r="430">
      <c r="A430" s="141"/>
      <c r="B430" s="107"/>
      <c r="C430" s="107"/>
      <c r="D430" s="143"/>
      <c r="E430" s="129"/>
      <c r="F430" s="129"/>
      <c r="G430" s="129"/>
      <c r="H430" s="129"/>
      <c r="I430" s="129"/>
      <c r="J430" s="129"/>
      <c r="K430" s="129"/>
      <c r="L430" s="129"/>
      <c r="M430" s="129"/>
      <c r="N430" s="129"/>
      <c r="O430" s="129"/>
      <c r="P430" s="129"/>
      <c r="Q430" s="129"/>
      <c r="R430" s="129"/>
      <c r="S430" s="129"/>
      <c r="T430" s="129"/>
      <c r="U430" s="106"/>
      <c r="V430" s="106"/>
      <c r="W430" s="106"/>
      <c r="X430" s="106"/>
      <c r="Y430" s="106"/>
      <c r="Z430" s="129"/>
      <c r="AA430" s="129"/>
      <c r="AB430" s="129"/>
      <c r="AC430" s="129"/>
      <c r="AD430" s="129"/>
      <c r="AE430" s="129"/>
      <c r="AF430" s="129"/>
      <c r="AG430" s="117"/>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c r="BK430" s="124"/>
      <c r="BL430" s="124"/>
      <c r="BM430" s="124"/>
      <c r="BN430" s="124"/>
      <c r="BO430" s="124"/>
      <c r="BP430" s="124"/>
      <c r="BQ430" s="124"/>
      <c r="BR430" s="124"/>
      <c r="BS430" s="124"/>
      <c r="BT430" s="124"/>
      <c r="BU430" s="124"/>
      <c r="BV430" s="124"/>
      <c r="BW430" s="124"/>
      <c r="BX430" s="124"/>
      <c r="BY430" s="124"/>
      <c r="BZ430" s="124"/>
      <c r="CA430" s="124"/>
    </row>
    <row r="431">
      <c r="A431" s="141"/>
      <c r="B431" s="107"/>
      <c r="C431" s="107"/>
      <c r="D431" s="143"/>
      <c r="E431" s="129"/>
      <c r="F431" s="129"/>
      <c r="G431" s="129"/>
      <c r="H431" s="129"/>
      <c r="I431" s="129"/>
      <c r="J431" s="129"/>
      <c r="K431" s="129"/>
      <c r="L431" s="129"/>
      <c r="M431" s="129"/>
      <c r="N431" s="129"/>
      <c r="O431" s="129"/>
      <c r="P431" s="129"/>
      <c r="Q431" s="129"/>
      <c r="R431" s="129"/>
      <c r="S431" s="129"/>
      <c r="T431" s="129"/>
      <c r="U431" s="106"/>
      <c r="V431" s="106"/>
      <c r="W431" s="106"/>
      <c r="X431" s="106"/>
      <c r="Y431" s="106"/>
      <c r="Z431" s="129"/>
      <c r="AA431" s="129"/>
      <c r="AB431" s="129"/>
      <c r="AC431" s="129"/>
      <c r="AD431" s="129"/>
      <c r="AE431" s="129"/>
      <c r="AF431" s="129"/>
      <c r="AG431" s="117"/>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4"/>
      <c r="BR431" s="124"/>
      <c r="BS431" s="124"/>
      <c r="BT431" s="124"/>
      <c r="BU431" s="124"/>
      <c r="BV431" s="124"/>
      <c r="BW431" s="124"/>
      <c r="BX431" s="124"/>
      <c r="BY431" s="124"/>
      <c r="BZ431" s="124"/>
      <c r="CA431" s="124"/>
    </row>
    <row r="432">
      <c r="A432" s="141"/>
      <c r="B432" s="107"/>
      <c r="C432" s="107"/>
      <c r="D432" s="143"/>
      <c r="E432" s="129"/>
      <c r="F432" s="129"/>
      <c r="G432" s="129"/>
      <c r="H432" s="129"/>
      <c r="I432" s="129"/>
      <c r="J432" s="129"/>
      <c r="K432" s="129"/>
      <c r="L432" s="129"/>
      <c r="M432" s="129"/>
      <c r="N432" s="129"/>
      <c r="O432" s="129"/>
      <c r="P432" s="129"/>
      <c r="Q432" s="129"/>
      <c r="R432" s="129"/>
      <c r="S432" s="129"/>
      <c r="T432" s="129"/>
      <c r="U432" s="106"/>
      <c r="V432" s="106"/>
      <c r="W432" s="106"/>
      <c r="X432" s="106"/>
      <c r="Y432" s="106"/>
      <c r="Z432" s="129"/>
      <c r="AA432" s="129"/>
      <c r="AB432" s="129"/>
      <c r="AC432" s="129"/>
      <c r="AD432" s="129"/>
      <c r="AE432" s="129"/>
      <c r="AF432" s="129"/>
      <c r="AG432" s="117"/>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c r="BK432" s="124"/>
      <c r="BL432" s="124"/>
      <c r="BM432" s="124"/>
      <c r="BN432" s="124"/>
      <c r="BO432" s="124"/>
      <c r="BP432" s="124"/>
      <c r="BQ432" s="124"/>
      <c r="BR432" s="124"/>
      <c r="BS432" s="124"/>
      <c r="BT432" s="124"/>
      <c r="BU432" s="124"/>
      <c r="BV432" s="124"/>
      <c r="BW432" s="124"/>
      <c r="BX432" s="124"/>
      <c r="BY432" s="124"/>
      <c r="BZ432" s="124"/>
      <c r="CA432" s="124"/>
    </row>
    <row r="433">
      <c r="A433" s="141"/>
      <c r="B433" s="107"/>
      <c r="C433" s="107"/>
      <c r="D433" s="143"/>
      <c r="E433" s="129"/>
      <c r="F433" s="129"/>
      <c r="G433" s="129"/>
      <c r="H433" s="129"/>
      <c r="I433" s="129"/>
      <c r="J433" s="129"/>
      <c r="K433" s="129"/>
      <c r="L433" s="129"/>
      <c r="M433" s="129"/>
      <c r="N433" s="129"/>
      <c r="O433" s="129"/>
      <c r="P433" s="129"/>
      <c r="Q433" s="129"/>
      <c r="R433" s="129"/>
      <c r="S433" s="129"/>
      <c r="T433" s="129"/>
      <c r="U433" s="106"/>
      <c r="V433" s="106"/>
      <c r="W433" s="106"/>
      <c r="X433" s="106"/>
      <c r="Y433" s="106"/>
      <c r="Z433" s="129"/>
      <c r="AA433" s="129"/>
      <c r="AB433" s="129"/>
      <c r="AC433" s="129"/>
      <c r="AD433" s="129"/>
      <c r="AE433" s="129"/>
      <c r="AF433" s="129"/>
      <c r="AG433" s="117"/>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c r="BK433" s="124"/>
      <c r="BL433" s="124"/>
      <c r="BM433" s="124"/>
      <c r="BN433" s="124"/>
      <c r="BO433" s="124"/>
      <c r="BP433" s="124"/>
      <c r="BQ433" s="124"/>
      <c r="BR433" s="124"/>
      <c r="BS433" s="124"/>
      <c r="BT433" s="124"/>
      <c r="BU433" s="124"/>
      <c r="BV433" s="124"/>
      <c r="BW433" s="124"/>
      <c r="BX433" s="124"/>
      <c r="BY433" s="124"/>
      <c r="BZ433" s="124"/>
      <c r="CA433" s="124"/>
    </row>
    <row r="434">
      <c r="A434" s="141"/>
      <c r="B434" s="107"/>
      <c r="C434" s="107"/>
      <c r="D434" s="143"/>
      <c r="E434" s="129"/>
      <c r="F434" s="129"/>
      <c r="G434" s="129"/>
      <c r="H434" s="129"/>
      <c r="I434" s="129"/>
      <c r="J434" s="129"/>
      <c r="K434" s="129"/>
      <c r="L434" s="129"/>
      <c r="M434" s="129"/>
      <c r="N434" s="129"/>
      <c r="O434" s="129"/>
      <c r="P434" s="129"/>
      <c r="Q434" s="129"/>
      <c r="R434" s="129"/>
      <c r="S434" s="129"/>
      <c r="T434" s="129"/>
      <c r="U434" s="106"/>
      <c r="V434" s="106"/>
      <c r="W434" s="106"/>
      <c r="X434" s="106"/>
      <c r="Y434" s="106"/>
      <c r="Z434" s="129"/>
      <c r="AA434" s="129"/>
      <c r="AB434" s="129"/>
      <c r="AC434" s="129"/>
      <c r="AD434" s="129"/>
      <c r="AE434" s="129"/>
      <c r="AF434" s="129"/>
      <c r="AG434" s="117"/>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c r="BK434" s="124"/>
      <c r="BL434" s="124"/>
      <c r="BM434" s="124"/>
      <c r="BN434" s="124"/>
      <c r="BO434" s="124"/>
      <c r="BP434" s="124"/>
      <c r="BQ434" s="124"/>
      <c r="BR434" s="124"/>
      <c r="BS434" s="124"/>
      <c r="BT434" s="124"/>
      <c r="BU434" s="124"/>
      <c r="BV434" s="124"/>
      <c r="BW434" s="124"/>
      <c r="BX434" s="124"/>
      <c r="BY434" s="124"/>
      <c r="BZ434" s="124"/>
      <c r="CA434" s="124"/>
    </row>
    <row r="435">
      <c r="A435" s="141"/>
      <c r="B435" s="107"/>
      <c r="C435" s="107"/>
      <c r="D435" s="143"/>
      <c r="E435" s="129"/>
      <c r="F435" s="129"/>
      <c r="G435" s="129"/>
      <c r="H435" s="129"/>
      <c r="I435" s="129"/>
      <c r="J435" s="129"/>
      <c r="K435" s="129"/>
      <c r="L435" s="129"/>
      <c r="M435" s="129"/>
      <c r="N435" s="129"/>
      <c r="O435" s="129"/>
      <c r="P435" s="129"/>
      <c r="Q435" s="129"/>
      <c r="R435" s="129"/>
      <c r="S435" s="129"/>
      <c r="T435" s="129"/>
      <c r="U435" s="106"/>
      <c r="V435" s="106"/>
      <c r="W435" s="106"/>
      <c r="X435" s="106"/>
      <c r="Y435" s="106"/>
      <c r="Z435" s="129"/>
      <c r="AA435" s="129"/>
      <c r="AB435" s="129"/>
      <c r="AC435" s="129"/>
      <c r="AD435" s="129"/>
      <c r="AE435" s="129"/>
      <c r="AF435" s="129"/>
      <c r="AG435" s="117"/>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row>
    <row r="436">
      <c r="A436" s="141"/>
      <c r="B436" s="107"/>
      <c r="C436" s="107"/>
      <c r="D436" s="143"/>
      <c r="E436" s="129"/>
      <c r="F436" s="129"/>
      <c r="G436" s="129"/>
      <c r="H436" s="129"/>
      <c r="I436" s="129"/>
      <c r="J436" s="129"/>
      <c r="K436" s="129"/>
      <c r="L436" s="129"/>
      <c r="M436" s="129"/>
      <c r="N436" s="129"/>
      <c r="O436" s="129"/>
      <c r="P436" s="129"/>
      <c r="Q436" s="129"/>
      <c r="R436" s="129"/>
      <c r="S436" s="129"/>
      <c r="T436" s="129"/>
      <c r="U436" s="106"/>
      <c r="V436" s="106"/>
      <c r="W436" s="106"/>
      <c r="X436" s="106"/>
      <c r="Y436" s="106"/>
      <c r="Z436" s="129"/>
      <c r="AA436" s="129"/>
      <c r="AB436" s="129"/>
      <c r="AC436" s="129"/>
      <c r="AD436" s="129"/>
      <c r="AE436" s="129"/>
      <c r="AF436" s="129"/>
      <c r="AG436" s="117"/>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c r="BK436" s="124"/>
      <c r="BL436" s="124"/>
      <c r="BM436" s="124"/>
      <c r="BN436" s="124"/>
      <c r="BO436" s="124"/>
      <c r="BP436" s="124"/>
      <c r="BQ436" s="124"/>
      <c r="BR436" s="124"/>
      <c r="BS436" s="124"/>
      <c r="BT436" s="124"/>
      <c r="BU436" s="124"/>
      <c r="BV436" s="124"/>
      <c r="BW436" s="124"/>
      <c r="BX436" s="124"/>
      <c r="BY436" s="124"/>
      <c r="BZ436" s="124"/>
      <c r="CA436" s="124"/>
    </row>
    <row r="437">
      <c r="A437" s="141"/>
      <c r="B437" s="107"/>
      <c r="C437" s="107"/>
      <c r="D437" s="143"/>
      <c r="E437" s="129"/>
      <c r="F437" s="129"/>
      <c r="G437" s="129"/>
      <c r="H437" s="129"/>
      <c r="I437" s="129"/>
      <c r="J437" s="129"/>
      <c r="K437" s="129"/>
      <c r="L437" s="129"/>
      <c r="M437" s="129"/>
      <c r="N437" s="129"/>
      <c r="O437" s="129"/>
      <c r="P437" s="129"/>
      <c r="Q437" s="129"/>
      <c r="R437" s="129"/>
      <c r="S437" s="129"/>
      <c r="T437" s="129"/>
      <c r="U437" s="106"/>
      <c r="V437" s="106"/>
      <c r="W437" s="106"/>
      <c r="X437" s="106"/>
      <c r="Y437" s="106"/>
      <c r="Z437" s="129"/>
      <c r="AA437" s="129"/>
      <c r="AB437" s="129"/>
      <c r="AC437" s="129"/>
      <c r="AD437" s="129"/>
      <c r="AE437" s="129"/>
      <c r="AF437" s="129"/>
      <c r="AG437" s="117"/>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c r="BK437" s="124"/>
      <c r="BL437" s="124"/>
      <c r="BM437" s="124"/>
      <c r="BN437" s="124"/>
      <c r="BO437" s="124"/>
      <c r="BP437" s="124"/>
      <c r="BQ437" s="124"/>
      <c r="BR437" s="124"/>
      <c r="BS437" s="124"/>
      <c r="BT437" s="124"/>
      <c r="BU437" s="124"/>
      <c r="BV437" s="124"/>
      <c r="BW437" s="124"/>
      <c r="BX437" s="124"/>
      <c r="BY437" s="124"/>
      <c r="BZ437" s="124"/>
      <c r="CA437" s="124"/>
    </row>
    <row r="438">
      <c r="A438" s="141"/>
      <c r="B438" s="107"/>
      <c r="C438" s="107"/>
      <c r="D438" s="143"/>
      <c r="E438" s="129"/>
      <c r="F438" s="129"/>
      <c r="G438" s="129"/>
      <c r="H438" s="129"/>
      <c r="I438" s="129"/>
      <c r="J438" s="129"/>
      <c r="K438" s="129"/>
      <c r="L438" s="129"/>
      <c r="M438" s="129"/>
      <c r="N438" s="129"/>
      <c r="O438" s="129"/>
      <c r="P438" s="129"/>
      <c r="Q438" s="129"/>
      <c r="R438" s="129"/>
      <c r="S438" s="129"/>
      <c r="T438" s="129"/>
      <c r="U438" s="106"/>
      <c r="V438" s="106"/>
      <c r="W438" s="106"/>
      <c r="X438" s="106"/>
      <c r="Y438" s="106"/>
      <c r="Z438" s="129"/>
      <c r="AA438" s="129"/>
      <c r="AB438" s="129"/>
      <c r="AC438" s="129"/>
      <c r="AD438" s="129"/>
      <c r="AE438" s="129"/>
      <c r="AF438" s="129"/>
      <c r="AG438" s="117"/>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c r="BK438" s="124"/>
      <c r="BL438" s="124"/>
      <c r="BM438" s="124"/>
      <c r="BN438" s="124"/>
      <c r="BO438" s="124"/>
      <c r="BP438" s="124"/>
      <c r="BQ438" s="124"/>
      <c r="BR438" s="124"/>
      <c r="BS438" s="124"/>
      <c r="BT438" s="124"/>
      <c r="BU438" s="124"/>
      <c r="BV438" s="124"/>
      <c r="BW438" s="124"/>
      <c r="BX438" s="124"/>
      <c r="BY438" s="124"/>
      <c r="BZ438" s="124"/>
      <c r="CA438" s="124"/>
    </row>
    <row r="439">
      <c r="A439" s="141"/>
      <c r="B439" s="107"/>
      <c r="C439" s="107"/>
      <c r="D439" s="143"/>
      <c r="E439" s="129"/>
      <c r="F439" s="129"/>
      <c r="G439" s="129"/>
      <c r="H439" s="129"/>
      <c r="I439" s="129"/>
      <c r="J439" s="129"/>
      <c r="K439" s="129"/>
      <c r="L439" s="129"/>
      <c r="M439" s="129"/>
      <c r="N439" s="129"/>
      <c r="O439" s="129"/>
      <c r="P439" s="129"/>
      <c r="Q439" s="129"/>
      <c r="R439" s="129"/>
      <c r="S439" s="129"/>
      <c r="T439" s="129"/>
      <c r="U439" s="106"/>
      <c r="V439" s="106"/>
      <c r="W439" s="106"/>
      <c r="X439" s="106"/>
      <c r="Y439" s="106"/>
      <c r="Z439" s="129"/>
      <c r="AA439" s="129"/>
      <c r="AB439" s="129"/>
      <c r="AC439" s="129"/>
      <c r="AD439" s="129"/>
      <c r="AE439" s="129"/>
      <c r="AF439" s="129"/>
      <c r="AG439" s="117"/>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c r="BK439" s="124"/>
      <c r="BL439" s="124"/>
      <c r="BM439" s="124"/>
      <c r="BN439" s="124"/>
      <c r="BO439" s="124"/>
      <c r="BP439" s="124"/>
      <c r="BQ439" s="124"/>
      <c r="BR439" s="124"/>
      <c r="BS439" s="124"/>
      <c r="BT439" s="124"/>
      <c r="BU439" s="124"/>
      <c r="BV439" s="124"/>
      <c r="BW439" s="124"/>
      <c r="BX439" s="124"/>
      <c r="BY439" s="124"/>
      <c r="BZ439" s="124"/>
      <c r="CA439" s="124"/>
    </row>
    <row r="440">
      <c r="A440" s="141"/>
      <c r="B440" s="107"/>
      <c r="C440" s="107"/>
      <c r="D440" s="143"/>
      <c r="E440" s="129"/>
      <c r="F440" s="129"/>
      <c r="G440" s="129"/>
      <c r="H440" s="129"/>
      <c r="I440" s="129"/>
      <c r="J440" s="129"/>
      <c r="K440" s="129"/>
      <c r="L440" s="129"/>
      <c r="M440" s="129"/>
      <c r="N440" s="129"/>
      <c r="O440" s="129"/>
      <c r="P440" s="129"/>
      <c r="Q440" s="129"/>
      <c r="R440" s="129"/>
      <c r="S440" s="129"/>
      <c r="T440" s="129"/>
      <c r="U440" s="106"/>
      <c r="V440" s="106"/>
      <c r="W440" s="106"/>
      <c r="X440" s="106"/>
      <c r="Y440" s="106"/>
      <c r="Z440" s="129"/>
      <c r="AA440" s="129"/>
      <c r="AB440" s="129"/>
      <c r="AC440" s="129"/>
      <c r="AD440" s="129"/>
      <c r="AE440" s="129"/>
      <c r="AF440" s="129"/>
      <c r="AG440" s="117"/>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c r="BK440" s="124"/>
      <c r="BL440" s="124"/>
      <c r="BM440" s="124"/>
      <c r="BN440" s="124"/>
      <c r="BO440" s="124"/>
      <c r="BP440" s="124"/>
      <c r="BQ440" s="124"/>
      <c r="BR440" s="124"/>
      <c r="BS440" s="124"/>
      <c r="BT440" s="124"/>
      <c r="BU440" s="124"/>
      <c r="BV440" s="124"/>
      <c r="BW440" s="124"/>
      <c r="BX440" s="124"/>
      <c r="BY440" s="124"/>
      <c r="BZ440" s="124"/>
      <c r="CA440" s="124"/>
    </row>
    <row r="441">
      <c r="A441" s="141"/>
      <c r="B441" s="107"/>
      <c r="C441" s="107"/>
      <c r="D441" s="143"/>
      <c r="E441" s="129"/>
      <c r="F441" s="129"/>
      <c r="G441" s="129"/>
      <c r="H441" s="129"/>
      <c r="I441" s="129"/>
      <c r="J441" s="129"/>
      <c r="K441" s="129"/>
      <c r="L441" s="129"/>
      <c r="M441" s="129"/>
      <c r="N441" s="129"/>
      <c r="O441" s="129"/>
      <c r="P441" s="129"/>
      <c r="Q441" s="129"/>
      <c r="R441" s="129"/>
      <c r="S441" s="129"/>
      <c r="T441" s="129"/>
      <c r="U441" s="106"/>
      <c r="V441" s="106"/>
      <c r="W441" s="106"/>
      <c r="X441" s="106"/>
      <c r="Y441" s="106"/>
      <c r="Z441" s="129"/>
      <c r="AA441" s="129"/>
      <c r="AB441" s="129"/>
      <c r="AC441" s="129"/>
      <c r="AD441" s="129"/>
      <c r="AE441" s="129"/>
      <c r="AF441" s="129"/>
      <c r="AG441" s="117"/>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row>
    <row r="442">
      <c r="A442" s="141"/>
      <c r="B442" s="107"/>
      <c r="C442" s="107"/>
      <c r="D442" s="143"/>
      <c r="E442" s="129"/>
      <c r="F442" s="129"/>
      <c r="G442" s="129"/>
      <c r="H442" s="129"/>
      <c r="I442" s="129"/>
      <c r="J442" s="129"/>
      <c r="K442" s="129"/>
      <c r="L442" s="129"/>
      <c r="M442" s="129"/>
      <c r="N442" s="129"/>
      <c r="O442" s="129"/>
      <c r="P442" s="129"/>
      <c r="Q442" s="129"/>
      <c r="R442" s="129"/>
      <c r="S442" s="129"/>
      <c r="T442" s="129"/>
      <c r="U442" s="106"/>
      <c r="V442" s="106"/>
      <c r="W442" s="106"/>
      <c r="X442" s="106"/>
      <c r="Y442" s="106"/>
      <c r="Z442" s="129"/>
      <c r="AA442" s="129"/>
      <c r="AB442" s="129"/>
      <c r="AC442" s="129"/>
      <c r="AD442" s="129"/>
      <c r="AE442" s="129"/>
      <c r="AF442" s="129"/>
      <c r="AG442" s="117"/>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c r="BK442" s="124"/>
      <c r="BL442" s="124"/>
      <c r="BM442" s="124"/>
      <c r="BN442" s="124"/>
      <c r="BO442" s="124"/>
      <c r="BP442" s="124"/>
      <c r="BQ442" s="124"/>
      <c r="BR442" s="124"/>
      <c r="BS442" s="124"/>
      <c r="BT442" s="124"/>
      <c r="BU442" s="124"/>
      <c r="BV442" s="124"/>
      <c r="BW442" s="124"/>
      <c r="BX442" s="124"/>
      <c r="BY442" s="124"/>
      <c r="BZ442" s="124"/>
      <c r="CA442" s="124"/>
    </row>
    <row r="443">
      <c r="A443" s="141"/>
      <c r="B443" s="107"/>
      <c r="C443" s="107"/>
      <c r="D443" s="143"/>
      <c r="E443" s="129"/>
      <c r="F443" s="129"/>
      <c r="G443" s="129"/>
      <c r="H443" s="129"/>
      <c r="I443" s="129"/>
      <c r="J443" s="129"/>
      <c r="K443" s="129"/>
      <c r="L443" s="129"/>
      <c r="M443" s="129"/>
      <c r="N443" s="129"/>
      <c r="O443" s="129"/>
      <c r="P443" s="129"/>
      <c r="Q443" s="129"/>
      <c r="R443" s="129"/>
      <c r="S443" s="129"/>
      <c r="T443" s="129"/>
      <c r="U443" s="106"/>
      <c r="V443" s="106"/>
      <c r="W443" s="106"/>
      <c r="X443" s="106"/>
      <c r="Y443" s="106"/>
      <c r="Z443" s="129"/>
      <c r="AA443" s="129"/>
      <c r="AB443" s="129"/>
      <c r="AC443" s="129"/>
      <c r="AD443" s="129"/>
      <c r="AE443" s="129"/>
      <c r="AF443" s="129"/>
      <c r="AG443" s="117"/>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c r="BK443" s="124"/>
      <c r="BL443" s="124"/>
      <c r="BM443" s="124"/>
      <c r="BN443" s="124"/>
      <c r="BO443" s="124"/>
      <c r="BP443" s="124"/>
      <c r="BQ443" s="124"/>
      <c r="BR443" s="124"/>
      <c r="BS443" s="124"/>
      <c r="BT443" s="124"/>
      <c r="BU443" s="124"/>
      <c r="BV443" s="124"/>
      <c r="BW443" s="124"/>
      <c r="BX443" s="124"/>
      <c r="BY443" s="124"/>
      <c r="BZ443" s="124"/>
      <c r="CA443" s="124"/>
    </row>
    <row r="444">
      <c r="A444" s="141"/>
      <c r="B444" s="107"/>
      <c r="C444" s="107"/>
      <c r="D444" s="143"/>
      <c r="E444" s="129"/>
      <c r="F444" s="129"/>
      <c r="G444" s="129"/>
      <c r="H444" s="129"/>
      <c r="I444" s="129"/>
      <c r="J444" s="129"/>
      <c r="K444" s="129"/>
      <c r="L444" s="129"/>
      <c r="M444" s="129"/>
      <c r="N444" s="129"/>
      <c r="O444" s="129"/>
      <c r="P444" s="129"/>
      <c r="Q444" s="129"/>
      <c r="R444" s="129"/>
      <c r="S444" s="129"/>
      <c r="T444" s="129"/>
      <c r="U444" s="106"/>
      <c r="V444" s="106"/>
      <c r="W444" s="106"/>
      <c r="X444" s="106"/>
      <c r="Y444" s="106"/>
      <c r="Z444" s="129"/>
      <c r="AA444" s="129"/>
      <c r="AB444" s="129"/>
      <c r="AC444" s="129"/>
      <c r="AD444" s="129"/>
      <c r="AE444" s="129"/>
      <c r="AF444" s="129"/>
      <c r="AG444" s="117"/>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c r="BK444" s="124"/>
      <c r="BL444" s="124"/>
      <c r="BM444" s="124"/>
      <c r="BN444" s="124"/>
      <c r="BO444" s="124"/>
      <c r="BP444" s="124"/>
      <c r="BQ444" s="124"/>
      <c r="BR444" s="124"/>
      <c r="BS444" s="124"/>
      <c r="BT444" s="124"/>
      <c r="BU444" s="124"/>
      <c r="BV444" s="124"/>
      <c r="BW444" s="124"/>
      <c r="BX444" s="124"/>
      <c r="BY444" s="124"/>
      <c r="BZ444" s="124"/>
      <c r="CA444" s="124"/>
    </row>
    <row r="445">
      <c r="A445" s="141"/>
      <c r="B445" s="107"/>
      <c r="C445" s="107"/>
      <c r="D445" s="143"/>
      <c r="E445" s="129"/>
      <c r="F445" s="129"/>
      <c r="G445" s="129"/>
      <c r="H445" s="129"/>
      <c r="I445" s="129"/>
      <c r="J445" s="129"/>
      <c r="K445" s="129"/>
      <c r="L445" s="129"/>
      <c r="M445" s="129"/>
      <c r="N445" s="129"/>
      <c r="O445" s="129"/>
      <c r="P445" s="129"/>
      <c r="Q445" s="129"/>
      <c r="R445" s="129"/>
      <c r="S445" s="129"/>
      <c r="T445" s="129"/>
      <c r="U445" s="106"/>
      <c r="V445" s="106"/>
      <c r="W445" s="106"/>
      <c r="X445" s="106"/>
      <c r="Y445" s="106"/>
      <c r="Z445" s="129"/>
      <c r="AA445" s="129"/>
      <c r="AB445" s="129"/>
      <c r="AC445" s="129"/>
      <c r="AD445" s="129"/>
      <c r="AE445" s="129"/>
      <c r="AF445" s="129"/>
      <c r="AG445" s="117"/>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c r="BK445" s="124"/>
      <c r="BL445" s="124"/>
      <c r="BM445" s="124"/>
      <c r="BN445" s="124"/>
      <c r="BO445" s="124"/>
      <c r="BP445" s="124"/>
      <c r="BQ445" s="124"/>
      <c r="BR445" s="124"/>
      <c r="BS445" s="124"/>
      <c r="BT445" s="124"/>
      <c r="BU445" s="124"/>
      <c r="BV445" s="124"/>
      <c r="BW445" s="124"/>
      <c r="BX445" s="124"/>
      <c r="BY445" s="124"/>
      <c r="BZ445" s="124"/>
      <c r="CA445" s="124"/>
    </row>
    <row r="446">
      <c r="A446" s="141"/>
      <c r="B446" s="107"/>
      <c r="C446" s="107"/>
      <c r="D446" s="143"/>
      <c r="E446" s="129"/>
      <c r="F446" s="129"/>
      <c r="G446" s="129"/>
      <c r="H446" s="129"/>
      <c r="I446" s="129"/>
      <c r="J446" s="129"/>
      <c r="K446" s="129"/>
      <c r="L446" s="129"/>
      <c r="M446" s="129"/>
      <c r="N446" s="129"/>
      <c r="O446" s="129"/>
      <c r="P446" s="129"/>
      <c r="Q446" s="129"/>
      <c r="R446" s="129"/>
      <c r="S446" s="129"/>
      <c r="T446" s="129"/>
      <c r="U446" s="106"/>
      <c r="V446" s="106"/>
      <c r="W446" s="106"/>
      <c r="X446" s="106"/>
      <c r="Y446" s="106"/>
      <c r="Z446" s="129"/>
      <c r="AA446" s="129"/>
      <c r="AB446" s="129"/>
      <c r="AC446" s="129"/>
      <c r="AD446" s="129"/>
      <c r="AE446" s="129"/>
      <c r="AF446" s="129"/>
      <c r="AG446" s="117"/>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c r="BK446" s="124"/>
      <c r="BL446" s="124"/>
      <c r="BM446" s="124"/>
      <c r="BN446" s="124"/>
      <c r="BO446" s="124"/>
      <c r="BP446" s="124"/>
      <c r="BQ446" s="124"/>
      <c r="BR446" s="124"/>
      <c r="BS446" s="124"/>
      <c r="BT446" s="124"/>
      <c r="BU446" s="124"/>
      <c r="BV446" s="124"/>
      <c r="BW446" s="124"/>
      <c r="BX446" s="124"/>
      <c r="BY446" s="124"/>
      <c r="BZ446" s="124"/>
      <c r="CA446" s="124"/>
    </row>
    <row r="447">
      <c r="A447" s="141"/>
      <c r="B447" s="107"/>
      <c r="C447" s="107"/>
      <c r="D447" s="143"/>
      <c r="E447" s="129"/>
      <c r="F447" s="129"/>
      <c r="G447" s="129"/>
      <c r="H447" s="129"/>
      <c r="I447" s="129"/>
      <c r="J447" s="129"/>
      <c r="K447" s="129"/>
      <c r="L447" s="129"/>
      <c r="M447" s="129"/>
      <c r="N447" s="129"/>
      <c r="O447" s="129"/>
      <c r="P447" s="129"/>
      <c r="Q447" s="129"/>
      <c r="R447" s="129"/>
      <c r="S447" s="129"/>
      <c r="T447" s="129"/>
      <c r="U447" s="106"/>
      <c r="V447" s="106"/>
      <c r="W447" s="106"/>
      <c r="X447" s="106"/>
      <c r="Y447" s="106"/>
      <c r="Z447" s="129"/>
      <c r="AA447" s="129"/>
      <c r="AB447" s="129"/>
      <c r="AC447" s="129"/>
      <c r="AD447" s="129"/>
      <c r="AE447" s="129"/>
      <c r="AF447" s="129"/>
      <c r="AG447" s="117"/>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row>
    <row r="448">
      <c r="A448" s="141"/>
      <c r="B448" s="107"/>
      <c r="C448" s="107"/>
      <c r="D448" s="143"/>
      <c r="E448" s="129"/>
      <c r="F448" s="129"/>
      <c r="G448" s="129"/>
      <c r="H448" s="129"/>
      <c r="I448" s="129"/>
      <c r="J448" s="129"/>
      <c r="K448" s="129"/>
      <c r="L448" s="129"/>
      <c r="M448" s="129"/>
      <c r="N448" s="129"/>
      <c r="O448" s="129"/>
      <c r="P448" s="129"/>
      <c r="Q448" s="129"/>
      <c r="R448" s="129"/>
      <c r="S448" s="129"/>
      <c r="T448" s="129"/>
      <c r="U448" s="106"/>
      <c r="V448" s="106"/>
      <c r="W448" s="106"/>
      <c r="X448" s="106"/>
      <c r="Y448" s="106"/>
      <c r="Z448" s="129"/>
      <c r="AA448" s="129"/>
      <c r="AB448" s="129"/>
      <c r="AC448" s="129"/>
      <c r="AD448" s="129"/>
      <c r="AE448" s="129"/>
      <c r="AF448" s="129"/>
      <c r="AG448" s="117"/>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c r="BK448" s="124"/>
      <c r="BL448" s="124"/>
      <c r="BM448" s="124"/>
      <c r="BN448" s="124"/>
      <c r="BO448" s="124"/>
      <c r="BP448" s="124"/>
      <c r="BQ448" s="124"/>
      <c r="BR448" s="124"/>
      <c r="BS448" s="124"/>
      <c r="BT448" s="124"/>
      <c r="BU448" s="124"/>
      <c r="BV448" s="124"/>
      <c r="BW448" s="124"/>
      <c r="BX448" s="124"/>
      <c r="BY448" s="124"/>
      <c r="BZ448" s="124"/>
      <c r="CA448" s="124"/>
    </row>
    <row r="449">
      <c r="A449" s="141"/>
      <c r="B449" s="107"/>
      <c r="C449" s="107"/>
      <c r="D449" s="143"/>
      <c r="E449" s="129"/>
      <c r="F449" s="129"/>
      <c r="G449" s="129"/>
      <c r="H449" s="129"/>
      <c r="I449" s="129"/>
      <c r="J449" s="129"/>
      <c r="K449" s="129"/>
      <c r="L449" s="129"/>
      <c r="M449" s="129"/>
      <c r="N449" s="129"/>
      <c r="O449" s="129"/>
      <c r="P449" s="129"/>
      <c r="Q449" s="129"/>
      <c r="R449" s="129"/>
      <c r="S449" s="129"/>
      <c r="T449" s="129"/>
      <c r="U449" s="106"/>
      <c r="V449" s="106"/>
      <c r="W449" s="106"/>
      <c r="X449" s="106"/>
      <c r="Y449" s="106"/>
      <c r="Z449" s="129"/>
      <c r="AA449" s="129"/>
      <c r="AB449" s="129"/>
      <c r="AC449" s="129"/>
      <c r="AD449" s="129"/>
      <c r="AE449" s="129"/>
      <c r="AF449" s="129"/>
      <c r="AG449" s="117"/>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c r="BK449" s="124"/>
      <c r="BL449" s="124"/>
      <c r="BM449" s="124"/>
      <c r="BN449" s="124"/>
      <c r="BO449" s="124"/>
      <c r="BP449" s="124"/>
      <c r="BQ449" s="124"/>
      <c r="BR449" s="124"/>
      <c r="BS449" s="124"/>
      <c r="BT449" s="124"/>
      <c r="BU449" s="124"/>
      <c r="BV449" s="124"/>
      <c r="BW449" s="124"/>
      <c r="BX449" s="124"/>
      <c r="BY449" s="124"/>
      <c r="BZ449" s="124"/>
      <c r="CA449" s="124"/>
    </row>
    <row r="450">
      <c r="A450" s="141"/>
      <c r="B450" s="107"/>
      <c r="C450" s="107"/>
      <c r="D450" s="143"/>
      <c r="E450" s="129"/>
      <c r="F450" s="129"/>
      <c r="G450" s="129"/>
      <c r="H450" s="129"/>
      <c r="I450" s="129"/>
      <c r="J450" s="129"/>
      <c r="K450" s="129"/>
      <c r="L450" s="129"/>
      <c r="M450" s="129"/>
      <c r="N450" s="129"/>
      <c r="O450" s="129"/>
      <c r="P450" s="129"/>
      <c r="Q450" s="129"/>
      <c r="R450" s="129"/>
      <c r="S450" s="129"/>
      <c r="T450" s="129"/>
      <c r="U450" s="106"/>
      <c r="V450" s="106"/>
      <c r="W450" s="106"/>
      <c r="X450" s="106"/>
      <c r="Y450" s="106"/>
      <c r="Z450" s="129"/>
      <c r="AA450" s="129"/>
      <c r="AB450" s="129"/>
      <c r="AC450" s="129"/>
      <c r="AD450" s="129"/>
      <c r="AE450" s="129"/>
      <c r="AF450" s="129"/>
      <c r="AG450" s="117"/>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c r="BK450" s="124"/>
      <c r="BL450" s="124"/>
      <c r="BM450" s="124"/>
      <c r="BN450" s="124"/>
      <c r="BO450" s="124"/>
      <c r="BP450" s="124"/>
      <c r="BQ450" s="124"/>
      <c r="BR450" s="124"/>
      <c r="BS450" s="124"/>
      <c r="BT450" s="124"/>
      <c r="BU450" s="124"/>
      <c r="BV450" s="124"/>
      <c r="BW450" s="124"/>
      <c r="BX450" s="124"/>
      <c r="BY450" s="124"/>
      <c r="BZ450" s="124"/>
      <c r="CA450" s="124"/>
    </row>
    <row r="451">
      <c r="A451" s="141"/>
      <c r="B451" s="107"/>
      <c r="C451" s="107"/>
      <c r="D451" s="143"/>
      <c r="E451" s="129"/>
      <c r="F451" s="129"/>
      <c r="G451" s="129"/>
      <c r="H451" s="129"/>
      <c r="I451" s="129"/>
      <c r="J451" s="129"/>
      <c r="K451" s="129"/>
      <c r="L451" s="129"/>
      <c r="M451" s="129"/>
      <c r="N451" s="129"/>
      <c r="O451" s="129"/>
      <c r="P451" s="129"/>
      <c r="Q451" s="129"/>
      <c r="R451" s="129"/>
      <c r="S451" s="129"/>
      <c r="T451" s="129"/>
      <c r="U451" s="106"/>
      <c r="V451" s="106"/>
      <c r="W451" s="106"/>
      <c r="X451" s="106"/>
      <c r="Y451" s="106"/>
      <c r="Z451" s="129"/>
      <c r="AA451" s="129"/>
      <c r="AB451" s="129"/>
      <c r="AC451" s="129"/>
      <c r="AD451" s="129"/>
      <c r="AE451" s="129"/>
      <c r="AF451" s="129"/>
      <c r="AG451" s="117"/>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c r="BK451" s="124"/>
      <c r="BL451" s="124"/>
      <c r="BM451" s="124"/>
      <c r="BN451" s="124"/>
      <c r="BO451" s="124"/>
      <c r="BP451" s="124"/>
      <c r="BQ451" s="124"/>
      <c r="BR451" s="124"/>
      <c r="BS451" s="124"/>
      <c r="BT451" s="124"/>
      <c r="BU451" s="124"/>
      <c r="BV451" s="124"/>
      <c r="BW451" s="124"/>
      <c r="BX451" s="124"/>
      <c r="BY451" s="124"/>
      <c r="BZ451" s="124"/>
      <c r="CA451" s="124"/>
    </row>
    <row r="452">
      <c r="A452" s="141"/>
      <c r="B452" s="107"/>
      <c r="C452" s="107"/>
      <c r="D452" s="143"/>
      <c r="E452" s="129"/>
      <c r="F452" s="129"/>
      <c r="G452" s="129"/>
      <c r="H452" s="129"/>
      <c r="I452" s="129"/>
      <c r="J452" s="129"/>
      <c r="K452" s="129"/>
      <c r="L452" s="129"/>
      <c r="M452" s="129"/>
      <c r="N452" s="129"/>
      <c r="O452" s="129"/>
      <c r="P452" s="129"/>
      <c r="Q452" s="129"/>
      <c r="R452" s="129"/>
      <c r="S452" s="129"/>
      <c r="T452" s="129"/>
      <c r="U452" s="106"/>
      <c r="V452" s="106"/>
      <c r="W452" s="106"/>
      <c r="X452" s="106"/>
      <c r="Y452" s="106"/>
      <c r="Z452" s="129"/>
      <c r="AA452" s="129"/>
      <c r="AB452" s="129"/>
      <c r="AC452" s="129"/>
      <c r="AD452" s="129"/>
      <c r="AE452" s="129"/>
      <c r="AF452" s="129"/>
      <c r="AG452" s="117"/>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c r="BK452" s="124"/>
      <c r="BL452" s="124"/>
      <c r="BM452" s="124"/>
      <c r="BN452" s="124"/>
      <c r="BO452" s="124"/>
      <c r="BP452" s="124"/>
      <c r="BQ452" s="124"/>
      <c r="BR452" s="124"/>
      <c r="BS452" s="124"/>
      <c r="BT452" s="124"/>
      <c r="BU452" s="124"/>
      <c r="BV452" s="124"/>
      <c r="BW452" s="124"/>
      <c r="BX452" s="124"/>
      <c r="BY452" s="124"/>
      <c r="BZ452" s="124"/>
      <c r="CA452" s="124"/>
    </row>
    <row r="453">
      <c r="A453" s="141"/>
      <c r="B453" s="107"/>
      <c r="C453" s="107"/>
      <c r="D453" s="143"/>
      <c r="E453" s="129"/>
      <c r="F453" s="129"/>
      <c r="G453" s="129"/>
      <c r="H453" s="129"/>
      <c r="I453" s="129"/>
      <c r="J453" s="129"/>
      <c r="K453" s="129"/>
      <c r="L453" s="129"/>
      <c r="M453" s="129"/>
      <c r="N453" s="129"/>
      <c r="O453" s="129"/>
      <c r="P453" s="129"/>
      <c r="Q453" s="129"/>
      <c r="R453" s="129"/>
      <c r="S453" s="129"/>
      <c r="T453" s="129"/>
      <c r="U453" s="106"/>
      <c r="V453" s="106"/>
      <c r="W453" s="106"/>
      <c r="X453" s="106"/>
      <c r="Y453" s="106"/>
      <c r="Z453" s="129"/>
      <c r="AA453" s="129"/>
      <c r="AB453" s="129"/>
      <c r="AC453" s="129"/>
      <c r="AD453" s="129"/>
      <c r="AE453" s="129"/>
      <c r="AF453" s="129"/>
      <c r="AG453" s="117"/>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row>
    <row r="454">
      <c r="A454" s="141"/>
      <c r="B454" s="107"/>
      <c r="C454" s="107"/>
      <c r="D454" s="143"/>
      <c r="E454" s="129"/>
      <c r="F454" s="129"/>
      <c r="G454" s="129"/>
      <c r="H454" s="129"/>
      <c r="I454" s="129"/>
      <c r="J454" s="129"/>
      <c r="K454" s="129"/>
      <c r="L454" s="129"/>
      <c r="M454" s="129"/>
      <c r="N454" s="129"/>
      <c r="O454" s="129"/>
      <c r="P454" s="129"/>
      <c r="Q454" s="129"/>
      <c r="R454" s="129"/>
      <c r="S454" s="129"/>
      <c r="T454" s="129"/>
      <c r="U454" s="106"/>
      <c r="V454" s="106"/>
      <c r="W454" s="106"/>
      <c r="X454" s="106"/>
      <c r="Y454" s="106"/>
      <c r="Z454" s="129"/>
      <c r="AA454" s="129"/>
      <c r="AB454" s="129"/>
      <c r="AC454" s="129"/>
      <c r="AD454" s="129"/>
      <c r="AE454" s="129"/>
      <c r="AF454" s="129"/>
      <c r="AG454" s="117"/>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c r="BK454" s="124"/>
      <c r="BL454" s="124"/>
      <c r="BM454" s="124"/>
      <c r="BN454" s="124"/>
      <c r="BO454" s="124"/>
      <c r="BP454" s="124"/>
      <c r="BQ454" s="124"/>
      <c r="BR454" s="124"/>
      <c r="BS454" s="124"/>
      <c r="BT454" s="124"/>
      <c r="BU454" s="124"/>
      <c r="BV454" s="124"/>
      <c r="BW454" s="124"/>
      <c r="BX454" s="124"/>
      <c r="BY454" s="124"/>
      <c r="BZ454" s="124"/>
      <c r="CA454" s="124"/>
    </row>
    <row r="455">
      <c r="A455" s="141"/>
      <c r="B455" s="107"/>
      <c r="C455" s="107"/>
      <c r="D455" s="143"/>
      <c r="E455" s="129"/>
      <c r="F455" s="129"/>
      <c r="G455" s="129"/>
      <c r="H455" s="129"/>
      <c r="I455" s="129"/>
      <c r="J455" s="129"/>
      <c r="K455" s="129"/>
      <c r="L455" s="129"/>
      <c r="M455" s="129"/>
      <c r="N455" s="129"/>
      <c r="O455" s="129"/>
      <c r="P455" s="129"/>
      <c r="Q455" s="129"/>
      <c r="R455" s="129"/>
      <c r="S455" s="129"/>
      <c r="T455" s="129"/>
      <c r="U455" s="106"/>
      <c r="V455" s="106"/>
      <c r="W455" s="106"/>
      <c r="X455" s="106"/>
      <c r="Y455" s="106"/>
      <c r="Z455" s="129"/>
      <c r="AA455" s="129"/>
      <c r="AB455" s="129"/>
      <c r="AC455" s="129"/>
      <c r="AD455" s="129"/>
      <c r="AE455" s="129"/>
      <c r="AF455" s="129"/>
      <c r="AG455" s="117"/>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c r="BK455" s="124"/>
      <c r="BL455" s="124"/>
      <c r="BM455" s="124"/>
      <c r="BN455" s="124"/>
      <c r="BO455" s="124"/>
      <c r="BP455" s="124"/>
      <c r="BQ455" s="124"/>
      <c r="BR455" s="124"/>
      <c r="BS455" s="124"/>
      <c r="BT455" s="124"/>
      <c r="BU455" s="124"/>
      <c r="BV455" s="124"/>
      <c r="BW455" s="124"/>
      <c r="BX455" s="124"/>
      <c r="BY455" s="124"/>
      <c r="BZ455" s="124"/>
      <c r="CA455" s="124"/>
    </row>
    <row r="456">
      <c r="A456" s="141"/>
      <c r="B456" s="107"/>
      <c r="C456" s="107"/>
      <c r="D456" s="143"/>
      <c r="E456" s="129"/>
      <c r="F456" s="129"/>
      <c r="G456" s="129"/>
      <c r="H456" s="129"/>
      <c r="I456" s="129"/>
      <c r="J456" s="129"/>
      <c r="K456" s="129"/>
      <c r="L456" s="129"/>
      <c r="M456" s="129"/>
      <c r="N456" s="129"/>
      <c r="O456" s="129"/>
      <c r="P456" s="129"/>
      <c r="Q456" s="129"/>
      <c r="R456" s="129"/>
      <c r="S456" s="129"/>
      <c r="T456" s="129"/>
      <c r="U456" s="106"/>
      <c r="V456" s="106"/>
      <c r="W456" s="106"/>
      <c r="X456" s="106"/>
      <c r="Y456" s="106"/>
      <c r="Z456" s="129"/>
      <c r="AA456" s="129"/>
      <c r="AB456" s="129"/>
      <c r="AC456" s="129"/>
      <c r="AD456" s="129"/>
      <c r="AE456" s="129"/>
      <c r="AF456" s="129"/>
      <c r="AG456" s="117"/>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c r="BK456" s="124"/>
      <c r="BL456" s="124"/>
      <c r="BM456" s="124"/>
      <c r="BN456" s="124"/>
      <c r="BO456" s="124"/>
      <c r="BP456" s="124"/>
      <c r="BQ456" s="124"/>
      <c r="BR456" s="124"/>
      <c r="BS456" s="124"/>
      <c r="BT456" s="124"/>
      <c r="BU456" s="124"/>
      <c r="BV456" s="124"/>
      <c r="BW456" s="124"/>
      <c r="BX456" s="124"/>
      <c r="BY456" s="124"/>
      <c r="BZ456" s="124"/>
      <c r="CA456" s="124"/>
    </row>
    <row r="457">
      <c r="A457" s="141"/>
      <c r="B457" s="107"/>
      <c r="C457" s="107"/>
      <c r="D457" s="143"/>
      <c r="E457" s="129"/>
      <c r="F457" s="129"/>
      <c r="G457" s="129"/>
      <c r="H457" s="129"/>
      <c r="I457" s="129"/>
      <c r="J457" s="129"/>
      <c r="K457" s="129"/>
      <c r="L457" s="129"/>
      <c r="M457" s="129"/>
      <c r="N457" s="129"/>
      <c r="O457" s="129"/>
      <c r="P457" s="129"/>
      <c r="Q457" s="129"/>
      <c r="R457" s="129"/>
      <c r="S457" s="129"/>
      <c r="T457" s="129"/>
      <c r="U457" s="106"/>
      <c r="V457" s="106"/>
      <c r="W457" s="106"/>
      <c r="X457" s="106"/>
      <c r="Y457" s="106"/>
      <c r="Z457" s="129"/>
      <c r="AA457" s="129"/>
      <c r="AB457" s="129"/>
      <c r="AC457" s="129"/>
      <c r="AD457" s="129"/>
      <c r="AE457" s="129"/>
      <c r="AF457" s="129"/>
      <c r="AG457" s="117"/>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c r="BK457" s="124"/>
      <c r="BL457" s="124"/>
      <c r="BM457" s="124"/>
      <c r="BN457" s="124"/>
      <c r="BO457" s="124"/>
      <c r="BP457" s="124"/>
      <c r="BQ457" s="124"/>
      <c r="BR457" s="124"/>
      <c r="BS457" s="124"/>
      <c r="BT457" s="124"/>
      <c r="BU457" s="124"/>
      <c r="BV457" s="124"/>
      <c r="BW457" s="124"/>
      <c r="BX457" s="124"/>
      <c r="BY457" s="124"/>
      <c r="BZ457" s="124"/>
      <c r="CA457" s="124"/>
    </row>
    <row r="458">
      <c r="A458" s="141"/>
      <c r="B458" s="107"/>
      <c r="C458" s="107"/>
      <c r="D458" s="143"/>
      <c r="E458" s="129"/>
      <c r="F458" s="129"/>
      <c r="G458" s="129"/>
      <c r="H458" s="129"/>
      <c r="I458" s="129"/>
      <c r="J458" s="129"/>
      <c r="K458" s="129"/>
      <c r="L458" s="129"/>
      <c r="M458" s="129"/>
      <c r="N458" s="129"/>
      <c r="O458" s="129"/>
      <c r="P458" s="129"/>
      <c r="Q458" s="129"/>
      <c r="R458" s="129"/>
      <c r="S458" s="129"/>
      <c r="T458" s="129"/>
      <c r="U458" s="106"/>
      <c r="V458" s="106"/>
      <c r="W458" s="106"/>
      <c r="X458" s="106"/>
      <c r="Y458" s="106"/>
      <c r="Z458" s="129"/>
      <c r="AA458" s="129"/>
      <c r="AB458" s="129"/>
      <c r="AC458" s="129"/>
      <c r="AD458" s="129"/>
      <c r="AE458" s="129"/>
      <c r="AF458" s="129"/>
      <c r="AG458" s="117"/>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c r="BK458" s="124"/>
      <c r="BL458" s="124"/>
      <c r="BM458" s="124"/>
      <c r="BN458" s="124"/>
      <c r="BO458" s="124"/>
      <c r="BP458" s="124"/>
      <c r="BQ458" s="124"/>
      <c r="BR458" s="124"/>
      <c r="BS458" s="124"/>
      <c r="BT458" s="124"/>
      <c r="BU458" s="124"/>
      <c r="BV458" s="124"/>
      <c r="BW458" s="124"/>
      <c r="BX458" s="124"/>
      <c r="BY458" s="124"/>
      <c r="BZ458" s="124"/>
      <c r="CA458" s="124"/>
    </row>
    <row r="459">
      <c r="A459" s="141"/>
      <c r="B459" s="107"/>
      <c r="C459" s="107"/>
      <c r="D459" s="143"/>
      <c r="E459" s="129"/>
      <c r="F459" s="129"/>
      <c r="G459" s="129"/>
      <c r="H459" s="129"/>
      <c r="I459" s="129"/>
      <c r="J459" s="129"/>
      <c r="K459" s="129"/>
      <c r="L459" s="129"/>
      <c r="M459" s="129"/>
      <c r="N459" s="129"/>
      <c r="O459" s="129"/>
      <c r="P459" s="129"/>
      <c r="Q459" s="129"/>
      <c r="R459" s="129"/>
      <c r="S459" s="129"/>
      <c r="T459" s="129"/>
      <c r="U459" s="106"/>
      <c r="V459" s="106"/>
      <c r="W459" s="106"/>
      <c r="X459" s="106"/>
      <c r="Y459" s="106"/>
      <c r="Z459" s="129"/>
      <c r="AA459" s="129"/>
      <c r="AB459" s="129"/>
      <c r="AC459" s="129"/>
      <c r="AD459" s="129"/>
      <c r="AE459" s="129"/>
      <c r="AF459" s="129"/>
      <c r="AG459" s="117"/>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row>
    <row r="460">
      <c r="A460" s="141"/>
      <c r="B460" s="107"/>
      <c r="C460" s="107"/>
      <c r="D460" s="143"/>
      <c r="E460" s="129"/>
      <c r="F460" s="129"/>
      <c r="G460" s="129"/>
      <c r="H460" s="129"/>
      <c r="I460" s="129"/>
      <c r="J460" s="129"/>
      <c r="K460" s="129"/>
      <c r="L460" s="129"/>
      <c r="M460" s="129"/>
      <c r="N460" s="129"/>
      <c r="O460" s="129"/>
      <c r="P460" s="129"/>
      <c r="Q460" s="129"/>
      <c r="R460" s="129"/>
      <c r="S460" s="129"/>
      <c r="T460" s="129"/>
      <c r="U460" s="106"/>
      <c r="V460" s="106"/>
      <c r="W460" s="106"/>
      <c r="X460" s="106"/>
      <c r="Y460" s="106"/>
      <c r="Z460" s="129"/>
      <c r="AA460" s="129"/>
      <c r="AB460" s="129"/>
      <c r="AC460" s="129"/>
      <c r="AD460" s="129"/>
      <c r="AE460" s="129"/>
      <c r="AF460" s="129"/>
      <c r="AG460" s="117"/>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c r="BK460" s="124"/>
      <c r="BL460" s="124"/>
      <c r="BM460" s="124"/>
      <c r="BN460" s="124"/>
      <c r="BO460" s="124"/>
      <c r="BP460" s="124"/>
      <c r="BQ460" s="124"/>
      <c r="BR460" s="124"/>
      <c r="BS460" s="124"/>
      <c r="BT460" s="124"/>
      <c r="BU460" s="124"/>
      <c r="BV460" s="124"/>
      <c r="BW460" s="124"/>
      <c r="BX460" s="124"/>
      <c r="BY460" s="124"/>
      <c r="BZ460" s="124"/>
      <c r="CA460" s="124"/>
    </row>
    <row r="461">
      <c r="A461" s="141"/>
      <c r="B461" s="107"/>
      <c r="C461" s="107"/>
      <c r="D461" s="143"/>
      <c r="E461" s="129"/>
      <c r="F461" s="129"/>
      <c r="G461" s="129"/>
      <c r="H461" s="129"/>
      <c r="I461" s="129"/>
      <c r="J461" s="129"/>
      <c r="K461" s="129"/>
      <c r="L461" s="129"/>
      <c r="M461" s="129"/>
      <c r="N461" s="129"/>
      <c r="O461" s="129"/>
      <c r="P461" s="129"/>
      <c r="Q461" s="129"/>
      <c r="R461" s="129"/>
      <c r="S461" s="129"/>
      <c r="T461" s="129"/>
      <c r="U461" s="106"/>
      <c r="V461" s="106"/>
      <c r="W461" s="106"/>
      <c r="X461" s="106"/>
      <c r="Y461" s="106"/>
      <c r="Z461" s="129"/>
      <c r="AA461" s="129"/>
      <c r="AB461" s="129"/>
      <c r="AC461" s="129"/>
      <c r="AD461" s="129"/>
      <c r="AE461" s="129"/>
      <c r="AF461" s="129"/>
      <c r="AG461" s="117"/>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c r="BK461" s="124"/>
      <c r="BL461" s="124"/>
      <c r="BM461" s="124"/>
      <c r="BN461" s="124"/>
      <c r="BO461" s="124"/>
      <c r="BP461" s="124"/>
      <c r="BQ461" s="124"/>
      <c r="BR461" s="124"/>
      <c r="BS461" s="124"/>
      <c r="BT461" s="124"/>
      <c r="BU461" s="124"/>
      <c r="BV461" s="124"/>
      <c r="BW461" s="124"/>
      <c r="BX461" s="124"/>
      <c r="BY461" s="124"/>
      <c r="BZ461" s="124"/>
      <c r="CA461" s="124"/>
    </row>
    <row r="462">
      <c r="A462" s="141"/>
      <c r="B462" s="107"/>
      <c r="C462" s="107"/>
      <c r="D462" s="143"/>
      <c r="E462" s="129"/>
      <c r="F462" s="129"/>
      <c r="G462" s="129"/>
      <c r="H462" s="129"/>
      <c r="I462" s="129"/>
      <c r="J462" s="129"/>
      <c r="K462" s="129"/>
      <c r="L462" s="129"/>
      <c r="M462" s="129"/>
      <c r="N462" s="129"/>
      <c r="O462" s="129"/>
      <c r="P462" s="129"/>
      <c r="Q462" s="129"/>
      <c r="R462" s="129"/>
      <c r="S462" s="129"/>
      <c r="T462" s="129"/>
      <c r="U462" s="106"/>
      <c r="V462" s="106"/>
      <c r="W462" s="106"/>
      <c r="X462" s="106"/>
      <c r="Y462" s="106"/>
      <c r="Z462" s="129"/>
      <c r="AA462" s="129"/>
      <c r="AB462" s="129"/>
      <c r="AC462" s="129"/>
      <c r="AD462" s="129"/>
      <c r="AE462" s="129"/>
      <c r="AF462" s="129"/>
      <c r="AG462" s="117"/>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c r="BK462" s="124"/>
      <c r="BL462" s="124"/>
      <c r="BM462" s="124"/>
      <c r="BN462" s="124"/>
      <c r="BO462" s="124"/>
      <c r="BP462" s="124"/>
      <c r="BQ462" s="124"/>
      <c r="BR462" s="124"/>
      <c r="BS462" s="124"/>
      <c r="BT462" s="124"/>
      <c r="BU462" s="124"/>
      <c r="BV462" s="124"/>
      <c r="BW462" s="124"/>
      <c r="BX462" s="124"/>
      <c r="BY462" s="124"/>
      <c r="BZ462" s="124"/>
      <c r="CA462" s="124"/>
    </row>
    <row r="463">
      <c r="A463" s="141"/>
      <c r="B463" s="107"/>
      <c r="C463" s="107"/>
      <c r="D463" s="143"/>
      <c r="E463" s="129"/>
      <c r="F463" s="129"/>
      <c r="G463" s="129"/>
      <c r="H463" s="129"/>
      <c r="I463" s="129"/>
      <c r="J463" s="129"/>
      <c r="K463" s="129"/>
      <c r="L463" s="129"/>
      <c r="M463" s="129"/>
      <c r="N463" s="129"/>
      <c r="O463" s="129"/>
      <c r="P463" s="129"/>
      <c r="Q463" s="129"/>
      <c r="R463" s="129"/>
      <c r="S463" s="129"/>
      <c r="T463" s="129"/>
      <c r="U463" s="106"/>
      <c r="V463" s="106"/>
      <c r="W463" s="106"/>
      <c r="X463" s="106"/>
      <c r="Y463" s="106"/>
      <c r="Z463" s="129"/>
      <c r="AA463" s="129"/>
      <c r="AB463" s="129"/>
      <c r="AC463" s="129"/>
      <c r="AD463" s="129"/>
      <c r="AE463" s="129"/>
      <c r="AF463" s="129"/>
      <c r="AG463" s="117"/>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c r="BK463" s="124"/>
      <c r="BL463" s="124"/>
      <c r="BM463" s="124"/>
      <c r="BN463" s="124"/>
      <c r="BO463" s="124"/>
      <c r="BP463" s="124"/>
      <c r="BQ463" s="124"/>
      <c r="BR463" s="124"/>
      <c r="BS463" s="124"/>
      <c r="BT463" s="124"/>
      <c r="BU463" s="124"/>
      <c r="BV463" s="124"/>
      <c r="BW463" s="124"/>
      <c r="BX463" s="124"/>
      <c r="BY463" s="124"/>
      <c r="BZ463" s="124"/>
      <c r="CA463" s="124"/>
    </row>
    <row r="464">
      <c r="A464" s="141"/>
      <c r="B464" s="107"/>
      <c r="C464" s="107"/>
      <c r="D464" s="143"/>
      <c r="E464" s="129"/>
      <c r="F464" s="129"/>
      <c r="G464" s="129"/>
      <c r="H464" s="129"/>
      <c r="I464" s="129"/>
      <c r="J464" s="129"/>
      <c r="K464" s="129"/>
      <c r="L464" s="129"/>
      <c r="M464" s="129"/>
      <c r="N464" s="129"/>
      <c r="O464" s="129"/>
      <c r="P464" s="129"/>
      <c r="Q464" s="129"/>
      <c r="R464" s="129"/>
      <c r="S464" s="129"/>
      <c r="T464" s="129"/>
      <c r="U464" s="106"/>
      <c r="V464" s="106"/>
      <c r="W464" s="106"/>
      <c r="X464" s="106"/>
      <c r="Y464" s="106"/>
      <c r="Z464" s="129"/>
      <c r="AA464" s="129"/>
      <c r="AB464" s="129"/>
      <c r="AC464" s="129"/>
      <c r="AD464" s="129"/>
      <c r="AE464" s="129"/>
      <c r="AF464" s="129"/>
      <c r="AG464" s="117"/>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c r="BK464" s="124"/>
      <c r="BL464" s="124"/>
      <c r="BM464" s="124"/>
      <c r="BN464" s="124"/>
      <c r="BO464" s="124"/>
      <c r="BP464" s="124"/>
      <c r="BQ464" s="124"/>
      <c r="BR464" s="124"/>
      <c r="BS464" s="124"/>
      <c r="BT464" s="124"/>
      <c r="BU464" s="124"/>
      <c r="BV464" s="124"/>
      <c r="BW464" s="124"/>
      <c r="BX464" s="124"/>
      <c r="BY464" s="124"/>
      <c r="BZ464" s="124"/>
      <c r="CA464" s="124"/>
    </row>
    <row r="465">
      <c r="A465" s="141"/>
      <c r="B465" s="107"/>
      <c r="C465" s="107"/>
      <c r="D465" s="143"/>
      <c r="E465" s="129"/>
      <c r="F465" s="129"/>
      <c r="G465" s="129"/>
      <c r="H465" s="129"/>
      <c r="I465" s="129"/>
      <c r="J465" s="129"/>
      <c r="K465" s="129"/>
      <c r="L465" s="129"/>
      <c r="M465" s="129"/>
      <c r="N465" s="129"/>
      <c r="O465" s="129"/>
      <c r="P465" s="129"/>
      <c r="Q465" s="129"/>
      <c r="R465" s="129"/>
      <c r="S465" s="129"/>
      <c r="T465" s="129"/>
      <c r="U465" s="106"/>
      <c r="V465" s="106"/>
      <c r="W465" s="106"/>
      <c r="X465" s="106"/>
      <c r="Y465" s="106"/>
      <c r="Z465" s="129"/>
      <c r="AA465" s="129"/>
      <c r="AB465" s="129"/>
      <c r="AC465" s="129"/>
      <c r="AD465" s="129"/>
      <c r="AE465" s="129"/>
      <c r="AF465" s="129"/>
      <c r="AG465" s="117"/>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row>
    <row r="466">
      <c r="A466" s="141"/>
      <c r="B466" s="107"/>
      <c r="C466" s="107"/>
      <c r="D466" s="143"/>
      <c r="E466" s="129"/>
      <c r="F466" s="129"/>
      <c r="G466" s="129"/>
      <c r="H466" s="129"/>
      <c r="I466" s="129"/>
      <c r="J466" s="129"/>
      <c r="K466" s="129"/>
      <c r="L466" s="129"/>
      <c r="M466" s="129"/>
      <c r="N466" s="129"/>
      <c r="O466" s="129"/>
      <c r="P466" s="129"/>
      <c r="Q466" s="129"/>
      <c r="R466" s="129"/>
      <c r="S466" s="129"/>
      <c r="T466" s="129"/>
      <c r="U466" s="106"/>
      <c r="V466" s="106"/>
      <c r="W466" s="106"/>
      <c r="X466" s="106"/>
      <c r="Y466" s="106"/>
      <c r="Z466" s="129"/>
      <c r="AA466" s="129"/>
      <c r="AB466" s="129"/>
      <c r="AC466" s="129"/>
      <c r="AD466" s="129"/>
      <c r="AE466" s="129"/>
      <c r="AF466" s="129"/>
      <c r="AG466" s="117"/>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c r="BK466" s="124"/>
      <c r="BL466" s="124"/>
      <c r="BM466" s="124"/>
      <c r="BN466" s="124"/>
      <c r="BO466" s="124"/>
      <c r="BP466" s="124"/>
      <c r="BQ466" s="124"/>
      <c r="BR466" s="124"/>
      <c r="BS466" s="124"/>
      <c r="BT466" s="124"/>
      <c r="BU466" s="124"/>
      <c r="BV466" s="124"/>
      <c r="BW466" s="124"/>
      <c r="BX466" s="124"/>
      <c r="BY466" s="124"/>
      <c r="BZ466" s="124"/>
      <c r="CA466" s="124"/>
    </row>
    <row r="467">
      <c r="A467" s="141"/>
      <c r="B467" s="107"/>
      <c r="C467" s="107"/>
      <c r="D467" s="143"/>
      <c r="E467" s="129"/>
      <c r="F467" s="129"/>
      <c r="G467" s="129"/>
      <c r="H467" s="129"/>
      <c r="I467" s="129"/>
      <c r="J467" s="129"/>
      <c r="K467" s="129"/>
      <c r="L467" s="129"/>
      <c r="M467" s="129"/>
      <c r="N467" s="129"/>
      <c r="O467" s="129"/>
      <c r="P467" s="129"/>
      <c r="Q467" s="129"/>
      <c r="R467" s="129"/>
      <c r="S467" s="129"/>
      <c r="T467" s="129"/>
      <c r="U467" s="106"/>
      <c r="V467" s="106"/>
      <c r="W467" s="106"/>
      <c r="X467" s="106"/>
      <c r="Y467" s="106"/>
      <c r="Z467" s="129"/>
      <c r="AA467" s="129"/>
      <c r="AB467" s="129"/>
      <c r="AC467" s="129"/>
      <c r="AD467" s="129"/>
      <c r="AE467" s="129"/>
      <c r="AF467" s="129"/>
      <c r="AG467" s="117"/>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c r="BK467" s="124"/>
      <c r="BL467" s="124"/>
      <c r="BM467" s="124"/>
      <c r="BN467" s="124"/>
      <c r="BO467" s="124"/>
      <c r="BP467" s="124"/>
      <c r="BQ467" s="124"/>
      <c r="BR467" s="124"/>
      <c r="BS467" s="124"/>
      <c r="BT467" s="124"/>
      <c r="BU467" s="124"/>
      <c r="BV467" s="124"/>
      <c r="BW467" s="124"/>
      <c r="BX467" s="124"/>
      <c r="BY467" s="124"/>
      <c r="BZ467" s="124"/>
      <c r="CA467" s="124"/>
    </row>
    <row r="468">
      <c r="A468" s="141"/>
      <c r="B468" s="107"/>
      <c r="C468" s="107"/>
      <c r="D468" s="143"/>
      <c r="E468" s="129"/>
      <c r="F468" s="129"/>
      <c r="G468" s="129"/>
      <c r="H468" s="129"/>
      <c r="I468" s="129"/>
      <c r="J468" s="129"/>
      <c r="K468" s="129"/>
      <c r="L468" s="129"/>
      <c r="M468" s="129"/>
      <c r="N468" s="129"/>
      <c r="O468" s="129"/>
      <c r="P468" s="129"/>
      <c r="Q468" s="129"/>
      <c r="R468" s="129"/>
      <c r="S468" s="129"/>
      <c r="T468" s="129"/>
      <c r="U468" s="106"/>
      <c r="V468" s="106"/>
      <c r="W468" s="106"/>
      <c r="X468" s="106"/>
      <c r="Y468" s="106"/>
      <c r="Z468" s="129"/>
      <c r="AA468" s="129"/>
      <c r="AB468" s="129"/>
      <c r="AC468" s="129"/>
      <c r="AD468" s="129"/>
      <c r="AE468" s="129"/>
      <c r="AF468" s="129"/>
      <c r="AG468" s="117"/>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c r="BK468" s="124"/>
      <c r="BL468" s="124"/>
      <c r="BM468" s="124"/>
      <c r="BN468" s="124"/>
      <c r="BO468" s="124"/>
      <c r="BP468" s="124"/>
      <c r="BQ468" s="124"/>
      <c r="BR468" s="124"/>
      <c r="BS468" s="124"/>
      <c r="BT468" s="124"/>
      <c r="BU468" s="124"/>
      <c r="BV468" s="124"/>
      <c r="BW468" s="124"/>
      <c r="BX468" s="124"/>
      <c r="BY468" s="124"/>
      <c r="BZ468" s="124"/>
      <c r="CA468" s="124"/>
    </row>
    <row r="469">
      <c r="A469" s="141"/>
      <c r="B469" s="107"/>
      <c r="C469" s="107"/>
      <c r="D469" s="143"/>
      <c r="E469" s="129"/>
      <c r="F469" s="129"/>
      <c r="G469" s="129"/>
      <c r="H469" s="129"/>
      <c r="I469" s="129"/>
      <c r="J469" s="129"/>
      <c r="K469" s="129"/>
      <c r="L469" s="129"/>
      <c r="M469" s="129"/>
      <c r="N469" s="129"/>
      <c r="O469" s="129"/>
      <c r="P469" s="129"/>
      <c r="Q469" s="129"/>
      <c r="R469" s="129"/>
      <c r="S469" s="129"/>
      <c r="T469" s="129"/>
      <c r="U469" s="106"/>
      <c r="V469" s="106"/>
      <c r="W469" s="106"/>
      <c r="X469" s="106"/>
      <c r="Y469" s="106"/>
      <c r="Z469" s="129"/>
      <c r="AA469" s="129"/>
      <c r="AB469" s="129"/>
      <c r="AC469" s="129"/>
      <c r="AD469" s="129"/>
      <c r="AE469" s="129"/>
      <c r="AF469" s="129"/>
      <c r="AG469" s="117"/>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4"/>
      <c r="BS469" s="124"/>
      <c r="BT469" s="124"/>
      <c r="BU469" s="124"/>
      <c r="BV469" s="124"/>
      <c r="BW469" s="124"/>
      <c r="BX469" s="124"/>
      <c r="BY469" s="124"/>
      <c r="BZ469" s="124"/>
      <c r="CA469" s="124"/>
    </row>
    <row r="470">
      <c r="A470" s="141"/>
      <c r="B470" s="107"/>
      <c r="C470" s="107"/>
      <c r="D470" s="143"/>
      <c r="E470" s="129"/>
      <c r="F470" s="129"/>
      <c r="G470" s="129"/>
      <c r="H470" s="129"/>
      <c r="I470" s="129"/>
      <c r="J470" s="129"/>
      <c r="K470" s="129"/>
      <c r="L470" s="129"/>
      <c r="M470" s="129"/>
      <c r="N470" s="129"/>
      <c r="O470" s="129"/>
      <c r="P470" s="129"/>
      <c r="Q470" s="129"/>
      <c r="R470" s="129"/>
      <c r="S470" s="129"/>
      <c r="T470" s="129"/>
      <c r="U470" s="106"/>
      <c r="V470" s="106"/>
      <c r="W470" s="106"/>
      <c r="X470" s="106"/>
      <c r="Y470" s="106"/>
      <c r="Z470" s="129"/>
      <c r="AA470" s="129"/>
      <c r="AB470" s="129"/>
      <c r="AC470" s="129"/>
      <c r="AD470" s="129"/>
      <c r="AE470" s="129"/>
      <c r="AF470" s="129"/>
      <c r="AG470" s="117"/>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c r="BK470" s="124"/>
      <c r="BL470" s="124"/>
      <c r="BM470" s="124"/>
      <c r="BN470" s="124"/>
      <c r="BO470" s="124"/>
      <c r="BP470" s="124"/>
      <c r="BQ470" s="124"/>
      <c r="BR470" s="124"/>
      <c r="BS470" s="124"/>
      <c r="BT470" s="124"/>
      <c r="BU470" s="124"/>
      <c r="BV470" s="124"/>
      <c r="BW470" s="124"/>
      <c r="BX470" s="124"/>
      <c r="BY470" s="124"/>
      <c r="BZ470" s="124"/>
      <c r="CA470" s="124"/>
    </row>
    <row r="471">
      <c r="A471" s="141"/>
      <c r="B471" s="107"/>
      <c r="C471" s="107"/>
      <c r="D471" s="143"/>
      <c r="E471" s="129"/>
      <c r="F471" s="129"/>
      <c r="G471" s="129"/>
      <c r="H471" s="129"/>
      <c r="I471" s="129"/>
      <c r="J471" s="129"/>
      <c r="K471" s="129"/>
      <c r="L471" s="129"/>
      <c r="M471" s="129"/>
      <c r="N471" s="129"/>
      <c r="O471" s="129"/>
      <c r="P471" s="129"/>
      <c r="Q471" s="129"/>
      <c r="R471" s="129"/>
      <c r="S471" s="129"/>
      <c r="T471" s="129"/>
      <c r="U471" s="106"/>
      <c r="V471" s="106"/>
      <c r="W471" s="106"/>
      <c r="X471" s="106"/>
      <c r="Y471" s="106"/>
      <c r="Z471" s="129"/>
      <c r="AA471" s="129"/>
      <c r="AB471" s="129"/>
      <c r="AC471" s="129"/>
      <c r="AD471" s="129"/>
      <c r="AE471" s="129"/>
      <c r="AF471" s="129"/>
      <c r="AG471" s="117"/>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row>
    <row r="472">
      <c r="A472" s="141"/>
      <c r="B472" s="107"/>
      <c r="C472" s="107"/>
      <c r="D472" s="143"/>
      <c r="E472" s="129"/>
      <c r="F472" s="129"/>
      <c r="G472" s="129"/>
      <c r="H472" s="129"/>
      <c r="I472" s="129"/>
      <c r="J472" s="129"/>
      <c r="K472" s="129"/>
      <c r="L472" s="129"/>
      <c r="M472" s="129"/>
      <c r="N472" s="129"/>
      <c r="O472" s="129"/>
      <c r="P472" s="129"/>
      <c r="Q472" s="129"/>
      <c r="R472" s="129"/>
      <c r="S472" s="129"/>
      <c r="T472" s="129"/>
      <c r="U472" s="106"/>
      <c r="V472" s="106"/>
      <c r="W472" s="106"/>
      <c r="X472" s="106"/>
      <c r="Y472" s="106"/>
      <c r="Z472" s="129"/>
      <c r="AA472" s="129"/>
      <c r="AB472" s="129"/>
      <c r="AC472" s="129"/>
      <c r="AD472" s="129"/>
      <c r="AE472" s="129"/>
      <c r="AF472" s="129"/>
      <c r="AG472" s="117"/>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c r="BK472" s="124"/>
      <c r="BL472" s="124"/>
      <c r="BM472" s="124"/>
      <c r="BN472" s="124"/>
      <c r="BO472" s="124"/>
      <c r="BP472" s="124"/>
      <c r="BQ472" s="124"/>
      <c r="BR472" s="124"/>
      <c r="BS472" s="124"/>
      <c r="BT472" s="124"/>
      <c r="BU472" s="124"/>
      <c r="BV472" s="124"/>
      <c r="BW472" s="124"/>
      <c r="BX472" s="124"/>
      <c r="BY472" s="124"/>
      <c r="BZ472" s="124"/>
      <c r="CA472" s="124"/>
    </row>
    <row r="473">
      <c r="A473" s="141"/>
      <c r="B473" s="107"/>
      <c r="C473" s="107"/>
      <c r="D473" s="143"/>
      <c r="E473" s="129"/>
      <c r="F473" s="129"/>
      <c r="G473" s="129"/>
      <c r="H473" s="129"/>
      <c r="I473" s="129"/>
      <c r="J473" s="129"/>
      <c r="K473" s="129"/>
      <c r="L473" s="129"/>
      <c r="M473" s="129"/>
      <c r="N473" s="129"/>
      <c r="O473" s="129"/>
      <c r="P473" s="129"/>
      <c r="Q473" s="129"/>
      <c r="R473" s="129"/>
      <c r="S473" s="129"/>
      <c r="T473" s="129"/>
      <c r="U473" s="106"/>
      <c r="V473" s="106"/>
      <c r="W473" s="106"/>
      <c r="X473" s="106"/>
      <c r="Y473" s="106"/>
      <c r="Z473" s="129"/>
      <c r="AA473" s="129"/>
      <c r="AB473" s="129"/>
      <c r="AC473" s="129"/>
      <c r="AD473" s="129"/>
      <c r="AE473" s="129"/>
      <c r="AF473" s="129"/>
      <c r="AG473" s="117"/>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4"/>
      <c r="BR473" s="124"/>
      <c r="BS473" s="124"/>
      <c r="BT473" s="124"/>
      <c r="BU473" s="124"/>
      <c r="BV473" s="124"/>
      <c r="BW473" s="124"/>
      <c r="BX473" s="124"/>
      <c r="BY473" s="124"/>
      <c r="BZ473" s="124"/>
      <c r="CA473" s="124"/>
    </row>
    <row r="474">
      <c r="A474" s="141"/>
      <c r="B474" s="107"/>
      <c r="C474" s="107"/>
      <c r="D474" s="143"/>
      <c r="E474" s="129"/>
      <c r="F474" s="129"/>
      <c r="G474" s="129"/>
      <c r="H474" s="129"/>
      <c r="I474" s="129"/>
      <c r="J474" s="129"/>
      <c r="K474" s="129"/>
      <c r="L474" s="129"/>
      <c r="M474" s="129"/>
      <c r="N474" s="129"/>
      <c r="O474" s="129"/>
      <c r="P474" s="129"/>
      <c r="Q474" s="129"/>
      <c r="R474" s="129"/>
      <c r="S474" s="129"/>
      <c r="T474" s="129"/>
      <c r="U474" s="106"/>
      <c r="V474" s="106"/>
      <c r="W474" s="106"/>
      <c r="X474" s="106"/>
      <c r="Y474" s="106"/>
      <c r="Z474" s="129"/>
      <c r="AA474" s="129"/>
      <c r="AB474" s="129"/>
      <c r="AC474" s="129"/>
      <c r="AD474" s="129"/>
      <c r="AE474" s="129"/>
      <c r="AF474" s="129"/>
      <c r="AG474" s="117"/>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c r="BK474" s="124"/>
      <c r="BL474" s="124"/>
      <c r="BM474" s="124"/>
      <c r="BN474" s="124"/>
      <c r="BO474" s="124"/>
      <c r="BP474" s="124"/>
      <c r="BQ474" s="124"/>
      <c r="BR474" s="124"/>
      <c r="BS474" s="124"/>
      <c r="BT474" s="124"/>
      <c r="BU474" s="124"/>
      <c r="BV474" s="124"/>
      <c r="BW474" s="124"/>
      <c r="BX474" s="124"/>
      <c r="BY474" s="124"/>
      <c r="BZ474" s="124"/>
      <c r="CA474" s="124"/>
    </row>
    <row r="475">
      <c r="A475" s="141"/>
      <c r="B475" s="107"/>
      <c r="C475" s="107"/>
      <c r="D475" s="143"/>
      <c r="E475" s="129"/>
      <c r="F475" s="129"/>
      <c r="G475" s="129"/>
      <c r="H475" s="129"/>
      <c r="I475" s="129"/>
      <c r="J475" s="129"/>
      <c r="K475" s="129"/>
      <c r="L475" s="129"/>
      <c r="M475" s="129"/>
      <c r="N475" s="129"/>
      <c r="O475" s="129"/>
      <c r="P475" s="129"/>
      <c r="Q475" s="129"/>
      <c r="R475" s="129"/>
      <c r="S475" s="129"/>
      <c r="T475" s="129"/>
      <c r="U475" s="106"/>
      <c r="V475" s="106"/>
      <c r="W475" s="106"/>
      <c r="X475" s="106"/>
      <c r="Y475" s="106"/>
      <c r="Z475" s="129"/>
      <c r="AA475" s="129"/>
      <c r="AB475" s="129"/>
      <c r="AC475" s="129"/>
      <c r="AD475" s="129"/>
      <c r="AE475" s="129"/>
      <c r="AF475" s="129"/>
      <c r="AG475" s="117"/>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c r="BK475" s="124"/>
      <c r="BL475" s="124"/>
      <c r="BM475" s="124"/>
      <c r="BN475" s="124"/>
      <c r="BO475" s="124"/>
      <c r="BP475" s="124"/>
      <c r="BQ475" s="124"/>
      <c r="BR475" s="124"/>
      <c r="BS475" s="124"/>
      <c r="BT475" s="124"/>
      <c r="BU475" s="124"/>
      <c r="BV475" s="124"/>
      <c r="BW475" s="124"/>
      <c r="BX475" s="124"/>
      <c r="BY475" s="124"/>
      <c r="BZ475" s="124"/>
      <c r="CA475" s="124"/>
    </row>
    <row r="476">
      <c r="A476" s="141"/>
      <c r="B476" s="107"/>
      <c r="C476" s="107"/>
      <c r="D476" s="143"/>
      <c r="E476" s="129"/>
      <c r="F476" s="129"/>
      <c r="G476" s="129"/>
      <c r="H476" s="129"/>
      <c r="I476" s="129"/>
      <c r="J476" s="129"/>
      <c r="K476" s="129"/>
      <c r="L476" s="129"/>
      <c r="M476" s="129"/>
      <c r="N476" s="129"/>
      <c r="O476" s="129"/>
      <c r="P476" s="129"/>
      <c r="Q476" s="129"/>
      <c r="R476" s="129"/>
      <c r="S476" s="129"/>
      <c r="T476" s="129"/>
      <c r="U476" s="106"/>
      <c r="V476" s="106"/>
      <c r="W476" s="106"/>
      <c r="X476" s="106"/>
      <c r="Y476" s="106"/>
      <c r="Z476" s="129"/>
      <c r="AA476" s="129"/>
      <c r="AB476" s="129"/>
      <c r="AC476" s="129"/>
      <c r="AD476" s="129"/>
      <c r="AE476" s="129"/>
      <c r="AF476" s="129"/>
      <c r="AG476" s="117"/>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c r="BK476" s="124"/>
      <c r="BL476" s="124"/>
      <c r="BM476" s="124"/>
      <c r="BN476" s="124"/>
      <c r="BO476" s="124"/>
      <c r="BP476" s="124"/>
      <c r="BQ476" s="124"/>
      <c r="BR476" s="124"/>
      <c r="BS476" s="124"/>
      <c r="BT476" s="124"/>
      <c r="BU476" s="124"/>
      <c r="BV476" s="124"/>
      <c r="BW476" s="124"/>
      <c r="BX476" s="124"/>
      <c r="BY476" s="124"/>
      <c r="BZ476" s="124"/>
      <c r="CA476" s="124"/>
    </row>
    <row r="477">
      <c r="A477" s="141"/>
      <c r="B477" s="107"/>
      <c r="C477" s="107"/>
      <c r="D477" s="143"/>
      <c r="E477" s="129"/>
      <c r="F477" s="129"/>
      <c r="G477" s="129"/>
      <c r="H477" s="129"/>
      <c r="I477" s="129"/>
      <c r="J477" s="129"/>
      <c r="K477" s="129"/>
      <c r="L477" s="129"/>
      <c r="M477" s="129"/>
      <c r="N477" s="129"/>
      <c r="O477" s="129"/>
      <c r="P477" s="129"/>
      <c r="Q477" s="129"/>
      <c r="R477" s="129"/>
      <c r="S477" s="129"/>
      <c r="T477" s="129"/>
      <c r="U477" s="106"/>
      <c r="V477" s="106"/>
      <c r="W477" s="106"/>
      <c r="X477" s="106"/>
      <c r="Y477" s="106"/>
      <c r="Z477" s="129"/>
      <c r="AA477" s="129"/>
      <c r="AB477" s="129"/>
      <c r="AC477" s="129"/>
      <c r="AD477" s="129"/>
      <c r="AE477" s="129"/>
      <c r="AF477" s="129"/>
      <c r="AG477" s="117"/>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row>
    <row r="478">
      <c r="A478" s="141"/>
      <c r="B478" s="107"/>
      <c r="C478" s="107"/>
      <c r="D478" s="143"/>
      <c r="E478" s="129"/>
      <c r="F478" s="129"/>
      <c r="G478" s="129"/>
      <c r="H478" s="129"/>
      <c r="I478" s="129"/>
      <c r="J478" s="129"/>
      <c r="K478" s="129"/>
      <c r="L478" s="129"/>
      <c r="M478" s="129"/>
      <c r="N478" s="129"/>
      <c r="O478" s="129"/>
      <c r="P478" s="129"/>
      <c r="Q478" s="129"/>
      <c r="R478" s="129"/>
      <c r="S478" s="129"/>
      <c r="T478" s="129"/>
      <c r="U478" s="106"/>
      <c r="V478" s="106"/>
      <c r="W478" s="106"/>
      <c r="X478" s="106"/>
      <c r="Y478" s="106"/>
      <c r="Z478" s="129"/>
      <c r="AA478" s="129"/>
      <c r="AB478" s="129"/>
      <c r="AC478" s="129"/>
      <c r="AD478" s="129"/>
      <c r="AE478" s="129"/>
      <c r="AF478" s="129"/>
      <c r="AG478" s="117"/>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c r="BK478" s="124"/>
      <c r="BL478" s="124"/>
      <c r="BM478" s="124"/>
      <c r="BN478" s="124"/>
      <c r="BO478" s="124"/>
      <c r="BP478" s="124"/>
      <c r="BQ478" s="124"/>
      <c r="BR478" s="124"/>
      <c r="BS478" s="124"/>
      <c r="BT478" s="124"/>
      <c r="BU478" s="124"/>
      <c r="BV478" s="124"/>
      <c r="BW478" s="124"/>
      <c r="BX478" s="124"/>
      <c r="BY478" s="124"/>
      <c r="BZ478" s="124"/>
      <c r="CA478" s="124"/>
    </row>
    <row r="479">
      <c r="A479" s="141"/>
      <c r="B479" s="107"/>
      <c r="C479" s="107"/>
      <c r="D479" s="143"/>
      <c r="E479" s="129"/>
      <c r="F479" s="129"/>
      <c r="G479" s="129"/>
      <c r="H479" s="129"/>
      <c r="I479" s="129"/>
      <c r="J479" s="129"/>
      <c r="K479" s="129"/>
      <c r="L479" s="129"/>
      <c r="M479" s="129"/>
      <c r="N479" s="129"/>
      <c r="O479" s="129"/>
      <c r="P479" s="129"/>
      <c r="Q479" s="129"/>
      <c r="R479" s="129"/>
      <c r="S479" s="129"/>
      <c r="T479" s="129"/>
      <c r="U479" s="106"/>
      <c r="V479" s="106"/>
      <c r="W479" s="106"/>
      <c r="X479" s="106"/>
      <c r="Y479" s="106"/>
      <c r="Z479" s="129"/>
      <c r="AA479" s="129"/>
      <c r="AB479" s="129"/>
      <c r="AC479" s="129"/>
      <c r="AD479" s="129"/>
      <c r="AE479" s="129"/>
      <c r="AF479" s="129"/>
      <c r="AG479" s="117"/>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c r="BK479" s="124"/>
      <c r="BL479" s="124"/>
      <c r="BM479" s="124"/>
      <c r="BN479" s="124"/>
      <c r="BO479" s="124"/>
      <c r="BP479" s="124"/>
      <c r="BQ479" s="124"/>
      <c r="BR479" s="124"/>
      <c r="BS479" s="124"/>
      <c r="BT479" s="124"/>
      <c r="BU479" s="124"/>
      <c r="BV479" s="124"/>
      <c r="BW479" s="124"/>
      <c r="BX479" s="124"/>
      <c r="BY479" s="124"/>
      <c r="BZ479" s="124"/>
      <c r="CA479" s="124"/>
    </row>
    <row r="480">
      <c r="A480" s="141"/>
      <c r="B480" s="107"/>
      <c r="C480" s="107"/>
      <c r="D480" s="143"/>
      <c r="E480" s="129"/>
      <c r="F480" s="129"/>
      <c r="G480" s="129"/>
      <c r="H480" s="129"/>
      <c r="I480" s="129"/>
      <c r="J480" s="129"/>
      <c r="K480" s="129"/>
      <c r="L480" s="129"/>
      <c r="M480" s="129"/>
      <c r="N480" s="129"/>
      <c r="O480" s="129"/>
      <c r="P480" s="129"/>
      <c r="Q480" s="129"/>
      <c r="R480" s="129"/>
      <c r="S480" s="129"/>
      <c r="T480" s="129"/>
      <c r="U480" s="106"/>
      <c r="V480" s="106"/>
      <c r="W480" s="106"/>
      <c r="X480" s="106"/>
      <c r="Y480" s="106"/>
      <c r="Z480" s="129"/>
      <c r="AA480" s="129"/>
      <c r="AB480" s="129"/>
      <c r="AC480" s="129"/>
      <c r="AD480" s="129"/>
      <c r="AE480" s="129"/>
      <c r="AF480" s="129"/>
      <c r="AG480" s="117"/>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c r="BK480" s="124"/>
      <c r="BL480" s="124"/>
      <c r="BM480" s="124"/>
      <c r="BN480" s="124"/>
      <c r="BO480" s="124"/>
      <c r="BP480" s="124"/>
      <c r="BQ480" s="124"/>
      <c r="BR480" s="124"/>
      <c r="BS480" s="124"/>
      <c r="BT480" s="124"/>
      <c r="BU480" s="124"/>
      <c r="BV480" s="124"/>
      <c r="BW480" s="124"/>
      <c r="BX480" s="124"/>
      <c r="BY480" s="124"/>
      <c r="BZ480" s="124"/>
      <c r="CA480" s="124"/>
    </row>
    <row r="481">
      <c r="A481" s="141"/>
      <c r="B481" s="107"/>
      <c r="C481" s="107"/>
      <c r="D481" s="143"/>
      <c r="E481" s="129"/>
      <c r="F481" s="129"/>
      <c r="G481" s="129"/>
      <c r="H481" s="129"/>
      <c r="I481" s="129"/>
      <c r="J481" s="129"/>
      <c r="K481" s="129"/>
      <c r="L481" s="129"/>
      <c r="M481" s="129"/>
      <c r="N481" s="129"/>
      <c r="O481" s="129"/>
      <c r="P481" s="129"/>
      <c r="Q481" s="129"/>
      <c r="R481" s="129"/>
      <c r="S481" s="129"/>
      <c r="T481" s="129"/>
      <c r="U481" s="106"/>
      <c r="V481" s="106"/>
      <c r="W481" s="106"/>
      <c r="X481" s="106"/>
      <c r="Y481" s="106"/>
      <c r="Z481" s="129"/>
      <c r="AA481" s="129"/>
      <c r="AB481" s="129"/>
      <c r="AC481" s="129"/>
      <c r="AD481" s="129"/>
      <c r="AE481" s="129"/>
      <c r="AF481" s="129"/>
      <c r="AG481" s="117"/>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c r="BK481" s="124"/>
      <c r="BL481" s="124"/>
      <c r="BM481" s="124"/>
      <c r="BN481" s="124"/>
      <c r="BO481" s="124"/>
      <c r="BP481" s="124"/>
      <c r="BQ481" s="124"/>
      <c r="BR481" s="124"/>
      <c r="BS481" s="124"/>
      <c r="BT481" s="124"/>
      <c r="BU481" s="124"/>
      <c r="BV481" s="124"/>
      <c r="BW481" s="124"/>
      <c r="BX481" s="124"/>
      <c r="BY481" s="124"/>
      <c r="BZ481" s="124"/>
      <c r="CA481" s="124"/>
    </row>
    <row r="482">
      <c r="A482" s="141"/>
      <c r="B482" s="107"/>
      <c r="C482" s="107"/>
      <c r="D482" s="143"/>
      <c r="E482" s="129"/>
      <c r="F482" s="129"/>
      <c r="G482" s="129"/>
      <c r="H482" s="129"/>
      <c r="I482" s="129"/>
      <c r="J482" s="129"/>
      <c r="K482" s="129"/>
      <c r="L482" s="129"/>
      <c r="M482" s="129"/>
      <c r="N482" s="129"/>
      <c r="O482" s="129"/>
      <c r="P482" s="129"/>
      <c r="Q482" s="129"/>
      <c r="R482" s="129"/>
      <c r="S482" s="129"/>
      <c r="T482" s="129"/>
      <c r="U482" s="106"/>
      <c r="V482" s="106"/>
      <c r="W482" s="106"/>
      <c r="X482" s="106"/>
      <c r="Y482" s="106"/>
      <c r="Z482" s="129"/>
      <c r="AA482" s="129"/>
      <c r="AB482" s="129"/>
      <c r="AC482" s="129"/>
      <c r="AD482" s="129"/>
      <c r="AE482" s="129"/>
      <c r="AF482" s="129"/>
      <c r="AG482" s="117"/>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c r="BK482" s="124"/>
      <c r="BL482" s="124"/>
      <c r="BM482" s="124"/>
      <c r="BN482" s="124"/>
      <c r="BO482" s="124"/>
      <c r="BP482" s="124"/>
      <c r="BQ482" s="124"/>
      <c r="BR482" s="124"/>
      <c r="BS482" s="124"/>
      <c r="BT482" s="124"/>
      <c r="BU482" s="124"/>
      <c r="BV482" s="124"/>
      <c r="BW482" s="124"/>
      <c r="BX482" s="124"/>
      <c r="BY482" s="124"/>
      <c r="BZ482" s="124"/>
      <c r="CA482" s="124"/>
    </row>
    <row r="483">
      <c r="A483" s="141"/>
      <c r="B483" s="107"/>
      <c r="C483" s="107"/>
      <c r="D483" s="143"/>
      <c r="E483" s="129"/>
      <c r="F483" s="129"/>
      <c r="G483" s="129"/>
      <c r="H483" s="129"/>
      <c r="I483" s="129"/>
      <c r="J483" s="129"/>
      <c r="K483" s="129"/>
      <c r="L483" s="129"/>
      <c r="M483" s="129"/>
      <c r="N483" s="129"/>
      <c r="O483" s="129"/>
      <c r="P483" s="129"/>
      <c r="Q483" s="129"/>
      <c r="R483" s="129"/>
      <c r="S483" s="129"/>
      <c r="T483" s="129"/>
      <c r="U483" s="106"/>
      <c r="V483" s="106"/>
      <c r="W483" s="106"/>
      <c r="X483" s="106"/>
      <c r="Y483" s="106"/>
      <c r="Z483" s="129"/>
      <c r="AA483" s="129"/>
      <c r="AB483" s="129"/>
      <c r="AC483" s="129"/>
      <c r="AD483" s="129"/>
      <c r="AE483" s="129"/>
      <c r="AF483" s="129"/>
      <c r="AG483" s="117"/>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row>
    <row r="484">
      <c r="A484" s="141"/>
      <c r="B484" s="107"/>
      <c r="C484" s="107"/>
      <c r="D484" s="143"/>
      <c r="E484" s="129"/>
      <c r="F484" s="129"/>
      <c r="G484" s="129"/>
      <c r="H484" s="129"/>
      <c r="I484" s="129"/>
      <c r="J484" s="129"/>
      <c r="K484" s="129"/>
      <c r="L484" s="129"/>
      <c r="M484" s="129"/>
      <c r="N484" s="129"/>
      <c r="O484" s="129"/>
      <c r="P484" s="129"/>
      <c r="Q484" s="129"/>
      <c r="R484" s="129"/>
      <c r="S484" s="129"/>
      <c r="T484" s="129"/>
      <c r="U484" s="106"/>
      <c r="V484" s="106"/>
      <c r="W484" s="106"/>
      <c r="X484" s="106"/>
      <c r="Y484" s="106"/>
      <c r="Z484" s="129"/>
      <c r="AA484" s="129"/>
      <c r="AB484" s="129"/>
      <c r="AC484" s="129"/>
      <c r="AD484" s="129"/>
      <c r="AE484" s="129"/>
      <c r="AF484" s="129"/>
      <c r="AG484" s="117"/>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c r="BK484" s="124"/>
      <c r="BL484" s="124"/>
      <c r="BM484" s="124"/>
      <c r="BN484" s="124"/>
      <c r="BO484" s="124"/>
      <c r="BP484" s="124"/>
      <c r="BQ484" s="124"/>
      <c r="BR484" s="124"/>
      <c r="BS484" s="124"/>
      <c r="BT484" s="124"/>
      <c r="BU484" s="124"/>
      <c r="BV484" s="124"/>
      <c r="BW484" s="124"/>
      <c r="BX484" s="124"/>
      <c r="BY484" s="124"/>
      <c r="BZ484" s="124"/>
      <c r="CA484" s="124"/>
    </row>
    <row r="485">
      <c r="A485" s="141"/>
      <c r="B485" s="107"/>
      <c r="C485" s="107"/>
      <c r="D485" s="143"/>
      <c r="E485" s="129"/>
      <c r="F485" s="129"/>
      <c r="G485" s="129"/>
      <c r="H485" s="129"/>
      <c r="I485" s="129"/>
      <c r="J485" s="129"/>
      <c r="K485" s="129"/>
      <c r="L485" s="129"/>
      <c r="M485" s="129"/>
      <c r="N485" s="129"/>
      <c r="O485" s="129"/>
      <c r="P485" s="129"/>
      <c r="Q485" s="129"/>
      <c r="R485" s="129"/>
      <c r="S485" s="129"/>
      <c r="T485" s="129"/>
      <c r="U485" s="106"/>
      <c r="V485" s="106"/>
      <c r="W485" s="106"/>
      <c r="X485" s="106"/>
      <c r="Y485" s="106"/>
      <c r="Z485" s="129"/>
      <c r="AA485" s="129"/>
      <c r="AB485" s="129"/>
      <c r="AC485" s="129"/>
      <c r="AD485" s="129"/>
      <c r="AE485" s="129"/>
      <c r="AF485" s="129"/>
      <c r="AG485" s="117"/>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c r="BK485" s="124"/>
      <c r="BL485" s="124"/>
      <c r="BM485" s="124"/>
      <c r="BN485" s="124"/>
      <c r="BO485" s="124"/>
      <c r="BP485" s="124"/>
      <c r="BQ485" s="124"/>
      <c r="BR485" s="124"/>
      <c r="BS485" s="124"/>
      <c r="BT485" s="124"/>
      <c r="BU485" s="124"/>
      <c r="BV485" s="124"/>
      <c r="BW485" s="124"/>
      <c r="BX485" s="124"/>
      <c r="BY485" s="124"/>
      <c r="BZ485" s="124"/>
      <c r="CA485" s="124"/>
    </row>
    <row r="486">
      <c r="A486" s="141"/>
      <c r="B486" s="107"/>
      <c r="C486" s="107"/>
      <c r="D486" s="143"/>
      <c r="E486" s="129"/>
      <c r="F486" s="129"/>
      <c r="G486" s="129"/>
      <c r="H486" s="129"/>
      <c r="I486" s="129"/>
      <c r="J486" s="129"/>
      <c r="K486" s="129"/>
      <c r="L486" s="129"/>
      <c r="M486" s="129"/>
      <c r="N486" s="129"/>
      <c r="O486" s="129"/>
      <c r="P486" s="129"/>
      <c r="Q486" s="129"/>
      <c r="R486" s="129"/>
      <c r="S486" s="129"/>
      <c r="T486" s="129"/>
      <c r="U486" s="106"/>
      <c r="V486" s="106"/>
      <c r="W486" s="106"/>
      <c r="X486" s="106"/>
      <c r="Y486" s="106"/>
      <c r="Z486" s="129"/>
      <c r="AA486" s="129"/>
      <c r="AB486" s="129"/>
      <c r="AC486" s="129"/>
      <c r="AD486" s="129"/>
      <c r="AE486" s="129"/>
      <c r="AF486" s="129"/>
      <c r="AG486" s="117"/>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c r="BK486" s="124"/>
      <c r="BL486" s="124"/>
      <c r="BM486" s="124"/>
      <c r="BN486" s="124"/>
      <c r="BO486" s="124"/>
      <c r="BP486" s="124"/>
      <c r="BQ486" s="124"/>
      <c r="BR486" s="124"/>
      <c r="BS486" s="124"/>
      <c r="BT486" s="124"/>
      <c r="BU486" s="124"/>
      <c r="BV486" s="124"/>
      <c r="BW486" s="124"/>
      <c r="BX486" s="124"/>
      <c r="BY486" s="124"/>
      <c r="BZ486" s="124"/>
      <c r="CA486" s="124"/>
    </row>
    <row r="487">
      <c r="A487" s="141"/>
      <c r="B487" s="107"/>
      <c r="C487" s="107"/>
      <c r="D487" s="143"/>
      <c r="E487" s="129"/>
      <c r="F487" s="129"/>
      <c r="G487" s="129"/>
      <c r="H487" s="129"/>
      <c r="I487" s="129"/>
      <c r="J487" s="129"/>
      <c r="K487" s="129"/>
      <c r="L487" s="129"/>
      <c r="M487" s="129"/>
      <c r="N487" s="129"/>
      <c r="O487" s="129"/>
      <c r="P487" s="129"/>
      <c r="Q487" s="129"/>
      <c r="R487" s="129"/>
      <c r="S487" s="129"/>
      <c r="T487" s="129"/>
      <c r="U487" s="106"/>
      <c r="V487" s="106"/>
      <c r="W487" s="106"/>
      <c r="X487" s="106"/>
      <c r="Y487" s="106"/>
      <c r="Z487" s="129"/>
      <c r="AA487" s="129"/>
      <c r="AB487" s="129"/>
      <c r="AC487" s="129"/>
      <c r="AD487" s="129"/>
      <c r="AE487" s="129"/>
      <c r="AF487" s="129"/>
      <c r="AG487" s="117"/>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c r="BK487" s="124"/>
      <c r="BL487" s="124"/>
      <c r="BM487" s="124"/>
      <c r="BN487" s="124"/>
      <c r="BO487" s="124"/>
      <c r="BP487" s="124"/>
      <c r="BQ487" s="124"/>
      <c r="BR487" s="124"/>
      <c r="BS487" s="124"/>
      <c r="BT487" s="124"/>
      <c r="BU487" s="124"/>
      <c r="BV487" s="124"/>
      <c r="BW487" s="124"/>
      <c r="BX487" s="124"/>
      <c r="BY487" s="124"/>
      <c r="BZ487" s="124"/>
      <c r="CA487" s="124"/>
    </row>
    <row r="488">
      <c r="A488" s="141"/>
      <c r="B488" s="107"/>
      <c r="C488" s="107"/>
      <c r="D488" s="143"/>
      <c r="E488" s="129"/>
      <c r="F488" s="129"/>
      <c r="G488" s="129"/>
      <c r="H488" s="129"/>
      <c r="I488" s="129"/>
      <c r="J488" s="129"/>
      <c r="K488" s="129"/>
      <c r="L488" s="129"/>
      <c r="M488" s="129"/>
      <c r="N488" s="129"/>
      <c r="O488" s="129"/>
      <c r="P488" s="129"/>
      <c r="Q488" s="129"/>
      <c r="R488" s="129"/>
      <c r="S488" s="129"/>
      <c r="T488" s="129"/>
      <c r="U488" s="106"/>
      <c r="V488" s="106"/>
      <c r="W488" s="106"/>
      <c r="X488" s="106"/>
      <c r="Y488" s="106"/>
      <c r="Z488" s="129"/>
      <c r="AA488" s="129"/>
      <c r="AB488" s="129"/>
      <c r="AC488" s="129"/>
      <c r="AD488" s="129"/>
      <c r="AE488" s="129"/>
      <c r="AF488" s="129"/>
      <c r="AG488" s="117"/>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c r="BK488" s="124"/>
      <c r="BL488" s="124"/>
      <c r="BM488" s="124"/>
      <c r="BN488" s="124"/>
      <c r="BO488" s="124"/>
      <c r="BP488" s="124"/>
      <c r="BQ488" s="124"/>
      <c r="BR488" s="124"/>
      <c r="BS488" s="124"/>
      <c r="BT488" s="124"/>
      <c r="BU488" s="124"/>
      <c r="BV488" s="124"/>
      <c r="BW488" s="124"/>
      <c r="BX488" s="124"/>
      <c r="BY488" s="124"/>
      <c r="BZ488" s="124"/>
      <c r="CA488" s="124"/>
    </row>
    <row r="489">
      <c r="A489" s="141"/>
      <c r="B489" s="107"/>
      <c r="C489" s="107"/>
      <c r="D489" s="143"/>
      <c r="E489" s="129"/>
      <c r="F489" s="129"/>
      <c r="G489" s="129"/>
      <c r="H489" s="129"/>
      <c r="I489" s="129"/>
      <c r="J489" s="129"/>
      <c r="K489" s="129"/>
      <c r="L489" s="129"/>
      <c r="M489" s="129"/>
      <c r="N489" s="129"/>
      <c r="O489" s="129"/>
      <c r="P489" s="129"/>
      <c r="Q489" s="129"/>
      <c r="R489" s="129"/>
      <c r="S489" s="129"/>
      <c r="T489" s="129"/>
      <c r="U489" s="106"/>
      <c r="V489" s="106"/>
      <c r="W489" s="106"/>
      <c r="X489" s="106"/>
      <c r="Y489" s="106"/>
      <c r="Z489" s="129"/>
      <c r="AA489" s="129"/>
      <c r="AB489" s="129"/>
      <c r="AC489" s="129"/>
      <c r="AD489" s="129"/>
      <c r="AE489" s="129"/>
      <c r="AF489" s="129"/>
      <c r="AG489" s="117"/>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row>
    <row r="490">
      <c r="A490" s="141"/>
      <c r="B490" s="107"/>
      <c r="C490" s="107"/>
      <c r="D490" s="143"/>
      <c r="E490" s="129"/>
      <c r="F490" s="129"/>
      <c r="G490" s="129"/>
      <c r="H490" s="129"/>
      <c r="I490" s="129"/>
      <c r="J490" s="129"/>
      <c r="K490" s="129"/>
      <c r="L490" s="129"/>
      <c r="M490" s="129"/>
      <c r="N490" s="129"/>
      <c r="O490" s="129"/>
      <c r="P490" s="129"/>
      <c r="Q490" s="129"/>
      <c r="R490" s="129"/>
      <c r="S490" s="129"/>
      <c r="T490" s="129"/>
      <c r="U490" s="106"/>
      <c r="V490" s="106"/>
      <c r="W490" s="106"/>
      <c r="X490" s="106"/>
      <c r="Y490" s="106"/>
      <c r="Z490" s="129"/>
      <c r="AA490" s="129"/>
      <c r="AB490" s="129"/>
      <c r="AC490" s="129"/>
      <c r="AD490" s="129"/>
      <c r="AE490" s="129"/>
      <c r="AF490" s="129"/>
      <c r="AG490" s="117"/>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c r="BK490" s="124"/>
      <c r="BL490" s="124"/>
      <c r="BM490" s="124"/>
      <c r="BN490" s="124"/>
      <c r="BO490" s="124"/>
      <c r="BP490" s="124"/>
      <c r="BQ490" s="124"/>
      <c r="BR490" s="124"/>
      <c r="BS490" s="124"/>
      <c r="BT490" s="124"/>
      <c r="BU490" s="124"/>
      <c r="BV490" s="124"/>
      <c r="BW490" s="124"/>
      <c r="BX490" s="124"/>
      <c r="BY490" s="124"/>
      <c r="BZ490" s="124"/>
      <c r="CA490" s="124"/>
    </row>
    <row r="491">
      <c r="A491" s="141"/>
      <c r="B491" s="107"/>
      <c r="C491" s="107"/>
      <c r="D491" s="143"/>
      <c r="E491" s="129"/>
      <c r="F491" s="129"/>
      <c r="G491" s="129"/>
      <c r="H491" s="129"/>
      <c r="I491" s="129"/>
      <c r="J491" s="129"/>
      <c r="K491" s="129"/>
      <c r="L491" s="129"/>
      <c r="M491" s="129"/>
      <c r="N491" s="129"/>
      <c r="O491" s="129"/>
      <c r="P491" s="129"/>
      <c r="Q491" s="129"/>
      <c r="R491" s="129"/>
      <c r="S491" s="129"/>
      <c r="T491" s="129"/>
      <c r="U491" s="106"/>
      <c r="V491" s="106"/>
      <c r="W491" s="106"/>
      <c r="X491" s="106"/>
      <c r="Y491" s="106"/>
      <c r="Z491" s="129"/>
      <c r="AA491" s="129"/>
      <c r="AB491" s="129"/>
      <c r="AC491" s="129"/>
      <c r="AD491" s="129"/>
      <c r="AE491" s="129"/>
      <c r="AF491" s="129"/>
      <c r="AG491" s="117"/>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c r="BK491" s="124"/>
      <c r="BL491" s="124"/>
      <c r="BM491" s="124"/>
      <c r="BN491" s="124"/>
      <c r="BO491" s="124"/>
      <c r="BP491" s="124"/>
      <c r="BQ491" s="124"/>
      <c r="BR491" s="124"/>
      <c r="BS491" s="124"/>
      <c r="BT491" s="124"/>
      <c r="BU491" s="124"/>
      <c r="BV491" s="124"/>
      <c r="BW491" s="124"/>
      <c r="BX491" s="124"/>
      <c r="BY491" s="124"/>
      <c r="BZ491" s="124"/>
      <c r="CA491" s="124"/>
    </row>
    <row r="492">
      <c r="A492" s="141"/>
      <c r="B492" s="107"/>
      <c r="C492" s="107"/>
      <c r="D492" s="143"/>
      <c r="E492" s="129"/>
      <c r="F492" s="129"/>
      <c r="G492" s="129"/>
      <c r="H492" s="129"/>
      <c r="I492" s="129"/>
      <c r="J492" s="129"/>
      <c r="K492" s="129"/>
      <c r="L492" s="129"/>
      <c r="M492" s="129"/>
      <c r="N492" s="129"/>
      <c r="O492" s="129"/>
      <c r="P492" s="129"/>
      <c r="Q492" s="129"/>
      <c r="R492" s="129"/>
      <c r="S492" s="129"/>
      <c r="T492" s="129"/>
      <c r="U492" s="106"/>
      <c r="V492" s="106"/>
      <c r="W492" s="106"/>
      <c r="X492" s="106"/>
      <c r="Y492" s="106"/>
      <c r="Z492" s="129"/>
      <c r="AA492" s="129"/>
      <c r="AB492" s="129"/>
      <c r="AC492" s="129"/>
      <c r="AD492" s="129"/>
      <c r="AE492" s="129"/>
      <c r="AF492" s="129"/>
      <c r="AG492" s="117"/>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c r="BK492" s="124"/>
      <c r="BL492" s="124"/>
      <c r="BM492" s="124"/>
      <c r="BN492" s="124"/>
      <c r="BO492" s="124"/>
      <c r="BP492" s="124"/>
      <c r="BQ492" s="124"/>
      <c r="BR492" s="124"/>
      <c r="BS492" s="124"/>
      <c r="BT492" s="124"/>
      <c r="BU492" s="124"/>
      <c r="BV492" s="124"/>
      <c r="BW492" s="124"/>
      <c r="BX492" s="124"/>
      <c r="BY492" s="124"/>
      <c r="BZ492" s="124"/>
      <c r="CA492" s="124"/>
    </row>
    <row r="493">
      <c r="A493" s="141"/>
      <c r="B493" s="107"/>
      <c r="C493" s="107"/>
      <c r="D493" s="143"/>
      <c r="E493" s="129"/>
      <c r="F493" s="129"/>
      <c r="G493" s="129"/>
      <c r="H493" s="129"/>
      <c r="I493" s="129"/>
      <c r="J493" s="129"/>
      <c r="K493" s="129"/>
      <c r="L493" s="129"/>
      <c r="M493" s="129"/>
      <c r="N493" s="129"/>
      <c r="O493" s="129"/>
      <c r="P493" s="129"/>
      <c r="Q493" s="129"/>
      <c r="R493" s="129"/>
      <c r="S493" s="129"/>
      <c r="T493" s="129"/>
      <c r="U493" s="106"/>
      <c r="V493" s="106"/>
      <c r="W493" s="106"/>
      <c r="X493" s="106"/>
      <c r="Y493" s="106"/>
      <c r="Z493" s="129"/>
      <c r="AA493" s="129"/>
      <c r="AB493" s="129"/>
      <c r="AC493" s="129"/>
      <c r="AD493" s="129"/>
      <c r="AE493" s="129"/>
      <c r="AF493" s="129"/>
      <c r="AG493" s="117"/>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c r="BK493" s="124"/>
      <c r="BL493" s="124"/>
      <c r="BM493" s="124"/>
      <c r="BN493" s="124"/>
      <c r="BO493" s="124"/>
      <c r="BP493" s="124"/>
      <c r="BQ493" s="124"/>
      <c r="BR493" s="124"/>
      <c r="BS493" s="124"/>
      <c r="BT493" s="124"/>
      <c r="BU493" s="124"/>
      <c r="BV493" s="124"/>
      <c r="BW493" s="124"/>
      <c r="BX493" s="124"/>
      <c r="BY493" s="124"/>
      <c r="BZ493" s="124"/>
      <c r="CA493" s="124"/>
    </row>
    <row r="494">
      <c r="A494" s="141"/>
      <c r="B494" s="107"/>
      <c r="C494" s="107"/>
      <c r="D494" s="143"/>
      <c r="E494" s="129"/>
      <c r="F494" s="129"/>
      <c r="G494" s="129"/>
      <c r="H494" s="129"/>
      <c r="I494" s="129"/>
      <c r="J494" s="129"/>
      <c r="K494" s="129"/>
      <c r="L494" s="129"/>
      <c r="M494" s="129"/>
      <c r="N494" s="129"/>
      <c r="O494" s="129"/>
      <c r="P494" s="129"/>
      <c r="Q494" s="129"/>
      <c r="R494" s="129"/>
      <c r="S494" s="129"/>
      <c r="T494" s="129"/>
      <c r="U494" s="106"/>
      <c r="V494" s="106"/>
      <c r="W494" s="106"/>
      <c r="X494" s="106"/>
      <c r="Y494" s="106"/>
      <c r="Z494" s="129"/>
      <c r="AA494" s="129"/>
      <c r="AB494" s="129"/>
      <c r="AC494" s="129"/>
      <c r="AD494" s="129"/>
      <c r="AE494" s="129"/>
      <c r="AF494" s="129"/>
      <c r="AG494" s="117"/>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c r="BK494" s="124"/>
      <c r="BL494" s="124"/>
      <c r="BM494" s="124"/>
      <c r="BN494" s="124"/>
      <c r="BO494" s="124"/>
      <c r="BP494" s="124"/>
      <c r="BQ494" s="124"/>
      <c r="BR494" s="124"/>
      <c r="BS494" s="124"/>
      <c r="BT494" s="124"/>
      <c r="BU494" s="124"/>
      <c r="BV494" s="124"/>
      <c r="BW494" s="124"/>
      <c r="BX494" s="124"/>
      <c r="BY494" s="124"/>
      <c r="BZ494" s="124"/>
      <c r="CA494" s="124"/>
    </row>
    <row r="495">
      <c r="A495" s="141"/>
      <c r="B495" s="107"/>
      <c r="C495" s="107"/>
      <c r="D495" s="143"/>
      <c r="E495" s="129"/>
      <c r="F495" s="129"/>
      <c r="G495" s="129"/>
      <c r="H495" s="129"/>
      <c r="I495" s="129"/>
      <c r="J495" s="129"/>
      <c r="K495" s="129"/>
      <c r="L495" s="129"/>
      <c r="M495" s="129"/>
      <c r="N495" s="129"/>
      <c r="O495" s="129"/>
      <c r="P495" s="129"/>
      <c r="Q495" s="129"/>
      <c r="R495" s="129"/>
      <c r="S495" s="129"/>
      <c r="T495" s="129"/>
      <c r="U495" s="106"/>
      <c r="V495" s="106"/>
      <c r="W495" s="106"/>
      <c r="X495" s="106"/>
      <c r="Y495" s="106"/>
      <c r="Z495" s="129"/>
      <c r="AA495" s="129"/>
      <c r="AB495" s="129"/>
      <c r="AC495" s="129"/>
      <c r="AD495" s="129"/>
      <c r="AE495" s="129"/>
      <c r="AF495" s="129"/>
      <c r="AG495" s="117"/>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row>
    <row r="496">
      <c r="A496" s="141"/>
      <c r="B496" s="107"/>
      <c r="C496" s="107"/>
      <c r="D496" s="143"/>
      <c r="E496" s="129"/>
      <c r="F496" s="129"/>
      <c r="G496" s="129"/>
      <c r="H496" s="129"/>
      <c r="I496" s="129"/>
      <c r="J496" s="129"/>
      <c r="K496" s="129"/>
      <c r="L496" s="129"/>
      <c r="M496" s="129"/>
      <c r="N496" s="129"/>
      <c r="O496" s="129"/>
      <c r="P496" s="129"/>
      <c r="Q496" s="129"/>
      <c r="R496" s="129"/>
      <c r="S496" s="129"/>
      <c r="T496" s="129"/>
      <c r="U496" s="106"/>
      <c r="V496" s="106"/>
      <c r="W496" s="106"/>
      <c r="X496" s="106"/>
      <c r="Y496" s="106"/>
      <c r="Z496" s="129"/>
      <c r="AA496" s="129"/>
      <c r="AB496" s="129"/>
      <c r="AC496" s="129"/>
      <c r="AD496" s="129"/>
      <c r="AE496" s="129"/>
      <c r="AF496" s="129"/>
      <c r="AG496" s="117"/>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c r="BK496" s="124"/>
      <c r="BL496" s="124"/>
      <c r="BM496" s="124"/>
      <c r="BN496" s="124"/>
      <c r="BO496" s="124"/>
      <c r="BP496" s="124"/>
      <c r="BQ496" s="124"/>
      <c r="BR496" s="124"/>
      <c r="BS496" s="124"/>
      <c r="BT496" s="124"/>
      <c r="BU496" s="124"/>
      <c r="BV496" s="124"/>
      <c r="BW496" s="124"/>
      <c r="BX496" s="124"/>
      <c r="BY496" s="124"/>
      <c r="BZ496" s="124"/>
      <c r="CA496" s="124"/>
    </row>
    <row r="497">
      <c r="A497" s="141"/>
      <c r="B497" s="107"/>
      <c r="C497" s="107"/>
      <c r="D497" s="143"/>
      <c r="E497" s="129"/>
      <c r="F497" s="129"/>
      <c r="G497" s="129"/>
      <c r="H497" s="129"/>
      <c r="I497" s="129"/>
      <c r="J497" s="129"/>
      <c r="K497" s="129"/>
      <c r="L497" s="129"/>
      <c r="M497" s="129"/>
      <c r="N497" s="129"/>
      <c r="O497" s="129"/>
      <c r="P497" s="129"/>
      <c r="Q497" s="129"/>
      <c r="R497" s="129"/>
      <c r="S497" s="129"/>
      <c r="T497" s="129"/>
      <c r="U497" s="106"/>
      <c r="V497" s="106"/>
      <c r="W497" s="106"/>
      <c r="X497" s="106"/>
      <c r="Y497" s="106"/>
      <c r="Z497" s="129"/>
      <c r="AA497" s="129"/>
      <c r="AB497" s="129"/>
      <c r="AC497" s="129"/>
      <c r="AD497" s="129"/>
      <c r="AE497" s="129"/>
      <c r="AF497" s="129"/>
      <c r="AG497" s="117"/>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c r="BK497" s="124"/>
      <c r="BL497" s="124"/>
      <c r="BM497" s="124"/>
      <c r="BN497" s="124"/>
      <c r="BO497" s="124"/>
      <c r="BP497" s="124"/>
      <c r="BQ497" s="124"/>
      <c r="BR497" s="124"/>
      <c r="BS497" s="124"/>
      <c r="BT497" s="124"/>
      <c r="BU497" s="124"/>
      <c r="BV497" s="124"/>
      <c r="BW497" s="124"/>
      <c r="BX497" s="124"/>
      <c r="BY497" s="124"/>
      <c r="BZ497" s="124"/>
      <c r="CA497" s="124"/>
    </row>
    <row r="498">
      <c r="A498" s="141"/>
      <c r="B498" s="107"/>
      <c r="C498" s="107"/>
      <c r="D498" s="143"/>
      <c r="E498" s="129"/>
      <c r="F498" s="129"/>
      <c r="G498" s="129"/>
      <c r="H498" s="129"/>
      <c r="I498" s="129"/>
      <c r="J498" s="129"/>
      <c r="K498" s="129"/>
      <c r="L498" s="129"/>
      <c r="M498" s="129"/>
      <c r="N498" s="129"/>
      <c r="O498" s="129"/>
      <c r="P498" s="129"/>
      <c r="Q498" s="129"/>
      <c r="R498" s="129"/>
      <c r="S498" s="129"/>
      <c r="T498" s="129"/>
      <c r="U498" s="106"/>
      <c r="V498" s="106"/>
      <c r="W498" s="106"/>
      <c r="X498" s="106"/>
      <c r="Y498" s="106"/>
      <c r="Z498" s="129"/>
      <c r="AA498" s="129"/>
      <c r="AB498" s="129"/>
      <c r="AC498" s="129"/>
      <c r="AD498" s="129"/>
      <c r="AE498" s="129"/>
      <c r="AF498" s="129"/>
      <c r="AG498" s="117"/>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c r="BK498" s="124"/>
      <c r="BL498" s="124"/>
      <c r="BM498" s="124"/>
      <c r="BN498" s="124"/>
      <c r="BO498" s="124"/>
      <c r="BP498" s="124"/>
      <c r="BQ498" s="124"/>
      <c r="BR498" s="124"/>
      <c r="BS498" s="124"/>
      <c r="BT498" s="124"/>
      <c r="BU498" s="124"/>
      <c r="BV498" s="124"/>
      <c r="BW498" s="124"/>
      <c r="BX498" s="124"/>
      <c r="BY498" s="124"/>
      <c r="BZ498" s="124"/>
      <c r="CA498" s="124"/>
    </row>
    <row r="499">
      <c r="A499" s="141"/>
      <c r="B499" s="107"/>
      <c r="C499" s="107"/>
      <c r="D499" s="143"/>
      <c r="E499" s="129"/>
      <c r="F499" s="129"/>
      <c r="G499" s="129"/>
      <c r="H499" s="129"/>
      <c r="I499" s="129"/>
      <c r="J499" s="129"/>
      <c r="K499" s="129"/>
      <c r="L499" s="129"/>
      <c r="M499" s="129"/>
      <c r="N499" s="129"/>
      <c r="O499" s="129"/>
      <c r="P499" s="129"/>
      <c r="Q499" s="129"/>
      <c r="R499" s="129"/>
      <c r="S499" s="129"/>
      <c r="T499" s="129"/>
      <c r="U499" s="106"/>
      <c r="V499" s="106"/>
      <c r="W499" s="106"/>
      <c r="X499" s="106"/>
      <c r="Y499" s="106"/>
      <c r="Z499" s="129"/>
      <c r="AA499" s="129"/>
      <c r="AB499" s="129"/>
      <c r="AC499" s="129"/>
      <c r="AD499" s="129"/>
      <c r="AE499" s="129"/>
      <c r="AF499" s="129"/>
      <c r="AG499" s="117"/>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c r="BK499" s="124"/>
      <c r="BL499" s="124"/>
      <c r="BM499" s="124"/>
      <c r="BN499" s="124"/>
      <c r="BO499" s="124"/>
      <c r="BP499" s="124"/>
      <c r="BQ499" s="124"/>
      <c r="BR499" s="124"/>
      <c r="BS499" s="124"/>
      <c r="BT499" s="124"/>
      <c r="BU499" s="124"/>
      <c r="BV499" s="124"/>
      <c r="BW499" s="124"/>
      <c r="BX499" s="124"/>
      <c r="BY499" s="124"/>
      <c r="BZ499" s="124"/>
      <c r="CA499" s="124"/>
    </row>
    <row r="500">
      <c r="A500" s="141"/>
      <c r="B500" s="107"/>
      <c r="C500" s="107"/>
      <c r="D500" s="143"/>
      <c r="E500" s="129"/>
      <c r="F500" s="129"/>
      <c r="G500" s="129"/>
      <c r="H500" s="129"/>
      <c r="I500" s="129"/>
      <c r="J500" s="129"/>
      <c r="K500" s="129"/>
      <c r="L500" s="129"/>
      <c r="M500" s="129"/>
      <c r="N500" s="129"/>
      <c r="O500" s="129"/>
      <c r="P500" s="129"/>
      <c r="Q500" s="129"/>
      <c r="R500" s="129"/>
      <c r="S500" s="129"/>
      <c r="T500" s="129"/>
      <c r="U500" s="106"/>
      <c r="V500" s="106"/>
      <c r="W500" s="106"/>
      <c r="X500" s="106"/>
      <c r="Y500" s="106"/>
      <c r="Z500" s="129"/>
      <c r="AA500" s="129"/>
      <c r="AB500" s="129"/>
      <c r="AC500" s="129"/>
      <c r="AD500" s="129"/>
      <c r="AE500" s="129"/>
      <c r="AF500" s="129"/>
      <c r="AG500" s="117"/>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c r="BK500" s="124"/>
      <c r="BL500" s="124"/>
      <c r="BM500" s="124"/>
      <c r="BN500" s="124"/>
      <c r="BO500" s="124"/>
      <c r="BP500" s="124"/>
      <c r="BQ500" s="124"/>
      <c r="BR500" s="124"/>
      <c r="BS500" s="124"/>
      <c r="BT500" s="124"/>
      <c r="BU500" s="124"/>
      <c r="BV500" s="124"/>
      <c r="BW500" s="124"/>
      <c r="BX500" s="124"/>
      <c r="BY500" s="124"/>
      <c r="BZ500" s="124"/>
      <c r="CA500" s="124"/>
    </row>
    <row r="501">
      <c r="A501" s="141"/>
      <c r="B501" s="107"/>
      <c r="C501" s="107"/>
      <c r="D501" s="143"/>
      <c r="E501" s="129"/>
      <c r="F501" s="129"/>
      <c r="G501" s="129"/>
      <c r="H501" s="129"/>
      <c r="I501" s="129"/>
      <c r="J501" s="129"/>
      <c r="K501" s="129"/>
      <c r="L501" s="129"/>
      <c r="M501" s="129"/>
      <c r="N501" s="129"/>
      <c r="O501" s="129"/>
      <c r="P501" s="129"/>
      <c r="Q501" s="129"/>
      <c r="R501" s="129"/>
      <c r="S501" s="129"/>
      <c r="T501" s="129"/>
      <c r="U501" s="106"/>
      <c r="V501" s="106"/>
      <c r="W501" s="106"/>
      <c r="X501" s="106"/>
      <c r="Y501" s="106"/>
      <c r="Z501" s="129"/>
      <c r="AA501" s="129"/>
      <c r="AB501" s="129"/>
      <c r="AC501" s="129"/>
      <c r="AD501" s="129"/>
      <c r="AE501" s="129"/>
      <c r="AF501" s="129"/>
      <c r="AG501" s="117"/>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row>
    <row r="502">
      <c r="A502" s="141"/>
      <c r="B502" s="107"/>
      <c r="C502" s="107"/>
      <c r="D502" s="143"/>
      <c r="E502" s="129"/>
      <c r="F502" s="129"/>
      <c r="G502" s="129"/>
      <c r="H502" s="129"/>
      <c r="I502" s="129"/>
      <c r="J502" s="129"/>
      <c r="K502" s="129"/>
      <c r="L502" s="129"/>
      <c r="M502" s="129"/>
      <c r="N502" s="129"/>
      <c r="O502" s="129"/>
      <c r="P502" s="129"/>
      <c r="Q502" s="129"/>
      <c r="R502" s="129"/>
      <c r="S502" s="129"/>
      <c r="T502" s="129"/>
      <c r="U502" s="106"/>
      <c r="V502" s="106"/>
      <c r="W502" s="106"/>
      <c r="X502" s="106"/>
      <c r="Y502" s="106"/>
      <c r="Z502" s="129"/>
      <c r="AA502" s="129"/>
      <c r="AB502" s="129"/>
      <c r="AC502" s="129"/>
      <c r="AD502" s="129"/>
      <c r="AE502" s="129"/>
      <c r="AF502" s="129"/>
      <c r="AG502" s="117"/>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c r="BK502" s="124"/>
      <c r="BL502" s="124"/>
      <c r="BM502" s="124"/>
      <c r="BN502" s="124"/>
      <c r="BO502" s="124"/>
      <c r="BP502" s="124"/>
      <c r="BQ502" s="124"/>
      <c r="BR502" s="124"/>
      <c r="BS502" s="124"/>
      <c r="BT502" s="124"/>
      <c r="BU502" s="124"/>
      <c r="BV502" s="124"/>
      <c r="BW502" s="124"/>
      <c r="BX502" s="124"/>
      <c r="BY502" s="124"/>
      <c r="BZ502" s="124"/>
      <c r="CA502" s="124"/>
    </row>
    <row r="503">
      <c r="A503" s="141"/>
      <c r="B503" s="107"/>
      <c r="C503" s="107"/>
      <c r="D503" s="143"/>
      <c r="E503" s="129"/>
      <c r="F503" s="129"/>
      <c r="G503" s="129"/>
      <c r="H503" s="129"/>
      <c r="I503" s="129"/>
      <c r="J503" s="129"/>
      <c r="K503" s="129"/>
      <c r="L503" s="129"/>
      <c r="M503" s="129"/>
      <c r="N503" s="129"/>
      <c r="O503" s="129"/>
      <c r="P503" s="129"/>
      <c r="Q503" s="129"/>
      <c r="R503" s="129"/>
      <c r="S503" s="129"/>
      <c r="T503" s="129"/>
      <c r="U503" s="106"/>
      <c r="V503" s="106"/>
      <c r="W503" s="106"/>
      <c r="X503" s="106"/>
      <c r="Y503" s="106"/>
      <c r="Z503" s="129"/>
      <c r="AA503" s="129"/>
      <c r="AB503" s="129"/>
      <c r="AC503" s="129"/>
      <c r="AD503" s="129"/>
      <c r="AE503" s="129"/>
      <c r="AF503" s="129"/>
      <c r="AG503" s="117"/>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4"/>
      <c r="BR503" s="124"/>
      <c r="BS503" s="124"/>
      <c r="BT503" s="124"/>
      <c r="BU503" s="124"/>
      <c r="BV503" s="124"/>
      <c r="BW503" s="124"/>
      <c r="BX503" s="124"/>
      <c r="BY503" s="124"/>
      <c r="BZ503" s="124"/>
      <c r="CA503" s="124"/>
    </row>
    <row r="504">
      <c r="A504" s="141"/>
      <c r="B504" s="107"/>
      <c r="C504" s="107"/>
      <c r="D504" s="143"/>
      <c r="E504" s="129"/>
      <c r="F504" s="129"/>
      <c r="G504" s="129"/>
      <c r="H504" s="129"/>
      <c r="I504" s="129"/>
      <c r="J504" s="129"/>
      <c r="K504" s="129"/>
      <c r="L504" s="129"/>
      <c r="M504" s="129"/>
      <c r="N504" s="129"/>
      <c r="O504" s="129"/>
      <c r="P504" s="129"/>
      <c r="Q504" s="129"/>
      <c r="R504" s="129"/>
      <c r="S504" s="129"/>
      <c r="T504" s="129"/>
      <c r="U504" s="106"/>
      <c r="V504" s="106"/>
      <c r="W504" s="106"/>
      <c r="X504" s="106"/>
      <c r="Y504" s="106"/>
      <c r="Z504" s="129"/>
      <c r="AA504" s="129"/>
      <c r="AB504" s="129"/>
      <c r="AC504" s="129"/>
      <c r="AD504" s="129"/>
      <c r="AE504" s="129"/>
      <c r="AF504" s="129"/>
      <c r="AG504" s="117"/>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c r="BK504" s="124"/>
      <c r="BL504" s="124"/>
      <c r="BM504" s="124"/>
      <c r="BN504" s="124"/>
      <c r="BO504" s="124"/>
      <c r="BP504" s="124"/>
      <c r="BQ504" s="124"/>
      <c r="BR504" s="124"/>
      <c r="BS504" s="124"/>
      <c r="BT504" s="124"/>
      <c r="BU504" s="124"/>
      <c r="BV504" s="124"/>
      <c r="BW504" s="124"/>
      <c r="BX504" s="124"/>
      <c r="BY504" s="124"/>
      <c r="BZ504" s="124"/>
      <c r="CA504" s="124"/>
    </row>
    <row r="505">
      <c r="A505" s="141"/>
      <c r="B505" s="107"/>
      <c r="C505" s="107"/>
      <c r="D505" s="143"/>
      <c r="E505" s="129"/>
      <c r="F505" s="129"/>
      <c r="G505" s="129"/>
      <c r="H505" s="129"/>
      <c r="I505" s="129"/>
      <c r="J505" s="129"/>
      <c r="K505" s="129"/>
      <c r="L505" s="129"/>
      <c r="M505" s="129"/>
      <c r="N505" s="129"/>
      <c r="O505" s="129"/>
      <c r="P505" s="129"/>
      <c r="Q505" s="129"/>
      <c r="R505" s="129"/>
      <c r="S505" s="129"/>
      <c r="T505" s="129"/>
      <c r="U505" s="106"/>
      <c r="V505" s="106"/>
      <c r="W505" s="106"/>
      <c r="X505" s="106"/>
      <c r="Y505" s="106"/>
      <c r="Z505" s="129"/>
      <c r="AA505" s="129"/>
      <c r="AB505" s="129"/>
      <c r="AC505" s="129"/>
      <c r="AD505" s="129"/>
      <c r="AE505" s="129"/>
      <c r="AF505" s="129"/>
      <c r="AG505" s="117"/>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c r="BK505" s="124"/>
      <c r="BL505" s="124"/>
      <c r="BM505" s="124"/>
      <c r="BN505" s="124"/>
      <c r="BO505" s="124"/>
      <c r="BP505" s="124"/>
      <c r="BQ505" s="124"/>
      <c r="BR505" s="124"/>
      <c r="BS505" s="124"/>
      <c r="BT505" s="124"/>
      <c r="BU505" s="124"/>
      <c r="BV505" s="124"/>
      <c r="BW505" s="124"/>
      <c r="BX505" s="124"/>
      <c r="BY505" s="124"/>
      <c r="BZ505" s="124"/>
      <c r="CA505" s="124"/>
    </row>
    <row r="506">
      <c r="A506" s="141"/>
      <c r="B506" s="107"/>
      <c r="C506" s="107"/>
      <c r="D506" s="143"/>
      <c r="E506" s="129"/>
      <c r="F506" s="129"/>
      <c r="G506" s="129"/>
      <c r="H506" s="129"/>
      <c r="I506" s="129"/>
      <c r="J506" s="129"/>
      <c r="K506" s="129"/>
      <c r="L506" s="129"/>
      <c r="M506" s="129"/>
      <c r="N506" s="129"/>
      <c r="O506" s="129"/>
      <c r="P506" s="129"/>
      <c r="Q506" s="129"/>
      <c r="R506" s="129"/>
      <c r="S506" s="129"/>
      <c r="T506" s="129"/>
      <c r="U506" s="106"/>
      <c r="V506" s="106"/>
      <c r="W506" s="106"/>
      <c r="X506" s="106"/>
      <c r="Y506" s="106"/>
      <c r="Z506" s="129"/>
      <c r="AA506" s="129"/>
      <c r="AB506" s="129"/>
      <c r="AC506" s="129"/>
      <c r="AD506" s="129"/>
      <c r="AE506" s="129"/>
      <c r="AF506" s="129"/>
      <c r="AG506" s="117"/>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c r="BK506" s="124"/>
      <c r="BL506" s="124"/>
      <c r="BM506" s="124"/>
      <c r="BN506" s="124"/>
      <c r="BO506" s="124"/>
      <c r="BP506" s="124"/>
      <c r="BQ506" s="124"/>
      <c r="BR506" s="124"/>
      <c r="BS506" s="124"/>
      <c r="BT506" s="124"/>
      <c r="BU506" s="124"/>
      <c r="BV506" s="124"/>
      <c r="BW506" s="124"/>
      <c r="BX506" s="124"/>
      <c r="BY506" s="124"/>
      <c r="BZ506" s="124"/>
      <c r="CA506" s="124"/>
    </row>
    <row r="507">
      <c r="A507" s="141"/>
      <c r="B507" s="107"/>
      <c r="C507" s="107"/>
      <c r="D507" s="143"/>
      <c r="E507" s="129"/>
      <c r="F507" s="129"/>
      <c r="G507" s="129"/>
      <c r="H507" s="129"/>
      <c r="I507" s="129"/>
      <c r="J507" s="129"/>
      <c r="K507" s="129"/>
      <c r="L507" s="129"/>
      <c r="M507" s="129"/>
      <c r="N507" s="129"/>
      <c r="O507" s="129"/>
      <c r="P507" s="129"/>
      <c r="Q507" s="129"/>
      <c r="R507" s="129"/>
      <c r="S507" s="129"/>
      <c r="T507" s="129"/>
      <c r="U507" s="106"/>
      <c r="V507" s="106"/>
      <c r="W507" s="106"/>
      <c r="X507" s="106"/>
      <c r="Y507" s="106"/>
      <c r="Z507" s="129"/>
      <c r="AA507" s="129"/>
      <c r="AB507" s="129"/>
      <c r="AC507" s="129"/>
      <c r="AD507" s="129"/>
      <c r="AE507" s="129"/>
      <c r="AF507" s="129"/>
      <c r="AG507" s="117"/>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row>
    <row r="508">
      <c r="A508" s="141"/>
      <c r="B508" s="107"/>
      <c r="C508" s="107"/>
      <c r="D508" s="143"/>
      <c r="E508" s="129"/>
      <c r="F508" s="129"/>
      <c r="G508" s="129"/>
      <c r="H508" s="129"/>
      <c r="I508" s="129"/>
      <c r="J508" s="129"/>
      <c r="K508" s="129"/>
      <c r="L508" s="129"/>
      <c r="M508" s="129"/>
      <c r="N508" s="129"/>
      <c r="O508" s="129"/>
      <c r="P508" s="129"/>
      <c r="Q508" s="129"/>
      <c r="R508" s="129"/>
      <c r="S508" s="129"/>
      <c r="T508" s="129"/>
      <c r="U508" s="106"/>
      <c r="V508" s="106"/>
      <c r="W508" s="106"/>
      <c r="X508" s="106"/>
      <c r="Y508" s="106"/>
      <c r="Z508" s="129"/>
      <c r="AA508" s="129"/>
      <c r="AB508" s="129"/>
      <c r="AC508" s="129"/>
      <c r="AD508" s="129"/>
      <c r="AE508" s="129"/>
      <c r="AF508" s="129"/>
      <c r="AG508" s="117"/>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c r="BK508" s="124"/>
      <c r="BL508" s="124"/>
      <c r="BM508" s="124"/>
      <c r="BN508" s="124"/>
      <c r="BO508" s="124"/>
      <c r="BP508" s="124"/>
      <c r="BQ508" s="124"/>
      <c r="BR508" s="124"/>
      <c r="BS508" s="124"/>
      <c r="BT508" s="124"/>
      <c r="BU508" s="124"/>
      <c r="BV508" s="124"/>
      <c r="BW508" s="124"/>
      <c r="BX508" s="124"/>
      <c r="BY508" s="124"/>
      <c r="BZ508" s="124"/>
      <c r="CA508" s="124"/>
    </row>
    <row r="509">
      <c r="A509" s="141"/>
      <c r="B509" s="107"/>
      <c r="C509" s="107"/>
      <c r="D509" s="143"/>
      <c r="E509" s="129"/>
      <c r="F509" s="129"/>
      <c r="G509" s="129"/>
      <c r="H509" s="129"/>
      <c r="I509" s="129"/>
      <c r="J509" s="129"/>
      <c r="K509" s="129"/>
      <c r="L509" s="129"/>
      <c r="M509" s="129"/>
      <c r="N509" s="129"/>
      <c r="O509" s="129"/>
      <c r="P509" s="129"/>
      <c r="Q509" s="129"/>
      <c r="R509" s="129"/>
      <c r="S509" s="129"/>
      <c r="T509" s="129"/>
      <c r="U509" s="106"/>
      <c r="V509" s="106"/>
      <c r="W509" s="106"/>
      <c r="X509" s="106"/>
      <c r="Y509" s="106"/>
      <c r="Z509" s="129"/>
      <c r="AA509" s="129"/>
      <c r="AB509" s="129"/>
      <c r="AC509" s="129"/>
      <c r="AD509" s="129"/>
      <c r="AE509" s="129"/>
      <c r="AF509" s="129"/>
      <c r="AG509" s="117"/>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c r="BK509" s="124"/>
      <c r="BL509" s="124"/>
      <c r="BM509" s="124"/>
      <c r="BN509" s="124"/>
      <c r="BO509" s="124"/>
      <c r="BP509" s="124"/>
      <c r="BQ509" s="124"/>
      <c r="BR509" s="124"/>
      <c r="BS509" s="124"/>
      <c r="BT509" s="124"/>
      <c r="BU509" s="124"/>
      <c r="BV509" s="124"/>
      <c r="BW509" s="124"/>
      <c r="BX509" s="124"/>
      <c r="BY509" s="124"/>
      <c r="BZ509" s="124"/>
      <c r="CA509" s="124"/>
    </row>
    <row r="510">
      <c r="A510" s="141"/>
      <c r="B510" s="107"/>
      <c r="C510" s="107"/>
      <c r="D510" s="143"/>
      <c r="E510" s="129"/>
      <c r="F510" s="129"/>
      <c r="G510" s="129"/>
      <c r="H510" s="129"/>
      <c r="I510" s="129"/>
      <c r="J510" s="129"/>
      <c r="K510" s="129"/>
      <c r="L510" s="129"/>
      <c r="M510" s="129"/>
      <c r="N510" s="129"/>
      <c r="O510" s="129"/>
      <c r="P510" s="129"/>
      <c r="Q510" s="129"/>
      <c r="R510" s="129"/>
      <c r="S510" s="129"/>
      <c r="T510" s="129"/>
      <c r="U510" s="106"/>
      <c r="V510" s="106"/>
      <c r="W510" s="106"/>
      <c r="X510" s="106"/>
      <c r="Y510" s="106"/>
      <c r="Z510" s="129"/>
      <c r="AA510" s="129"/>
      <c r="AB510" s="129"/>
      <c r="AC510" s="129"/>
      <c r="AD510" s="129"/>
      <c r="AE510" s="129"/>
      <c r="AF510" s="129"/>
      <c r="AG510" s="117"/>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c r="BK510" s="124"/>
      <c r="BL510" s="124"/>
      <c r="BM510" s="124"/>
      <c r="BN510" s="124"/>
      <c r="BO510" s="124"/>
      <c r="BP510" s="124"/>
      <c r="BQ510" s="124"/>
      <c r="BR510" s="124"/>
      <c r="BS510" s="124"/>
      <c r="BT510" s="124"/>
      <c r="BU510" s="124"/>
      <c r="BV510" s="124"/>
      <c r="BW510" s="124"/>
      <c r="BX510" s="124"/>
      <c r="BY510" s="124"/>
      <c r="BZ510" s="124"/>
      <c r="CA510" s="124"/>
    </row>
    <row r="511">
      <c r="A511" s="141"/>
      <c r="B511" s="107"/>
      <c r="C511" s="107"/>
      <c r="D511" s="143"/>
      <c r="E511" s="129"/>
      <c r="F511" s="129"/>
      <c r="G511" s="129"/>
      <c r="H511" s="129"/>
      <c r="I511" s="129"/>
      <c r="J511" s="129"/>
      <c r="K511" s="129"/>
      <c r="L511" s="129"/>
      <c r="M511" s="129"/>
      <c r="N511" s="129"/>
      <c r="O511" s="129"/>
      <c r="P511" s="129"/>
      <c r="Q511" s="129"/>
      <c r="R511" s="129"/>
      <c r="S511" s="129"/>
      <c r="T511" s="129"/>
      <c r="U511" s="106"/>
      <c r="V511" s="106"/>
      <c r="W511" s="106"/>
      <c r="X511" s="106"/>
      <c r="Y511" s="106"/>
      <c r="Z511" s="129"/>
      <c r="AA511" s="129"/>
      <c r="AB511" s="129"/>
      <c r="AC511" s="129"/>
      <c r="AD511" s="129"/>
      <c r="AE511" s="129"/>
      <c r="AF511" s="129"/>
      <c r="AG511" s="117"/>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c r="BK511" s="124"/>
      <c r="BL511" s="124"/>
      <c r="BM511" s="124"/>
      <c r="BN511" s="124"/>
      <c r="BO511" s="124"/>
      <c r="BP511" s="124"/>
      <c r="BQ511" s="124"/>
      <c r="BR511" s="124"/>
      <c r="BS511" s="124"/>
      <c r="BT511" s="124"/>
      <c r="BU511" s="124"/>
      <c r="BV511" s="124"/>
      <c r="BW511" s="124"/>
      <c r="BX511" s="124"/>
      <c r="BY511" s="124"/>
      <c r="BZ511" s="124"/>
      <c r="CA511" s="124"/>
    </row>
    <row r="512">
      <c r="A512" s="141"/>
      <c r="B512" s="107"/>
      <c r="C512" s="107"/>
      <c r="D512" s="143"/>
      <c r="E512" s="129"/>
      <c r="F512" s="129"/>
      <c r="G512" s="129"/>
      <c r="H512" s="129"/>
      <c r="I512" s="129"/>
      <c r="J512" s="129"/>
      <c r="K512" s="129"/>
      <c r="L512" s="129"/>
      <c r="M512" s="129"/>
      <c r="N512" s="129"/>
      <c r="O512" s="129"/>
      <c r="P512" s="129"/>
      <c r="Q512" s="129"/>
      <c r="R512" s="129"/>
      <c r="S512" s="129"/>
      <c r="T512" s="129"/>
      <c r="U512" s="106"/>
      <c r="V512" s="106"/>
      <c r="W512" s="106"/>
      <c r="X512" s="106"/>
      <c r="Y512" s="106"/>
      <c r="Z512" s="129"/>
      <c r="AA512" s="129"/>
      <c r="AB512" s="129"/>
      <c r="AC512" s="129"/>
      <c r="AD512" s="129"/>
      <c r="AE512" s="129"/>
      <c r="AF512" s="129"/>
      <c r="AG512" s="117"/>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c r="BK512" s="124"/>
      <c r="BL512" s="124"/>
      <c r="BM512" s="124"/>
      <c r="BN512" s="124"/>
      <c r="BO512" s="124"/>
      <c r="BP512" s="124"/>
      <c r="BQ512" s="124"/>
      <c r="BR512" s="124"/>
      <c r="BS512" s="124"/>
      <c r="BT512" s="124"/>
      <c r="BU512" s="124"/>
      <c r="BV512" s="124"/>
      <c r="BW512" s="124"/>
      <c r="BX512" s="124"/>
      <c r="BY512" s="124"/>
      <c r="BZ512" s="124"/>
      <c r="CA512" s="124"/>
    </row>
    <row r="513">
      <c r="A513" s="141"/>
      <c r="B513" s="107"/>
      <c r="C513" s="107"/>
      <c r="D513" s="143"/>
      <c r="E513" s="129"/>
      <c r="F513" s="129"/>
      <c r="G513" s="129"/>
      <c r="H513" s="129"/>
      <c r="I513" s="129"/>
      <c r="J513" s="129"/>
      <c r="K513" s="129"/>
      <c r="L513" s="129"/>
      <c r="M513" s="129"/>
      <c r="N513" s="129"/>
      <c r="O513" s="129"/>
      <c r="P513" s="129"/>
      <c r="Q513" s="129"/>
      <c r="R513" s="129"/>
      <c r="S513" s="129"/>
      <c r="T513" s="129"/>
      <c r="U513" s="106"/>
      <c r="V513" s="106"/>
      <c r="W513" s="106"/>
      <c r="X513" s="106"/>
      <c r="Y513" s="106"/>
      <c r="Z513" s="129"/>
      <c r="AA513" s="129"/>
      <c r="AB513" s="129"/>
      <c r="AC513" s="129"/>
      <c r="AD513" s="129"/>
      <c r="AE513" s="129"/>
      <c r="AF513" s="129"/>
      <c r="AG513" s="117"/>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c r="BK513" s="124"/>
      <c r="BL513" s="124"/>
      <c r="BM513" s="124"/>
      <c r="BN513" s="124"/>
      <c r="BO513" s="124"/>
      <c r="BP513" s="124"/>
      <c r="BQ513" s="124"/>
      <c r="BR513" s="124"/>
      <c r="BS513" s="124"/>
      <c r="BT513" s="124"/>
      <c r="BU513" s="124"/>
      <c r="BV513" s="124"/>
      <c r="BW513" s="124"/>
      <c r="BX513" s="124"/>
      <c r="BY513" s="124"/>
      <c r="BZ513" s="124"/>
      <c r="CA513" s="124"/>
    </row>
    <row r="514">
      <c r="A514" s="141"/>
      <c r="B514" s="107"/>
      <c r="C514" s="107"/>
      <c r="D514" s="143"/>
      <c r="E514" s="129"/>
      <c r="F514" s="129"/>
      <c r="G514" s="129"/>
      <c r="H514" s="129"/>
      <c r="I514" s="129"/>
      <c r="J514" s="129"/>
      <c r="K514" s="129"/>
      <c r="L514" s="129"/>
      <c r="M514" s="129"/>
      <c r="N514" s="129"/>
      <c r="O514" s="129"/>
      <c r="P514" s="129"/>
      <c r="Q514" s="129"/>
      <c r="R514" s="129"/>
      <c r="S514" s="129"/>
      <c r="T514" s="129"/>
      <c r="U514" s="106"/>
      <c r="V514" s="106"/>
      <c r="W514" s="106"/>
      <c r="X514" s="106"/>
      <c r="Y514" s="106"/>
      <c r="Z514" s="129"/>
      <c r="AA514" s="129"/>
      <c r="AB514" s="129"/>
      <c r="AC514" s="129"/>
      <c r="AD514" s="129"/>
      <c r="AE514" s="129"/>
      <c r="AF514" s="129"/>
      <c r="AG514" s="117"/>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c r="BK514" s="124"/>
      <c r="BL514" s="124"/>
      <c r="BM514" s="124"/>
      <c r="BN514" s="124"/>
      <c r="BO514" s="124"/>
      <c r="BP514" s="124"/>
      <c r="BQ514" s="124"/>
      <c r="BR514" s="124"/>
      <c r="BS514" s="124"/>
      <c r="BT514" s="124"/>
      <c r="BU514" s="124"/>
      <c r="BV514" s="124"/>
      <c r="BW514" s="124"/>
      <c r="BX514" s="124"/>
      <c r="BY514" s="124"/>
      <c r="BZ514" s="124"/>
      <c r="CA514" s="124"/>
    </row>
    <row r="515">
      <c r="A515" s="141"/>
      <c r="B515" s="107"/>
      <c r="C515" s="107"/>
      <c r="D515" s="143"/>
      <c r="E515" s="129"/>
      <c r="F515" s="129"/>
      <c r="G515" s="129"/>
      <c r="H515" s="129"/>
      <c r="I515" s="129"/>
      <c r="J515" s="129"/>
      <c r="K515" s="129"/>
      <c r="L515" s="129"/>
      <c r="M515" s="129"/>
      <c r="N515" s="129"/>
      <c r="O515" s="129"/>
      <c r="P515" s="129"/>
      <c r="Q515" s="129"/>
      <c r="R515" s="129"/>
      <c r="S515" s="129"/>
      <c r="T515" s="129"/>
      <c r="U515" s="106"/>
      <c r="V515" s="106"/>
      <c r="W515" s="106"/>
      <c r="X515" s="106"/>
      <c r="Y515" s="106"/>
      <c r="Z515" s="129"/>
      <c r="AA515" s="129"/>
      <c r="AB515" s="129"/>
      <c r="AC515" s="129"/>
      <c r="AD515" s="129"/>
      <c r="AE515" s="129"/>
      <c r="AF515" s="129"/>
      <c r="AG515" s="117"/>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c r="BK515" s="124"/>
      <c r="BL515" s="124"/>
      <c r="BM515" s="124"/>
      <c r="BN515" s="124"/>
      <c r="BO515" s="124"/>
      <c r="BP515" s="124"/>
      <c r="BQ515" s="124"/>
      <c r="BR515" s="124"/>
      <c r="BS515" s="124"/>
      <c r="BT515" s="124"/>
      <c r="BU515" s="124"/>
      <c r="BV515" s="124"/>
      <c r="BW515" s="124"/>
      <c r="BX515" s="124"/>
      <c r="BY515" s="124"/>
      <c r="BZ515" s="124"/>
      <c r="CA515" s="124"/>
    </row>
    <row r="516">
      <c r="A516" s="141"/>
      <c r="B516" s="107"/>
      <c r="C516" s="107"/>
      <c r="D516" s="143"/>
      <c r="E516" s="129"/>
      <c r="F516" s="129"/>
      <c r="G516" s="129"/>
      <c r="H516" s="129"/>
      <c r="I516" s="129"/>
      <c r="J516" s="129"/>
      <c r="K516" s="129"/>
      <c r="L516" s="129"/>
      <c r="M516" s="129"/>
      <c r="N516" s="129"/>
      <c r="O516" s="129"/>
      <c r="P516" s="129"/>
      <c r="Q516" s="129"/>
      <c r="R516" s="129"/>
      <c r="S516" s="129"/>
      <c r="T516" s="129"/>
      <c r="U516" s="106"/>
      <c r="V516" s="106"/>
      <c r="W516" s="106"/>
      <c r="X516" s="106"/>
      <c r="Y516" s="106"/>
      <c r="Z516" s="129"/>
      <c r="AA516" s="129"/>
      <c r="AB516" s="129"/>
      <c r="AC516" s="129"/>
      <c r="AD516" s="129"/>
      <c r="AE516" s="129"/>
      <c r="AF516" s="129"/>
      <c r="AG516" s="117"/>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c r="BK516" s="124"/>
      <c r="BL516" s="124"/>
      <c r="BM516" s="124"/>
      <c r="BN516" s="124"/>
      <c r="BO516" s="124"/>
      <c r="BP516" s="124"/>
      <c r="BQ516" s="124"/>
      <c r="BR516" s="124"/>
      <c r="BS516" s="124"/>
      <c r="BT516" s="124"/>
      <c r="BU516" s="124"/>
      <c r="BV516" s="124"/>
      <c r="BW516" s="124"/>
      <c r="BX516" s="124"/>
      <c r="BY516" s="124"/>
      <c r="BZ516" s="124"/>
      <c r="CA516" s="124"/>
    </row>
    <row r="517">
      <c r="A517" s="141"/>
      <c r="B517" s="107"/>
      <c r="C517" s="107"/>
      <c r="D517" s="143"/>
      <c r="E517" s="129"/>
      <c r="F517" s="129"/>
      <c r="G517" s="129"/>
      <c r="H517" s="129"/>
      <c r="I517" s="129"/>
      <c r="J517" s="129"/>
      <c r="K517" s="129"/>
      <c r="L517" s="129"/>
      <c r="M517" s="129"/>
      <c r="N517" s="129"/>
      <c r="O517" s="129"/>
      <c r="P517" s="129"/>
      <c r="Q517" s="129"/>
      <c r="R517" s="129"/>
      <c r="S517" s="129"/>
      <c r="T517" s="129"/>
      <c r="U517" s="106"/>
      <c r="V517" s="106"/>
      <c r="W517" s="106"/>
      <c r="X517" s="106"/>
      <c r="Y517" s="106"/>
      <c r="Z517" s="129"/>
      <c r="AA517" s="129"/>
      <c r="AB517" s="129"/>
      <c r="AC517" s="129"/>
      <c r="AD517" s="129"/>
      <c r="AE517" s="129"/>
      <c r="AF517" s="129"/>
      <c r="AG517" s="117"/>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c r="BK517" s="124"/>
      <c r="BL517" s="124"/>
      <c r="BM517" s="124"/>
      <c r="BN517" s="124"/>
      <c r="BO517" s="124"/>
      <c r="BP517" s="124"/>
      <c r="BQ517" s="124"/>
      <c r="BR517" s="124"/>
      <c r="BS517" s="124"/>
      <c r="BT517" s="124"/>
      <c r="BU517" s="124"/>
      <c r="BV517" s="124"/>
      <c r="BW517" s="124"/>
      <c r="BX517" s="124"/>
      <c r="BY517" s="124"/>
      <c r="BZ517" s="124"/>
      <c r="CA517" s="124"/>
    </row>
    <row r="518">
      <c r="A518" s="141"/>
      <c r="B518" s="107"/>
      <c r="C518" s="107"/>
      <c r="D518" s="143"/>
      <c r="E518" s="129"/>
      <c r="F518" s="129"/>
      <c r="G518" s="129"/>
      <c r="H518" s="129"/>
      <c r="I518" s="129"/>
      <c r="J518" s="129"/>
      <c r="K518" s="129"/>
      <c r="L518" s="129"/>
      <c r="M518" s="129"/>
      <c r="N518" s="129"/>
      <c r="O518" s="129"/>
      <c r="P518" s="129"/>
      <c r="Q518" s="129"/>
      <c r="R518" s="129"/>
      <c r="S518" s="129"/>
      <c r="T518" s="129"/>
      <c r="U518" s="106"/>
      <c r="V518" s="106"/>
      <c r="W518" s="106"/>
      <c r="X518" s="106"/>
      <c r="Y518" s="106"/>
      <c r="Z518" s="129"/>
      <c r="AA518" s="129"/>
      <c r="AB518" s="129"/>
      <c r="AC518" s="129"/>
      <c r="AD518" s="129"/>
      <c r="AE518" s="129"/>
      <c r="AF518" s="129"/>
      <c r="AG518" s="117"/>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c r="BK518" s="124"/>
      <c r="BL518" s="124"/>
      <c r="BM518" s="124"/>
      <c r="BN518" s="124"/>
      <c r="BO518" s="124"/>
      <c r="BP518" s="124"/>
      <c r="BQ518" s="124"/>
      <c r="BR518" s="124"/>
      <c r="BS518" s="124"/>
      <c r="BT518" s="124"/>
      <c r="BU518" s="124"/>
      <c r="BV518" s="124"/>
      <c r="BW518" s="124"/>
      <c r="BX518" s="124"/>
      <c r="BY518" s="124"/>
      <c r="BZ518" s="124"/>
      <c r="CA518" s="124"/>
    </row>
    <row r="519">
      <c r="A519" s="141"/>
      <c r="B519" s="107"/>
      <c r="C519" s="107"/>
      <c r="D519" s="143"/>
      <c r="E519" s="129"/>
      <c r="F519" s="129"/>
      <c r="G519" s="129"/>
      <c r="H519" s="129"/>
      <c r="I519" s="129"/>
      <c r="J519" s="129"/>
      <c r="K519" s="129"/>
      <c r="L519" s="129"/>
      <c r="M519" s="129"/>
      <c r="N519" s="129"/>
      <c r="O519" s="129"/>
      <c r="P519" s="129"/>
      <c r="Q519" s="129"/>
      <c r="R519" s="129"/>
      <c r="S519" s="129"/>
      <c r="T519" s="129"/>
      <c r="U519" s="106"/>
      <c r="V519" s="106"/>
      <c r="W519" s="106"/>
      <c r="X519" s="106"/>
      <c r="Y519" s="106"/>
      <c r="Z519" s="129"/>
      <c r="AA519" s="129"/>
      <c r="AB519" s="129"/>
      <c r="AC519" s="129"/>
      <c r="AD519" s="129"/>
      <c r="AE519" s="129"/>
      <c r="AF519" s="129"/>
      <c r="AG519" s="117"/>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c r="BK519" s="124"/>
      <c r="BL519" s="124"/>
      <c r="BM519" s="124"/>
      <c r="BN519" s="124"/>
      <c r="BO519" s="124"/>
      <c r="BP519" s="124"/>
      <c r="BQ519" s="124"/>
      <c r="BR519" s="124"/>
      <c r="BS519" s="124"/>
      <c r="BT519" s="124"/>
      <c r="BU519" s="124"/>
      <c r="BV519" s="124"/>
      <c r="BW519" s="124"/>
      <c r="BX519" s="124"/>
      <c r="BY519" s="124"/>
      <c r="BZ519" s="124"/>
      <c r="CA519" s="124"/>
    </row>
    <row r="520">
      <c r="A520" s="141"/>
      <c r="B520" s="107"/>
      <c r="C520" s="107"/>
      <c r="D520" s="143"/>
      <c r="E520" s="129"/>
      <c r="F520" s="129"/>
      <c r="G520" s="129"/>
      <c r="H520" s="129"/>
      <c r="I520" s="129"/>
      <c r="J520" s="129"/>
      <c r="K520" s="129"/>
      <c r="L520" s="129"/>
      <c r="M520" s="129"/>
      <c r="N520" s="129"/>
      <c r="O520" s="129"/>
      <c r="P520" s="129"/>
      <c r="Q520" s="129"/>
      <c r="R520" s="129"/>
      <c r="S520" s="129"/>
      <c r="T520" s="129"/>
      <c r="U520" s="106"/>
      <c r="V520" s="106"/>
      <c r="W520" s="106"/>
      <c r="X520" s="106"/>
      <c r="Y520" s="106"/>
      <c r="Z520" s="129"/>
      <c r="AA520" s="129"/>
      <c r="AB520" s="129"/>
      <c r="AC520" s="129"/>
      <c r="AD520" s="129"/>
      <c r="AE520" s="129"/>
      <c r="AF520" s="129"/>
      <c r="AG520" s="117"/>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c r="BK520" s="124"/>
      <c r="BL520" s="124"/>
      <c r="BM520" s="124"/>
      <c r="BN520" s="124"/>
      <c r="BO520" s="124"/>
      <c r="BP520" s="124"/>
      <c r="BQ520" s="124"/>
      <c r="BR520" s="124"/>
      <c r="BS520" s="124"/>
      <c r="BT520" s="124"/>
      <c r="BU520" s="124"/>
      <c r="BV520" s="124"/>
      <c r="BW520" s="124"/>
      <c r="BX520" s="124"/>
      <c r="BY520" s="124"/>
      <c r="BZ520" s="124"/>
      <c r="CA520" s="124"/>
    </row>
    <row r="521">
      <c r="A521" s="141"/>
      <c r="B521" s="107"/>
      <c r="C521" s="107"/>
      <c r="D521" s="143"/>
      <c r="E521" s="129"/>
      <c r="F521" s="129"/>
      <c r="G521" s="129"/>
      <c r="H521" s="129"/>
      <c r="I521" s="129"/>
      <c r="J521" s="129"/>
      <c r="K521" s="129"/>
      <c r="L521" s="129"/>
      <c r="M521" s="129"/>
      <c r="N521" s="129"/>
      <c r="O521" s="129"/>
      <c r="P521" s="129"/>
      <c r="Q521" s="129"/>
      <c r="R521" s="129"/>
      <c r="S521" s="129"/>
      <c r="T521" s="129"/>
      <c r="U521" s="106"/>
      <c r="V521" s="106"/>
      <c r="W521" s="106"/>
      <c r="X521" s="106"/>
      <c r="Y521" s="106"/>
      <c r="Z521" s="129"/>
      <c r="AA521" s="129"/>
      <c r="AB521" s="129"/>
      <c r="AC521" s="129"/>
      <c r="AD521" s="129"/>
      <c r="AE521" s="129"/>
      <c r="AF521" s="129"/>
      <c r="AG521" s="117"/>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c r="BK521" s="124"/>
      <c r="BL521" s="124"/>
      <c r="BM521" s="124"/>
      <c r="BN521" s="124"/>
      <c r="BO521" s="124"/>
      <c r="BP521" s="124"/>
      <c r="BQ521" s="124"/>
      <c r="BR521" s="124"/>
      <c r="BS521" s="124"/>
      <c r="BT521" s="124"/>
      <c r="BU521" s="124"/>
      <c r="BV521" s="124"/>
      <c r="BW521" s="124"/>
      <c r="BX521" s="124"/>
      <c r="BY521" s="124"/>
      <c r="BZ521" s="124"/>
      <c r="CA521" s="124"/>
    </row>
    <row r="522">
      <c r="A522" s="141"/>
      <c r="B522" s="107"/>
      <c r="C522" s="107"/>
      <c r="D522" s="143"/>
      <c r="E522" s="129"/>
      <c r="F522" s="129"/>
      <c r="G522" s="129"/>
      <c r="H522" s="129"/>
      <c r="I522" s="129"/>
      <c r="J522" s="129"/>
      <c r="K522" s="129"/>
      <c r="L522" s="129"/>
      <c r="M522" s="129"/>
      <c r="N522" s="129"/>
      <c r="O522" s="129"/>
      <c r="P522" s="129"/>
      <c r="Q522" s="129"/>
      <c r="R522" s="129"/>
      <c r="S522" s="129"/>
      <c r="T522" s="129"/>
      <c r="U522" s="106"/>
      <c r="V522" s="106"/>
      <c r="W522" s="106"/>
      <c r="X522" s="106"/>
      <c r="Y522" s="106"/>
      <c r="Z522" s="129"/>
      <c r="AA522" s="129"/>
      <c r="AB522" s="129"/>
      <c r="AC522" s="129"/>
      <c r="AD522" s="129"/>
      <c r="AE522" s="129"/>
      <c r="AF522" s="129"/>
      <c r="AG522" s="117"/>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c r="BK522" s="124"/>
      <c r="BL522" s="124"/>
      <c r="BM522" s="124"/>
      <c r="BN522" s="124"/>
      <c r="BO522" s="124"/>
      <c r="BP522" s="124"/>
      <c r="BQ522" s="124"/>
      <c r="BR522" s="124"/>
      <c r="BS522" s="124"/>
      <c r="BT522" s="124"/>
      <c r="BU522" s="124"/>
      <c r="BV522" s="124"/>
      <c r="BW522" s="124"/>
      <c r="BX522" s="124"/>
      <c r="BY522" s="124"/>
      <c r="BZ522" s="124"/>
      <c r="CA522" s="124"/>
    </row>
    <row r="523">
      <c r="A523" s="141"/>
      <c r="B523" s="107"/>
      <c r="C523" s="107"/>
      <c r="D523" s="143"/>
      <c r="E523" s="129"/>
      <c r="F523" s="129"/>
      <c r="G523" s="129"/>
      <c r="H523" s="129"/>
      <c r="I523" s="129"/>
      <c r="J523" s="129"/>
      <c r="K523" s="129"/>
      <c r="L523" s="129"/>
      <c r="M523" s="129"/>
      <c r="N523" s="129"/>
      <c r="O523" s="129"/>
      <c r="P523" s="129"/>
      <c r="Q523" s="129"/>
      <c r="R523" s="129"/>
      <c r="S523" s="129"/>
      <c r="T523" s="129"/>
      <c r="U523" s="106"/>
      <c r="V523" s="106"/>
      <c r="W523" s="106"/>
      <c r="X523" s="106"/>
      <c r="Y523" s="106"/>
      <c r="Z523" s="129"/>
      <c r="AA523" s="129"/>
      <c r="AB523" s="129"/>
      <c r="AC523" s="129"/>
      <c r="AD523" s="129"/>
      <c r="AE523" s="129"/>
      <c r="AF523" s="129"/>
      <c r="AG523" s="117"/>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c r="BK523" s="124"/>
      <c r="BL523" s="124"/>
      <c r="BM523" s="124"/>
      <c r="BN523" s="124"/>
      <c r="BO523" s="124"/>
      <c r="BP523" s="124"/>
      <c r="BQ523" s="124"/>
      <c r="BR523" s="124"/>
      <c r="BS523" s="124"/>
      <c r="BT523" s="124"/>
      <c r="BU523" s="124"/>
      <c r="BV523" s="124"/>
      <c r="BW523" s="124"/>
      <c r="BX523" s="124"/>
      <c r="BY523" s="124"/>
      <c r="BZ523" s="124"/>
      <c r="CA523" s="124"/>
    </row>
    <row r="524">
      <c r="A524" s="141"/>
      <c r="B524" s="107"/>
      <c r="C524" s="107"/>
      <c r="D524" s="143"/>
      <c r="E524" s="129"/>
      <c r="F524" s="129"/>
      <c r="G524" s="129"/>
      <c r="H524" s="129"/>
      <c r="I524" s="129"/>
      <c r="J524" s="129"/>
      <c r="K524" s="129"/>
      <c r="L524" s="129"/>
      <c r="M524" s="129"/>
      <c r="N524" s="129"/>
      <c r="O524" s="129"/>
      <c r="P524" s="129"/>
      <c r="Q524" s="129"/>
      <c r="R524" s="129"/>
      <c r="S524" s="129"/>
      <c r="T524" s="129"/>
      <c r="U524" s="106"/>
      <c r="V524" s="106"/>
      <c r="W524" s="106"/>
      <c r="X524" s="106"/>
      <c r="Y524" s="106"/>
      <c r="Z524" s="129"/>
      <c r="AA524" s="129"/>
      <c r="AB524" s="129"/>
      <c r="AC524" s="129"/>
      <c r="AD524" s="129"/>
      <c r="AE524" s="129"/>
      <c r="AF524" s="129"/>
      <c r="AG524" s="117"/>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c r="BK524" s="124"/>
      <c r="BL524" s="124"/>
      <c r="BM524" s="124"/>
      <c r="BN524" s="124"/>
      <c r="BO524" s="124"/>
      <c r="BP524" s="124"/>
      <c r="BQ524" s="124"/>
      <c r="BR524" s="124"/>
      <c r="BS524" s="124"/>
      <c r="BT524" s="124"/>
      <c r="BU524" s="124"/>
      <c r="BV524" s="124"/>
      <c r="BW524" s="124"/>
      <c r="BX524" s="124"/>
      <c r="BY524" s="124"/>
      <c r="BZ524" s="124"/>
      <c r="CA524" s="124"/>
    </row>
    <row r="525">
      <c r="A525" s="141"/>
      <c r="B525" s="107"/>
      <c r="C525" s="107"/>
      <c r="D525" s="143"/>
      <c r="E525" s="129"/>
      <c r="F525" s="129"/>
      <c r="G525" s="129"/>
      <c r="H525" s="129"/>
      <c r="I525" s="129"/>
      <c r="J525" s="129"/>
      <c r="K525" s="129"/>
      <c r="L525" s="129"/>
      <c r="M525" s="129"/>
      <c r="N525" s="129"/>
      <c r="O525" s="129"/>
      <c r="P525" s="129"/>
      <c r="Q525" s="129"/>
      <c r="R525" s="129"/>
      <c r="S525" s="129"/>
      <c r="T525" s="129"/>
      <c r="U525" s="106"/>
      <c r="V525" s="106"/>
      <c r="W525" s="106"/>
      <c r="X525" s="106"/>
      <c r="Y525" s="106"/>
      <c r="Z525" s="129"/>
      <c r="AA525" s="129"/>
      <c r="AB525" s="129"/>
      <c r="AC525" s="129"/>
      <c r="AD525" s="129"/>
      <c r="AE525" s="129"/>
      <c r="AF525" s="129"/>
      <c r="AG525" s="117"/>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c r="BK525" s="124"/>
      <c r="BL525" s="124"/>
      <c r="BM525" s="124"/>
      <c r="BN525" s="124"/>
      <c r="BO525" s="124"/>
      <c r="BP525" s="124"/>
      <c r="BQ525" s="124"/>
      <c r="BR525" s="124"/>
      <c r="BS525" s="124"/>
      <c r="BT525" s="124"/>
      <c r="BU525" s="124"/>
      <c r="BV525" s="124"/>
      <c r="BW525" s="124"/>
      <c r="BX525" s="124"/>
      <c r="BY525" s="124"/>
      <c r="BZ525" s="124"/>
      <c r="CA525" s="124"/>
    </row>
    <row r="526">
      <c r="A526" s="141"/>
      <c r="B526" s="107"/>
      <c r="C526" s="107"/>
      <c r="D526" s="143"/>
      <c r="E526" s="129"/>
      <c r="F526" s="129"/>
      <c r="G526" s="129"/>
      <c r="H526" s="129"/>
      <c r="I526" s="129"/>
      <c r="J526" s="129"/>
      <c r="K526" s="129"/>
      <c r="L526" s="129"/>
      <c r="M526" s="129"/>
      <c r="N526" s="129"/>
      <c r="O526" s="129"/>
      <c r="P526" s="129"/>
      <c r="Q526" s="129"/>
      <c r="R526" s="129"/>
      <c r="S526" s="129"/>
      <c r="T526" s="129"/>
      <c r="U526" s="106"/>
      <c r="V526" s="106"/>
      <c r="W526" s="106"/>
      <c r="X526" s="106"/>
      <c r="Y526" s="106"/>
      <c r="Z526" s="129"/>
      <c r="AA526" s="129"/>
      <c r="AB526" s="129"/>
      <c r="AC526" s="129"/>
      <c r="AD526" s="129"/>
      <c r="AE526" s="129"/>
      <c r="AF526" s="129"/>
      <c r="AG526" s="117"/>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c r="BK526" s="124"/>
      <c r="BL526" s="124"/>
      <c r="BM526" s="124"/>
      <c r="BN526" s="124"/>
      <c r="BO526" s="124"/>
      <c r="BP526" s="124"/>
      <c r="BQ526" s="124"/>
      <c r="BR526" s="124"/>
      <c r="BS526" s="124"/>
      <c r="BT526" s="124"/>
      <c r="BU526" s="124"/>
      <c r="BV526" s="124"/>
      <c r="BW526" s="124"/>
      <c r="BX526" s="124"/>
      <c r="BY526" s="124"/>
      <c r="BZ526" s="124"/>
      <c r="CA526" s="124"/>
    </row>
    <row r="527">
      <c r="A527" s="141"/>
      <c r="B527" s="107"/>
      <c r="C527" s="107"/>
      <c r="D527" s="143"/>
      <c r="E527" s="129"/>
      <c r="F527" s="129"/>
      <c r="G527" s="129"/>
      <c r="H527" s="129"/>
      <c r="I527" s="129"/>
      <c r="J527" s="129"/>
      <c r="K527" s="129"/>
      <c r="L527" s="129"/>
      <c r="M527" s="129"/>
      <c r="N527" s="129"/>
      <c r="O527" s="129"/>
      <c r="P527" s="129"/>
      <c r="Q527" s="129"/>
      <c r="R527" s="129"/>
      <c r="S527" s="129"/>
      <c r="T527" s="129"/>
      <c r="U527" s="106"/>
      <c r="V527" s="106"/>
      <c r="W527" s="106"/>
      <c r="X527" s="106"/>
      <c r="Y527" s="106"/>
      <c r="Z527" s="129"/>
      <c r="AA527" s="129"/>
      <c r="AB527" s="129"/>
      <c r="AC527" s="129"/>
      <c r="AD527" s="129"/>
      <c r="AE527" s="129"/>
      <c r="AF527" s="129"/>
      <c r="AG527" s="117"/>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c r="BK527" s="124"/>
      <c r="BL527" s="124"/>
      <c r="BM527" s="124"/>
      <c r="BN527" s="124"/>
      <c r="BO527" s="124"/>
      <c r="BP527" s="124"/>
      <c r="BQ527" s="124"/>
      <c r="BR527" s="124"/>
      <c r="BS527" s="124"/>
      <c r="BT527" s="124"/>
      <c r="BU527" s="124"/>
      <c r="BV527" s="124"/>
      <c r="BW527" s="124"/>
      <c r="BX527" s="124"/>
      <c r="BY527" s="124"/>
      <c r="BZ527" s="124"/>
      <c r="CA527" s="124"/>
    </row>
    <row r="528">
      <c r="A528" s="141"/>
      <c r="B528" s="107"/>
      <c r="C528" s="107"/>
      <c r="D528" s="143"/>
      <c r="E528" s="129"/>
      <c r="F528" s="129"/>
      <c r="G528" s="129"/>
      <c r="H528" s="129"/>
      <c r="I528" s="129"/>
      <c r="J528" s="129"/>
      <c r="K528" s="129"/>
      <c r="L528" s="129"/>
      <c r="M528" s="129"/>
      <c r="N528" s="129"/>
      <c r="O528" s="129"/>
      <c r="P528" s="129"/>
      <c r="Q528" s="129"/>
      <c r="R528" s="129"/>
      <c r="S528" s="129"/>
      <c r="T528" s="129"/>
      <c r="U528" s="106"/>
      <c r="V528" s="106"/>
      <c r="W528" s="106"/>
      <c r="X528" s="106"/>
      <c r="Y528" s="106"/>
      <c r="Z528" s="129"/>
      <c r="AA528" s="129"/>
      <c r="AB528" s="129"/>
      <c r="AC528" s="129"/>
      <c r="AD528" s="129"/>
      <c r="AE528" s="129"/>
      <c r="AF528" s="129"/>
      <c r="AG528" s="117"/>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c r="BK528" s="124"/>
      <c r="BL528" s="124"/>
      <c r="BM528" s="124"/>
      <c r="BN528" s="124"/>
      <c r="BO528" s="124"/>
      <c r="BP528" s="124"/>
      <c r="BQ528" s="124"/>
      <c r="BR528" s="124"/>
      <c r="BS528" s="124"/>
      <c r="BT528" s="124"/>
      <c r="BU528" s="124"/>
      <c r="BV528" s="124"/>
      <c r="BW528" s="124"/>
      <c r="BX528" s="124"/>
      <c r="BY528" s="124"/>
      <c r="BZ528" s="124"/>
      <c r="CA528" s="124"/>
    </row>
    <row r="529">
      <c r="A529" s="141"/>
      <c r="B529" s="107"/>
      <c r="C529" s="107"/>
      <c r="D529" s="143"/>
      <c r="E529" s="129"/>
      <c r="F529" s="129"/>
      <c r="G529" s="129"/>
      <c r="H529" s="129"/>
      <c r="I529" s="129"/>
      <c r="J529" s="129"/>
      <c r="K529" s="129"/>
      <c r="L529" s="129"/>
      <c r="M529" s="129"/>
      <c r="N529" s="129"/>
      <c r="O529" s="129"/>
      <c r="P529" s="129"/>
      <c r="Q529" s="129"/>
      <c r="R529" s="129"/>
      <c r="S529" s="129"/>
      <c r="T529" s="129"/>
      <c r="U529" s="106"/>
      <c r="V529" s="106"/>
      <c r="W529" s="106"/>
      <c r="X529" s="106"/>
      <c r="Y529" s="106"/>
      <c r="Z529" s="129"/>
      <c r="AA529" s="129"/>
      <c r="AB529" s="129"/>
      <c r="AC529" s="129"/>
      <c r="AD529" s="129"/>
      <c r="AE529" s="129"/>
      <c r="AF529" s="129"/>
      <c r="AG529" s="117"/>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c r="BK529" s="124"/>
      <c r="BL529" s="124"/>
      <c r="BM529" s="124"/>
      <c r="BN529" s="124"/>
      <c r="BO529" s="124"/>
      <c r="BP529" s="124"/>
      <c r="BQ529" s="124"/>
      <c r="BR529" s="124"/>
      <c r="BS529" s="124"/>
      <c r="BT529" s="124"/>
      <c r="BU529" s="124"/>
      <c r="BV529" s="124"/>
      <c r="BW529" s="124"/>
      <c r="BX529" s="124"/>
      <c r="BY529" s="124"/>
      <c r="BZ529" s="124"/>
      <c r="CA529" s="124"/>
    </row>
    <row r="530">
      <c r="A530" s="141"/>
      <c r="B530" s="107"/>
      <c r="C530" s="107"/>
      <c r="D530" s="143"/>
      <c r="E530" s="129"/>
      <c r="F530" s="129"/>
      <c r="G530" s="129"/>
      <c r="H530" s="129"/>
      <c r="I530" s="129"/>
      <c r="J530" s="129"/>
      <c r="K530" s="129"/>
      <c r="L530" s="129"/>
      <c r="M530" s="129"/>
      <c r="N530" s="129"/>
      <c r="O530" s="129"/>
      <c r="P530" s="129"/>
      <c r="Q530" s="129"/>
      <c r="R530" s="129"/>
      <c r="S530" s="129"/>
      <c r="T530" s="129"/>
      <c r="U530" s="106"/>
      <c r="V530" s="106"/>
      <c r="W530" s="106"/>
      <c r="X530" s="106"/>
      <c r="Y530" s="106"/>
      <c r="Z530" s="129"/>
      <c r="AA530" s="129"/>
      <c r="AB530" s="129"/>
      <c r="AC530" s="129"/>
      <c r="AD530" s="129"/>
      <c r="AE530" s="129"/>
      <c r="AF530" s="129"/>
      <c r="AG530" s="117"/>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c r="BK530" s="124"/>
      <c r="BL530" s="124"/>
      <c r="BM530" s="124"/>
      <c r="BN530" s="124"/>
      <c r="BO530" s="124"/>
      <c r="BP530" s="124"/>
      <c r="BQ530" s="124"/>
      <c r="BR530" s="124"/>
      <c r="BS530" s="124"/>
      <c r="BT530" s="124"/>
      <c r="BU530" s="124"/>
      <c r="BV530" s="124"/>
      <c r="BW530" s="124"/>
      <c r="BX530" s="124"/>
      <c r="BY530" s="124"/>
      <c r="BZ530" s="124"/>
      <c r="CA530" s="124"/>
    </row>
    <row r="531">
      <c r="A531" s="141"/>
      <c r="B531" s="107"/>
      <c r="C531" s="107"/>
      <c r="D531" s="143"/>
      <c r="E531" s="129"/>
      <c r="F531" s="129"/>
      <c r="G531" s="129"/>
      <c r="H531" s="129"/>
      <c r="I531" s="129"/>
      <c r="J531" s="129"/>
      <c r="K531" s="129"/>
      <c r="L531" s="129"/>
      <c r="M531" s="129"/>
      <c r="N531" s="129"/>
      <c r="O531" s="129"/>
      <c r="P531" s="129"/>
      <c r="Q531" s="129"/>
      <c r="R531" s="129"/>
      <c r="S531" s="129"/>
      <c r="T531" s="129"/>
      <c r="U531" s="106"/>
      <c r="V531" s="106"/>
      <c r="W531" s="106"/>
      <c r="X531" s="106"/>
      <c r="Y531" s="106"/>
      <c r="Z531" s="129"/>
      <c r="AA531" s="129"/>
      <c r="AB531" s="129"/>
      <c r="AC531" s="129"/>
      <c r="AD531" s="129"/>
      <c r="AE531" s="129"/>
      <c r="AF531" s="129"/>
      <c r="AG531" s="117"/>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c r="BK531" s="124"/>
      <c r="BL531" s="124"/>
      <c r="BM531" s="124"/>
      <c r="BN531" s="124"/>
      <c r="BO531" s="124"/>
      <c r="BP531" s="124"/>
      <c r="BQ531" s="124"/>
      <c r="BR531" s="124"/>
      <c r="BS531" s="124"/>
      <c r="BT531" s="124"/>
      <c r="BU531" s="124"/>
      <c r="BV531" s="124"/>
      <c r="BW531" s="124"/>
      <c r="BX531" s="124"/>
      <c r="BY531" s="124"/>
      <c r="BZ531" s="124"/>
      <c r="CA531" s="124"/>
    </row>
    <row r="532">
      <c r="A532" s="141"/>
      <c r="B532" s="107"/>
      <c r="C532" s="107"/>
      <c r="D532" s="143"/>
      <c r="E532" s="129"/>
      <c r="F532" s="129"/>
      <c r="G532" s="129"/>
      <c r="H532" s="129"/>
      <c r="I532" s="129"/>
      <c r="J532" s="129"/>
      <c r="K532" s="129"/>
      <c r="L532" s="129"/>
      <c r="M532" s="129"/>
      <c r="N532" s="129"/>
      <c r="O532" s="129"/>
      <c r="P532" s="129"/>
      <c r="Q532" s="129"/>
      <c r="R532" s="129"/>
      <c r="S532" s="129"/>
      <c r="T532" s="129"/>
      <c r="U532" s="106"/>
      <c r="V532" s="106"/>
      <c r="W532" s="106"/>
      <c r="X532" s="106"/>
      <c r="Y532" s="106"/>
      <c r="Z532" s="129"/>
      <c r="AA532" s="129"/>
      <c r="AB532" s="129"/>
      <c r="AC532" s="129"/>
      <c r="AD532" s="129"/>
      <c r="AE532" s="129"/>
      <c r="AF532" s="129"/>
      <c r="AG532" s="117"/>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c r="BK532" s="124"/>
      <c r="BL532" s="124"/>
      <c r="BM532" s="124"/>
      <c r="BN532" s="124"/>
      <c r="BO532" s="124"/>
      <c r="BP532" s="124"/>
      <c r="BQ532" s="124"/>
      <c r="BR532" s="124"/>
      <c r="BS532" s="124"/>
      <c r="BT532" s="124"/>
      <c r="BU532" s="124"/>
      <c r="BV532" s="124"/>
      <c r="BW532" s="124"/>
      <c r="BX532" s="124"/>
      <c r="BY532" s="124"/>
      <c r="BZ532" s="124"/>
      <c r="CA532" s="124"/>
    </row>
    <row r="533">
      <c r="A533" s="141"/>
      <c r="B533" s="107"/>
      <c r="C533" s="107"/>
      <c r="D533" s="143"/>
      <c r="E533" s="129"/>
      <c r="F533" s="129"/>
      <c r="G533" s="129"/>
      <c r="H533" s="129"/>
      <c r="I533" s="129"/>
      <c r="J533" s="129"/>
      <c r="K533" s="129"/>
      <c r="L533" s="129"/>
      <c r="M533" s="129"/>
      <c r="N533" s="129"/>
      <c r="O533" s="129"/>
      <c r="P533" s="129"/>
      <c r="Q533" s="129"/>
      <c r="R533" s="129"/>
      <c r="S533" s="129"/>
      <c r="T533" s="129"/>
      <c r="U533" s="106"/>
      <c r="V533" s="106"/>
      <c r="W533" s="106"/>
      <c r="X533" s="106"/>
      <c r="Y533" s="106"/>
      <c r="Z533" s="129"/>
      <c r="AA533" s="129"/>
      <c r="AB533" s="129"/>
      <c r="AC533" s="129"/>
      <c r="AD533" s="129"/>
      <c r="AE533" s="129"/>
      <c r="AF533" s="129"/>
      <c r="AG533" s="117"/>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c r="BK533" s="124"/>
      <c r="BL533" s="124"/>
      <c r="BM533" s="124"/>
      <c r="BN533" s="124"/>
      <c r="BO533" s="124"/>
      <c r="BP533" s="124"/>
      <c r="BQ533" s="124"/>
      <c r="BR533" s="124"/>
      <c r="BS533" s="124"/>
      <c r="BT533" s="124"/>
      <c r="BU533" s="124"/>
      <c r="BV533" s="124"/>
      <c r="BW533" s="124"/>
      <c r="BX533" s="124"/>
      <c r="BY533" s="124"/>
      <c r="BZ533" s="124"/>
      <c r="CA533" s="124"/>
    </row>
    <row r="534">
      <c r="A534" s="141"/>
      <c r="B534" s="107"/>
      <c r="C534" s="107"/>
      <c r="D534" s="143"/>
      <c r="E534" s="129"/>
      <c r="F534" s="129"/>
      <c r="G534" s="129"/>
      <c r="H534" s="129"/>
      <c r="I534" s="129"/>
      <c r="J534" s="129"/>
      <c r="K534" s="129"/>
      <c r="L534" s="129"/>
      <c r="M534" s="129"/>
      <c r="N534" s="129"/>
      <c r="O534" s="129"/>
      <c r="P534" s="129"/>
      <c r="Q534" s="129"/>
      <c r="R534" s="129"/>
      <c r="S534" s="129"/>
      <c r="T534" s="129"/>
      <c r="U534" s="106"/>
      <c r="V534" s="106"/>
      <c r="W534" s="106"/>
      <c r="X534" s="106"/>
      <c r="Y534" s="106"/>
      <c r="Z534" s="129"/>
      <c r="AA534" s="129"/>
      <c r="AB534" s="129"/>
      <c r="AC534" s="129"/>
      <c r="AD534" s="129"/>
      <c r="AE534" s="129"/>
      <c r="AF534" s="129"/>
      <c r="AG534" s="117"/>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c r="BK534" s="124"/>
      <c r="BL534" s="124"/>
      <c r="BM534" s="124"/>
      <c r="BN534" s="124"/>
      <c r="BO534" s="124"/>
      <c r="BP534" s="124"/>
      <c r="BQ534" s="124"/>
      <c r="BR534" s="124"/>
      <c r="BS534" s="124"/>
      <c r="BT534" s="124"/>
      <c r="BU534" s="124"/>
      <c r="BV534" s="124"/>
      <c r="BW534" s="124"/>
      <c r="BX534" s="124"/>
      <c r="BY534" s="124"/>
      <c r="BZ534" s="124"/>
      <c r="CA534" s="124"/>
    </row>
    <row r="535">
      <c r="A535" s="141"/>
      <c r="B535" s="107"/>
      <c r="C535" s="107"/>
      <c r="D535" s="143"/>
      <c r="E535" s="129"/>
      <c r="F535" s="129"/>
      <c r="G535" s="129"/>
      <c r="H535" s="129"/>
      <c r="I535" s="129"/>
      <c r="J535" s="129"/>
      <c r="K535" s="129"/>
      <c r="L535" s="129"/>
      <c r="M535" s="129"/>
      <c r="N535" s="129"/>
      <c r="O535" s="129"/>
      <c r="P535" s="129"/>
      <c r="Q535" s="129"/>
      <c r="R535" s="129"/>
      <c r="S535" s="129"/>
      <c r="T535" s="129"/>
      <c r="U535" s="106"/>
      <c r="V535" s="106"/>
      <c r="W535" s="106"/>
      <c r="X535" s="106"/>
      <c r="Y535" s="106"/>
      <c r="Z535" s="129"/>
      <c r="AA535" s="129"/>
      <c r="AB535" s="129"/>
      <c r="AC535" s="129"/>
      <c r="AD535" s="129"/>
      <c r="AE535" s="129"/>
      <c r="AF535" s="129"/>
      <c r="AG535" s="117"/>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c r="BK535" s="124"/>
      <c r="BL535" s="124"/>
      <c r="BM535" s="124"/>
      <c r="BN535" s="124"/>
      <c r="BO535" s="124"/>
      <c r="BP535" s="124"/>
      <c r="BQ535" s="124"/>
      <c r="BR535" s="124"/>
      <c r="BS535" s="124"/>
      <c r="BT535" s="124"/>
      <c r="BU535" s="124"/>
      <c r="BV535" s="124"/>
      <c r="BW535" s="124"/>
      <c r="BX535" s="124"/>
      <c r="BY535" s="124"/>
      <c r="BZ535" s="124"/>
      <c r="CA535" s="124"/>
    </row>
    <row r="536">
      <c r="A536" s="141"/>
      <c r="B536" s="107"/>
      <c r="C536" s="107"/>
      <c r="D536" s="143"/>
      <c r="E536" s="129"/>
      <c r="F536" s="129"/>
      <c r="G536" s="129"/>
      <c r="H536" s="129"/>
      <c r="I536" s="129"/>
      <c r="J536" s="129"/>
      <c r="K536" s="129"/>
      <c r="L536" s="129"/>
      <c r="M536" s="129"/>
      <c r="N536" s="129"/>
      <c r="O536" s="129"/>
      <c r="P536" s="129"/>
      <c r="Q536" s="129"/>
      <c r="R536" s="129"/>
      <c r="S536" s="129"/>
      <c r="T536" s="129"/>
      <c r="U536" s="106"/>
      <c r="V536" s="106"/>
      <c r="W536" s="106"/>
      <c r="X536" s="106"/>
      <c r="Y536" s="106"/>
      <c r="Z536" s="129"/>
      <c r="AA536" s="129"/>
      <c r="AB536" s="129"/>
      <c r="AC536" s="129"/>
      <c r="AD536" s="129"/>
      <c r="AE536" s="129"/>
      <c r="AF536" s="129"/>
      <c r="AG536" s="117"/>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c r="BK536" s="124"/>
      <c r="BL536" s="124"/>
      <c r="BM536" s="124"/>
      <c r="BN536" s="124"/>
      <c r="BO536" s="124"/>
      <c r="BP536" s="124"/>
      <c r="BQ536" s="124"/>
      <c r="BR536" s="124"/>
      <c r="BS536" s="124"/>
      <c r="BT536" s="124"/>
      <c r="BU536" s="124"/>
      <c r="BV536" s="124"/>
      <c r="BW536" s="124"/>
      <c r="BX536" s="124"/>
      <c r="BY536" s="124"/>
      <c r="BZ536" s="124"/>
      <c r="CA536" s="124"/>
    </row>
    <row r="537">
      <c r="A537" s="141"/>
      <c r="B537" s="107"/>
      <c r="C537" s="107"/>
      <c r="D537" s="143"/>
      <c r="E537" s="129"/>
      <c r="F537" s="129"/>
      <c r="G537" s="129"/>
      <c r="H537" s="129"/>
      <c r="I537" s="129"/>
      <c r="J537" s="129"/>
      <c r="K537" s="129"/>
      <c r="L537" s="129"/>
      <c r="M537" s="129"/>
      <c r="N537" s="129"/>
      <c r="O537" s="129"/>
      <c r="P537" s="129"/>
      <c r="Q537" s="129"/>
      <c r="R537" s="129"/>
      <c r="S537" s="129"/>
      <c r="T537" s="129"/>
      <c r="U537" s="106"/>
      <c r="V537" s="106"/>
      <c r="W537" s="106"/>
      <c r="X537" s="106"/>
      <c r="Y537" s="106"/>
      <c r="Z537" s="129"/>
      <c r="AA537" s="129"/>
      <c r="AB537" s="129"/>
      <c r="AC537" s="129"/>
      <c r="AD537" s="129"/>
      <c r="AE537" s="129"/>
      <c r="AF537" s="129"/>
      <c r="AG537" s="117"/>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c r="BK537" s="124"/>
      <c r="BL537" s="124"/>
      <c r="BM537" s="124"/>
      <c r="BN537" s="124"/>
      <c r="BO537" s="124"/>
      <c r="BP537" s="124"/>
      <c r="BQ537" s="124"/>
      <c r="BR537" s="124"/>
      <c r="BS537" s="124"/>
      <c r="BT537" s="124"/>
      <c r="BU537" s="124"/>
      <c r="BV537" s="124"/>
      <c r="BW537" s="124"/>
      <c r="BX537" s="124"/>
      <c r="BY537" s="124"/>
      <c r="BZ537" s="124"/>
      <c r="CA537" s="124"/>
    </row>
    <row r="538">
      <c r="A538" s="141"/>
      <c r="B538" s="107"/>
      <c r="C538" s="107"/>
      <c r="D538" s="143"/>
      <c r="E538" s="129"/>
      <c r="F538" s="129"/>
      <c r="G538" s="129"/>
      <c r="H538" s="129"/>
      <c r="I538" s="129"/>
      <c r="J538" s="129"/>
      <c r="K538" s="129"/>
      <c r="L538" s="129"/>
      <c r="M538" s="129"/>
      <c r="N538" s="129"/>
      <c r="O538" s="129"/>
      <c r="P538" s="129"/>
      <c r="Q538" s="129"/>
      <c r="R538" s="129"/>
      <c r="S538" s="129"/>
      <c r="T538" s="129"/>
      <c r="U538" s="106"/>
      <c r="V538" s="106"/>
      <c r="W538" s="106"/>
      <c r="X538" s="106"/>
      <c r="Y538" s="106"/>
      <c r="Z538" s="129"/>
      <c r="AA538" s="129"/>
      <c r="AB538" s="129"/>
      <c r="AC538" s="129"/>
      <c r="AD538" s="129"/>
      <c r="AE538" s="129"/>
      <c r="AF538" s="129"/>
      <c r="AG538" s="117"/>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c r="BK538" s="124"/>
      <c r="BL538" s="124"/>
      <c r="BM538" s="124"/>
      <c r="BN538" s="124"/>
      <c r="BO538" s="124"/>
      <c r="BP538" s="124"/>
      <c r="BQ538" s="124"/>
      <c r="BR538" s="124"/>
      <c r="BS538" s="124"/>
      <c r="BT538" s="124"/>
      <c r="BU538" s="124"/>
      <c r="BV538" s="124"/>
      <c r="BW538" s="124"/>
      <c r="BX538" s="124"/>
      <c r="BY538" s="124"/>
      <c r="BZ538" s="124"/>
      <c r="CA538" s="124"/>
    </row>
    <row r="539">
      <c r="A539" s="141"/>
      <c r="B539" s="107"/>
      <c r="C539" s="107"/>
      <c r="D539" s="143"/>
      <c r="E539" s="129"/>
      <c r="F539" s="129"/>
      <c r="G539" s="129"/>
      <c r="H539" s="129"/>
      <c r="I539" s="129"/>
      <c r="J539" s="129"/>
      <c r="K539" s="129"/>
      <c r="L539" s="129"/>
      <c r="M539" s="129"/>
      <c r="N539" s="129"/>
      <c r="O539" s="129"/>
      <c r="P539" s="129"/>
      <c r="Q539" s="129"/>
      <c r="R539" s="129"/>
      <c r="S539" s="129"/>
      <c r="T539" s="129"/>
      <c r="U539" s="106"/>
      <c r="V539" s="106"/>
      <c r="W539" s="106"/>
      <c r="X539" s="106"/>
      <c r="Y539" s="106"/>
      <c r="Z539" s="129"/>
      <c r="AA539" s="129"/>
      <c r="AB539" s="129"/>
      <c r="AC539" s="129"/>
      <c r="AD539" s="129"/>
      <c r="AE539" s="129"/>
      <c r="AF539" s="129"/>
      <c r="AG539" s="117"/>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c r="BK539" s="124"/>
      <c r="BL539" s="124"/>
      <c r="BM539" s="124"/>
      <c r="BN539" s="124"/>
      <c r="BO539" s="124"/>
      <c r="BP539" s="124"/>
      <c r="BQ539" s="124"/>
      <c r="BR539" s="124"/>
      <c r="BS539" s="124"/>
      <c r="BT539" s="124"/>
      <c r="BU539" s="124"/>
      <c r="BV539" s="124"/>
      <c r="BW539" s="124"/>
      <c r="BX539" s="124"/>
      <c r="BY539" s="124"/>
      <c r="BZ539" s="124"/>
      <c r="CA539" s="124"/>
    </row>
    <row r="540">
      <c r="A540" s="141"/>
      <c r="B540" s="107"/>
      <c r="C540" s="107"/>
      <c r="D540" s="143"/>
      <c r="E540" s="129"/>
      <c r="F540" s="129"/>
      <c r="G540" s="129"/>
      <c r="H540" s="129"/>
      <c r="I540" s="129"/>
      <c r="J540" s="129"/>
      <c r="K540" s="129"/>
      <c r="L540" s="129"/>
      <c r="M540" s="129"/>
      <c r="N540" s="129"/>
      <c r="O540" s="129"/>
      <c r="P540" s="129"/>
      <c r="Q540" s="129"/>
      <c r="R540" s="129"/>
      <c r="S540" s="129"/>
      <c r="T540" s="129"/>
      <c r="U540" s="106"/>
      <c r="V540" s="106"/>
      <c r="W540" s="106"/>
      <c r="X540" s="106"/>
      <c r="Y540" s="106"/>
      <c r="Z540" s="129"/>
      <c r="AA540" s="129"/>
      <c r="AB540" s="129"/>
      <c r="AC540" s="129"/>
      <c r="AD540" s="129"/>
      <c r="AE540" s="129"/>
      <c r="AF540" s="129"/>
      <c r="AG540" s="117"/>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c r="BK540" s="124"/>
      <c r="BL540" s="124"/>
      <c r="BM540" s="124"/>
      <c r="BN540" s="124"/>
      <c r="BO540" s="124"/>
      <c r="BP540" s="124"/>
      <c r="BQ540" s="124"/>
      <c r="BR540" s="124"/>
      <c r="BS540" s="124"/>
      <c r="BT540" s="124"/>
      <c r="BU540" s="124"/>
      <c r="BV540" s="124"/>
      <c r="BW540" s="124"/>
      <c r="BX540" s="124"/>
      <c r="BY540" s="124"/>
      <c r="BZ540" s="124"/>
      <c r="CA540" s="124"/>
    </row>
    <row r="541">
      <c r="A541" s="141"/>
      <c r="B541" s="107"/>
      <c r="C541" s="107"/>
      <c r="D541" s="143"/>
      <c r="E541" s="129"/>
      <c r="F541" s="129"/>
      <c r="G541" s="129"/>
      <c r="H541" s="129"/>
      <c r="I541" s="129"/>
      <c r="J541" s="129"/>
      <c r="K541" s="129"/>
      <c r="L541" s="129"/>
      <c r="M541" s="129"/>
      <c r="N541" s="129"/>
      <c r="O541" s="129"/>
      <c r="P541" s="129"/>
      <c r="Q541" s="129"/>
      <c r="R541" s="129"/>
      <c r="S541" s="129"/>
      <c r="T541" s="129"/>
      <c r="U541" s="106"/>
      <c r="V541" s="106"/>
      <c r="W541" s="106"/>
      <c r="X541" s="106"/>
      <c r="Y541" s="106"/>
      <c r="Z541" s="129"/>
      <c r="AA541" s="129"/>
      <c r="AB541" s="129"/>
      <c r="AC541" s="129"/>
      <c r="AD541" s="129"/>
      <c r="AE541" s="129"/>
      <c r="AF541" s="129"/>
      <c r="AG541" s="117"/>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c r="BK541" s="124"/>
      <c r="BL541" s="124"/>
      <c r="BM541" s="124"/>
      <c r="BN541" s="124"/>
      <c r="BO541" s="124"/>
      <c r="BP541" s="124"/>
      <c r="BQ541" s="124"/>
      <c r="BR541" s="124"/>
      <c r="BS541" s="124"/>
      <c r="BT541" s="124"/>
      <c r="BU541" s="124"/>
      <c r="BV541" s="124"/>
      <c r="BW541" s="124"/>
      <c r="BX541" s="124"/>
      <c r="BY541" s="124"/>
      <c r="BZ541" s="124"/>
      <c r="CA541" s="124"/>
    </row>
    <row r="542">
      <c r="A542" s="141"/>
      <c r="B542" s="107"/>
      <c r="C542" s="107"/>
      <c r="D542" s="143"/>
      <c r="E542" s="129"/>
      <c r="F542" s="129"/>
      <c r="G542" s="129"/>
      <c r="H542" s="129"/>
      <c r="I542" s="129"/>
      <c r="J542" s="129"/>
      <c r="K542" s="129"/>
      <c r="L542" s="129"/>
      <c r="M542" s="129"/>
      <c r="N542" s="129"/>
      <c r="O542" s="129"/>
      <c r="P542" s="129"/>
      <c r="Q542" s="129"/>
      <c r="R542" s="129"/>
      <c r="S542" s="129"/>
      <c r="T542" s="129"/>
      <c r="U542" s="106"/>
      <c r="V542" s="106"/>
      <c r="W542" s="106"/>
      <c r="X542" s="106"/>
      <c r="Y542" s="106"/>
      <c r="Z542" s="129"/>
      <c r="AA542" s="129"/>
      <c r="AB542" s="129"/>
      <c r="AC542" s="129"/>
      <c r="AD542" s="129"/>
      <c r="AE542" s="129"/>
      <c r="AF542" s="129"/>
      <c r="AG542" s="117"/>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row>
    <row r="543">
      <c r="A543" s="141"/>
      <c r="B543" s="107"/>
      <c r="C543" s="107"/>
      <c r="D543" s="143"/>
      <c r="E543" s="129"/>
      <c r="F543" s="129"/>
      <c r="G543" s="129"/>
      <c r="H543" s="129"/>
      <c r="I543" s="129"/>
      <c r="J543" s="129"/>
      <c r="K543" s="129"/>
      <c r="L543" s="129"/>
      <c r="M543" s="129"/>
      <c r="N543" s="129"/>
      <c r="O543" s="129"/>
      <c r="P543" s="129"/>
      <c r="Q543" s="129"/>
      <c r="R543" s="129"/>
      <c r="S543" s="129"/>
      <c r="T543" s="129"/>
      <c r="U543" s="106"/>
      <c r="V543" s="106"/>
      <c r="W543" s="106"/>
      <c r="X543" s="106"/>
      <c r="Y543" s="106"/>
      <c r="Z543" s="129"/>
      <c r="AA543" s="129"/>
      <c r="AB543" s="129"/>
      <c r="AC543" s="129"/>
      <c r="AD543" s="129"/>
      <c r="AE543" s="129"/>
      <c r="AF543" s="129"/>
      <c r="AG543" s="117"/>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c r="BK543" s="124"/>
      <c r="BL543" s="124"/>
      <c r="BM543" s="124"/>
      <c r="BN543" s="124"/>
      <c r="BO543" s="124"/>
      <c r="BP543" s="124"/>
      <c r="BQ543" s="124"/>
      <c r="BR543" s="124"/>
      <c r="BS543" s="124"/>
      <c r="BT543" s="124"/>
      <c r="BU543" s="124"/>
      <c r="BV543" s="124"/>
      <c r="BW543" s="124"/>
      <c r="BX543" s="124"/>
      <c r="BY543" s="124"/>
      <c r="BZ543" s="124"/>
      <c r="CA543" s="124"/>
    </row>
    <row r="544">
      <c r="A544" s="141"/>
      <c r="B544" s="107"/>
      <c r="C544" s="107"/>
      <c r="D544" s="143"/>
      <c r="E544" s="129"/>
      <c r="F544" s="129"/>
      <c r="G544" s="129"/>
      <c r="H544" s="129"/>
      <c r="I544" s="129"/>
      <c r="J544" s="129"/>
      <c r="K544" s="129"/>
      <c r="L544" s="129"/>
      <c r="M544" s="129"/>
      <c r="N544" s="129"/>
      <c r="O544" s="129"/>
      <c r="P544" s="129"/>
      <c r="Q544" s="129"/>
      <c r="R544" s="129"/>
      <c r="S544" s="129"/>
      <c r="T544" s="129"/>
      <c r="U544" s="106"/>
      <c r="V544" s="106"/>
      <c r="W544" s="106"/>
      <c r="X544" s="106"/>
      <c r="Y544" s="106"/>
      <c r="Z544" s="129"/>
      <c r="AA544" s="129"/>
      <c r="AB544" s="129"/>
      <c r="AC544" s="129"/>
      <c r="AD544" s="129"/>
      <c r="AE544" s="129"/>
      <c r="AF544" s="129"/>
      <c r="AG544" s="117"/>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c r="BK544" s="124"/>
      <c r="BL544" s="124"/>
      <c r="BM544" s="124"/>
      <c r="BN544" s="124"/>
      <c r="BO544" s="124"/>
      <c r="BP544" s="124"/>
      <c r="BQ544" s="124"/>
      <c r="BR544" s="124"/>
      <c r="BS544" s="124"/>
      <c r="BT544" s="124"/>
      <c r="BU544" s="124"/>
      <c r="BV544" s="124"/>
      <c r="BW544" s="124"/>
      <c r="BX544" s="124"/>
      <c r="BY544" s="124"/>
      <c r="BZ544" s="124"/>
      <c r="CA544" s="124"/>
    </row>
    <row r="545">
      <c r="A545" s="141"/>
      <c r="B545" s="107"/>
      <c r="C545" s="107"/>
      <c r="D545" s="143"/>
      <c r="E545" s="129"/>
      <c r="F545" s="129"/>
      <c r="G545" s="129"/>
      <c r="H545" s="129"/>
      <c r="I545" s="129"/>
      <c r="J545" s="129"/>
      <c r="K545" s="129"/>
      <c r="L545" s="129"/>
      <c r="M545" s="129"/>
      <c r="N545" s="129"/>
      <c r="O545" s="129"/>
      <c r="P545" s="129"/>
      <c r="Q545" s="129"/>
      <c r="R545" s="129"/>
      <c r="S545" s="129"/>
      <c r="T545" s="129"/>
      <c r="U545" s="106"/>
      <c r="V545" s="106"/>
      <c r="W545" s="106"/>
      <c r="X545" s="106"/>
      <c r="Y545" s="106"/>
      <c r="Z545" s="129"/>
      <c r="AA545" s="129"/>
      <c r="AB545" s="129"/>
      <c r="AC545" s="129"/>
      <c r="AD545" s="129"/>
      <c r="AE545" s="129"/>
      <c r="AF545" s="129"/>
      <c r="AG545" s="117"/>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c r="BK545" s="124"/>
      <c r="BL545" s="124"/>
      <c r="BM545" s="124"/>
      <c r="BN545" s="124"/>
      <c r="BO545" s="124"/>
      <c r="BP545" s="124"/>
      <c r="BQ545" s="124"/>
      <c r="BR545" s="124"/>
      <c r="BS545" s="124"/>
      <c r="BT545" s="124"/>
      <c r="BU545" s="124"/>
      <c r="BV545" s="124"/>
      <c r="BW545" s="124"/>
      <c r="BX545" s="124"/>
      <c r="BY545" s="124"/>
      <c r="BZ545" s="124"/>
      <c r="CA545" s="124"/>
    </row>
    <row r="546">
      <c r="A546" s="141"/>
      <c r="B546" s="107"/>
      <c r="C546" s="107"/>
      <c r="D546" s="143"/>
      <c r="E546" s="129"/>
      <c r="F546" s="129"/>
      <c r="G546" s="129"/>
      <c r="H546" s="129"/>
      <c r="I546" s="129"/>
      <c r="J546" s="129"/>
      <c r="K546" s="129"/>
      <c r="L546" s="129"/>
      <c r="M546" s="129"/>
      <c r="N546" s="129"/>
      <c r="O546" s="129"/>
      <c r="P546" s="129"/>
      <c r="Q546" s="129"/>
      <c r="R546" s="129"/>
      <c r="S546" s="129"/>
      <c r="T546" s="129"/>
      <c r="U546" s="106"/>
      <c r="V546" s="106"/>
      <c r="W546" s="106"/>
      <c r="X546" s="106"/>
      <c r="Y546" s="106"/>
      <c r="Z546" s="129"/>
      <c r="AA546" s="129"/>
      <c r="AB546" s="129"/>
      <c r="AC546" s="129"/>
      <c r="AD546" s="129"/>
      <c r="AE546" s="129"/>
      <c r="AF546" s="129"/>
      <c r="AG546" s="117"/>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c r="BK546" s="124"/>
      <c r="BL546" s="124"/>
      <c r="BM546" s="124"/>
      <c r="BN546" s="124"/>
      <c r="BO546" s="124"/>
      <c r="BP546" s="124"/>
      <c r="BQ546" s="124"/>
      <c r="BR546" s="124"/>
      <c r="BS546" s="124"/>
      <c r="BT546" s="124"/>
      <c r="BU546" s="124"/>
      <c r="BV546" s="124"/>
      <c r="BW546" s="124"/>
      <c r="BX546" s="124"/>
      <c r="BY546" s="124"/>
      <c r="BZ546" s="124"/>
      <c r="CA546" s="124"/>
    </row>
    <row r="547">
      <c r="A547" s="141"/>
      <c r="B547" s="107"/>
      <c r="C547" s="107"/>
      <c r="D547" s="143"/>
      <c r="E547" s="129"/>
      <c r="F547" s="129"/>
      <c r="G547" s="129"/>
      <c r="H547" s="129"/>
      <c r="I547" s="129"/>
      <c r="J547" s="129"/>
      <c r="K547" s="129"/>
      <c r="L547" s="129"/>
      <c r="M547" s="129"/>
      <c r="N547" s="129"/>
      <c r="O547" s="129"/>
      <c r="P547" s="129"/>
      <c r="Q547" s="129"/>
      <c r="R547" s="129"/>
      <c r="S547" s="129"/>
      <c r="T547" s="129"/>
      <c r="U547" s="106"/>
      <c r="V547" s="106"/>
      <c r="W547" s="106"/>
      <c r="X547" s="106"/>
      <c r="Y547" s="106"/>
      <c r="Z547" s="129"/>
      <c r="AA547" s="129"/>
      <c r="AB547" s="129"/>
      <c r="AC547" s="129"/>
      <c r="AD547" s="129"/>
      <c r="AE547" s="129"/>
      <c r="AF547" s="129"/>
      <c r="AG547" s="117"/>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c r="BK547" s="124"/>
      <c r="BL547" s="124"/>
      <c r="BM547" s="124"/>
      <c r="BN547" s="124"/>
      <c r="BO547" s="124"/>
      <c r="BP547" s="124"/>
      <c r="BQ547" s="124"/>
      <c r="BR547" s="124"/>
      <c r="BS547" s="124"/>
      <c r="BT547" s="124"/>
      <c r="BU547" s="124"/>
      <c r="BV547" s="124"/>
      <c r="BW547" s="124"/>
      <c r="BX547" s="124"/>
      <c r="BY547" s="124"/>
      <c r="BZ547" s="124"/>
      <c r="CA547" s="124"/>
    </row>
    <row r="548">
      <c r="A548" s="141"/>
      <c r="B548" s="107"/>
      <c r="C548" s="107"/>
      <c r="D548" s="143"/>
      <c r="E548" s="129"/>
      <c r="F548" s="129"/>
      <c r="G548" s="129"/>
      <c r="H548" s="129"/>
      <c r="I548" s="129"/>
      <c r="J548" s="129"/>
      <c r="K548" s="129"/>
      <c r="L548" s="129"/>
      <c r="M548" s="129"/>
      <c r="N548" s="129"/>
      <c r="O548" s="129"/>
      <c r="P548" s="129"/>
      <c r="Q548" s="129"/>
      <c r="R548" s="129"/>
      <c r="S548" s="129"/>
      <c r="T548" s="129"/>
      <c r="U548" s="106"/>
      <c r="V548" s="106"/>
      <c r="W548" s="106"/>
      <c r="X548" s="106"/>
      <c r="Y548" s="106"/>
      <c r="Z548" s="129"/>
      <c r="AA548" s="129"/>
      <c r="AB548" s="129"/>
      <c r="AC548" s="129"/>
      <c r="AD548" s="129"/>
      <c r="AE548" s="129"/>
      <c r="AF548" s="129"/>
      <c r="AG548" s="117"/>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row>
    <row r="549">
      <c r="A549" s="141"/>
      <c r="B549" s="107"/>
      <c r="C549" s="107"/>
      <c r="D549" s="143"/>
      <c r="E549" s="129"/>
      <c r="F549" s="129"/>
      <c r="G549" s="129"/>
      <c r="H549" s="129"/>
      <c r="I549" s="129"/>
      <c r="J549" s="129"/>
      <c r="K549" s="129"/>
      <c r="L549" s="129"/>
      <c r="M549" s="129"/>
      <c r="N549" s="129"/>
      <c r="O549" s="129"/>
      <c r="P549" s="129"/>
      <c r="Q549" s="129"/>
      <c r="R549" s="129"/>
      <c r="S549" s="129"/>
      <c r="T549" s="129"/>
      <c r="U549" s="106"/>
      <c r="V549" s="106"/>
      <c r="W549" s="106"/>
      <c r="X549" s="106"/>
      <c r="Y549" s="106"/>
      <c r="Z549" s="129"/>
      <c r="AA549" s="129"/>
      <c r="AB549" s="129"/>
      <c r="AC549" s="129"/>
      <c r="AD549" s="129"/>
      <c r="AE549" s="129"/>
      <c r="AF549" s="129"/>
      <c r="AG549" s="117"/>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c r="BK549" s="124"/>
      <c r="BL549" s="124"/>
      <c r="BM549" s="124"/>
      <c r="BN549" s="124"/>
      <c r="BO549" s="124"/>
      <c r="BP549" s="124"/>
      <c r="BQ549" s="124"/>
      <c r="BR549" s="124"/>
      <c r="BS549" s="124"/>
      <c r="BT549" s="124"/>
      <c r="BU549" s="124"/>
      <c r="BV549" s="124"/>
      <c r="BW549" s="124"/>
      <c r="BX549" s="124"/>
      <c r="BY549" s="124"/>
      <c r="BZ549" s="124"/>
      <c r="CA549" s="124"/>
    </row>
    <row r="550">
      <c r="A550" s="141"/>
      <c r="B550" s="107"/>
      <c r="C550" s="107"/>
      <c r="D550" s="143"/>
      <c r="E550" s="129"/>
      <c r="F550" s="129"/>
      <c r="G550" s="129"/>
      <c r="H550" s="129"/>
      <c r="I550" s="129"/>
      <c r="J550" s="129"/>
      <c r="K550" s="129"/>
      <c r="L550" s="129"/>
      <c r="M550" s="129"/>
      <c r="N550" s="129"/>
      <c r="O550" s="129"/>
      <c r="P550" s="129"/>
      <c r="Q550" s="129"/>
      <c r="R550" s="129"/>
      <c r="S550" s="129"/>
      <c r="T550" s="129"/>
      <c r="U550" s="106"/>
      <c r="V550" s="106"/>
      <c r="W550" s="106"/>
      <c r="X550" s="106"/>
      <c r="Y550" s="106"/>
      <c r="Z550" s="129"/>
      <c r="AA550" s="129"/>
      <c r="AB550" s="129"/>
      <c r="AC550" s="129"/>
      <c r="AD550" s="129"/>
      <c r="AE550" s="129"/>
      <c r="AF550" s="129"/>
      <c r="AG550" s="117"/>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c r="BK550" s="124"/>
      <c r="BL550" s="124"/>
      <c r="BM550" s="124"/>
      <c r="BN550" s="124"/>
      <c r="BO550" s="124"/>
      <c r="BP550" s="124"/>
      <c r="BQ550" s="124"/>
      <c r="BR550" s="124"/>
      <c r="BS550" s="124"/>
      <c r="BT550" s="124"/>
      <c r="BU550" s="124"/>
      <c r="BV550" s="124"/>
      <c r="BW550" s="124"/>
      <c r="BX550" s="124"/>
      <c r="BY550" s="124"/>
      <c r="BZ550" s="124"/>
      <c r="CA550" s="124"/>
    </row>
    <row r="551">
      <c r="A551" s="141"/>
      <c r="B551" s="107"/>
      <c r="C551" s="107"/>
      <c r="D551" s="143"/>
      <c r="E551" s="129"/>
      <c r="F551" s="129"/>
      <c r="G551" s="129"/>
      <c r="H551" s="129"/>
      <c r="I551" s="129"/>
      <c r="J551" s="129"/>
      <c r="K551" s="129"/>
      <c r="L551" s="129"/>
      <c r="M551" s="129"/>
      <c r="N551" s="129"/>
      <c r="O551" s="129"/>
      <c r="P551" s="129"/>
      <c r="Q551" s="129"/>
      <c r="R551" s="129"/>
      <c r="S551" s="129"/>
      <c r="T551" s="129"/>
      <c r="U551" s="106"/>
      <c r="V551" s="106"/>
      <c r="W551" s="106"/>
      <c r="X551" s="106"/>
      <c r="Y551" s="106"/>
      <c r="Z551" s="129"/>
      <c r="AA551" s="129"/>
      <c r="AB551" s="129"/>
      <c r="AC551" s="129"/>
      <c r="AD551" s="129"/>
      <c r="AE551" s="129"/>
      <c r="AF551" s="129"/>
      <c r="AG551" s="117"/>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c r="BK551" s="124"/>
      <c r="BL551" s="124"/>
      <c r="BM551" s="124"/>
      <c r="BN551" s="124"/>
      <c r="BO551" s="124"/>
      <c r="BP551" s="124"/>
      <c r="BQ551" s="124"/>
      <c r="BR551" s="124"/>
      <c r="BS551" s="124"/>
      <c r="BT551" s="124"/>
      <c r="BU551" s="124"/>
      <c r="BV551" s="124"/>
      <c r="BW551" s="124"/>
      <c r="BX551" s="124"/>
      <c r="BY551" s="124"/>
      <c r="BZ551" s="124"/>
      <c r="CA551" s="124"/>
    </row>
    <row r="552">
      <c r="A552" s="141"/>
      <c r="B552" s="107"/>
      <c r="C552" s="107"/>
      <c r="D552" s="143"/>
      <c r="E552" s="129"/>
      <c r="F552" s="129"/>
      <c r="G552" s="129"/>
      <c r="H552" s="129"/>
      <c r="I552" s="129"/>
      <c r="J552" s="129"/>
      <c r="K552" s="129"/>
      <c r="L552" s="129"/>
      <c r="M552" s="129"/>
      <c r="N552" s="129"/>
      <c r="O552" s="129"/>
      <c r="P552" s="129"/>
      <c r="Q552" s="129"/>
      <c r="R552" s="129"/>
      <c r="S552" s="129"/>
      <c r="T552" s="129"/>
      <c r="U552" s="106"/>
      <c r="V552" s="106"/>
      <c r="W552" s="106"/>
      <c r="X552" s="106"/>
      <c r="Y552" s="106"/>
      <c r="Z552" s="129"/>
      <c r="AA552" s="129"/>
      <c r="AB552" s="129"/>
      <c r="AC552" s="129"/>
      <c r="AD552" s="129"/>
      <c r="AE552" s="129"/>
      <c r="AF552" s="129"/>
      <c r="AG552" s="117"/>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c r="BK552" s="124"/>
      <c r="BL552" s="124"/>
      <c r="BM552" s="124"/>
      <c r="BN552" s="124"/>
      <c r="BO552" s="124"/>
      <c r="BP552" s="124"/>
      <c r="BQ552" s="124"/>
      <c r="BR552" s="124"/>
      <c r="BS552" s="124"/>
      <c r="BT552" s="124"/>
      <c r="BU552" s="124"/>
      <c r="BV552" s="124"/>
      <c r="BW552" s="124"/>
      <c r="BX552" s="124"/>
      <c r="BY552" s="124"/>
      <c r="BZ552" s="124"/>
      <c r="CA552" s="124"/>
    </row>
    <row r="553">
      <c r="A553" s="141"/>
      <c r="B553" s="107"/>
      <c r="C553" s="107"/>
      <c r="D553" s="143"/>
      <c r="E553" s="129"/>
      <c r="F553" s="129"/>
      <c r="G553" s="129"/>
      <c r="H553" s="129"/>
      <c r="I553" s="129"/>
      <c r="J553" s="129"/>
      <c r="K553" s="129"/>
      <c r="L553" s="129"/>
      <c r="M553" s="129"/>
      <c r="N553" s="129"/>
      <c r="O553" s="129"/>
      <c r="P553" s="129"/>
      <c r="Q553" s="129"/>
      <c r="R553" s="129"/>
      <c r="S553" s="129"/>
      <c r="T553" s="129"/>
      <c r="U553" s="106"/>
      <c r="V553" s="106"/>
      <c r="W553" s="106"/>
      <c r="X553" s="106"/>
      <c r="Y553" s="106"/>
      <c r="Z553" s="129"/>
      <c r="AA553" s="129"/>
      <c r="AB553" s="129"/>
      <c r="AC553" s="129"/>
      <c r="AD553" s="129"/>
      <c r="AE553" s="129"/>
      <c r="AF553" s="129"/>
      <c r="AG553" s="117"/>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c r="BK553" s="124"/>
      <c r="BL553" s="124"/>
      <c r="BM553" s="124"/>
      <c r="BN553" s="124"/>
      <c r="BO553" s="124"/>
      <c r="BP553" s="124"/>
      <c r="BQ553" s="124"/>
      <c r="BR553" s="124"/>
      <c r="BS553" s="124"/>
      <c r="BT553" s="124"/>
      <c r="BU553" s="124"/>
      <c r="BV553" s="124"/>
      <c r="BW553" s="124"/>
      <c r="BX553" s="124"/>
      <c r="BY553" s="124"/>
      <c r="BZ553" s="124"/>
      <c r="CA553" s="124"/>
    </row>
    <row r="554">
      <c r="A554" s="141"/>
      <c r="B554" s="107"/>
      <c r="C554" s="107"/>
      <c r="D554" s="143"/>
      <c r="E554" s="129"/>
      <c r="F554" s="129"/>
      <c r="G554" s="129"/>
      <c r="H554" s="129"/>
      <c r="I554" s="129"/>
      <c r="J554" s="129"/>
      <c r="K554" s="129"/>
      <c r="L554" s="129"/>
      <c r="M554" s="129"/>
      <c r="N554" s="129"/>
      <c r="O554" s="129"/>
      <c r="P554" s="129"/>
      <c r="Q554" s="129"/>
      <c r="R554" s="129"/>
      <c r="S554" s="129"/>
      <c r="T554" s="129"/>
      <c r="U554" s="106"/>
      <c r="V554" s="106"/>
      <c r="W554" s="106"/>
      <c r="X554" s="106"/>
      <c r="Y554" s="106"/>
      <c r="Z554" s="129"/>
      <c r="AA554" s="129"/>
      <c r="AB554" s="129"/>
      <c r="AC554" s="129"/>
      <c r="AD554" s="129"/>
      <c r="AE554" s="129"/>
      <c r="AF554" s="129"/>
      <c r="AG554" s="117"/>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row>
    <row r="555">
      <c r="A555" s="141"/>
      <c r="B555" s="107"/>
      <c r="C555" s="107"/>
      <c r="D555" s="143"/>
      <c r="E555" s="129"/>
      <c r="F555" s="129"/>
      <c r="G555" s="129"/>
      <c r="H555" s="129"/>
      <c r="I555" s="129"/>
      <c r="J555" s="129"/>
      <c r="K555" s="129"/>
      <c r="L555" s="129"/>
      <c r="M555" s="129"/>
      <c r="N555" s="129"/>
      <c r="O555" s="129"/>
      <c r="P555" s="129"/>
      <c r="Q555" s="129"/>
      <c r="R555" s="129"/>
      <c r="S555" s="129"/>
      <c r="T555" s="129"/>
      <c r="U555" s="106"/>
      <c r="V555" s="106"/>
      <c r="W555" s="106"/>
      <c r="X555" s="106"/>
      <c r="Y555" s="106"/>
      <c r="Z555" s="129"/>
      <c r="AA555" s="129"/>
      <c r="AB555" s="129"/>
      <c r="AC555" s="129"/>
      <c r="AD555" s="129"/>
      <c r="AE555" s="129"/>
      <c r="AF555" s="129"/>
      <c r="AG555" s="117"/>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c r="BK555" s="124"/>
      <c r="BL555" s="124"/>
      <c r="BM555" s="124"/>
      <c r="BN555" s="124"/>
      <c r="BO555" s="124"/>
      <c r="BP555" s="124"/>
      <c r="BQ555" s="124"/>
      <c r="BR555" s="124"/>
      <c r="BS555" s="124"/>
      <c r="BT555" s="124"/>
      <c r="BU555" s="124"/>
      <c r="BV555" s="124"/>
      <c r="BW555" s="124"/>
      <c r="BX555" s="124"/>
      <c r="BY555" s="124"/>
      <c r="BZ555" s="124"/>
      <c r="CA555" s="124"/>
    </row>
    <row r="556">
      <c r="A556" s="141"/>
      <c r="B556" s="107"/>
      <c r="C556" s="107"/>
      <c r="D556" s="143"/>
      <c r="E556" s="129"/>
      <c r="F556" s="129"/>
      <c r="G556" s="129"/>
      <c r="H556" s="129"/>
      <c r="I556" s="129"/>
      <c r="J556" s="129"/>
      <c r="K556" s="129"/>
      <c r="L556" s="129"/>
      <c r="M556" s="129"/>
      <c r="N556" s="129"/>
      <c r="O556" s="129"/>
      <c r="P556" s="129"/>
      <c r="Q556" s="129"/>
      <c r="R556" s="129"/>
      <c r="S556" s="129"/>
      <c r="T556" s="129"/>
      <c r="U556" s="106"/>
      <c r="V556" s="106"/>
      <c r="W556" s="106"/>
      <c r="X556" s="106"/>
      <c r="Y556" s="106"/>
      <c r="Z556" s="129"/>
      <c r="AA556" s="129"/>
      <c r="AB556" s="129"/>
      <c r="AC556" s="129"/>
      <c r="AD556" s="129"/>
      <c r="AE556" s="129"/>
      <c r="AF556" s="129"/>
      <c r="AG556" s="117"/>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c r="BK556" s="124"/>
      <c r="BL556" s="124"/>
      <c r="BM556" s="124"/>
      <c r="BN556" s="124"/>
      <c r="BO556" s="124"/>
      <c r="BP556" s="124"/>
      <c r="BQ556" s="124"/>
      <c r="BR556" s="124"/>
      <c r="BS556" s="124"/>
      <c r="BT556" s="124"/>
      <c r="BU556" s="124"/>
      <c r="BV556" s="124"/>
      <c r="BW556" s="124"/>
      <c r="BX556" s="124"/>
      <c r="BY556" s="124"/>
      <c r="BZ556" s="124"/>
      <c r="CA556" s="124"/>
    </row>
    <row r="557">
      <c r="A557" s="141"/>
      <c r="B557" s="107"/>
      <c r="C557" s="107"/>
      <c r="D557" s="143"/>
      <c r="E557" s="129"/>
      <c r="F557" s="129"/>
      <c r="G557" s="129"/>
      <c r="H557" s="129"/>
      <c r="I557" s="129"/>
      <c r="J557" s="129"/>
      <c r="K557" s="129"/>
      <c r="L557" s="129"/>
      <c r="M557" s="129"/>
      <c r="N557" s="129"/>
      <c r="O557" s="129"/>
      <c r="P557" s="129"/>
      <c r="Q557" s="129"/>
      <c r="R557" s="129"/>
      <c r="S557" s="129"/>
      <c r="T557" s="129"/>
      <c r="U557" s="106"/>
      <c r="V557" s="106"/>
      <c r="W557" s="106"/>
      <c r="X557" s="106"/>
      <c r="Y557" s="106"/>
      <c r="Z557" s="129"/>
      <c r="AA557" s="129"/>
      <c r="AB557" s="129"/>
      <c r="AC557" s="129"/>
      <c r="AD557" s="129"/>
      <c r="AE557" s="129"/>
      <c r="AF557" s="129"/>
      <c r="AG557" s="117"/>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c r="BK557" s="124"/>
      <c r="BL557" s="124"/>
      <c r="BM557" s="124"/>
      <c r="BN557" s="124"/>
      <c r="BO557" s="124"/>
      <c r="BP557" s="124"/>
      <c r="BQ557" s="124"/>
      <c r="BR557" s="124"/>
      <c r="BS557" s="124"/>
      <c r="BT557" s="124"/>
      <c r="BU557" s="124"/>
      <c r="BV557" s="124"/>
      <c r="BW557" s="124"/>
      <c r="BX557" s="124"/>
      <c r="BY557" s="124"/>
      <c r="BZ557" s="124"/>
      <c r="CA557" s="124"/>
    </row>
    <row r="558">
      <c r="A558" s="141"/>
      <c r="B558" s="107"/>
      <c r="C558" s="107"/>
      <c r="D558" s="143"/>
      <c r="E558" s="129"/>
      <c r="F558" s="129"/>
      <c r="G558" s="129"/>
      <c r="H558" s="129"/>
      <c r="I558" s="129"/>
      <c r="J558" s="129"/>
      <c r="K558" s="129"/>
      <c r="L558" s="129"/>
      <c r="M558" s="129"/>
      <c r="N558" s="129"/>
      <c r="O558" s="129"/>
      <c r="P558" s="129"/>
      <c r="Q558" s="129"/>
      <c r="R558" s="129"/>
      <c r="S558" s="129"/>
      <c r="T558" s="129"/>
      <c r="U558" s="106"/>
      <c r="V558" s="106"/>
      <c r="W558" s="106"/>
      <c r="X558" s="106"/>
      <c r="Y558" s="106"/>
      <c r="Z558" s="129"/>
      <c r="AA558" s="129"/>
      <c r="AB558" s="129"/>
      <c r="AC558" s="129"/>
      <c r="AD558" s="129"/>
      <c r="AE558" s="129"/>
      <c r="AF558" s="129"/>
      <c r="AG558" s="117"/>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c r="BK558" s="124"/>
      <c r="BL558" s="124"/>
      <c r="BM558" s="124"/>
      <c r="BN558" s="124"/>
      <c r="BO558" s="124"/>
      <c r="BP558" s="124"/>
      <c r="BQ558" s="124"/>
      <c r="BR558" s="124"/>
      <c r="BS558" s="124"/>
      <c r="BT558" s="124"/>
      <c r="BU558" s="124"/>
      <c r="BV558" s="124"/>
      <c r="BW558" s="124"/>
      <c r="BX558" s="124"/>
      <c r="BY558" s="124"/>
      <c r="BZ558" s="124"/>
      <c r="CA558" s="124"/>
    </row>
    <row r="559">
      <c r="A559" s="141"/>
      <c r="B559" s="107"/>
      <c r="C559" s="107"/>
      <c r="D559" s="143"/>
      <c r="E559" s="129"/>
      <c r="F559" s="129"/>
      <c r="G559" s="129"/>
      <c r="H559" s="129"/>
      <c r="I559" s="129"/>
      <c r="J559" s="129"/>
      <c r="K559" s="129"/>
      <c r="L559" s="129"/>
      <c r="M559" s="129"/>
      <c r="N559" s="129"/>
      <c r="O559" s="129"/>
      <c r="P559" s="129"/>
      <c r="Q559" s="129"/>
      <c r="R559" s="129"/>
      <c r="S559" s="129"/>
      <c r="T559" s="129"/>
      <c r="U559" s="106"/>
      <c r="V559" s="106"/>
      <c r="W559" s="106"/>
      <c r="X559" s="106"/>
      <c r="Y559" s="106"/>
      <c r="Z559" s="129"/>
      <c r="AA559" s="129"/>
      <c r="AB559" s="129"/>
      <c r="AC559" s="129"/>
      <c r="AD559" s="129"/>
      <c r="AE559" s="129"/>
      <c r="AF559" s="129"/>
      <c r="AG559" s="117"/>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c r="BK559" s="124"/>
      <c r="BL559" s="124"/>
      <c r="BM559" s="124"/>
      <c r="BN559" s="124"/>
      <c r="BO559" s="124"/>
      <c r="BP559" s="124"/>
      <c r="BQ559" s="124"/>
      <c r="BR559" s="124"/>
      <c r="BS559" s="124"/>
      <c r="BT559" s="124"/>
      <c r="BU559" s="124"/>
      <c r="BV559" s="124"/>
      <c r="BW559" s="124"/>
      <c r="BX559" s="124"/>
      <c r="BY559" s="124"/>
      <c r="BZ559" s="124"/>
      <c r="CA559" s="124"/>
    </row>
    <row r="560">
      <c r="A560" s="141"/>
      <c r="B560" s="107"/>
      <c r="C560" s="107"/>
      <c r="D560" s="143"/>
      <c r="E560" s="129"/>
      <c r="F560" s="129"/>
      <c r="G560" s="129"/>
      <c r="H560" s="129"/>
      <c r="I560" s="129"/>
      <c r="J560" s="129"/>
      <c r="K560" s="129"/>
      <c r="L560" s="129"/>
      <c r="M560" s="129"/>
      <c r="N560" s="129"/>
      <c r="O560" s="129"/>
      <c r="P560" s="129"/>
      <c r="Q560" s="129"/>
      <c r="R560" s="129"/>
      <c r="S560" s="129"/>
      <c r="T560" s="129"/>
      <c r="U560" s="106"/>
      <c r="V560" s="106"/>
      <c r="W560" s="106"/>
      <c r="X560" s="106"/>
      <c r="Y560" s="106"/>
      <c r="Z560" s="129"/>
      <c r="AA560" s="129"/>
      <c r="AB560" s="129"/>
      <c r="AC560" s="129"/>
      <c r="AD560" s="129"/>
      <c r="AE560" s="129"/>
      <c r="AF560" s="129"/>
      <c r="AG560" s="117"/>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row>
    <row r="561">
      <c r="A561" s="141"/>
      <c r="B561" s="107"/>
      <c r="C561" s="107"/>
      <c r="D561" s="143"/>
      <c r="E561" s="129"/>
      <c r="F561" s="129"/>
      <c r="G561" s="129"/>
      <c r="H561" s="129"/>
      <c r="I561" s="129"/>
      <c r="J561" s="129"/>
      <c r="K561" s="129"/>
      <c r="L561" s="129"/>
      <c r="M561" s="129"/>
      <c r="N561" s="129"/>
      <c r="O561" s="129"/>
      <c r="P561" s="129"/>
      <c r="Q561" s="129"/>
      <c r="R561" s="129"/>
      <c r="S561" s="129"/>
      <c r="T561" s="129"/>
      <c r="U561" s="106"/>
      <c r="V561" s="106"/>
      <c r="W561" s="106"/>
      <c r="X561" s="106"/>
      <c r="Y561" s="106"/>
      <c r="Z561" s="129"/>
      <c r="AA561" s="129"/>
      <c r="AB561" s="129"/>
      <c r="AC561" s="129"/>
      <c r="AD561" s="129"/>
      <c r="AE561" s="129"/>
      <c r="AF561" s="129"/>
      <c r="AG561" s="117"/>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c r="BK561" s="124"/>
      <c r="BL561" s="124"/>
      <c r="BM561" s="124"/>
      <c r="BN561" s="124"/>
      <c r="BO561" s="124"/>
      <c r="BP561" s="124"/>
      <c r="BQ561" s="124"/>
      <c r="BR561" s="124"/>
      <c r="BS561" s="124"/>
      <c r="BT561" s="124"/>
      <c r="BU561" s="124"/>
      <c r="BV561" s="124"/>
      <c r="BW561" s="124"/>
      <c r="BX561" s="124"/>
      <c r="BY561" s="124"/>
      <c r="BZ561" s="124"/>
      <c r="CA561" s="124"/>
    </row>
    <row r="562">
      <c r="A562" s="141"/>
      <c r="B562" s="107"/>
      <c r="C562" s="107"/>
      <c r="D562" s="143"/>
      <c r="E562" s="129"/>
      <c r="F562" s="129"/>
      <c r="G562" s="129"/>
      <c r="H562" s="129"/>
      <c r="I562" s="129"/>
      <c r="J562" s="129"/>
      <c r="K562" s="129"/>
      <c r="L562" s="129"/>
      <c r="M562" s="129"/>
      <c r="N562" s="129"/>
      <c r="O562" s="129"/>
      <c r="P562" s="129"/>
      <c r="Q562" s="129"/>
      <c r="R562" s="129"/>
      <c r="S562" s="129"/>
      <c r="T562" s="129"/>
      <c r="U562" s="106"/>
      <c r="V562" s="106"/>
      <c r="W562" s="106"/>
      <c r="X562" s="106"/>
      <c r="Y562" s="106"/>
      <c r="Z562" s="129"/>
      <c r="AA562" s="129"/>
      <c r="AB562" s="129"/>
      <c r="AC562" s="129"/>
      <c r="AD562" s="129"/>
      <c r="AE562" s="129"/>
      <c r="AF562" s="129"/>
      <c r="AG562" s="117"/>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c r="BK562" s="124"/>
      <c r="BL562" s="124"/>
      <c r="BM562" s="124"/>
      <c r="BN562" s="124"/>
      <c r="BO562" s="124"/>
      <c r="BP562" s="124"/>
      <c r="BQ562" s="124"/>
      <c r="BR562" s="124"/>
      <c r="BS562" s="124"/>
      <c r="BT562" s="124"/>
      <c r="BU562" s="124"/>
      <c r="BV562" s="124"/>
      <c r="BW562" s="124"/>
      <c r="BX562" s="124"/>
      <c r="BY562" s="124"/>
      <c r="BZ562" s="124"/>
      <c r="CA562" s="124"/>
    </row>
    <row r="563">
      <c r="A563" s="141"/>
      <c r="B563" s="107"/>
      <c r="C563" s="107"/>
      <c r="D563" s="143"/>
      <c r="E563" s="129"/>
      <c r="F563" s="129"/>
      <c r="G563" s="129"/>
      <c r="H563" s="129"/>
      <c r="I563" s="129"/>
      <c r="J563" s="129"/>
      <c r="K563" s="129"/>
      <c r="L563" s="129"/>
      <c r="M563" s="129"/>
      <c r="N563" s="129"/>
      <c r="O563" s="129"/>
      <c r="P563" s="129"/>
      <c r="Q563" s="129"/>
      <c r="R563" s="129"/>
      <c r="S563" s="129"/>
      <c r="T563" s="129"/>
      <c r="U563" s="106"/>
      <c r="V563" s="106"/>
      <c r="W563" s="106"/>
      <c r="X563" s="106"/>
      <c r="Y563" s="106"/>
      <c r="Z563" s="129"/>
      <c r="AA563" s="129"/>
      <c r="AB563" s="129"/>
      <c r="AC563" s="129"/>
      <c r="AD563" s="129"/>
      <c r="AE563" s="129"/>
      <c r="AF563" s="129"/>
      <c r="AG563" s="117"/>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c r="BK563" s="124"/>
      <c r="BL563" s="124"/>
      <c r="BM563" s="124"/>
      <c r="BN563" s="124"/>
      <c r="BO563" s="124"/>
      <c r="BP563" s="124"/>
      <c r="BQ563" s="124"/>
      <c r="BR563" s="124"/>
      <c r="BS563" s="124"/>
      <c r="BT563" s="124"/>
      <c r="BU563" s="124"/>
      <c r="BV563" s="124"/>
      <c r="BW563" s="124"/>
      <c r="BX563" s="124"/>
      <c r="BY563" s="124"/>
      <c r="BZ563" s="124"/>
      <c r="CA563" s="124"/>
    </row>
    <row r="564">
      <c r="A564" s="141"/>
      <c r="B564" s="107"/>
      <c r="C564" s="107"/>
      <c r="D564" s="143"/>
      <c r="E564" s="129"/>
      <c r="F564" s="129"/>
      <c r="G564" s="129"/>
      <c r="H564" s="129"/>
      <c r="I564" s="129"/>
      <c r="J564" s="129"/>
      <c r="K564" s="129"/>
      <c r="L564" s="129"/>
      <c r="M564" s="129"/>
      <c r="N564" s="129"/>
      <c r="O564" s="129"/>
      <c r="P564" s="129"/>
      <c r="Q564" s="129"/>
      <c r="R564" s="129"/>
      <c r="S564" s="129"/>
      <c r="T564" s="129"/>
      <c r="U564" s="106"/>
      <c r="V564" s="106"/>
      <c r="W564" s="106"/>
      <c r="X564" s="106"/>
      <c r="Y564" s="106"/>
      <c r="Z564" s="129"/>
      <c r="AA564" s="129"/>
      <c r="AB564" s="129"/>
      <c r="AC564" s="129"/>
      <c r="AD564" s="129"/>
      <c r="AE564" s="129"/>
      <c r="AF564" s="129"/>
      <c r="AG564" s="117"/>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c r="BK564" s="124"/>
      <c r="BL564" s="124"/>
      <c r="BM564" s="124"/>
      <c r="BN564" s="124"/>
      <c r="BO564" s="124"/>
      <c r="BP564" s="124"/>
      <c r="BQ564" s="124"/>
      <c r="BR564" s="124"/>
      <c r="BS564" s="124"/>
      <c r="BT564" s="124"/>
      <c r="BU564" s="124"/>
      <c r="BV564" s="124"/>
      <c r="BW564" s="124"/>
      <c r="BX564" s="124"/>
      <c r="BY564" s="124"/>
      <c r="BZ564" s="124"/>
      <c r="CA564" s="124"/>
    </row>
    <row r="565">
      <c r="A565" s="141"/>
      <c r="B565" s="107"/>
      <c r="C565" s="107"/>
      <c r="D565" s="143"/>
      <c r="E565" s="129"/>
      <c r="F565" s="129"/>
      <c r="G565" s="129"/>
      <c r="H565" s="129"/>
      <c r="I565" s="129"/>
      <c r="J565" s="129"/>
      <c r="K565" s="129"/>
      <c r="L565" s="129"/>
      <c r="M565" s="129"/>
      <c r="N565" s="129"/>
      <c r="O565" s="129"/>
      <c r="P565" s="129"/>
      <c r="Q565" s="129"/>
      <c r="R565" s="129"/>
      <c r="S565" s="129"/>
      <c r="T565" s="129"/>
      <c r="U565" s="106"/>
      <c r="V565" s="106"/>
      <c r="W565" s="106"/>
      <c r="X565" s="106"/>
      <c r="Y565" s="106"/>
      <c r="Z565" s="129"/>
      <c r="AA565" s="129"/>
      <c r="AB565" s="129"/>
      <c r="AC565" s="129"/>
      <c r="AD565" s="129"/>
      <c r="AE565" s="129"/>
      <c r="AF565" s="129"/>
      <c r="AG565" s="117"/>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c r="BK565" s="124"/>
      <c r="BL565" s="124"/>
      <c r="BM565" s="124"/>
      <c r="BN565" s="124"/>
      <c r="BO565" s="124"/>
      <c r="BP565" s="124"/>
      <c r="BQ565" s="124"/>
      <c r="BR565" s="124"/>
      <c r="BS565" s="124"/>
      <c r="BT565" s="124"/>
      <c r="BU565" s="124"/>
      <c r="BV565" s="124"/>
      <c r="BW565" s="124"/>
      <c r="BX565" s="124"/>
      <c r="BY565" s="124"/>
      <c r="BZ565" s="124"/>
      <c r="CA565" s="124"/>
    </row>
    <row r="566">
      <c r="A566" s="141"/>
      <c r="B566" s="107"/>
      <c r="C566" s="107"/>
      <c r="D566" s="143"/>
      <c r="E566" s="129"/>
      <c r="F566" s="129"/>
      <c r="G566" s="129"/>
      <c r="H566" s="129"/>
      <c r="I566" s="129"/>
      <c r="J566" s="129"/>
      <c r="K566" s="129"/>
      <c r="L566" s="129"/>
      <c r="M566" s="129"/>
      <c r="N566" s="129"/>
      <c r="O566" s="129"/>
      <c r="P566" s="129"/>
      <c r="Q566" s="129"/>
      <c r="R566" s="129"/>
      <c r="S566" s="129"/>
      <c r="T566" s="129"/>
      <c r="U566" s="106"/>
      <c r="V566" s="106"/>
      <c r="W566" s="106"/>
      <c r="X566" s="106"/>
      <c r="Y566" s="106"/>
      <c r="Z566" s="129"/>
      <c r="AA566" s="129"/>
      <c r="AB566" s="129"/>
      <c r="AC566" s="129"/>
      <c r="AD566" s="129"/>
      <c r="AE566" s="129"/>
      <c r="AF566" s="129"/>
      <c r="AG566" s="117"/>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row>
    <row r="567">
      <c r="A567" s="141"/>
      <c r="B567" s="107"/>
      <c r="C567" s="107"/>
      <c r="D567" s="143"/>
      <c r="E567" s="129"/>
      <c r="F567" s="129"/>
      <c r="G567" s="129"/>
      <c r="H567" s="129"/>
      <c r="I567" s="129"/>
      <c r="J567" s="129"/>
      <c r="K567" s="129"/>
      <c r="L567" s="129"/>
      <c r="M567" s="129"/>
      <c r="N567" s="129"/>
      <c r="O567" s="129"/>
      <c r="P567" s="129"/>
      <c r="Q567" s="129"/>
      <c r="R567" s="129"/>
      <c r="S567" s="129"/>
      <c r="T567" s="129"/>
      <c r="U567" s="106"/>
      <c r="V567" s="106"/>
      <c r="W567" s="106"/>
      <c r="X567" s="106"/>
      <c r="Y567" s="106"/>
      <c r="Z567" s="129"/>
      <c r="AA567" s="129"/>
      <c r="AB567" s="129"/>
      <c r="AC567" s="129"/>
      <c r="AD567" s="129"/>
      <c r="AE567" s="129"/>
      <c r="AF567" s="129"/>
      <c r="AG567" s="117"/>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c r="BK567" s="124"/>
      <c r="BL567" s="124"/>
      <c r="BM567" s="124"/>
      <c r="BN567" s="124"/>
      <c r="BO567" s="124"/>
      <c r="BP567" s="124"/>
      <c r="BQ567" s="124"/>
      <c r="BR567" s="124"/>
      <c r="BS567" s="124"/>
      <c r="BT567" s="124"/>
      <c r="BU567" s="124"/>
      <c r="BV567" s="124"/>
      <c r="BW567" s="124"/>
      <c r="BX567" s="124"/>
      <c r="BY567" s="124"/>
      <c r="BZ567" s="124"/>
      <c r="CA567" s="124"/>
    </row>
    <row r="568">
      <c r="A568" s="141"/>
      <c r="B568" s="107"/>
      <c r="C568" s="107"/>
      <c r="D568" s="143"/>
      <c r="E568" s="129"/>
      <c r="F568" s="129"/>
      <c r="G568" s="129"/>
      <c r="H568" s="129"/>
      <c r="I568" s="129"/>
      <c r="J568" s="129"/>
      <c r="K568" s="129"/>
      <c r="L568" s="129"/>
      <c r="M568" s="129"/>
      <c r="N568" s="129"/>
      <c r="O568" s="129"/>
      <c r="P568" s="129"/>
      <c r="Q568" s="129"/>
      <c r="R568" s="129"/>
      <c r="S568" s="129"/>
      <c r="T568" s="129"/>
      <c r="U568" s="106"/>
      <c r="V568" s="106"/>
      <c r="W568" s="106"/>
      <c r="X568" s="106"/>
      <c r="Y568" s="106"/>
      <c r="Z568" s="129"/>
      <c r="AA568" s="129"/>
      <c r="AB568" s="129"/>
      <c r="AC568" s="129"/>
      <c r="AD568" s="129"/>
      <c r="AE568" s="129"/>
      <c r="AF568" s="129"/>
      <c r="AG568" s="117"/>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c r="BK568" s="124"/>
      <c r="BL568" s="124"/>
      <c r="BM568" s="124"/>
      <c r="BN568" s="124"/>
      <c r="BO568" s="124"/>
      <c r="BP568" s="124"/>
      <c r="BQ568" s="124"/>
      <c r="BR568" s="124"/>
      <c r="BS568" s="124"/>
      <c r="BT568" s="124"/>
      <c r="BU568" s="124"/>
      <c r="BV568" s="124"/>
      <c r="BW568" s="124"/>
      <c r="BX568" s="124"/>
      <c r="BY568" s="124"/>
      <c r="BZ568" s="124"/>
      <c r="CA568" s="124"/>
    </row>
    <row r="569">
      <c r="A569" s="141"/>
      <c r="B569" s="107"/>
      <c r="C569" s="107"/>
      <c r="D569" s="143"/>
      <c r="E569" s="129"/>
      <c r="F569" s="129"/>
      <c r="G569" s="129"/>
      <c r="H569" s="129"/>
      <c r="I569" s="129"/>
      <c r="J569" s="129"/>
      <c r="K569" s="129"/>
      <c r="L569" s="129"/>
      <c r="M569" s="129"/>
      <c r="N569" s="129"/>
      <c r="O569" s="129"/>
      <c r="P569" s="129"/>
      <c r="Q569" s="129"/>
      <c r="R569" s="129"/>
      <c r="S569" s="129"/>
      <c r="T569" s="129"/>
      <c r="U569" s="106"/>
      <c r="V569" s="106"/>
      <c r="W569" s="106"/>
      <c r="X569" s="106"/>
      <c r="Y569" s="106"/>
      <c r="Z569" s="129"/>
      <c r="AA569" s="129"/>
      <c r="AB569" s="129"/>
      <c r="AC569" s="129"/>
      <c r="AD569" s="129"/>
      <c r="AE569" s="129"/>
      <c r="AF569" s="129"/>
      <c r="AG569" s="117"/>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c r="BK569" s="124"/>
      <c r="BL569" s="124"/>
      <c r="BM569" s="124"/>
      <c r="BN569" s="124"/>
      <c r="BO569" s="124"/>
      <c r="BP569" s="124"/>
      <c r="BQ569" s="124"/>
      <c r="BR569" s="124"/>
      <c r="BS569" s="124"/>
      <c r="BT569" s="124"/>
      <c r="BU569" s="124"/>
      <c r="BV569" s="124"/>
      <c r="BW569" s="124"/>
      <c r="BX569" s="124"/>
      <c r="BY569" s="124"/>
      <c r="BZ569" s="124"/>
      <c r="CA569" s="124"/>
    </row>
    <row r="570">
      <c r="A570" s="141"/>
      <c r="B570" s="107"/>
      <c r="C570" s="107"/>
      <c r="D570" s="143"/>
      <c r="E570" s="129"/>
      <c r="F570" s="129"/>
      <c r="G570" s="129"/>
      <c r="H570" s="129"/>
      <c r="I570" s="129"/>
      <c r="J570" s="129"/>
      <c r="K570" s="129"/>
      <c r="L570" s="129"/>
      <c r="M570" s="129"/>
      <c r="N570" s="129"/>
      <c r="O570" s="129"/>
      <c r="P570" s="129"/>
      <c r="Q570" s="129"/>
      <c r="R570" s="129"/>
      <c r="S570" s="129"/>
      <c r="T570" s="129"/>
      <c r="U570" s="106"/>
      <c r="V570" s="106"/>
      <c r="W570" s="106"/>
      <c r="X570" s="106"/>
      <c r="Y570" s="106"/>
      <c r="Z570" s="129"/>
      <c r="AA570" s="129"/>
      <c r="AB570" s="129"/>
      <c r="AC570" s="129"/>
      <c r="AD570" s="129"/>
      <c r="AE570" s="129"/>
      <c r="AF570" s="129"/>
      <c r="AG570" s="117"/>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c r="BK570" s="124"/>
      <c r="BL570" s="124"/>
      <c r="BM570" s="124"/>
      <c r="BN570" s="124"/>
      <c r="BO570" s="124"/>
      <c r="BP570" s="124"/>
      <c r="BQ570" s="124"/>
      <c r="BR570" s="124"/>
      <c r="BS570" s="124"/>
      <c r="BT570" s="124"/>
      <c r="BU570" s="124"/>
      <c r="BV570" s="124"/>
      <c r="BW570" s="124"/>
      <c r="BX570" s="124"/>
      <c r="BY570" s="124"/>
      <c r="BZ570" s="124"/>
      <c r="CA570" s="124"/>
    </row>
    <row r="571">
      <c r="A571" s="141"/>
      <c r="B571" s="107"/>
      <c r="C571" s="107"/>
      <c r="D571" s="143"/>
      <c r="E571" s="129"/>
      <c r="F571" s="129"/>
      <c r="G571" s="129"/>
      <c r="H571" s="129"/>
      <c r="I571" s="129"/>
      <c r="J571" s="129"/>
      <c r="K571" s="129"/>
      <c r="L571" s="129"/>
      <c r="M571" s="129"/>
      <c r="N571" s="129"/>
      <c r="O571" s="129"/>
      <c r="P571" s="129"/>
      <c r="Q571" s="129"/>
      <c r="R571" s="129"/>
      <c r="S571" s="129"/>
      <c r="T571" s="129"/>
      <c r="U571" s="106"/>
      <c r="V571" s="106"/>
      <c r="W571" s="106"/>
      <c r="X571" s="106"/>
      <c r="Y571" s="106"/>
      <c r="Z571" s="129"/>
      <c r="AA571" s="129"/>
      <c r="AB571" s="129"/>
      <c r="AC571" s="129"/>
      <c r="AD571" s="129"/>
      <c r="AE571" s="129"/>
      <c r="AF571" s="129"/>
      <c r="AG571" s="117"/>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c r="BK571" s="124"/>
      <c r="BL571" s="124"/>
      <c r="BM571" s="124"/>
      <c r="BN571" s="124"/>
      <c r="BO571" s="124"/>
      <c r="BP571" s="124"/>
      <c r="BQ571" s="124"/>
      <c r="BR571" s="124"/>
      <c r="BS571" s="124"/>
      <c r="BT571" s="124"/>
      <c r="BU571" s="124"/>
      <c r="BV571" s="124"/>
      <c r="BW571" s="124"/>
      <c r="BX571" s="124"/>
      <c r="BY571" s="124"/>
      <c r="BZ571" s="124"/>
      <c r="CA571" s="124"/>
    </row>
    <row r="572">
      <c r="A572" s="141"/>
      <c r="B572" s="107"/>
      <c r="C572" s="107"/>
      <c r="D572" s="143"/>
      <c r="E572" s="129"/>
      <c r="F572" s="129"/>
      <c r="G572" s="129"/>
      <c r="H572" s="129"/>
      <c r="I572" s="129"/>
      <c r="J572" s="129"/>
      <c r="K572" s="129"/>
      <c r="L572" s="129"/>
      <c r="M572" s="129"/>
      <c r="N572" s="129"/>
      <c r="O572" s="129"/>
      <c r="P572" s="129"/>
      <c r="Q572" s="129"/>
      <c r="R572" s="129"/>
      <c r="S572" s="129"/>
      <c r="T572" s="129"/>
      <c r="U572" s="106"/>
      <c r="V572" s="106"/>
      <c r="W572" s="106"/>
      <c r="X572" s="106"/>
      <c r="Y572" s="106"/>
      <c r="Z572" s="129"/>
      <c r="AA572" s="129"/>
      <c r="AB572" s="129"/>
      <c r="AC572" s="129"/>
      <c r="AD572" s="129"/>
      <c r="AE572" s="129"/>
      <c r="AF572" s="129"/>
      <c r="AG572" s="117"/>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row>
    <row r="573">
      <c r="A573" s="141"/>
      <c r="B573" s="107"/>
      <c r="C573" s="107"/>
      <c r="D573" s="143"/>
      <c r="E573" s="129"/>
      <c r="F573" s="129"/>
      <c r="G573" s="129"/>
      <c r="H573" s="129"/>
      <c r="I573" s="129"/>
      <c r="J573" s="129"/>
      <c r="K573" s="129"/>
      <c r="L573" s="129"/>
      <c r="M573" s="129"/>
      <c r="N573" s="129"/>
      <c r="O573" s="129"/>
      <c r="P573" s="129"/>
      <c r="Q573" s="129"/>
      <c r="R573" s="129"/>
      <c r="S573" s="129"/>
      <c r="T573" s="129"/>
      <c r="U573" s="106"/>
      <c r="V573" s="106"/>
      <c r="W573" s="106"/>
      <c r="X573" s="106"/>
      <c r="Y573" s="106"/>
      <c r="Z573" s="129"/>
      <c r="AA573" s="129"/>
      <c r="AB573" s="129"/>
      <c r="AC573" s="129"/>
      <c r="AD573" s="129"/>
      <c r="AE573" s="129"/>
      <c r="AF573" s="129"/>
      <c r="AG573" s="117"/>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c r="BK573" s="124"/>
      <c r="BL573" s="124"/>
      <c r="BM573" s="124"/>
      <c r="BN573" s="124"/>
      <c r="BO573" s="124"/>
      <c r="BP573" s="124"/>
      <c r="BQ573" s="124"/>
      <c r="BR573" s="124"/>
      <c r="BS573" s="124"/>
      <c r="BT573" s="124"/>
      <c r="BU573" s="124"/>
      <c r="BV573" s="124"/>
      <c r="BW573" s="124"/>
      <c r="BX573" s="124"/>
      <c r="BY573" s="124"/>
      <c r="BZ573" s="124"/>
      <c r="CA573" s="124"/>
    </row>
    <row r="574">
      <c r="A574" s="141"/>
      <c r="B574" s="107"/>
      <c r="C574" s="107"/>
      <c r="D574" s="143"/>
      <c r="E574" s="129"/>
      <c r="F574" s="129"/>
      <c r="G574" s="129"/>
      <c r="H574" s="129"/>
      <c r="I574" s="129"/>
      <c r="J574" s="129"/>
      <c r="K574" s="129"/>
      <c r="L574" s="129"/>
      <c r="M574" s="129"/>
      <c r="N574" s="129"/>
      <c r="O574" s="129"/>
      <c r="P574" s="129"/>
      <c r="Q574" s="129"/>
      <c r="R574" s="129"/>
      <c r="S574" s="129"/>
      <c r="T574" s="129"/>
      <c r="U574" s="106"/>
      <c r="V574" s="106"/>
      <c r="W574" s="106"/>
      <c r="X574" s="106"/>
      <c r="Y574" s="106"/>
      <c r="Z574" s="129"/>
      <c r="AA574" s="129"/>
      <c r="AB574" s="129"/>
      <c r="AC574" s="129"/>
      <c r="AD574" s="129"/>
      <c r="AE574" s="129"/>
      <c r="AF574" s="129"/>
      <c r="AG574" s="117"/>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c r="BK574" s="124"/>
      <c r="BL574" s="124"/>
      <c r="BM574" s="124"/>
      <c r="BN574" s="124"/>
      <c r="BO574" s="124"/>
      <c r="BP574" s="124"/>
      <c r="BQ574" s="124"/>
      <c r="BR574" s="124"/>
      <c r="BS574" s="124"/>
      <c r="BT574" s="124"/>
      <c r="BU574" s="124"/>
      <c r="BV574" s="124"/>
      <c r="BW574" s="124"/>
      <c r="BX574" s="124"/>
      <c r="BY574" s="124"/>
      <c r="BZ574" s="124"/>
      <c r="CA574" s="124"/>
    </row>
    <row r="575">
      <c r="A575" s="141"/>
      <c r="B575" s="107"/>
      <c r="C575" s="107"/>
      <c r="D575" s="143"/>
      <c r="E575" s="129"/>
      <c r="F575" s="129"/>
      <c r="G575" s="129"/>
      <c r="H575" s="129"/>
      <c r="I575" s="129"/>
      <c r="J575" s="129"/>
      <c r="K575" s="129"/>
      <c r="L575" s="129"/>
      <c r="M575" s="129"/>
      <c r="N575" s="129"/>
      <c r="O575" s="129"/>
      <c r="P575" s="129"/>
      <c r="Q575" s="129"/>
      <c r="R575" s="129"/>
      <c r="S575" s="129"/>
      <c r="T575" s="129"/>
      <c r="U575" s="106"/>
      <c r="V575" s="106"/>
      <c r="W575" s="106"/>
      <c r="X575" s="106"/>
      <c r="Y575" s="106"/>
      <c r="Z575" s="129"/>
      <c r="AA575" s="129"/>
      <c r="AB575" s="129"/>
      <c r="AC575" s="129"/>
      <c r="AD575" s="129"/>
      <c r="AE575" s="129"/>
      <c r="AF575" s="129"/>
      <c r="AG575" s="117"/>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c r="BK575" s="124"/>
      <c r="BL575" s="124"/>
      <c r="BM575" s="124"/>
      <c r="BN575" s="124"/>
      <c r="BO575" s="124"/>
      <c r="BP575" s="124"/>
      <c r="BQ575" s="124"/>
      <c r="BR575" s="124"/>
      <c r="BS575" s="124"/>
      <c r="BT575" s="124"/>
      <c r="BU575" s="124"/>
      <c r="BV575" s="124"/>
      <c r="BW575" s="124"/>
      <c r="BX575" s="124"/>
      <c r="BY575" s="124"/>
      <c r="BZ575" s="124"/>
      <c r="CA575" s="124"/>
    </row>
    <row r="576">
      <c r="A576" s="141"/>
      <c r="B576" s="107"/>
      <c r="C576" s="107"/>
      <c r="D576" s="143"/>
      <c r="E576" s="129"/>
      <c r="F576" s="129"/>
      <c r="G576" s="129"/>
      <c r="H576" s="129"/>
      <c r="I576" s="129"/>
      <c r="J576" s="129"/>
      <c r="K576" s="129"/>
      <c r="L576" s="129"/>
      <c r="M576" s="129"/>
      <c r="N576" s="129"/>
      <c r="O576" s="129"/>
      <c r="P576" s="129"/>
      <c r="Q576" s="129"/>
      <c r="R576" s="129"/>
      <c r="S576" s="129"/>
      <c r="T576" s="129"/>
      <c r="U576" s="106"/>
      <c r="V576" s="106"/>
      <c r="W576" s="106"/>
      <c r="X576" s="106"/>
      <c r="Y576" s="106"/>
      <c r="Z576" s="129"/>
      <c r="AA576" s="129"/>
      <c r="AB576" s="129"/>
      <c r="AC576" s="129"/>
      <c r="AD576" s="129"/>
      <c r="AE576" s="129"/>
      <c r="AF576" s="129"/>
      <c r="AG576" s="117"/>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c r="BK576" s="124"/>
      <c r="BL576" s="124"/>
      <c r="BM576" s="124"/>
      <c r="BN576" s="124"/>
      <c r="BO576" s="124"/>
      <c r="BP576" s="124"/>
      <c r="BQ576" s="124"/>
      <c r="BR576" s="124"/>
      <c r="BS576" s="124"/>
      <c r="BT576" s="124"/>
      <c r="BU576" s="124"/>
      <c r="BV576" s="124"/>
      <c r="BW576" s="124"/>
      <c r="BX576" s="124"/>
      <c r="BY576" s="124"/>
      <c r="BZ576" s="124"/>
      <c r="CA576" s="124"/>
    </row>
    <row r="577">
      <c r="A577" s="141"/>
      <c r="B577" s="107"/>
      <c r="C577" s="107"/>
      <c r="D577" s="143"/>
      <c r="E577" s="129"/>
      <c r="F577" s="129"/>
      <c r="G577" s="129"/>
      <c r="H577" s="129"/>
      <c r="I577" s="129"/>
      <c r="J577" s="129"/>
      <c r="K577" s="129"/>
      <c r="L577" s="129"/>
      <c r="M577" s="129"/>
      <c r="N577" s="129"/>
      <c r="O577" s="129"/>
      <c r="P577" s="129"/>
      <c r="Q577" s="129"/>
      <c r="R577" s="129"/>
      <c r="S577" s="129"/>
      <c r="T577" s="129"/>
      <c r="U577" s="106"/>
      <c r="V577" s="106"/>
      <c r="W577" s="106"/>
      <c r="X577" s="106"/>
      <c r="Y577" s="106"/>
      <c r="Z577" s="129"/>
      <c r="AA577" s="129"/>
      <c r="AB577" s="129"/>
      <c r="AC577" s="129"/>
      <c r="AD577" s="129"/>
      <c r="AE577" s="129"/>
      <c r="AF577" s="129"/>
      <c r="AG577" s="117"/>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c r="BK577" s="124"/>
      <c r="BL577" s="124"/>
      <c r="BM577" s="124"/>
      <c r="BN577" s="124"/>
      <c r="BO577" s="124"/>
      <c r="BP577" s="124"/>
      <c r="BQ577" s="124"/>
      <c r="BR577" s="124"/>
      <c r="BS577" s="124"/>
      <c r="BT577" s="124"/>
      <c r="BU577" s="124"/>
      <c r="BV577" s="124"/>
      <c r="BW577" s="124"/>
      <c r="BX577" s="124"/>
      <c r="BY577" s="124"/>
      <c r="BZ577" s="124"/>
      <c r="CA577" s="124"/>
    </row>
    <row r="578">
      <c r="A578" s="141"/>
      <c r="B578" s="107"/>
      <c r="C578" s="107"/>
      <c r="D578" s="143"/>
      <c r="E578" s="129"/>
      <c r="F578" s="129"/>
      <c r="G578" s="129"/>
      <c r="H578" s="129"/>
      <c r="I578" s="129"/>
      <c r="J578" s="129"/>
      <c r="K578" s="129"/>
      <c r="L578" s="129"/>
      <c r="M578" s="129"/>
      <c r="N578" s="129"/>
      <c r="O578" s="129"/>
      <c r="P578" s="129"/>
      <c r="Q578" s="129"/>
      <c r="R578" s="129"/>
      <c r="S578" s="129"/>
      <c r="T578" s="129"/>
      <c r="U578" s="106"/>
      <c r="V578" s="106"/>
      <c r="W578" s="106"/>
      <c r="X578" s="106"/>
      <c r="Y578" s="106"/>
      <c r="Z578" s="129"/>
      <c r="AA578" s="129"/>
      <c r="AB578" s="129"/>
      <c r="AC578" s="129"/>
      <c r="AD578" s="129"/>
      <c r="AE578" s="129"/>
      <c r="AF578" s="129"/>
      <c r="AG578" s="117"/>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row>
    <row r="579">
      <c r="A579" s="141"/>
      <c r="B579" s="107"/>
      <c r="C579" s="107"/>
      <c r="D579" s="143"/>
      <c r="E579" s="129"/>
      <c r="F579" s="129"/>
      <c r="G579" s="129"/>
      <c r="H579" s="129"/>
      <c r="I579" s="129"/>
      <c r="J579" s="129"/>
      <c r="K579" s="129"/>
      <c r="L579" s="129"/>
      <c r="M579" s="129"/>
      <c r="N579" s="129"/>
      <c r="O579" s="129"/>
      <c r="P579" s="129"/>
      <c r="Q579" s="129"/>
      <c r="R579" s="129"/>
      <c r="S579" s="129"/>
      <c r="T579" s="129"/>
      <c r="U579" s="106"/>
      <c r="V579" s="106"/>
      <c r="W579" s="106"/>
      <c r="X579" s="106"/>
      <c r="Y579" s="106"/>
      <c r="Z579" s="129"/>
      <c r="AA579" s="129"/>
      <c r="AB579" s="129"/>
      <c r="AC579" s="129"/>
      <c r="AD579" s="129"/>
      <c r="AE579" s="129"/>
      <c r="AF579" s="129"/>
      <c r="AG579" s="117"/>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c r="BK579" s="124"/>
      <c r="BL579" s="124"/>
      <c r="BM579" s="124"/>
      <c r="BN579" s="124"/>
      <c r="BO579" s="124"/>
      <c r="BP579" s="124"/>
      <c r="BQ579" s="124"/>
      <c r="BR579" s="124"/>
      <c r="BS579" s="124"/>
      <c r="BT579" s="124"/>
      <c r="BU579" s="124"/>
      <c r="BV579" s="124"/>
      <c r="BW579" s="124"/>
      <c r="BX579" s="124"/>
      <c r="BY579" s="124"/>
      <c r="BZ579" s="124"/>
      <c r="CA579" s="124"/>
    </row>
    <row r="580">
      <c r="A580" s="141"/>
      <c r="B580" s="107"/>
      <c r="C580" s="107"/>
      <c r="D580" s="143"/>
      <c r="E580" s="129"/>
      <c r="F580" s="129"/>
      <c r="G580" s="129"/>
      <c r="H580" s="129"/>
      <c r="I580" s="129"/>
      <c r="J580" s="129"/>
      <c r="K580" s="129"/>
      <c r="L580" s="129"/>
      <c r="M580" s="129"/>
      <c r="N580" s="129"/>
      <c r="O580" s="129"/>
      <c r="P580" s="129"/>
      <c r="Q580" s="129"/>
      <c r="R580" s="129"/>
      <c r="S580" s="129"/>
      <c r="T580" s="129"/>
      <c r="U580" s="106"/>
      <c r="V580" s="106"/>
      <c r="W580" s="106"/>
      <c r="X580" s="106"/>
      <c r="Y580" s="106"/>
      <c r="Z580" s="129"/>
      <c r="AA580" s="129"/>
      <c r="AB580" s="129"/>
      <c r="AC580" s="129"/>
      <c r="AD580" s="129"/>
      <c r="AE580" s="129"/>
      <c r="AF580" s="129"/>
      <c r="AG580" s="117"/>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c r="BK580" s="124"/>
      <c r="BL580" s="124"/>
      <c r="BM580" s="124"/>
      <c r="BN580" s="124"/>
      <c r="BO580" s="124"/>
      <c r="BP580" s="124"/>
      <c r="BQ580" s="124"/>
      <c r="BR580" s="124"/>
      <c r="BS580" s="124"/>
      <c r="BT580" s="124"/>
      <c r="BU580" s="124"/>
      <c r="BV580" s="124"/>
      <c r="BW580" s="124"/>
      <c r="BX580" s="124"/>
      <c r="BY580" s="124"/>
      <c r="BZ580" s="124"/>
      <c r="CA580" s="124"/>
    </row>
    <row r="581">
      <c r="A581" s="141"/>
      <c r="B581" s="107"/>
      <c r="C581" s="107"/>
      <c r="D581" s="143"/>
      <c r="E581" s="129"/>
      <c r="F581" s="129"/>
      <c r="G581" s="129"/>
      <c r="H581" s="129"/>
      <c r="I581" s="129"/>
      <c r="J581" s="129"/>
      <c r="K581" s="129"/>
      <c r="L581" s="129"/>
      <c r="M581" s="129"/>
      <c r="N581" s="129"/>
      <c r="O581" s="129"/>
      <c r="P581" s="129"/>
      <c r="Q581" s="129"/>
      <c r="R581" s="129"/>
      <c r="S581" s="129"/>
      <c r="T581" s="129"/>
      <c r="U581" s="106"/>
      <c r="V581" s="106"/>
      <c r="W581" s="106"/>
      <c r="X581" s="106"/>
      <c r="Y581" s="106"/>
      <c r="Z581" s="129"/>
      <c r="AA581" s="129"/>
      <c r="AB581" s="129"/>
      <c r="AC581" s="129"/>
      <c r="AD581" s="129"/>
      <c r="AE581" s="129"/>
      <c r="AF581" s="129"/>
      <c r="AG581" s="117"/>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c r="BK581" s="124"/>
      <c r="BL581" s="124"/>
      <c r="BM581" s="124"/>
      <c r="BN581" s="124"/>
      <c r="BO581" s="124"/>
      <c r="BP581" s="124"/>
      <c r="BQ581" s="124"/>
      <c r="BR581" s="124"/>
      <c r="BS581" s="124"/>
      <c r="BT581" s="124"/>
      <c r="BU581" s="124"/>
      <c r="BV581" s="124"/>
      <c r="BW581" s="124"/>
      <c r="BX581" s="124"/>
      <c r="BY581" s="124"/>
      <c r="BZ581" s="124"/>
      <c r="CA581" s="124"/>
    </row>
    <row r="582">
      <c r="A582" s="141"/>
      <c r="B582" s="107"/>
      <c r="C582" s="107"/>
      <c r="D582" s="143"/>
      <c r="E582" s="129"/>
      <c r="F582" s="129"/>
      <c r="G582" s="129"/>
      <c r="H582" s="129"/>
      <c r="I582" s="129"/>
      <c r="J582" s="129"/>
      <c r="K582" s="129"/>
      <c r="L582" s="129"/>
      <c r="M582" s="129"/>
      <c r="N582" s="129"/>
      <c r="O582" s="129"/>
      <c r="P582" s="129"/>
      <c r="Q582" s="129"/>
      <c r="R582" s="129"/>
      <c r="S582" s="129"/>
      <c r="T582" s="129"/>
      <c r="U582" s="106"/>
      <c r="V582" s="106"/>
      <c r="W582" s="106"/>
      <c r="X582" s="106"/>
      <c r="Y582" s="106"/>
      <c r="Z582" s="129"/>
      <c r="AA582" s="129"/>
      <c r="AB582" s="129"/>
      <c r="AC582" s="129"/>
      <c r="AD582" s="129"/>
      <c r="AE582" s="129"/>
      <c r="AF582" s="129"/>
      <c r="AG582" s="117"/>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c r="BK582" s="124"/>
      <c r="BL582" s="124"/>
      <c r="BM582" s="124"/>
      <c r="BN582" s="124"/>
      <c r="BO582" s="124"/>
      <c r="BP582" s="124"/>
      <c r="BQ582" s="124"/>
      <c r="BR582" s="124"/>
      <c r="BS582" s="124"/>
      <c r="BT582" s="124"/>
      <c r="BU582" s="124"/>
      <c r="BV582" s="124"/>
      <c r="BW582" s="124"/>
      <c r="BX582" s="124"/>
      <c r="BY582" s="124"/>
      <c r="BZ582" s="124"/>
      <c r="CA582" s="124"/>
    </row>
    <row r="583">
      <c r="A583" s="141"/>
      <c r="B583" s="107"/>
      <c r="C583" s="107"/>
      <c r="D583" s="143"/>
      <c r="E583" s="129"/>
      <c r="F583" s="129"/>
      <c r="G583" s="129"/>
      <c r="H583" s="129"/>
      <c r="I583" s="129"/>
      <c r="J583" s="129"/>
      <c r="K583" s="129"/>
      <c r="L583" s="129"/>
      <c r="M583" s="129"/>
      <c r="N583" s="129"/>
      <c r="O583" s="129"/>
      <c r="P583" s="129"/>
      <c r="Q583" s="129"/>
      <c r="R583" s="129"/>
      <c r="S583" s="129"/>
      <c r="T583" s="129"/>
      <c r="U583" s="106"/>
      <c r="V583" s="106"/>
      <c r="W583" s="106"/>
      <c r="X583" s="106"/>
      <c r="Y583" s="106"/>
      <c r="Z583" s="129"/>
      <c r="AA583" s="129"/>
      <c r="AB583" s="129"/>
      <c r="AC583" s="129"/>
      <c r="AD583" s="129"/>
      <c r="AE583" s="129"/>
      <c r="AF583" s="129"/>
      <c r="AG583" s="117"/>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c r="BK583" s="124"/>
      <c r="BL583" s="124"/>
      <c r="BM583" s="124"/>
      <c r="BN583" s="124"/>
      <c r="BO583" s="124"/>
      <c r="BP583" s="124"/>
      <c r="BQ583" s="124"/>
      <c r="BR583" s="124"/>
      <c r="BS583" s="124"/>
      <c r="BT583" s="124"/>
      <c r="BU583" s="124"/>
      <c r="BV583" s="124"/>
      <c r="BW583" s="124"/>
      <c r="BX583" s="124"/>
      <c r="BY583" s="124"/>
      <c r="BZ583" s="124"/>
      <c r="CA583" s="124"/>
    </row>
    <row r="584">
      <c r="A584" s="141"/>
      <c r="B584" s="107"/>
      <c r="C584" s="107"/>
      <c r="D584" s="143"/>
      <c r="E584" s="129"/>
      <c r="F584" s="129"/>
      <c r="G584" s="129"/>
      <c r="H584" s="129"/>
      <c r="I584" s="129"/>
      <c r="J584" s="129"/>
      <c r="K584" s="129"/>
      <c r="L584" s="129"/>
      <c r="M584" s="129"/>
      <c r="N584" s="129"/>
      <c r="O584" s="129"/>
      <c r="P584" s="129"/>
      <c r="Q584" s="129"/>
      <c r="R584" s="129"/>
      <c r="S584" s="129"/>
      <c r="T584" s="129"/>
      <c r="U584" s="106"/>
      <c r="V584" s="106"/>
      <c r="W584" s="106"/>
      <c r="X584" s="106"/>
      <c r="Y584" s="106"/>
      <c r="Z584" s="129"/>
      <c r="AA584" s="129"/>
      <c r="AB584" s="129"/>
      <c r="AC584" s="129"/>
      <c r="AD584" s="129"/>
      <c r="AE584" s="129"/>
      <c r="AF584" s="129"/>
      <c r="AG584" s="117"/>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row>
    <row r="585">
      <c r="A585" s="141"/>
      <c r="B585" s="107"/>
      <c r="C585" s="107"/>
      <c r="D585" s="143"/>
      <c r="E585" s="129"/>
      <c r="F585" s="129"/>
      <c r="G585" s="129"/>
      <c r="H585" s="129"/>
      <c r="I585" s="129"/>
      <c r="J585" s="129"/>
      <c r="K585" s="129"/>
      <c r="L585" s="129"/>
      <c r="M585" s="129"/>
      <c r="N585" s="129"/>
      <c r="O585" s="129"/>
      <c r="P585" s="129"/>
      <c r="Q585" s="129"/>
      <c r="R585" s="129"/>
      <c r="S585" s="129"/>
      <c r="T585" s="129"/>
      <c r="U585" s="106"/>
      <c r="V585" s="106"/>
      <c r="W585" s="106"/>
      <c r="X585" s="106"/>
      <c r="Y585" s="106"/>
      <c r="Z585" s="129"/>
      <c r="AA585" s="129"/>
      <c r="AB585" s="129"/>
      <c r="AC585" s="129"/>
      <c r="AD585" s="129"/>
      <c r="AE585" s="129"/>
      <c r="AF585" s="129"/>
      <c r="AG585" s="117"/>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c r="BK585" s="124"/>
      <c r="BL585" s="124"/>
      <c r="BM585" s="124"/>
      <c r="BN585" s="124"/>
      <c r="BO585" s="124"/>
      <c r="BP585" s="124"/>
      <c r="BQ585" s="124"/>
      <c r="BR585" s="124"/>
      <c r="BS585" s="124"/>
      <c r="BT585" s="124"/>
      <c r="BU585" s="124"/>
      <c r="BV585" s="124"/>
      <c r="BW585" s="124"/>
      <c r="BX585" s="124"/>
      <c r="BY585" s="124"/>
      <c r="BZ585" s="124"/>
      <c r="CA585" s="124"/>
    </row>
    <row r="586">
      <c r="A586" s="141"/>
      <c r="B586" s="107"/>
      <c r="C586" s="107"/>
      <c r="D586" s="143"/>
      <c r="E586" s="129"/>
      <c r="F586" s="129"/>
      <c r="G586" s="129"/>
      <c r="H586" s="129"/>
      <c r="I586" s="129"/>
      <c r="J586" s="129"/>
      <c r="K586" s="129"/>
      <c r="L586" s="129"/>
      <c r="M586" s="129"/>
      <c r="N586" s="129"/>
      <c r="O586" s="129"/>
      <c r="P586" s="129"/>
      <c r="Q586" s="129"/>
      <c r="R586" s="129"/>
      <c r="S586" s="129"/>
      <c r="T586" s="129"/>
      <c r="U586" s="106"/>
      <c r="V586" s="106"/>
      <c r="W586" s="106"/>
      <c r="X586" s="106"/>
      <c r="Y586" s="106"/>
      <c r="Z586" s="129"/>
      <c r="AA586" s="129"/>
      <c r="AB586" s="129"/>
      <c r="AC586" s="129"/>
      <c r="AD586" s="129"/>
      <c r="AE586" s="129"/>
      <c r="AF586" s="129"/>
      <c r="AG586" s="117"/>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c r="BK586" s="124"/>
      <c r="BL586" s="124"/>
      <c r="BM586" s="124"/>
      <c r="BN586" s="124"/>
      <c r="BO586" s="124"/>
      <c r="BP586" s="124"/>
      <c r="BQ586" s="124"/>
      <c r="BR586" s="124"/>
      <c r="BS586" s="124"/>
      <c r="BT586" s="124"/>
      <c r="BU586" s="124"/>
      <c r="BV586" s="124"/>
      <c r="BW586" s="124"/>
      <c r="BX586" s="124"/>
      <c r="BY586" s="124"/>
      <c r="BZ586" s="124"/>
      <c r="CA586" s="124"/>
    </row>
    <row r="587">
      <c r="A587" s="141"/>
      <c r="B587" s="107"/>
      <c r="C587" s="107"/>
      <c r="D587" s="143"/>
      <c r="E587" s="129"/>
      <c r="F587" s="129"/>
      <c r="G587" s="129"/>
      <c r="H587" s="129"/>
      <c r="I587" s="129"/>
      <c r="J587" s="129"/>
      <c r="K587" s="129"/>
      <c r="L587" s="129"/>
      <c r="M587" s="129"/>
      <c r="N587" s="129"/>
      <c r="O587" s="129"/>
      <c r="P587" s="129"/>
      <c r="Q587" s="129"/>
      <c r="R587" s="129"/>
      <c r="S587" s="129"/>
      <c r="T587" s="129"/>
      <c r="U587" s="106"/>
      <c r="V587" s="106"/>
      <c r="W587" s="106"/>
      <c r="X587" s="106"/>
      <c r="Y587" s="106"/>
      <c r="Z587" s="129"/>
      <c r="AA587" s="129"/>
      <c r="AB587" s="129"/>
      <c r="AC587" s="129"/>
      <c r="AD587" s="129"/>
      <c r="AE587" s="129"/>
      <c r="AF587" s="129"/>
      <c r="AG587" s="117"/>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c r="BK587" s="124"/>
      <c r="BL587" s="124"/>
      <c r="BM587" s="124"/>
      <c r="BN587" s="124"/>
      <c r="BO587" s="124"/>
      <c r="BP587" s="124"/>
      <c r="BQ587" s="124"/>
      <c r="BR587" s="124"/>
      <c r="BS587" s="124"/>
      <c r="BT587" s="124"/>
      <c r="BU587" s="124"/>
      <c r="BV587" s="124"/>
      <c r="BW587" s="124"/>
      <c r="BX587" s="124"/>
      <c r="BY587" s="124"/>
      <c r="BZ587" s="124"/>
      <c r="CA587" s="124"/>
    </row>
    <row r="588">
      <c r="A588" s="141"/>
      <c r="B588" s="107"/>
      <c r="C588" s="107"/>
      <c r="D588" s="143"/>
      <c r="E588" s="129"/>
      <c r="F588" s="129"/>
      <c r="G588" s="129"/>
      <c r="H588" s="129"/>
      <c r="I588" s="129"/>
      <c r="J588" s="129"/>
      <c r="K588" s="129"/>
      <c r="L588" s="129"/>
      <c r="M588" s="129"/>
      <c r="N588" s="129"/>
      <c r="O588" s="129"/>
      <c r="P588" s="129"/>
      <c r="Q588" s="129"/>
      <c r="R588" s="129"/>
      <c r="S588" s="129"/>
      <c r="T588" s="129"/>
      <c r="U588" s="106"/>
      <c r="V588" s="106"/>
      <c r="W588" s="106"/>
      <c r="X588" s="106"/>
      <c r="Y588" s="106"/>
      <c r="Z588" s="129"/>
      <c r="AA588" s="129"/>
      <c r="AB588" s="129"/>
      <c r="AC588" s="129"/>
      <c r="AD588" s="129"/>
      <c r="AE588" s="129"/>
      <c r="AF588" s="129"/>
      <c r="AG588" s="117"/>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c r="BK588" s="124"/>
      <c r="BL588" s="124"/>
      <c r="BM588" s="124"/>
      <c r="BN588" s="124"/>
      <c r="BO588" s="124"/>
      <c r="BP588" s="124"/>
      <c r="BQ588" s="124"/>
      <c r="BR588" s="124"/>
      <c r="BS588" s="124"/>
      <c r="BT588" s="124"/>
      <c r="BU588" s="124"/>
      <c r="BV588" s="124"/>
      <c r="BW588" s="124"/>
      <c r="BX588" s="124"/>
      <c r="BY588" s="124"/>
      <c r="BZ588" s="124"/>
      <c r="CA588" s="124"/>
    </row>
    <row r="589">
      <c r="A589" s="141"/>
      <c r="B589" s="107"/>
      <c r="C589" s="107"/>
      <c r="D589" s="143"/>
      <c r="E589" s="129"/>
      <c r="F589" s="129"/>
      <c r="G589" s="129"/>
      <c r="H589" s="129"/>
      <c r="I589" s="129"/>
      <c r="J589" s="129"/>
      <c r="K589" s="129"/>
      <c r="L589" s="129"/>
      <c r="M589" s="129"/>
      <c r="N589" s="129"/>
      <c r="O589" s="129"/>
      <c r="P589" s="129"/>
      <c r="Q589" s="129"/>
      <c r="R589" s="129"/>
      <c r="S589" s="129"/>
      <c r="T589" s="129"/>
      <c r="U589" s="106"/>
      <c r="V589" s="106"/>
      <c r="W589" s="106"/>
      <c r="X589" s="106"/>
      <c r="Y589" s="106"/>
      <c r="Z589" s="129"/>
      <c r="AA589" s="129"/>
      <c r="AB589" s="129"/>
      <c r="AC589" s="129"/>
      <c r="AD589" s="129"/>
      <c r="AE589" s="129"/>
      <c r="AF589" s="129"/>
      <c r="AG589" s="117"/>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c r="BK589" s="124"/>
      <c r="BL589" s="124"/>
      <c r="BM589" s="124"/>
      <c r="BN589" s="124"/>
      <c r="BO589" s="124"/>
      <c r="BP589" s="124"/>
      <c r="BQ589" s="124"/>
      <c r="BR589" s="124"/>
      <c r="BS589" s="124"/>
      <c r="BT589" s="124"/>
      <c r="BU589" s="124"/>
      <c r="BV589" s="124"/>
      <c r="BW589" s="124"/>
      <c r="BX589" s="124"/>
      <c r="BY589" s="124"/>
      <c r="BZ589" s="124"/>
      <c r="CA589" s="124"/>
    </row>
    <row r="590">
      <c r="A590" s="141"/>
      <c r="B590" s="107"/>
      <c r="C590" s="107"/>
      <c r="D590" s="143"/>
      <c r="E590" s="129"/>
      <c r="F590" s="129"/>
      <c r="G590" s="129"/>
      <c r="H590" s="129"/>
      <c r="I590" s="129"/>
      <c r="J590" s="129"/>
      <c r="K590" s="129"/>
      <c r="L590" s="129"/>
      <c r="M590" s="129"/>
      <c r="N590" s="129"/>
      <c r="O590" s="129"/>
      <c r="P590" s="129"/>
      <c r="Q590" s="129"/>
      <c r="R590" s="129"/>
      <c r="S590" s="129"/>
      <c r="T590" s="129"/>
      <c r="U590" s="106"/>
      <c r="V590" s="106"/>
      <c r="W590" s="106"/>
      <c r="X590" s="106"/>
      <c r="Y590" s="106"/>
      <c r="Z590" s="129"/>
      <c r="AA590" s="129"/>
      <c r="AB590" s="129"/>
      <c r="AC590" s="129"/>
      <c r="AD590" s="129"/>
      <c r="AE590" s="129"/>
      <c r="AF590" s="129"/>
      <c r="AG590" s="117"/>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row>
    <row r="591">
      <c r="A591" s="141"/>
      <c r="B591" s="107"/>
      <c r="C591" s="107"/>
      <c r="D591" s="143"/>
      <c r="E591" s="129"/>
      <c r="F591" s="129"/>
      <c r="G591" s="129"/>
      <c r="H591" s="129"/>
      <c r="I591" s="129"/>
      <c r="J591" s="129"/>
      <c r="K591" s="129"/>
      <c r="L591" s="129"/>
      <c r="M591" s="129"/>
      <c r="N591" s="129"/>
      <c r="O591" s="129"/>
      <c r="P591" s="129"/>
      <c r="Q591" s="129"/>
      <c r="R591" s="129"/>
      <c r="S591" s="129"/>
      <c r="T591" s="129"/>
      <c r="U591" s="106"/>
      <c r="V591" s="106"/>
      <c r="W591" s="106"/>
      <c r="X591" s="106"/>
      <c r="Y591" s="106"/>
      <c r="Z591" s="129"/>
      <c r="AA591" s="129"/>
      <c r="AB591" s="129"/>
      <c r="AC591" s="129"/>
      <c r="AD591" s="129"/>
      <c r="AE591" s="129"/>
      <c r="AF591" s="129"/>
      <c r="AG591" s="117"/>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c r="BK591" s="124"/>
      <c r="BL591" s="124"/>
      <c r="BM591" s="124"/>
      <c r="BN591" s="124"/>
      <c r="BO591" s="124"/>
      <c r="BP591" s="124"/>
      <c r="BQ591" s="124"/>
      <c r="BR591" s="124"/>
      <c r="BS591" s="124"/>
      <c r="BT591" s="124"/>
      <c r="BU591" s="124"/>
      <c r="BV591" s="124"/>
      <c r="BW591" s="124"/>
      <c r="BX591" s="124"/>
      <c r="BY591" s="124"/>
      <c r="BZ591" s="124"/>
      <c r="CA591" s="124"/>
    </row>
    <row r="592">
      <c r="A592" s="141"/>
      <c r="B592" s="107"/>
      <c r="C592" s="107"/>
      <c r="D592" s="143"/>
      <c r="E592" s="129"/>
      <c r="F592" s="129"/>
      <c r="G592" s="129"/>
      <c r="H592" s="129"/>
      <c r="I592" s="129"/>
      <c r="J592" s="129"/>
      <c r="K592" s="129"/>
      <c r="L592" s="129"/>
      <c r="M592" s="129"/>
      <c r="N592" s="129"/>
      <c r="O592" s="129"/>
      <c r="P592" s="129"/>
      <c r="Q592" s="129"/>
      <c r="R592" s="129"/>
      <c r="S592" s="129"/>
      <c r="T592" s="129"/>
      <c r="U592" s="106"/>
      <c r="V592" s="106"/>
      <c r="W592" s="106"/>
      <c r="X592" s="106"/>
      <c r="Y592" s="106"/>
      <c r="Z592" s="129"/>
      <c r="AA592" s="129"/>
      <c r="AB592" s="129"/>
      <c r="AC592" s="129"/>
      <c r="AD592" s="129"/>
      <c r="AE592" s="129"/>
      <c r="AF592" s="129"/>
      <c r="AG592" s="117"/>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c r="BK592" s="124"/>
      <c r="BL592" s="124"/>
      <c r="BM592" s="124"/>
      <c r="BN592" s="124"/>
      <c r="BO592" s="124"/>
      <c r="BP592" s="124"/>
      <c r="BQ592" s="124"/>
      <c r="BR592" s="124"/>
      <c r="BS592" s="124"/>
      <c r="BT592" s="124"/>
      <c r="BU592" s="124"/>
      <c r="BV592" s="124"/>
      <c r="BW592" s="124"/>
      <c r="BX592" s="124"/>
      <c r="BY592" s="124"/>
      <c r="BZ592" s="124"/>
      <c r="CA592" s="124"/>
    </row>
    <row r="593">
      <c r="A593" s="141"/>
      <c r="B593" s="107"/>
      <c r="C593" s="107"/>
      <c r="D593" s="143"/>
      <c r="E593" s="129"/>
      <c r="F593" s="129"/>
      <c r="G593" s="129"/>
      <c r="H593" s="129"/>
      <c r="I593" s="129"/>
      <c r="J593" s="129"/>
      <c r="K593" s="129"/>
      <c r="L593" s="129"/>
      <c r="M593" s="129"/>
      <c r="N593" s="129"/>
      <c r="O593" s="129"/>
      <c r="P593" s="129"/>
      <c r="Q593" s="129"/>
      <c r="R593" s="129"/>
      <c r="S593" s="129"/>
      <c r="T593" s="129"/>
      <c r="U593" s="106"/>
      <c r="V593" s="106"/>
      <c r="W593" s="106"/>
      <c r="X593" s="106"/>
      <c r="Y593" s="106"/>
      <c r="Z593" s="129"/>
      <c r="AA593" s="129"/>
      <c r="AB593" s="129"/>
      <c r="AC593" s="129"/>
      <c r="AD593" s="129"/>
      <c r="AE593" s="129"/>
      <c r="AF593" s="129"/>
      <c r="AG593" s="117"/>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c r="BK593" s="124"/>
      <c r="BL593" s="124"/>
      <c r="BM593" s="124"/>
      <c r="BN593" s="124"/>
      <c r="BO593" s="124"/>
      <c r="BP593" s="124"/>
      <c r="BQ593" s="124"/>
      <c r="BR593" s="124"/>
      <c r="BS593" s="124"/>
      <c r="BT593" s="124"/>
      <c r="BU593" s="124"/>
      <c r="BV593" s="124"/>
      <c r="BW593" s="124"/>
      <c r="BX593" s="124"/>
      <c r="BY593" s="124"/>
      <c r="BZ593" s="124"/>
      <c r="CA593" s="124"/>
    </row>
    <row r="594">
      <c r="A594" s="141"/>
      <c r="B594" s="107"/>
      <c r="C594" s="107"/>
      <c r="D594" s="143"/>
      <c r="E594" s="129"/>
      <c r="F594" s="129"/>
      <c r="G594" s="129"/>
      <c r="H594" s="129"/>
      <c r="I594" s="129"/>
      <c r="J594" s="129"/>
      <c r="K594" s="129"/>
      <c r="L594" s="129"/>
      <c r="M594" s="129"/>
      <c r="N594" s="129"/>
      <c r="O594" s="129"/>
      <c r="P594" s="129"/>
      <c r="Q594" s="129"/>
      <c r="R594" s="129"/>
      <c r="S594" s="129"/>
      <c r="T594" s="129"/>
      <c r="U594" s="106"/>
      <c r="V594" s="106"/>
      <c r="W594" s="106"/>
      <c r="X594" s="106"/>
      <c r="Y594" s="106"/>
      <c r="Z594" s="129"/>
      <c r="AA594" s="129"/>
      <c r="AB594" s="129"/>
      <c r="AC594" s="129"/>
      <c r="AD594" s="129"/>
      <c r="AE594" s="129"/>
      <c r="AF594" s="129"/>
      <c r="AG594" s="117"/>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c r="BK594" s="124"/>
      <c r="BL594" s="124"/>
      <c r="BM594" s="124"/>
      <c r="BN594" s="124"/>
      <c r="BO594" s="124"/>
      <c r="BP594" s="124"/>
      <c r="BQ594" s="124"/>
      <c r="BR594" s="124"/>
      <c r="BS594" s="124"/>
      <c r="BT594" s="124"/>
      <c r="BU594" s="124"/>
      <c r="BV594" s="124"/>
      <c r="BW594" s="124"/>
      <c r="BX594" s="124"/>
      <c r="BY594" s="124"/>
      <c r="BZ594" s="124"/>
      <c r="CA594" s="124"/>
    </row>
    <row r="595">
      <c r="A595" s="141"/>
      <c r="B595" s="107"/>
      <c r="C595" s="107"/>
      <c r="D595" s="143"/>
      <c r="E595" s="129"/>
      <c r="F595" s="129"/>
      <c r="G595" s="129"/>
      <c r="H595" s="129"/>
      <c r="I595" s="129"/>
      <c r="J595" s="129"/>
      <c r="K595" s="129"/>
      <c r="L595" s="129"/>
      <c r="M595" s="129"/>
      <c r="N595" s="129"/>
      <c r="O595" s="129"/>
      <c r="P595" s="129"/>
      <c r="Q595" s="129"/>
      <c r="R595" s="129"/>
      <c r="S595" s="129"/>
      <c r="T595" s="129"/>
      <c r="U595" s="106"/>
      <c r="V595" s="106"/>
      <c r="W595" s="106"/>
      <c r="X595" s="106"/>
      <c r="Y595" s="106"/>
      <c r="Z595" s="129"/>
      <c r="AA595" s="129"/>
      <c r="AB595" s="129"/>
      <c r="AC595" s="129"/>
      <c r="AD595" s="129"/>
      <c r="AE595" s="129"/>
      <c r="AF595" s="129"/>
      <c r="AG595" s="117"/>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c r="BK595" s="124"/>
      <c r="BL595" s="124"/>
      <c r="BM595" s="124"/>
      <c r="BN595" s="124"/>
      <c r="BO595" s="124"/>
      <c r="BP595" s="124"/>
      <c r="BQ595" s="124"/>
      <c r="BR595" s="124"/>
      <c r="BS595" s="124"/>
      <c r="BT595" s="124"/>
      <c r="BU595" s="124"/>
      <c r="BV595" s="124"/>
      <c r="BW595" s="124"/>
      <c r="BX595" s="124"/>
      <c r="BY595" s="124"/>
      <c r="BZ595" s="124"/>
      <c r="CA595" s="124"/>
    </row>
    <row r="596">
      <c r="A596" s="141"/>
      <c r="B596" s="107"/>
      <c r="C596" s="107"/>
      <c r="D596" s="143"/>
      <c r="E596" s="129"/>
      <c r="F596" s="129"/>
      <c r="G596" s="129"/>
      <c r="H596" s="129"/>
      <c r="I596" s="129"/>
      <c r="J596" s="129"/>
      <c r="K596" s="129"/>
      <c r="L596" s="129"/>
      <c r="M596" s="129"/>
      <c r="N596" s="129"/>
      <c r="O596" s="129"/>
      <c r="P596" s="129"/>
      <c r="Q596" s="129"/>
      <c r="R596" s="129"/>
      <c r="S596" s="129"/>
      <c r="T596" s="129"/>
      <c r="U596" s="106"/>
      <c r="V596" s="106"/>
      <c r="W596" s="106"/>
      <c r="X596" s="106"/>
      <c r="Y596" s="106"/>
      <c r="Z596" s="129"/>
      <c r="AA596" s="129"/>
      <c r="AB596" s="129"/>
      <c r="AC596" s="129"/>
      <c r="AD596" s="129"/>
      <c r="AE596" s="129"/>
      <c r="AF596" s="129"/>
      <c r="AG596" s="117"/>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row>
    <row r="597">
      <c r="A597" s="141"/>
      <c r="B597" s="107"/>
      <c r="C597" s="107"/>
      <c r="D597" s="143"/>
      <c r="E597" s="129"/>
      <c r="F597" s="129"/>
      <c r="G597" s="129"/>
      <c r="H597" s="129"/>
      <c r="I597" s="129"/>
      <c r="J597" s="129"/>
      <c r="K597" s="129"/>
      <c r="L597" s="129"/>
      <c r="M597" s="129"/>
      <c r="N597" s="129"/>
      <c r="O597" s="129"/>
      <c r="P597" s="129"/>
      <c r="Q597" s="129"/>
      <c r="R597" s="129"/>
      <c r="S597" s="129"/>
      <c r="T597" s="129"/>
      <c r="U597" s="106"/>
      <c r="V597" s="106"/>
      <c r="W597" s="106"/>
      <c r="X597" s="106"/>
      <c r="Y597" s="106"/>
      <c r="Z597" s="129"/>
      <c r="AA597" s="129"/>
      <c r="AB597" s="129"/>
      <c r="AC597" s="129"/>
      <c r="AD597" s="129"/>
      <c r="AE597" s="129"/>
      <c r="AF597" s="129"/>
      <c r="AG597" s="117"/>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c r="BK597" s="124"/>
      <c r="BL597" s="124"/>
      <c r="BM597" s="124"/>
      <c r="BN597" s="124"/>
      <c r="BO597" s="124"/>
      <c r="BP597" s="124"/>
      <c r="BQ597" s="124"/>
      <c r="BR597" s="124"/>
      <c r="BS597" s="124"/>
      <c r="BT597" s="124"/>
      <c r="BU597" s="124"/>
      <c r="BV597" s="124"/>
      <c r="BW597" s="124"/>
      <c r="BX597" s="124"/>
      <c r="BY597" s="124"/>
      <c r="BZ597" s="124"/>
      <c r="CA597" s="124"/>
    </row>
    <row r="598">
      <c r="A598" s="141"/>
      <c r="B598" s="107"/>
      <c r="C598" s="107"/>
      <c r="D598" s="143"/>
      <c r="E598" s="129"/>
      <c r="F598" s="129"/>
      <c r="G598" s="129"/>
      <c r="H598" s="129"/>
      <c r="I598" s="129"/>
      <c r="J598" s="129"/>
      <c r="K598" s="129"/>
      <c r="L598" s="129"/>
      <c r="M598" s="129"/>
      <c r="N598" s="129"/>
      <c r="O598" s="129"/>
      <c r="P598" s="129"/>
      <c r="Q598" s="129"/>
      <c r="R598" s="129"/>
      <c r="S598" s="129"/>
      <c r="T598" s="129"/>
      <c r="U598" s="106"/>
      <c r="V598" s="106"/>
      <c r="W598" s="106"/>
      <c r="X598" s="106"/>
      <c r="Y598" s="106"/>
      <c r="Z598" s="129"/>
      <c r="AA598" s="129"/>
      <c r="AB598" s="129"/>
      <c r="AC598" s="129"/>
      <c r="AD598" s="129"/>
      <c r="AE598" s="129"/>
      <c r="AF598" s="129"/>
      <c r="AG598" s="117"/>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c r="BK598" s="124"/>
      <c r="BL598" s="124"/>
      <c r="BM598" s="124"/>
      <c r="BN598" s="124"/>
      <c r="BO598" s="124"/>
      <c r="BP598" s="124"/>
      <c r="BQ598" s="124"/>
      <c r="BR598" s="124"/>
      <c r="BS598" s="124"/>
      <c r="BT598" s="124"/>
      <c r="BU598" s="124"/>
      <c r="BV598" s="124"/>
      <c r="BW598" s="124"/>
      <c r="BX598" s="124"/>
      <c r="BY598" s="124"/>
      <c r="BZ598" s="124"/>
      <c r="CA598" s="124"/>
    </row>
    <row r="599">
      <c r="A599" s="141"/>
      <c r="B599" s="107"/>
      <c r="C599" s="107"/>
      <c r="D599" s="143"/>
      <c r="E599" s="129"/>
      <c r="F599" s="129"/>
      <c r="G599" s="129"/>
      <c r="H599" s="129"/>
      <c r="I599" s="129"/>
      <c r="J599" s="129"/>
      <c r="K599" s="129"/>
      <c r="L599" s="129"/>
      <c r="M599" s="129"/>
      <c r="N599" s="129"/>
      <c r="O599" s="129"/>
      <c r="P599" s="129"/>
      <c r="Q599" s="129"/>
      <c r="R599" s="129"/>
      <c r="S599" s="129"/>
      <c r="T599" s="129"/>
      <c r="U599" s="106"/>
      <c r="V599" s="106"/>
      <c r="W599" s="106"/>
      <c r="X599" s="106"/>
      <c r="Y599" s="106"/>
      <c r="Z599" s="129"/>
      <c r="AA599" s="129"/>
      <c r="AB599" s="129"/>
      <c r="AC599" s="129"/>
      <c r="AD599" s="129"/>
      <c r="AE599" s="129"/>
      <c r="AF599" s="129"/>
      <c r="AG599" s="117"/>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c r="BK599" s="124"/>
      <c r="BL599" s="124"/>
      <c r="BM599" s="124"/>
      <c r="BN599" s="124"/>
      <c r="BO599" s="124"/>
      <c r="BP599" s="124"/>
      <c r="BQ599" s="124"/>
      <c r="BR599" s="124"/>
      <c r="BS599" s="124"/>
      <c r="BT599" s="124"/>
      <c r="BU599" s="124"/>
      <c r="BV599" s="124"/>
      <c r="BW599" s="124"/>
      <c r="BX599" s="124"/>
      <c r="BY599" s="124"/>
      <c r="BZ599" s="124"/>
      <c r="CA599" s="124"/>
    </row>
    <row r="600">
      <c r="A600" s="141"/>
      <c r="B600" s="107"/>
      <c r="C600" s="107"/>
      <c r="D600" s="143"/>
      <c r="E600" s="129"/>
      <c r="F600" s="129"/>
      <c r="G600" s="129"/>
      <c r="H600" s="129"/>
      <c r="I600" s="129"/>
      <c r="J600" s="129"/>
      <c r="K600" s="129"/>
      <c r="L600" s="129"/>
      <c r="M600" s="129"/>
      <c r="N600" s="129"/>
      <c r="O600" s="129"/>
      <c r="P600" s="129"/>
      <c r="Q600" s="129"/>
      <c r="R600" s="129"/>
      <c r="S600" s="129"/>
      <c r="T600" s="129"/>
      <c r="U600" s="106"/>
      <c r="V600" s="106"/>
      <c r="W600" s="106"/>
      <c r="X600" s="106"/>
      <c r="Y600" s="106"/>
      <c r="Z600" s="129"/>
      <c r="AA600" s="129"/>
      <c r="AB600" s="129"/>
      <c r="AC600" s="129"/>
      <c r="AD600" s="129"/>
      <c r="AE600" s="129"/>
      <c r="AF600" s="129"/>
      <c r="AG600" s="117"/>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c r="BK600" s="124"/>
      <c r="BL600" s="124"/>
      <c r="BM600" s="124"/>
      <c r="BN600" s="124"/>
      <c r="BO600" s="124"/>
      <c r="BP600" s="124"/>
      <c r="BQ600" s="124"/>
      <c r="BR600" s="124"/>
      <c r="BS600" s="124"/>
      <c r="BT600" s="124"/>
      <c r="BU600" s="124"/>
      <c r="BV600" s="124"/>
      <c r="BW600" s="124"/>
      <c r="BX600" s="124"/>
      <c r="BY600" s="124"/>
      <c r="BZ600" s="124"/>
      <c r="CA600" s="124"/>
    </row>
    <row r="601">
      <c r="A601" s="141"/>
      <c r="B601" s="107"/>
      <c r="C601" s="107"/>
      <c r="D601" s="143"/>
      <c r="E601" s="129"/>
      <c r="F601" s="129"/>
      <c r="G601" s="129"/>
      <c r="H601" s="129"/>
      <c r="I601" s="129"/>
      <c r="J601" s="129"/>
      <c r="K601" s="129"/>
      <c r="L601" s="129"/>
      <c r="M601" s="129"/>
      <c r="N601" s="129"/>
      <c r="O601" s="129"/>
      <c r="P601" s="129"/>
      <c r="Q601" s="129"/>
      <c r="R601" s="129"/>
      <c r="S601" s="129"/>
      <c r="T601" s="129"/>
      <c r="U601" s="106"/>
      <c r="V601" s="106"/>
      <c r="W601" s="106"/>
      <c r="X601" s="106"/>
      <c r="Y601" s="106"/>
      <c r="Z601" s="129"/>
      <c r="AA601" s="129"/>
      <c r="AB601" s="129"/>
      <c r="AC601" s="129"/>
      <c r="AD601" s="129"/>
      <c r="AE601" s="129"/>
      <c r="AF601" s="129"/>
      <c r="AG601" s="117"/>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c r="BK601" s="124"/>
      <c r="BL601" s="124"/>
      <c r="BM601" s="124"/>
      <c r="BN601" s="124"/>
      <c r="BO601" s="124"/>
      <c r="BP601" s="124"/>
      <c r="BQ601" s="124"/>
      <c r="BR601" s="124"/>
      <c r="BS601" s="124"/>
      <c r="BT601" s="124"/>
      <c r="BU601" s="124"/>
      <c r="BV601" s="124"/>
      <c r="BW601" s="124"/>
      <c r="BX601" s="124"/>
      <c r="BY601" s="124"/>
      <c r="BZ601" s="124"/>
      <c r="CA601" s="124"/>
    </row>
    <row r="602">
      <c r="A602" s="141"/>
      <c r="B602" s="107"/>
      <c r="C602" s="107"/>
      <c r="D602" s="143"/>
      <c r="E602" s="129"/>
      <c r="F602" s="129"/>
      <c r="G602" s="129"/>
      <c r="H602" s="129"/>
      <c r="I602" s="129"/>
      <c r="J602" s="129"/>
      <c r="K602" s="129"/>
      <c r="L602" s="129"/>
      <c r="M602" s="129"/>
      <c r="N602" s="129"/>
      <c r="O602" s="129"/>
      <c r="P602" s="129"/>
      <c r="Q602" s="129"/>
      <c r="R602" s="129"/>
      <c r="S602" s="129"/>
      <c r="T602" s="129"/>
      <c r="U602" s="106"/>
      <c r="V602" s="106"/>
      <c r="W602" s="106"/>
      <c r="X602" s="106"/>
      <c r="Y602" s="106"/>
      <c r="Z602" s="129"/>
      <c r="AA602" s="129"/>
      <c r="AB602" s="129"/>
      <c r="AC602" s="129"/>
      <c r="AD602" s="129"/>
      <c r="AE602" s="129"/>
      <c r="AF602" s="129"/>
      <c r="AG602" s="117"/>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c r="BK602" s="124"/>
      <c r="BL602" s="124"/>
      <c r="BM602" s="124"/>
      <c r="BN602" s="124"/>
      <c r="BO602" s="124"/>
      <c r="BP602" s="124"/>
      <c r="BQ602" s="124"/>
      <c r="BR602" s="124"/>
      <c r="BS602" s="124"/>
      <c r="BT602" s="124"/>
      <c r="BU602" s="124"/>
      <c r="BV602" s="124"/>
      <c r="BW602" s="124"/>
      <c r="BX602" s="124"/>
      <c r="BY602" s="124"/>
      <c r="BZ602" s="124"/>
      <c r="CA602" s="124"/>
    </row>
    <row r="603">
      <c r="A603" s="141"/>
      <c r="B603" s="107"/>
      <c r="C603" s="107"/>
      <c r="D603" s="143"/>
      <c r="E603" s="129"/>
      <c r="F603" s="129"/>
      <c r="G603" s="129"/>
      <c r="H603" s="129"/>
      <c r="I603" s="129"/>
      <c r="J603" s="129"/>
      <c r="K603" s="129"/>
      <c r="L603" s="129"/>
      <c r="M603" s="129"/>
      <c r="N603" s="129"/>
      <c r="O603" s="129"/>
      <c r="P603" s="129"/>
      <c r="Q603" s="129"/>
      <c r="R603" s="129"/>
      <c r="S603" s="129"/>
      <c r="T603" s="129"/>
      <c r="U603" s="106"/>
      <c r="V603" s="106"/>
      <c r="W603" s="106"/>
      <c r="X603" s="106"/>
      <c r="Y603" s="106"/>
      <c r="Z603" s="129"/>
      <c r="AA603" s="129"/>
      <c r="AB603" s="129"/>
      <c r="AC603" s="129"/>
      <c r="AD603" s="129"/>
      <c r="AE603" s="129"/>
      <c r="AF603" s="129"/>
      <c r="AG603" s="117"/>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c r="BK603" s="124"/>
      <c r="BL603" s="124"/>
      <c r="BM603" s="124"/>
      <c r="BN603" s="124"/>
      <c r="BO603" s="124"/>
      <c r="BP603" s="124"/>
      <c r="BQ603" s="124"/>
      <c r="BR603" s="124"/>
      <c r="BS603" s="124"/>
      <c r="BT603" s="124"/>
      <c r="BU603" s="124"/>
      <c r="BV603" s="124"/>
      <c r="BW603" s="124"/>
      <c r="BX603" s="124"/>
      <c r="BY603" s="124"/>
      <c r="BZ603" s="124"/>
      <c r="CA603" s="124"/>
    </row>
    <row r="604">
      <c r="A604" s="141"/>
      <c r="B604" s="107"/>
      <c r="C604" s="107"/>
      <c r="D604" s="143"/>
      <c r="E604" s="129"/>
      <c r="F604" s="129"/>
      <c r="G604" s="129"/>
      <c r="H604" s="129"/>
      <c r="I604" s="129"/>
      <c r="J604" s="129"/>
      <c r="K604" s="129"/>
      <c r="L604" s="129"/>
      <c r="M604" s="129"/>
      <c r="N604" s="129"/>
      <c r="O604" s="129"/>
      <c r="P604" s="129"/>
      <c r="Q604" s="129"/>
      <c r="R604" s="129"/>
      <c r="S604" s="129"/>
      <c r="T604" s="129"/>
      <c r="U604" s="106"/>
      <c r="V604" s="106"/>
      <c r="W604" s="106"/>
      <c r="X604" s="106"/>
      <c r="Y604" s="106"/>
      <c r="Z604" s="129"/>
      <c r="AA604" s="129"/>
      <c r="AB604" s="129"/>
      <c r="AC604" s="129"/>
      <c r="AD604" s="129"/>
      <c r="AE604" s="129"/>
      <c r="AF604" s="129"/>
      <c r="AG604" s="117"/>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c r="BK604" s="124"/>
      <c r="BL604" s="124"/>
      <c r="BM604" s="124"/>
      <c r="BN604" s="124"/>
      <c r="BO604" s="124"/>
      <c r="BP604" s="124"/>
      <c r="BQ604" s="124"/>
      <c r="BR604" s="124"/>
      <c r="BS604" s="124"/>
      <c r="BT604" s="124"/>
      <c r="BU604" s="124"/>
      <c r="BV604" s="124"/>
      <c r="BW604" s="124"/>
      <c r="BX604" s="124"/>
      <c r="BY604" s="124"/>
      <c r="BZ604" s="124"/>
      <c r="CA604" s="124"/>
    </row>
    <row r="605">
      <c r="A605" s="141"/>
      <c r="B605" s="107"/>
      <c r="C605" s="107"/>
      <c r="D605" s="143"/>
      <c r="E605" s="129"/>
      <c r="F605" s="129"/>
      <c r="G605" s="129"/>
      <c r="H605" s="129"/>
      <c r="I605" s="129"/>
      <c r="J605" s="129"/>
      <c r="K605" s="129"/>
      <c r="L605" s="129"/>
      <c r="M605" s="129"/>
      <c r="N605" s="129"/>
      <c r="O605" s="129"/>
      <c r="P605" s="129"/>
      <c r="Q605" s="129"/>
      <c r="R605" s="129"/>
      <c r="S605" s="129"/>
      <c r="T605" s="129"/>
      <c r="U605" s="106"/>
      <c r="V605" s="106"/>
      <c r="W605" s="106"/>
      <c r="X605" s="106"/>
      <c r="Y605" s="106"/>
      <c r="Z605" s="129"/>
      <c r="AA605" s="129"/>
      <c r="AB605" s="129"/>
      <c r="AC605" s="129"/>
      <c r="AD605" s="129"/>
      <c r="AE605" s="129"/>
      <c r="AF605" s="129"/>
      <c r="AG605" s="117"/>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c r="BK605" s="124"/>
      <c r="BL605" s="124"/>
      <c r="BM605" s="124"/>
      <c r="BN605" s="124"/>
      <c r="BO605" s="124"/>
      <c r="BP605" s="124"/>
      <c r="BQ605" s="124"/>
      <c r="BR605" s="124"/>
      <c r="BS605" s="124"/>
      <c r="BT605" s="124"/>
      <c r="BU605" s="124"/>
      <c r="BV605" s="124"/>
      <c r="BW605" s="124"/>
      <c r="BX605" s="124"/>
      <c r="BY605" s="124"/>
      <c r="BZ605" s="124"/>
      <c r="CA605" s="124"/>
    </row>
    <row r="606">
      <c r="A606" s="141"/>
      <c r="B606" s="107"/>
      <c r="C606" s="107"/>
      <c r="D606" s="143"/>
      <c r="E606" s="129"/>
      <c r="F606" s="129"/>
      <c r="G606" s="129"/>
      <c r="H606" s="129"/>
      <c r="I606" s="129"/>
      <c r="J606" s="129"/>
      <c r="K606" s="129"/>
      <c r="L606" s="129"/>
      <c r="M606" s="129"/>
      <c r="N606" s="129"/>
      <c r="O606" s="129"/>
      <c r="P606" s="129"/>
      <c r="Q606" s="129"/>
      <c r="R606" s="129"/>
      <c r="S606" s="129"/>
      <c r="T606" s="129"/>
      <c r="U606" s="106"/>
      <c r="V606" s="106"/>
      <c r="W606" s="106"/>
      <c r="X606" s="106"/>
      <c r="Y606" s="106"/>
      <c r="Z606" s="129"/>
      <c r="AA606" s="129"/>
      <c r="AB606" s="129"/>
      <c r="AC606" s="129"/>
      <c r="AD606" s="129"/>
      <c r="AE606" s="129"/>
      <c r="AF606" s="129"/>
      <c r="AG606" s="117"/>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c r="BK606" s="124"/>
      <c r="BL606" s="124"/>
      <c r="BM606" s="124"/>
      <c r="BN606" s="124"/>
      <c r="BO606" s="124"/>
      <c r="BP606" s="124"/>
      <c r="BQ606" s="124"/>
      <c r="BR606" s="124"/>
      <c r="BS606" s="124"/>
      <c r="BT606" s="124"/>
      <c r="BU606" s="124"/>
      <c r="BV606" s="124"/>
      <c r="BW606" s="124"/>
      <c r="BX606" s="124"/>
      <c r="BY606" s="124"/>
      <c r="BZ606" s="124"/>
      <c r="CA606" s="124"/>
    </row>
    <row r="607">
      <c r="A607" s="141"/>
      <c r="B607" s="107"/>
      <c r="C607" s="107"/>
      <c r="D607" s="143"/>
      <c r="E607" s="129"/>
      <c r="F607" s="129"/>
      <c r="G607" s="129"/>
      <c r="H607" s="129"/>
      <c r="I607" s="129"/>
      <c r="J607" s="129"/>
      <c r="K607" s="129"/>
      <c r="L607" s="129"/>
      <c r="M607" s="129"/>
      <c r="N607" s="129"/>
      <c r="O607" s="129"/>
      <c r="P607" s="129"/>
      <c r="Q607" s="129"/>
      <c r="R607" s="129"/>
      <c r="S607" s="129"/>
      <c r="T607" s="129"/>
      <c r="U607" s="106"/>
      <c r="V607" s="106"/>
      <c r="W607" s="106"/>
      <c r="X607" s="106"/>
      <c r="Y607" s="106"/>
      <c r="Z607" s="129"/>
      <c r="AA607" s="129"/>
      <c r="AB607" s="129"/>
      <c r="AC607" s="129"/>
      <c r="AD607" s="129"/>
      <c r="AE607" s="129"/>
      <c r="AF607" s="129"/>
      <c r="AG607" s="117"/>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c r="BK607" s="124"/>
      <c r="BL607" s="124"/>
      <c r="BM607" s="124"/>
      <c r="BN607" s="124"/>
      <c r="BO607" s="124"/>
      <c r="BP607" s="124"/>
      <c r="BQ607" s="124"/>
      <c r="BR607" s="124"/>
      <c r="BS607" s="124"/>
      <c r="BT607" s="124"/>
      <c r="BU607" s="124"/>
      <c r="BV607" s="124"/>
      <c r="BW607" s="124"/>
      <c r="BX607" s="124"/>
      <c r="BY607" s="124"/>
      <c r="BZ607" s="124"/>
      <c r="CA607" s="124"/>
    </row>
    <row r="608">
      <c r="A608" s="141"/>
      <c r="B608" s="107"/>
      <c r="C608" s="107"/>
      <c r="D608" s="143"/>
      <c r="E608" s="129"/>
      <c r="F608" s="129"/>
      <c r="G608" s="129"/>
      <c r="H608" s="129"/>
      <c r="I608" s="129"/>
      <c r="J608" s="129"/>
      <c r="K608" s="129"/>
      <c r="L608" s="129"/>
      <c r="M608" s="129"/>
      <c r="N608" s="129"/>
      <c r="O608" s="129"/>
      <c r="P608" s="129"/>
      <c r="Q608" s="129"/>
      <c r="R608" s="129"/>
      <c r="S608" s="129"/>
      <c r="T608" s="129"/>
      <c r="U608" s="106"/>
      <c r="V608" s="106"/>
      <c r="W608" s="106"/>
      <c r="X608" s="106"/>
      <c r="Y608" s="106"/>
      <c r="Z608" s="129"/>
      <c r="AA608" s="129"/>
      <c r="AB608" s="129"/>
      <c r="AC608" s="129"/>
      <c r="AD608" s="129"/>
      <c r="AE608" s="129"/>
      <c r="AF608" s="129"/>
      <c r="AG608" s="117"/>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c r="BK608" s="124"/>
      <c r="BL608" s="124"/>
      <c r="BM608" s="124"/>
      <c r="BN608" s="124"/>
      <c r="BO608" s="124"/>
      <c r="BP608" s="124"/>
      <c r="BQ608" s="124"/>
      <c r="BR608" s="124"/>
      <c r="BS608" s="124"/>
      <c r="BT608" s="124"/>
      <c r="BU608" s="124"/>
      <c r="BV608" s="124"/>
      <c r="BW608" s="124"/>
      <c r="BX608" s="124"/>
      <c r="BY608" s="124"/>
      <c r="BZ608" s="124"/>
      <c r="CA608" s="124"/>
    </row>
    <row r="609">
      <c r="A609" s="141"/>
      <c r="B609" s="107"/>
      <c r="C609" s="107"/>
      <c r="D609" s="143"/>
      <c r="E609" s="129"/>
      <c r="F609" s="129"/>
      <c r="G609" s="129"/>
      <c r="H609" s="129"/>
      <c r="I609" s="129"/>
      <c r="J609" s="129"/>
      <c r="K609" s="129"/>
      <c r="L609" s="129"/>
      <c r="M609" s="129"/>
      <c r="N609" s="129"/>
      <c r="O609" s="129"/>
      <c r="P609" s="129"/>
      <c r="Q609" s="129"/>
      <c r="R609" s="129"/>
      <c r="S609" s="129"/>
      <c r="T609" s="129"/>
      <c r="U609" s="106"/>
      <c r="V609" s="106"/>
      <c r="W609" s="106"/>
      <c r="X609" s="106"/>
      <c r="Y609" s="106"/>
      <c r="Z609" s="129"/>
      <c r="AA609" s="129"/>
      <c r="AB609" s="129"/>
      <c r="AC609" s="129"/>
      <c r="AD609" s="129"/>
      <c r="AE609" s="129"/>
      <c r="AF609" s="129"/>
      <c r="AG609" s="117"/>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c r="BK609" s="124"/>
      <c r="BL609" s="124"/>
      <c r="BM609" s="124"/>
      <c r="BN609" s="124"/>
      <c r="BO609" s="124"/>
      <c r="BP609" s="124"/>
      <c r="BQ609" s="124"/>
      <c r="BR609" s="124"/>
      <c r="BS609" s="124"/>
      <c r="BT609" s="124"/>
      <c r="BU609" s="124"/>
      <c r="BV609" s="124"/>
      <c r="BW609" s="124"/>
      <c r="BX609" s="124"/>
      <c r="BY609" s="124"/>
      <c r="BZ609" s="124"/>
      <c r="CA609" s="124"/>
    </row>
    <row r="610">
      <c r="A610" s="141"/>
      <c r="B610" s="107"/>
      <c r="C610" s="107"/>
      <c r="D610" s="143"/>
      <c r="E610" s="129"/>
      <c r="F610" s="129"/>
      <c r="G610" s="129"/>
      <c r="H610" s="129"/>
      <c r="I610" s="129"/>
      <c r="J610" s="129"/>
      <c r="K610" s="129"/>
      <c r="L610" s="129"/>
      <c r="M610" s="129"/>
      <c r="N610" s="129"/>
      <c r="O610" s="129"/>
      <c r="P610" s="129"/>
      <c r="Q610" s="129"/>
      <c r="R610" s="129"/>
      <c r="S610" s="129"/>
      <c r="T610" s="129"/>
      <c r="U610" s="106"/>
      <c r="V610" s="106"/>
      <c r="W610" s="106"/>
      <c r="X610" s="106"/>
      <c r="Y610" s="106"/>
      <c r="Z610" s="129"/>
      <c r="AA610" s="129"/>
      <c r="AB610" s="129"/>
      <c r="AC610" s="129"/>
      <c r="AD610" s="129"/>
      <c r="AE610" s="129"/>
      <c r="AF610" s="129"/>
      <c r="AG610" s="117"/>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c r="BK610" s="124"/>
      <c r="BL610" s="124"/>
      <c r="BM610" s="124"/>
      <c r="BN610" s="124"/>
      <c r="BO610" s="124"/>
      <c r="BP610" s="124"/>
      <c r="BQ610" s="124"/>
      <c r="BR610" s="124"/>
      <c r="BS610" s="124"/>
      <c r="BT610" s="124"/>
      <c r="BU610" s="124"/>
      <c r="BV610" s="124"/>
      <c r="BW610" s="124"/>
      <c r="BX610" s="124"/>
      <c r="BY610" s="124"/>
      <c r="BZ610" s="124"/>
      <c r="CA610" s="124"/>
    </row>
    <row r="611">
      <c r="A611" s="141"/>
      <c r="B611" s="107"/>
      <c r="C611" s="107"/>
      <c r="D611" s="143"/>
      <c r="E611" s="129"/>
      <c r="F611" s="129"/>
      <c r="G611" s="129"/>
      <c r="H611" s="129"/>
      <c r="I611" s="129"/>
      <c r="J611" s="129"/>
      <c r="K611" s="129"/>
      <c r="L611" s="129"/>
      <c r="M611" s="129"/>
      <c r="N611" s="129"/>
      <c r="O611" s="129"/>
      <c r="P611" s="129"/>
      <c r="Q611" s="129"/>
      <c r="R611" s="129"/>
      <c r="S611" s="129"/>
      <c r="T611" s="129"/>
      <c r="U611" s="106"/>
      <c r="V611" s="106"/>
      <c r="W611" s="106"/>
      <c r="X611" s="106"/>
      <c r="Y611" s="106"/>
      <c r="Z611" s="129"/>
      <c r="AA611" s="129"/>
      <c r="AB611" s="129"/>
      <c r="AC611" s="129"/>
      <c r="AD611" s="129"/>
      <c r="AE611" s="129"/>
      <c r="AF611" s="129"/>
      <c r="AG611" s="117"/>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c r="BK611" s="124"/>
      <c r="BL611" s="124"/>
      <c r="BM611" s="124"/>
      <c r="BN611" s="124"/>
      <c r="BO611" s="124"/>
      <c r="BP611" s="124"/>
      <c r="BQ611" s="124"/>
      <c r="BR611" s="124"/>
      <c r="BS611" s="124"/>
      <c r="BT611" s="124"/>
      <c r="BU611" s="124"/>
      <c r="BV611" s="124"/>
      <c r="BW611" s="124"/>
      <c r="BX611" s="124"/>
      <c r="BY611" s="124"/>
      <c r="BZ611" s="124"/>
      <c r="CA611" s="124"/>
    </row>
    <row r="612">
      <c r="A612" s="141"/>
      <c r="B612" s="107"/>
      <c r="C612" s="107"/>
      <c r="D612" s="143"/>
      <c r="E612" s="129"/>
      <c r="F612" s="129"/>
      <c r="G612" s="129"/>
      <c r="H612" s="129"/>
      <c r="I612" s="129"/>
      <c r="J612" s="129"/>
      <c r="K612" s="129"/>
      <c r="L612" s="129"/>
      <c r="M612" s="129"/>
      <c r="N612" s="129"/>
      <c r="O612" s="129"/>
      <c r="P612" s="129"/>
      <c r="Q612" s="129"/>
      <c r="R612" s="129"/>
      <c r="S612" s="129"/>
      <c r="T612" s="129"/>
      <c r="U612" s="106"/>
      <c r="V612" s="106"/>
      <c r="W612" s="106"/>
      <c r="X612" s="106"/>
      <c r="Y612" s="106"/>
      <c r="Z612" s="129"/>
      <c r="AA612" s="129"/>
      <c r="AB612" s="129"/>
      <c r="AC612" s="129"/>
      <c r="AD612" s="129"/>
      <c r="AE612" s="129"/>
      <c r="AF612" s="129"/>
      <c r="AG612" s="117"/>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c r="BK612" s="124"/>
      <c r="BL612" s="124"/>
      <c r="BM612" s="124"/>
      <c r="BN612" s="124"/>
      <c r="BO612" s="124"/>
      <c r="BP612" s="124"/>
      <c r="BQ612" s="124"/>
      <c r="BR612" s="124"/>
      <c r="BS612" s="124"/>
      <c r="BT612" s="124"/>
      <c r="BU612" s="124"/>
      <c r="BV612" s="124"/>
      <c r="BW612" s="124"/>
      <c r="BX612" s="124"/>
      <c r="BY612" s="124"/>
      <c r="BZ612" s="124"/>
      <c r="CA612" s="124"/>
    </row>
    <row r="613">
      <c r="A613" s="141"/>
      <c r="B613" s="107"/>
      <c r="C613" s="107"/>
      <c r="D613" s="143"/>
      <c r="E613" s="129"/>
      <c r="F613" s="129"/>
      <c r="G613" s="129"/>
      <c r="H613" s="129"/>
      <c r="I613" s="129"/>
      <c r="J613" s="129"/>
      <c r="K613" s="129"/>
      <c r="L613" s="129"/>
      <c r="M613" s="129"/>
      <c r="N613" s="129"/>
      <c r="O613" s="129"/>
      <c r="P613" s="129"/>
      <c r="Q613" s="129"/>
      <c r="R613" s="129"/>
      <c r="S613" s="129"/>
      <c r="T613" s="129"/>
      <c r="U613" s="106"/>
      <c r="V613" s="106"/>
      <c r="W613" s="106"/>
      <c r="X613" s="106"/>
      <c r="Y613" s="106"/>
      <c r="Z613" s="129"/>
      <c r="AA613" s="129"/>
      <c r="AB613" s="129"/>
      <c r="AC613" s="129"/>
      <c r="AD613" s="129"/>
      <c r="AE613" s="129"/>
      <c r="AF613" s="129"/>
      <c r="AG613" s="117"/>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c r="BK613" s="124"/>
      <c r="BL613" s="124"/>
      <c r="BM613" s="124"/>
      <c r="BN613" s="124"/>
      <c r="BO613" s="124"/>
      <c r="BP613" s="124"/>
      <c r="BQ613" s="124"/>
      <c r="BR613" s="124"/>
      <c r="BS613" s="124"/>
      <c r="BT613" s="124"/>
      <c r="BU613" s="124"/>
      <c r="BV613" s="124"/>
      <c r="BW613" s="124"/>
      <c r="BX613" s="124"/>
      <c r="BY613" s="124"/>
      <c r="BZ613" s="124"/>
      <c r="CA613" s="124"/>
    </row>
    <row r="614">
      <c r="A614" s="141"/>
      <c r="B614" s="107"/>
      <c r="C614" s="107"/>
      <c r="D614" s="143"/>
      <c r="E614" s="129"/>
      <c r="F614" s="129"/>
      <c r="G614" s="129"/>
      <c r="H614" s="129"/>
      <c r="I614" s="129"/>
      <c r="J614" s="129"/>
      <c r="K614" s="129"/>
      <c r="L614" s="129"/>
      <c r="M614" s="129"/>
      <c r="N614" s="129"/>
      <c r="O614" s="129"/>
      <c r="P614" s="129"/>
      <c r="Q614" s="129"/>
      <c r="R614" s="129"/>
      <c r="S614" s="129"/>
      <c r="T614" s="129"/>
      <c r="U614" s="106"/>
      <c r="V614" s="106"/>
      <c r="W614" s="106"/>
      <c r="X614" s="106"/>
      <c r="Y614" s="106"/>
      <c r="Z614" s="129"/>
      <c r="AA614" s="129"/>
      <c r="AB614" s="129"/>
      <c r="AC614" s="129"/>
      <c r="AD614" s="129"/>
      <c r="AE614" s="129"/>
      <c r="AF614" s="129"/>
      <c r="AG614" s="117"/>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c r="BK614" s="124"/>
      <c r="BL614" s="124"/>
      <c r="BM614" s="124"/>
      <c r="BN614" s="124"/>
      <c r="BO614" s="124"/>
      <c r="BP614" s="124"/>
      <c r="BQ614" s="124"/>
      <c r="BR614" s="124"/>
      <c r="BS614" s="124"/>
      <c r="BT614" s="124"/>
      <c r="BU614" s="124"/>
      <c r="BV614" s="124"/>
      <c r="BW614" s="124"/>
      <c r="BX614" s="124"/>
      <c r="BY614" s="124"/>
      <c r="BZ614" s="124"/>
      <c r="CA614" s="124"/>
    </row>
    <row r="615">
      <c r="A615" s="141"/>
      <c r="B615" s="107"/>
      <c r="C615" s="107"/>
      <c r="D615" s="143"/>
      <c r="E615" s="129"/>
      <c r="F615" s="129"/>
      <c r="G615" s="129"/>
      <c r="H615" s="129"/>
      <c r="I615" s="129"/>
      <c r="J615" s="129"/>
      <c r="K615" s="129"/>
      <c r="L615" s="129"/>
      <c r="M615" s="129"/>
      <c r="N615" s="129"/>
      <c r="O615" s="129"/>
      <c r="P615" s="129"/>
      <c r="Q615" s="129"/>
      <c r="R615" s="129"/>
      <c r="S615" s="129"/>
      <c r="T615" s="129"/>
      <c r="U615" s="106"/>
      <c r="V615" s="106"/>
      <c r="W615" s="106"/>
      <c r="X615" s="106"/>
      <c r="Y615" s="106"/>
      <c r="Z615" s="129"/>
      <c r="AA615" s="129"/>
      <c r="AB615" s="129"/>
      <c r="AC615" s="129"/>
      <c r="AD615" s="129"/>
      <c r="AE615" s="129"/>
      <c r="AF615" s="129"/>
      <c r="AG615" s="117"/>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c r="BK615" s="124"/>
      <c r="BL615" s="124"/>
      <c r="BM615" s="124"/>
      <c r="BN615" s="124"/>
      <c r="BO615" s="124"/>
      <c r="BP615" s="124"/>
      <c r="BQ615" s="124"/>
      <c r="BR615" s="124"/>
      <c r="BS615" s="124"/>
      <c r="BT615" s="124"/>
      <c r="BU615" s="124"/>
      <c r="BV615" s="124"/>
      <c r="BW615" s="124"/>
      <c r="BX615" s="124"/>
      <c r="BY615" s="124"/>
      <c r="BZ615" s="124"/>
      <c r="CA615" s="124"/>
    </row>
    <row r="616">
      <c r="A616" s="141"/>
      <c r="B616" s="107"/>
      <c r="C616" s="107"/>
      <c r="D616" s="143"/>
      <c r="E616" s="129"/>
      <c r="F616" s="129"/>
      <c r="G616" s="129"/>
      <c r="H616" s="129"/>
      <c r="I616" s="129"/>
      <c r="J616" s="129"/>
      <c r="K616" s="129"/>
      <c r="L616" s="129"/>
      <c r="M616" s="129"/>
      <c r="N616" s="129"/>
      <c r="O616" s="129"/>
      <c r="P616" s="129"/>
      <c r="Q616" s="129"/>
      <c r="R616" s="129"/>
      <c r="S616" s="129"/>
      <c r="T616" s="129"/>
      <c r="U616" s="106"/>
      <c r="V616" s="106"/>
      <c r="W616" s="106"/>
      <c r="X616" s="106"/>
      <c r="Y616" s="106"/>
      <c r="Z616" s="129"/>
      <c r="AA616" s="129"/>
      <c r="AB616" s="129"/>
      <c r="AC616" s="129"/>
      <c r="AD616" s="129"/>
      <c r="AE616" s="129"/>
      <c r="AF616" s="129"/>
      <c r="AG616" s="117"/>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c r="BK616" s="124"/>
      <c r="BL616" s="124"/>
      <c r="BM616" s="124"/>
      <c r="BN616" s="124"/>
      <c r="BO616" s="124"/>
      <c r="BP616" s="124"/>
      <c r="BQ616" s="124"/>
      <c r="BR616" s="124"/>
      <c r="BS616" s="124"/>
      <c r="BT616" s="124"/>
      <c r="BU616" s="124"/>
      <c r="BV616" s="124"/>
      <c r="BW616" s="124"/>
      <c r="BX616" s="124"/>
      <c r="BY616" s="124"/>
      <c r="BZ616" s="124"/>
      <c r="CA616" s="124"/>
    </row>
    <row r="617">
      <c r="A617" s="141"/>
      <c r="B617" s="107"/>
      <c r="C617" s="107"/>
      <c r="D617" s="143"/>
      <c r="E617" s="129"/>
      <c r="F617" s="129"/>
      <c r="G617" s="129"/>
      <c r="H617" s="129"/>
      <c r="I617" s="129"/>
      <c r="J617" s="129"/>
      <c r="K617" s="129"/>
      <c r="L617" s="129"/>
      <c r="M617" s="129"/>
      <c r="N617" s="129"/>
      <c r="O617" s="129"/>
      <c r="P617" s="129"/>
      <c r="Q617" s="129"/>
      <c r="R617" s="129"/>
      <c r="S617" s="129"/>
      <c r="T617" s="129"/>
      <c r="U617" s="106"/>
      <c r="V617" s="106"/>
      <c r="W617" s="106"/>
      <c r="X617" s="106"/>
      <c r="Y617" s="106"/>
      <c r="Z617" s="129"/>
      <c r="AA617" s="129"/>
      <c r="AB617" s="129"/>
      <c r="AC617" s="129"/>
      <c r="AD617" s="129"/>
      <c r="AE617" s="129"/>
      <c r="AF617" s="129"/>
      <c r="AG617" s="117"/>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c r="BK617" s="124"/>
      <c r="BL617" s="124"/>
      <c r="BM617" s="124"/>
      <c r="BN617" s="124"/>
      <c r="BO617" s="124"/>
      <c r="BP617" s="124"/>
      <c r="BQ617" s="124"/>
      <c r="BR617" s="124"/>
      <c r="BS617" s="124"/>
      <c r="BT617" s="124"/>
      <c r="BU617" s="124"/>
      <c r="BV617" s="124"/>
      <c r="BW617" s="124"/>
      <c r="BX617" s="124"/>
      <c r="BY617" s="124"/>
      <c r="BZ617" s="124"/>
      <c r="CA617" s="124"/>
    </row>
    <row r="618">
      <c r="A618" s="141"/>
      <c r="B618" s="107"/>
      <c r="C618" s="107"/>
      <c r="D618" s="143"/>
      <c r="E618" s="129"/>
      <c r="F618" s="129"/>
      <c r="G618" s="129"/>
      <c r="H618" s="129"/>
      <c r="I618" s="129"/>
      <c r="J618" s="129"/>
      <c r="K618" s="129"/>
      <c r="L618" s="129"/>
      <c r="M618" s="129"/>
      <c r="N618" s="129"/>
      <c r="O618" s="129"/>
      <c r="P618" s="129"/>
      <c r="Q618" s="129"/>
      <c r="R618" s="129"/>
      <c r="S618" s="129"/>
      <c r="T618" s="129"/>
      <c r="U618" s="106"/>
      <c r="V618" s="106"/>
      <c r="W618" s="106"/>
      <c r="X618" s="106"/>
      <c r="Y618" s="106"/>
      <c r="Z618" s="129"/>
      <c r="AA618" s="129"/>
      <c r="AB618" s="129"/>
      <c r="AC618" s="129"/>
      <c r="AD618" s="129"/>
      <c r="AE618" s="129"/>
      <c r="AF618" s="129"/>
      <c r="AG618" s="117"/>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c r="BK618" s="124"/>
      <c r="BL618" s="124"/>
      <c r="BM618" s="124"/>
      <c r="BN618" s="124"/>
      <c r="BO618" s="124"/>
      <c r="BP618" s="124"/>
      <c r="BQ618" s="124"/>
      <c r="BR618" s="124"/>
      <c r="BS618" s="124"/>
      <c r="BT618" s="124"/>
      <c r="BU618" s="124"/>
      <c r="BV618" s="124"/>
      <c r="BW618" s="124"/>
      <c r="BX618" s="124"/>
      <c r="BY618" s="124"/>
      <c r="BZ618" s="124"/>
      <c r="CA618" s="124"/>
    </row>
    <row r="619">
      <c r="A619" s="141"/>
      <c r="B619" s="107"/>
      <c r="C619" s="107"/>
      <c r="D619" s="143"/>
      <c r="E619" s="129"/>
      <c r="F619" s="129"/>
      <c r="G619" s="129"/>
      <c r="H619" s="129"/>
      <c r="I619" s="129"/>
      <c r="J619" s="129"/>
      <c r="K619" s="129"/>
      <c r="L619" s="129"/>
      <c r="M619" s="129"/>
      <c r="N619" s="129"/>
      <c r="O619" s="129"/>
      <c r="P619" s="129"/>
      <c r="Q619" s="129"/>
      <c r="R619" s="129"/>
      <c r="S619" s="129"/>
      <c r="T619" s="129"/>
      <c r="U619" s="106"/>
      <c r="V619" s="106"/>
      <c r="W619" s="106"/>
      <c r="X619" s="106"/>
      <c r="Y619" s="106"/>
      <c r="Z619" s="129"/>
      <c r="AA619" s="129"/>
      <c r="AB619" s="129"/>
      <c r="AC619" s="129"/>
      <c r="AD619" s="129"/>
      <c r="AE619" s="129"/>
      <c r="AF619" s="129"/>
      <c r="AG619" s="117"/>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c r="BK619" s="124"/>
      <c r="BL619" s="124"/>
      <c r="BM619" s="124"/>
      <c r="BN619" s="124"/>
      <c r="BO619" s="124"/>
      <c r="BP619" s="124"/>
      <c r="BQ619" s="124"/>
      <c r="BR619" s="124"/>
      <c r="BS619" s="124"/>
      <c r="BT619" s="124"/>
      <c r="BU619" s="124"/>
      <c r="BV619" s="124"/>
      <c r="BW619" s="124"/>
      <c r="BX619" s="124"/>
      <c r="BY619" s="124"/>
      <c r="BZ619" s="124"/>
      <c r="CA619" s="124"/>
    </row>
    <row r="620">
      <c r="A620" s="141"/>
      <c r="B620" s="107"/>
      <c r="C620" s="107"/>
      <c r="D620" s="143"/>
      <c r="E620" s="129"/>
      <c r="F620" s="129"/>
      <c r="G620" s="129"/>
      <c r="H620" s="129"/>
      <c r="I620" s="129"/>
      <c r="J620" s="129"/>
      <c r="K620" s="129"/>
      <c r="L620" s="129"/>
      <c r="M620" s="129"/>
      <c r="N620" s="129"/>
      <c r="O620" s="129"/>
      <c r="P620" s="129"/>
      <c r="Q620" s="129"/>
      <c r="R620" s="129"/>
      <c r="S620" s="129"/>
      <c r="T620" s="129"/>
      <c r="U620" s="106"/>
      <c r="V620" s="106"/>
      <c r="W620" s="106"/>
      <c r="X620" s="106"/>
      <c r="Y620" s="106"/>
      <c r="Z620" s="129"/>
      <c r="AA620" s="129"/>
      <c r="AB620" s="129"/>
      <c r="AC620" s="129"/>
      <c r="AD620" s="129"/>
      <c r="AE620" s="129"/>
      <c r="AF620" s="129"/>
      <c r="AG620" s="117"/>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c r="BK620" s="124"/>
      <c r="BL620" s="124"/>
      <c r="BM620" s="124"/>
      <c r="BN620" s="124"/>
      <c r="BO620" s="124"/>
      <c r="BP620" s="124"/>
      <c r="BQ620" s="124"/>
      <c r="BR620" s="124"/>
      <c r="BS620" s="124"/>
      <c r="BT620" s="124"/>
      <c r="BU620" s="124"/>
      <c r="BV620" s="124"/>
      <c r="BW620" s="124"/>
      <c r="BX620" s="124"/>
      <c r="BY620" s="124"/>
      <c r="BZ620" s="124"/>
      <c r="CA620" s="124"/>
    </row>
    <row r="621">
      <c r="A621" s="141"/>
      <c r="B621" s="107"/>
      <c r="C621" s="107"/>
      <c r="D621" s="143"/>
      <c r="E621" s="129"/>
      <c r="F621" s="129"/>
      <c r="G621" s="129"/>
      <c r="H621" s="129"/>
      <c r="I621" s="129"/>
      <c r="J621" s="129"/>
      <c r="K621" s="129"/>
      <c r="L621" s="129"/>
      <c r="M621" s="129"/>
      <c r="N621" s="129"/>
      <c r="O621" s="129"/>
      <c r="P621" s="129"/>
      <c r="Q621" s="129"/>
      <c r="R621" s="129"/>
      <c r="S621" s="129"/>
      <c r="T621" s="129"/>
      <c r="U621" s="106"/>
      <c r="V621" s="106"/>
      <c r="W621" s="106"/>
      <c r="X621" s="106"/>
      <c r="Y621" s="106"/>
      <c r="Z621" s="129"/>
      <c r="AA621" s="129"/>
      <c r="AB621" s="129"/>
      <c r="AC621" s="129"/>
      <c r="AD621" s="129"/>
      <c r="AE621" s="129"/>
      <c r="AF621" s="129"/>
      <c r="AG621" s="117"/>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c r="BK621" s="124"/>
      <c r="BL621" s="124"/>
      <c r="BM621" s="124"/>
      <c r="BN621" s="124"/>
      <c r="BO621" s="124"/>
      <c r="BP621" s="124"/>
      <c r="BQ621" s="124"/>
      <c r="BR621" s="124"/>
      <c r="BS621" s="124"/>
      <c r="BT621" s="124"/>
      <c r="BU621" s="124"/>
      <c r="BV621" s="124"/>
      <c r="BW621" s="124"/>
      <c r="BX621" s="124"/>
      <c r="BY621" s="124"/>
      <c r="BZ621" s="124"/>
      <c r="CA621" s="124"/>
    </row>
    <row r="622">
      <c r="A622" s="141"/>
      <c r="B622" s="107"/>
      <c r="C622" s="107"/>
      <c r="D622" s="143"/>
      <c r="E622" s="129"/>
      <c r="F622" s="129"/>
      <c r="G622" s="129"/>
      <c r="H622" s="129"/>
      <c r="I622" s="129"/>
      <c r="J622" s="129"/>
      <c r="K622" s="129"/>
      <c r="L622" s="129"/>
      <c r="M622" s="129"/>
      <c r="N622" s="129"/>
      <c r="O622" s="129"/>
      <c r="P622" s="129"/>
      <c r="Q622" s="129"/>
      <c r="R622" s="129"/>
      <c r="S622" s="129"/>
      <c r="T622" s="129"/>
      <c r="U622" s="106"/>
      <c r="V622" s="106"/>
      <c r="W622" s="106"/>
      <c r="X622" s="106"/>
      <c r="Y622" s="106"/>
      <c r="Z622" s="129"/>
      <c r="AA622" s="129"/>
      <c r="AB622" s="129"/>
      <c r="AC622" s="129"/>
      <c r="AD622" s="129"/>
      <c r="AE622" s="129"/>
      <c r="AF622" s="129"/>
      <c r="AG622" s="117"/>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c r="BK622" s="124"/>
      <c r="BL622" s="124"/>
      <c r="BM622" s="124"/>
      <c r="BN622" s="124"/>
      <c r="BO622" s="124"/>
      <c r="BP622" s="124"/>
      <c r="BQ622" s="124"/>
      <c r="BR622" s="124"/>
      <c r="BS622" s="124"/>
      <c r="BT622" s="124"/>
      <c r="BU622" s="124"/>
      <c r="BV622" s="124"/>
      <c r="BW622" s="124"/>
      <c r="BX622" s="124"/>
      <c r="BY622" s="124"/>
      <c r="BZ622" s="124"/>
      <c r="CA622" s="124"/>
    </row>
    <row r="623">
      <c r="A623" s="141"/>
      <c r="B623" s="107"/>
      <c r="C623" s="107"/>
      <c r="D623" s="143"/>
      <c r="E623" s="129"/>
      <c r="F623" s="129"/>
      <c r="G623" s="129"/>
      <c r="H623" s="129"/>
      <c r="I623" s="129"/>
      <c r="J623" s="129"/>
      <c r="K623" s="129"/>
      <c r="L623" s="129"/>
      <c r="M623" s="129"/>
      <c r="N623" s="129"/>
      <c r="O623" s="129"/>
      <c r="P623" s="129"/>
      <c r="Q623" s="129"/>
      <c r="R623" s="129"/>
      <c r="S623" s="129"/>
      <c r="T623" s="129"/>
      <c r="U623" s="106"/>
      <c r="V623" s="106"/>
      <c r="W623" s="106"/>
      <c r="X623" s="106"/>
      <c r="Y623" s="106"/>
      <c r="Z623" s="129"/>
      <c r="AA623" s="129"/>
      <c r="AB623" s="129"/>
      <c r="AC623" s="129"/>
      <c r="AD623" s="129"/>
      <c r="AE623" s="129"/>
      <c r="AF623" s="129"/>
      <c r="AG623" s="117"/>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c r="BK623" s="124"/>
      <c r="BL623" s="124"/>
      <c r="BM623" s="124"/>
      <c r="BN623" s="124"/>
      <c r="BO623" s="124"/>
      <c r="BP623" s="124"/>
      <c r="BQ623" s="124"/>
      <c r="BR623" s="124"/>
      <c r="BS623" s="124"/>
      <c r="BT623" s="124"/>
      <c r="BU623" s="124"/>
      <c r="BV623" s="124"/>
      <c r="BW623" s="124"/>
      <c r="BX623" s="124"/>
      <c r="BY623" s="124"/>
      <c r="BZ623" s="124"/>
      <c r="CA623" s="124"/>
    </row>
    <row r="624">
      <c r="A624" s="141"/>
      <c r="B624" s="107"/>
      <c r="C624" s="107"/>
      <c r="D624" s="143"/>
      <c r="E624" s="129"/>
      <c r="F624" s="129"/>
      <c r="G624" s="129"/>
      <c r="H624" s="129"/>
      <c r="I624" s="129"/>
      <c r="J624" s="129"/>
      <c r="K624" s="129"/>
      <c r="L624" s="129"/>
      <c r="M624" s="129"/>
      <c r="N624" s="129"/>
      <c r="O624" s="129"/>
      <c r="P624" s="129"/>
      <c r="Q624" s="129"/>
      <c r="R624" s="129"/>
      <c r="S624" s="129"/>
      <c r="T624" s="129"/>
      <c r="U624" s="106"/>
      <c r="V624" s="106"/>
      <c r="W624" s="106"/>
      <c r="X624" s="106"/>
      <c r="Y624" s="106"/>
      <c r="Z624" s="129"/>
      <c r="AA624" s="129"/>
      <c r="AB624" s="129"/>
      <c r="AC624" s="129"/>
      <c r="AD624" s="129"/>
      <c r="AE624" s="129"/>
      <c r="AF624" s="129"/>
      <c r="AG624" s="117"/>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c r="BK624" s="124"/>
      <c r="BL624" s="124"/>
      <c r="BM624" s="124"/>
      <c r="BN624" s="124"/>
      <c r="BO624" s="124"/>
      <c r="BP624" s="124"/>
      <c r="BQ624" s="124"/>
      <c r="BR624" s="124"/>
      <c r="BS624" s="124"/>
      <c r="BT624" s="124"/>
      <c r="BU624" s="124"/>
      <c r="BV624" s="124"/>
      <c r="BW624" s="124"/>
      <c r="BX624" s="124"/>
      <c r="BY624" s="124"/>
      <c r="BZ624" s="124"/>
      <c r="CA624" s="124"/>
    </row>
    <row r="625">
      <c r="A625" s="141"/>
      <c r="B625" s="107"/>
      <c r="C625" s="107"/>
      <c r="D625" s="143"/>
      <c r="E625" s="129"/>
      <c r="F625" s="129"/>
      <c r="G625" s="129"/>
      <c r="H625" s="129"/>
      <c r="I625" s="129"/>
      <c r="J625" s="129"/>
      <c r="K625" s="129"/>
      <c r="L625" s="129"/>
      <c r="M625" s="129"/>
      <c r="N625" s="129"/>
      <c r="O625" s="129"/>
      <c r="P625" s="129"/>
      <c r="Q625" s="129"/>
      <c r="R625" s="129"/>
      <c r="S625" s="129"/>
      <c r="T625" s="129"/>
      <c r="U625" s="106"/>
      <c r="V625" s="106"/>
      <c r="W625" s="106"/>
      <c r="X625" s="106"/>
      <c r="Y625" s="106"/>
      <c r="Z625" s="129"/>
      <c r="AA625" s="129"/>
      <c r="AB625" s="129"/>
      <c r="AC625" s="129"/>
      <c r="AD625" s="129"/>
      <c r="AE625" s="129"/>
      <c r="AF625" s="129"/>
      <c r="AG625" s="117"/>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c r="BK625" s="124"/>
      <c r="BL625" s="124"/>
      <c r="BM625" s="124"/>
      <c r="BN625" s="124"/>
      <c r="BO625" s="124"/>
      <c r="BP625" s="124"/>
      <c r="BQ625" s="124"/>
      <c r="BR625" s="124"/>
      <c r="BS625" s="124"/>
      <c r="BT625" s="124"/>
      <c r="BU625" s="124"/>
      <c r="BV625" s="124"/>
      <c r="BW625" s="124"/>
      <c r="BX625" s="124"/>
      <c r="BY625" s="124"/>
      <c r="BZ625" s="124"/>
      <c r="CA625" s="124"/>
    </row>
    <row r="626">
      <c r="A626" s="141"/>
      <c r="B626" s="107"/>
      <c r="C626" s="107"/>
      <c r="D626" s="143"/>
      <c r="E626" s="129"/>
      <c r="F626" s="129"/>
      <c r="G626" s="129"/>
      <c r="H626" s="129"/>
      <c r="I626" s="129"/>
      <c r="J626" s="129"/>
      <c r="K626" s="129"/>
      <c r="L626" s="129"/>
      <c r="M626" s="129"/>
      <c r="N626" s="129"/>
      <c r="O626" s="129"/>
      <c r="P626" s="129"/>
      <c r="Q626" s="129"/>
      <c r="R626" s="129"/>
      <c r="S626" s="129"/>
      <c r="T626" s="129"/>
      <c r="U626" s="106"/>
      <c r="V626" s="106"/>
      <c r="W626" s="106"/>
      <c r="X626" s="106"/>
      <c r="Y626" s="106"/>
      <c r="Z626" s="129"/>
      <c r="AA626" s="129"/>
      <c r="AB626" s="129"/>
      <c r="AC626" s="129"/>
      <c r="AD626" s="129"/>
      <c r="AE626" s="129"/>
      <c r="AF626" s="129"/>
      <c r="AG626" s="117"/>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c r="BK626" s="124"/>
      <c r="BL626" s="124"/>
      <c r="BM626" s="124"/>
      <c r="BN626" s="124"/>
      <c r="BO626" s="124"/>
      <c r="BP626" s="124"/>
      <c r="BQ626" s="124"/>
      <c r="BR626" s="124"/>
      <c r="BS626" s="124"/>
      <c r="BT626" s="124"/>
      <c r="BU626" s="124"/>
      <c r="BV626" s="124"/>
      <c r="BW626" s="124"/>
      <c r="BX626" s="124"/>
      <c r="BY626" s="124"/>
      <c r="BZ626" s="124"/>
      <c r="CA626" s="124"/>
    </row>
    <row r="627">
      <c r="A627" s="141"/>
      <c r="B627" s="107"/>
      <c r="C627" s="107"/>
      <c r="D627" s="143"/>
      <c r="E627" s="129"/>
      <c r="F627" s="129"/>
      <c r="G627" s="129"/>
      <c r="H627" s="129"/>
      <c r="I627" s="129"/>
      <c r="J627" s="129"/>
      <c r="K627" s="129"/>
      <c r="L627" s="129"/>
      <c r="M627" s="129"/>
      <c r="N627" s="129"/>
      <c r="O627" s="129"/>
      <c r="P627" s="129"/>
      <c r="Q627" s="129"/>
      <c r="R627" s="129"/>
      <c r="S627" s="129"/>
      <c r="T627" s="129"/>
      <c r="U627" s="106"/>
      <c r="V627" s="106"/>
      <c r="W627" s="106"/>
      <c r="X627" s="106"/>
      <c r="Y627" s="106"/>
      <c r="Z627" s="129"/>
      <c r="AA627" s="129"/>
      <c r="AB627" s="129"/>
      <c r="AC627" s="129"/>
      <c r="AD627" s="129"/>
      <c r="AE627" s="129"/>
      <c r="AF627" s="129"/>
      <c r="AG627" s="117"/>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c r="BK627" s="124"/>
      <c r="BL627" s="124"/>
      <c r="BM627" s="124"/>
      <c r="BN627" s="124"/>
      <c r="BO627" s="124"/>
      <c r="BP627" s="124"/>
      <c r="BQ627" s="124"/>
      <c r="BR627" s="124"/>
      <c r="BS627" s="124"/>
      <c r="BT627" s="124"/>
      <c r="BU627" s="124"/>
      <c r="BV627" s="124"/>
      <c r="BW627" s="124"/>
      <c r="BX627" s="124"/>
      <c r="BY627" s="124"/>
      <c r="BZ627" s="124"/>
      <c r="CA627" s="124"/>
    </row>
    <row r="628">
      <c r="A628" s="141"/>
      <c r="B628" s="107"/>
      <c r="C628" s="107"/>
      <c r="D628" s="143"/>
      <c r="E628" s="129"/>
      <c r="F628" s="129"/>
      <c r="G628" s="129"/>
      <c r="H628" s="129"/>
      <c r="I628" s="129"/>
      <c r="J628" s="129"/>
      <c r="K628" s="129"/>
      <c r="L628" s="129"/>
      <c r="M628" s="129"/>
      <c r="N628" s="129"/>
      <c r="O628" s="129"/>
      <c r="P628" s="129"/>
      <c r="Q628" s="129"/>
      <c r="R628" s="129"/>
      <c r="S628" s="129"/>
      <c r="T628" s="129"/>
      <c r="U628" s="106"/>
      <c r="V628" s="106"/>
      <c r="W628" s="106"/>
      <c r="X628" s="106"/>
      <c r="Y628" s="106"/>
      <c r="Z628" s="129"/>
      <c r="AA628" s="129"/>
      <c r="AB628" s="129"/>
      <c r="AC628" s="129"/>
      <c r="AD628" s="129"/>
      <c r="AE628" s="129"/>
      <c r="AF628" s="129"/>
      <c r="AG628" s="117"/>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c r="BK628" s="124"/>
      <c r="BL628" s="124"/>
      <c r="BM628" s="124"/>
      <c r="BN628" s="124"/>
      <c r="BO628" s="124"/>
      <c r="BP628" s="124"/>
      <c r="BQ628" s="124"/>
      <c r="BR628" s="124"/>
      <c r="BS628" s="124"/>
      <c r="BT628" s="124"/>
      <c r="BU628" s="124"/>
      <c r="BV628" s="124"/>
      <c r="BW628" s="124"/>
      <c r="BX628" s="124"/>
      <c r="BY628" s="124"/>
      <c r="BZ628" s="124"/>
      <c r="CA628" s="124"/>
    </row>
    <row r="629">
      <c r="A629" s="141"/>
      <c r="B629" s="107"/>
      <c r="C629" s="107"/>
      <c r="D629" s="143"/>
      <c r="E629" s="129"/>
      <c r="F629" s="129"/>
      <c r="G629" s="129"/>
      <c r="H629" s="129"/>
      <c r="I629" s="129"/>
      <c r="J629" s="129"/>
      <c r="K629" s="129"/>
      <c r="L629" s="129"/>
      <c r="M629" s="129"/>
      <c r="N629" s="129"/>
      <c r="O629" s="129"/>
      <c r="P629" s="129"/>
      <c r="Q629" s="129"/>
      <c r="R629" s="129"/>
      <c r="S629" s="129"/>
      <c r="T629" s="129"/>
      <c r="U629" s="106"/>
      <c r="V629" s="106"/>
      <c r="W629" s="106"/>
      <c r="X629" s="106"/>
      <c r="Y629" s="106"/>
      <c r="Z629" s="129"/>
      <c r="AA629" s="129"/>
      <c r="AB629" s="129"/>
      <c r="AC629" s="129"/>
      <c r="AD629" s="129"/>
      <c r="AE629" s="129"/>
      <c r="AF629" s="129"/>
      <c r="AG629" s="117"/>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c r="BK629" s="124"/>
      <c r="BL629" s="124"/>
      <c r="BM629" s="124"/>
      <c r="BN629" s="124"/>
      <c r="BO629" s="124"/>
      <c r="BP629" s="124"/>
      <c r="BQ629" s="124"/>
      <c r="BR629" s="124"/>
      <c r="BS629" s="124"/>
      <c r="BT629" s="124"/>
      <c r="BU629" s="124"/>
      <c r="BV629" s="124"/>
      <c r="BW629" s="124"/>
      <c r="BX629" s="124"/>
      <c r="BY629" s="124"/>
      <c r="BZ629" s="124"/>
      <c r="CA629" s="124"/>
    </row>
    <row r="630">
      <c r="A630" s="141"/>
      <c r="B630" s="107"/>
      <c r="C630" s="107"/>
      <c r="D630" s="143"/>
      <c r="E630" s="129"/>
      <c r="F630" s="129"/>
      <c r="G630" s="129"/>
      <c r="H630" s="129"/>
      <c r="I630" s="129"/>
      <c r="J630" s="129"/>
      <c r="K630" s="129"/>
      <c r="L630" s="129"/>
      <c r="M630" s="129"/>
      <c r="N630" s="129"/>
      <c r="O630" s="129"/>
      <c r="P630" s="129"/>
      <c r="Q630" s="129"/>
      <c r="R630" s="129"/>
      <c r="S630" s="129"/>
      <c r="T630" s="129"/>
      <c r="U630" s="106"/>
      <c r="V630" s="106"/>
      <c r="W630" s="106"/>
      <c r="X630" s="106"/>
      <c r="Y630" s="106"/>
      <c r="Z630" s="129"/>
      <c r="AA630" s="129"/>
      <c r="AB630" s="129"/>
      <c r="AC630" s="129"/>
      <c r="AD630" s="129"/>
      <c r="AE630" s="129"/>
      <c r="AF630" s="129"/>
      <c r="AG630" s="117"/>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c r="BK630" s="124"/>
      <c r="BL630" s="124"/>
      <c r="BM630" s="124"/>
      <c r="BN630" s="124"/>
      <c r="BO630" s="124"/>
      <c r="BP630" s="124"/>
      <c r="BQ630" s="124"/>
      <c r="BR630" s="124"/>
      <c r="BS630" s="124"/>
      <c r="BT630" s="124"/>
      <c r="BU630" s="124"/>
      <c r="BV630" s="124"/>
      <c r="BW630" s="124"/>
      <c r="BX630" s="124"/>
      <c r="BY630" s="124"/>
      <c r="BZ630" s="124"/>
      <c r="CA630" s="124"/>
    </row>
    <row r="631">
      <c r="A631" s="141"/>
      <c r="B631" s="107"/>
      <c r="C631" s="107"/>
      <c r="D631" s="143"/>
      <c r="E631" s="129"/>
      <c r="F631" s="129"/>
      <c r="G631" s="129"/>
      <c r="H631" s="129"/>
      <c r="I631" s="129"/>
      <c r="J631" s="129"/>
      <c r="K631" s="129"/>
      <c r="L631" s="129"/>
      <c r="M631" s="129"/>
      <c r="N631" s="129"/>
      <c r="O631" s="129"/>
      <c r="P631" s="129"/>
      <c r="Q631" s="129"/>
      <c r="R631" s="129"/>
      <c r="S631" s="129"/>
      <c r="T631" s="129"/>
      <c r="U631" s="106"/>
      <c r="V631" s="106"/>
      <c r="W631" s="106"/>
      <c r="X631" s="106"/>
      <c r="Y631" s="106"/>
      <c r="Z631" s="129"/>
      <c r="AA631" s="129"/>
      <c r="AB631" s="129"/>
      <c r="AC631" s="129"/>
      <c r="AD631" s="129"/>
      <c r="AE631" s="129"/>
      <c r="AF631" s="129"/>
      <c r="AG631" s="117"/>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c r="BK631" s="124"/>
      <c r="BL631" s="124"/>
      <c r="BM631" s="124"/>
      <c r="BN631" s="124"/>
      <c r="BO631" s="124"/>
      <c r="BP631" s="124"/>
      <c r="BQ631" s="124"/>
      <c r="BR631" s="124"/>
      <c r="BS631" s="124"/>
      <c r="BT631" s="124"/>
      <c r="BU631" s="124"/>
      <c r="BV631" s="124"/>
      <c r="BW631" s="124"/>
      <c r="BX631" s="124"/>
      <c r="BY631" s="124"/>
      <c r="BZ631" s="124"/>
      <c r="CA631" s="124"/>
    </row>
    <row r="632">
      <c r="A632" s="141"/>
      <c r="B632" s="107"/>
      <c r="C632" s="107"/>
      <c r="D632" s="143"/>
      <c r="E632" s="129"/>
      <c r="F632" s="129"/>
      <c r="G632" s="129"/>
      <c r="H632" s="129"/>
      <c r="I632" s="129"/>
      <c r="J632" s="129"/>
      <c r="K632" s="129"/>
      <c r="L632" s="129"/>
      <c r="M632" s="129"/>
      <c r="N632" s="129"/>
      <c r="O632" s="129"/>
      <c r="P632" s="129"/>
      <c r="Q632" s="129"/>
      <c r="R632" s="129"/>
      <c r="S632" s="129"/>
      <c r="T632" s="129"/>
      <c r="U632" s="106"/>
      <c r="V632" s="106"/>
      <c r="W632" s="106"/>
      <c r="X632" s="106"/>
      <c r="Y632" s="106"/>
      <c r="Z632" s="129"/>
      <c r="AA632" s="129"/>
      <c r="AB632" s="129"/>
      <c r="AC632" s="129"/>
      <c r="AD632" s="129"/>
      <c r="AE632" s="129"/>
      <c r="AF632" s="129"/>
      <c r="AG632" s="117"/>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c r="BK632" s="124"/>
      <c r="BL632" s="124"/>
      <c r="BM632" s="124"/>
      <c r="BN632" s="124"/>
      <c r="BO632" s="124"/>
      <c r="BP632" s="124"/>
      <c r="BQ632" s="124"/>
      <c r="BR632" s="124"/>
      <c r="BS632" s="124"/>
      <c r="BT632" s="124"/>
      <c r="BU632" s="124"/>
      <c r="BV632" s="124"/>
      <c r="BW632" s="124"/>
      <c r="BX632" s="124"/>
      <c r="BY632" s="124"/>
      <c r="BZ632" s="124"/>
      <c r="CA632" s="124"/>
    </row>
    <row r="633">
      <c r="A633" s="141"/>
      <c r="B633" s="107"/>
      <c r="C633" s="107"/>
      <c r="D633" s="143"/>
      <c r="E633" s="129"/>
      <c r="F633" s="129"/>
      <c r="G633" s="129"/>
      <c r="H633" s="129"/>
      <c r="I633" s="129"/>
      <c r="J633" s="129"/>
      <c r="K633" s="129"/>
      <c r="L633" s="129"/>
      <c r="M633" s="129"/>
      <c r="N633" s="129"/>
      <c r="O633" s="129"/>
      <c r="P633" s="129"/>
      <c r="Q633" s="129"/>
      <c r="R633" s="129"/>
      <c r="S633" s="129"/>
      <c r="T633" s="129"/>
      <c r="U633" s="106"/>
      <c r="V633" s="106"/>
      <c r="W633" s="106"/>
      <c r="X633" s="106"/>
      <c r="Y633" s="106"/>
      <c r="Z633" s="129"/>
      <c r="AA633" s="129"/>
      <c r="AB633" s="129"/>
      <c r="AC633" s="129"/>
      <c r="AD633" s="129"/>
      <c r="AE633" s="129"/>
      <c r="AF633" s="129"/>
      <c r="AG633" s="117"/>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c r="BK633" s="124"/>
      <c r="BL633" s="124"/>
      <c r="BM633" s="124"/>
      <c r="BN633" s="124"/>
      <c r="BO633" s="124"/>
      <c r="BP633" s="124"/>
      <c r="BQ633" s="124"/>
      <c r="BR633" s="124"/>
      <c r="BS633" s="124"/>
      <c r="BT633" s="124"/>
      <c r="BU633" s="124"/>
      <c r="BV633" s="124"/>
      <c r="BW633" s="124"/>
      <c r="BX633" s="124"/>
      <c r="BY633" s="124"/>
      <c r="BZ633" s="124"/>
      <c r="CA633" s="124"/>
    </row>
    <row r="634">
      <c r="A634" s="141"/>
      <c r="B634" s="107"/>
      <c r="C634" s="107"/>
      <c r="D634" s="143"/>
      <c r="E634" s="129"/>
      <c r="F634" s="129"/>
      <c r="G634" s="129"/>
      <c r="H634" s="129"/>
      <c r="I634" s="129"/>
      <c r="J634" s="129"/>
      <c r="K634" s="129"/>
      <c r="L634" s="129"/>
      <c r="M634" s="129"/>
      <c r="N634" s="129"/>
      <c r="O634" s="129"/>
      <c r="P634" s="129"/>
      <c r="Q634" s="129"/>
      <c r="R634" s="129"/>
      <c r="S634" s="129"/>
      <c r="T634" s="129"/>
      <c r="U634" s="106"/>
      <c r="V634" s="106"/>
      <c r="W634" s="106"/>
      <c r="X634" s="106"/>
      <c r="Y634" s="106"/>
      <c r="Z634" s="129"/>
      <c r="AA634" s="129"/>
      <c r="AB634" s="129"/>
      <c r="AC634" s="129"/>
      <c r="AD634" s="129"/>
      <c r="AE634" s="129"/>
      <c r="AF634" s="129"/>
      <c r="AG634" s="117"/>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c r="BK634" s="124"/>
      <c r="BL634" s="124"/>
      <c r="BM634" s="124"/>
      <c r="BN634" s="124"/>
      <c r="BO634" s="124"/>
      <c r="BP634" s="124"/>
      <c r="BQ634" s="124"/>
      <c r="BR634" s="124"/>
      <c r="BS634" s="124"/>
      <c r="BT634" s="124"/>
      <c r="BU634" s="124"/>
      <c r="BV634" s="124"/>
      <c r="BW634" s="124"/>
      <c r="BX634" s="124"/>
      <c r="BY634" s="124"/>
      <c r="BZ634" s="124"/>
      <c r="CA634" s="124"/>
    </row>
    <row r="635">
      <c r="A635" s="141"/>
      <c r="B635" s="107"/>
      <c r="C635" s="107"/>
      <c r="D635" s="143"/>
      <c r="E635" s="129"/>
      <c r="F635" s="129"/>
      <c r="G635" s="129"/>
      <c r="H635" s="129"/>
      <c r="I635" s="129"/>
      <c r="J635" s="129"/>
      <c r="K635" s="129"/>
      <c r="L635" s="129"/>
      <c r="M635" s="129"/>
      <c r="N635" s="129"/>
      <c r="O635" s="129"/>
      <c r="P635" s="129"/>
      <c r="Q635" s="129"/>
      <c r="R635" s="129"/>
      <c r="S635" s="129"/>
      <c r="T635" s="129"/>
      <c r="U635" s="106"/>
      <c r="V635" s="106"/>
      <c r="W635" s="106"/>
      <c r="X635" s="106"/>
      <c r="Y635" s="106"/>
      <c r="Z635" s="129"/>
      <c r="AA635" s="129"/>
      <c r="AB635" s="129"/>
      <c r="AC635" s="129"/>
      <c r="AD635" s="129"/>
      <c r="AE635" s="129"/>
      <c r="AF635" s="129"/>
      <c r="AG635" s="117"/>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c r="BK635" s="124"/>
      <c r="BL635" s="124"/>
      <c r="BM635" s="124"/>
      <c r="BN635" s="124"/>
      <c r="BO635" s="124"/>
      <c r="BP635" s="124"/>
      <c r="BQ635" s="124"/>
      <c r="BR635" s="124"/>
      <c r="BS635" s="124"/>
      <c r="BT635" s="124"/>
      <c r="BU635" s="124"/>
      <c r="BV635" s="124"/>
      <c r="BW635" s="124"/>
      <c r="BX635" s="124"/>
      <c r="BY635" s="124"/>
      <c r="BZ635" s="124"/>
      <c r="CA635" s="124"/>
    </row>
    <row r="636">
      <c r="A636" s="141"/>
      <c r="B636" s="107"/>
      <c r="C636" s="107"/>
      <c r="D636" s="143"/>
      <c r="E636" s="129"/>
      <c r="F636" s="129"/>
      <c r="G636" s="129"/>
      <c r="H636" s="129"/>
      <c r="I636" s="129"/>
      <c r="J636" s="129"/>
      <c r="K636" s="129"/>
      <c r="L636" s="129"/>
      <c r="M636" s="129"/>
      <c r="N636" s="129"/>
      <c r="O636" s="129"/>
      <c r="P636" s="129"/>
      <c r="Q636" s="129"/>
      <c r="R636" s="129"/>
      <c r="S636" s="129"/>
      <c r="T636" s="129"/>
      <c r="U636" s="106"/>
      <c r="V636" s="106"/>
      <c r="W636" s="106"/>
      <c r="X636" s="106"/>
      <c r="Y636" s="106"/>
      <c r="Z636" s="129"/>
      <c r="AA636" s="129"/>
      <c r="AB636" s="129"/>
      <c r="AC636" s="129"/>
      <c r="AD636" s="129"/>
      <c r="AE636" s="129"/>
      <c r="AF636" s="129"/>
      <c r="AG636" s="117"/>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c r="BK636" s="124"/>
      <c r="BL636" s="124"/>
      <c r="BM636" s="124"/>
      <c r="BN636" s="124"/>
      <c r="BO636" s="124"/>
      <c r="BP636" s="124"/>
      <c r="BQ636" s="124"/>
      <c r="BR636" s="124"/>
      <c r="BS636" s="124"/>
      <c r="BT636" s="124"/>
      <c r="BU636" s="124"/>
      <c r="BV636" s="124"/>
      <c r="BW636" s="124"/>
      <c r="BX636" s="124"/>
      <c r="BY636" s="124"/>
      <c r="BZ636" s="124"/>
      <c r="CA636" s="124"/>
    </row>
    <row r="637">
      <c r="A637" s="141"/>
      <c r="B637" s="107"/>
      <c r="C637" s="107"/>
      <c r="D637" s="143"/>
      <c r="E637" s="129"/>
      <c r="F637" s="129"/>
      <c r="G637" s="129"/>
      <c r="H637" s="129"/>
      <c r="I637" s="129"/>
      <c r="J637" s="129"/>
      <c r="K637" s="129"/>
      <c r="L637" s="129"/>
      <c r="M637" s="129"/>
      <c r="N637" s="129"/>
      <c r="O637" s="129"/>
      <c r="P637" s="129"/>
      <c r="Q637" s="129"/>
      <c r="R637" s="129"/>
      <c r="S637" s="129"/>
      <c r="T637" s="129"/>
      <c r="U637" s="106"/>
      <c r="V637" s="106"/>
      <c r="W637" s="106"/>
      <c r="X637" s="106"/>
      <c r="Y637" s="106"/>
      <c r="Z637" s="129"/>
      <c r="AA637" s="129"/>
      <c r="AB637" s="129"/>
      <c r="AC637" s="129"/>
      <c r="AD637" s="129"/>
      <c r="AE637" s="129"/>
      <c r="AF637" s="129"/>
      <c r="AG637" s="117"/>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c r="BK637" s="124"/>
      <c r="BL637" s="124"/>
      <c r="BM637" s="124"/>
      <c r="BN637" s="124"/>
      <c r="BO637" s="124"/>
      <c r="BP637" s="124"/>
      <c r="BQ637" s="124"/>
      <c r="BR637" s="124"/>
      <c r="BS637" s="124"/>
      <c r="BT637" s="124"/>
      <c r="BU637" s="124"/>
      <c r="BV637" s="124"/>
      <c r="BW637" s="124"/>
      <c r="BX637" s="124"/>
      <c r="BY637" s="124"/>
      <c r="BZ637" s="124"/>
      <c r="CA637" s="124"/>
    </row>
    <row r="638">
      <c r="A638" s="141"/>
      <c r="B638" s="107"/>
      <c r="C638" s="107"/>
      <c r="D638" s="143"/>
      <c r="E638" s="129"/>
      <c r="F638" s="129"/>
      <c r="G638" s="129"/>
      <c r="H638" s="129"/>
      <c r="I638" s="129"/>
      <c r="J638" s="129"/>
      <c r="K638" s="129"/>
      <c r="L638" s="129"/>
      <c r="M638" s="129"/>
      <c r="N638" s="129"/>
      <c r="O638" s="129"/>
      <c r="P638" s="129"/>
      <c r="Q638" s="129"/>
      <c r="R638" s="129"/>
      <c r="S638" s="129"/>
      <c r="T638" s="129"/>
      <c r="U638" s="106"/>
      <c r="V638" s="106"/>
      <c r="W638" s="106"/>
      <c r="X638" s="106"/>
      <c r="Y638" s="106"/>
      <c r="Z638" s="129"/>
      <c r="AA638" s="129"/>
      <c r="AB638" s="129"/>
      <c r="AC638" s="129"/>
      <c r="AD638" s="129"/>
      <c r="AE638" s="129"/>
      <c r="AF638" s="129"/>
      <c r="AG638" s="117"/>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c r="BK638" s="124"/>
      <c r="BL638" s="124"/>
      <c r="BM638" s="124"/>
      <c r="BN638" s="124"/>
      <c r="BO638" s="124"/>
      <c r="BP638" s="124"/>
      <c r="BQ638" s="124"/>
      <c r="BR638" s="124"/>
      <c r="BS638" s="124"/>
      <c r="BT638" s="124"/>
      <c r="BU638" s="124"/>
      <c r="BV638" s="124"/>
      <c r="BW638" s="124"/>
      <c r="BX638" s="124"/>
      <c r="BY638" s="124"/>
      <c r="BZ638" s="124"/>
      <c r="CA638" s="124"/>
    </row>
    <row r="639">
      <c r="A639" s="141"/>
      <c r="B639" s="107"/>
      <c r="C639" s="107"/>
      <c r="D639" s="143"/>
      <c r="E639" s="129"/>
      <c r="F639" s="129"/>
      <c r="G639" s="129"/>
      <c r="H639" s="129"/>
      <c r="I639" s="129"/>
      <c r="J639" s="129"/>
      <c r="K639" s="129"/>
      <c r="L639" s="129"/>
      <c r="M639" s="129"/>
      <c r="N639" s="129"/>
      <c r="O639" s="129"/>
      <c r="P639" s="129"/>
      <c r="Q639" s="129"/>
      <c r="R639" s="129"/>
      <c r="S639" s="129"/>
      <c r="T639" s="129"/>
      <c r="U639" s="106"/>
      <c r="V639" s="106"/>
      <c r="W639" s="106"/>
      <c r="X639" s="106"/>
      <c r="Y639" s="106"/>
      <c r="Z639" s="129"/>
      <c r="AA639" s="129"/>
      <c r="AB639" s="129"/>
      <c r="AC639" s="129"/>
      <c r="AD639" s="129"/>
      <c r="AE639" s="129"/>
      <c r="AF639" s="129"/>
      <c r="AG639" s="117"/>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c r="BK639" s="124"/>
      <c r="BL639" s="124"/>
      <c r="BM639" s="124"/>
      <c r="BN639" s="124"/>
      <c r="BO639" s="124"/>
      <c r="BP639" s="124"/>
      <c r="BQ639" s="124"/>
      <c r="BR639" s="124"/>
      <c r="BS639" s="124"/>
      <c r="BT639" s="124"/>
      <c r="BU639" s="124"/>
      <c r="BV639" s="124"/>
      <c r="BW639" s="124"/>
      <c r="BX639" s="124"/>
      <c r="BY639" s="124"/>
      <c r="BZ639" s="124"/>
      <c r="CA639" s="124"/>
    </row>
    <row r="640">
      <c r="A640" s="141"/>
      <c r="B640" s="107"/>
      <c r="C640" s="107"/>
      <c r="D640" s="143"/>
      <c r="E640" s="129"/>
      <c r="F640" s="129"/>
      <c r="G640" s="129"/>
      <c r="H640" s="129"/>
      <c r="I640" s="129"/>
      <c r="J640" s="129"/>
      <c r="K640" s="129"/>
      <c r="L640" s="129"/>
      <c r="M640" s="129"/>
      <c r="N640" s="129"/>
      <c r="O640" s="129"/>
      <c r="P640" s="129"/>
      <c r="Q640" s="129"/>
      <c r="R640" s="129"/>
      <c r="S640" s="129"/>
      <c r="T640" s="129"/>
      <c r="U640" s="106"/>
      <c r="V640" s="106"/>
      <c r="W640" s="106"/>
      <c r="X640" s="106"/>
      <c r="Y640" s="106"/>
      <c r="Z640" s="129"/>
      <c r="AA640" s="129"/>
      <c r="AB640" s="129"/>
      <c r="AC640" s="129"/>
      <c r="AD640" s="129"/>
      <c r="AE640" s="129"/>
      <c r="AF640" s="129"/>
      <c r="AG640" s="117"/>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c r="BK640" s="124"/>
      <c r="BL640" s="124"/>
      <c r="BM640" s="124"/>
      <c r="BN640" s="124"/>
      <c r="BO640" s="124"/>
      <c r="BP640" s="124"/>
      <c r="BQ640" s="124"/>
      <c r="BR640" s="124"/>
      <c r="BS640" s="124"/>
      <c r="BT640" s="124"/>
      <c r="BU640" s="124"/>
      <c r="BV640" s="124"/>
      <c r="BW640" s="124"/>
      <c r="BX640" s="124"/>
      <c r="BY640" s="124"/>
      <c r="BZ640" s="124"/>
      <c r="CA640" s="124"/>
    </row>
    <row r="641">
      <c r="A641" s="141"/>
      <c r="B641" s="107"/>
      <c r="C641" s="107"/>
      <c r="D641" s="143"/>
      <c r="E641" s="129"/>
      <c r="F641" s="129"/>
      <c r="G641" s="129"/>
      <c r="H641" s="129"/>
      <c r="I641" s="129"/>
      <c r="J641" s="129"/>
      <c r="K641" s="129"/>
      <c r="L641" s="129"/>
      <c r="M641" s="129"/>
      <c r="N641" s="129"/>
      <c r="O641" s="129"/>
      <c r="P641" s="129"/>
      <c r="Q641" s="129"/>
      <c r="R641" s="129"/>
      <c r="S641" s="129"/>
      <c r="T641" s="129"/>
      <c r="U641" s="106"/>
      <c r="V641" s="106"/>
      <c r="W641" s="106"/>
      <c r="X641" s="106"/>
      <c r="Y641" s="106"/>
      <c r="Z641" s="129"/>
      <c r="AA641" s="129"/>
      <c r="AB641" s="129"/>
      <c r="AC641" s="129"/>
      <c r="AD641" s="129"/>
      <c r="AE641" s="129"/>
      <c r="AF641" s="129"/>
      <c r="AG641" s="117"/>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c r="BK641" s="124"/>
      <c r="BL641" s="124"/>
      <c r="BM641" s="124"/>
      <c r="BN641" s="124"/>
      <c r="BO641" s="124"/>
      <c r="BP641" s="124"/>
      <c r="BQ641" s="124"/>
      <c r="BR641" s="124"/>
      <c r="BS641" s="124"/>
      <c r="BT641" s="124"/>
      <c r="BU641" s="124"/>
      <c r="BV641" s="124"/>
      <c r="BW641" s="124"/>
      <c r="BX641" s="124"/>
      <c r="BY641" s="124"/>
      <c r="BZ641" s="124"/>
      <c r="CA641" s="124"/>
    </row>
    <row r="642">
      <c r="A642" s="141"/>
      <c r="B642" s="107"/>
      <c r="C642" s="107"/>
      <c r="D642" s="143"/>
      <c r="E642" s="129"/>
      <c r="F642" s="129"/>
      <c r="G642" s="129"/>
      <c r="H642" s="129"/>
      <c r="I642" s="129"/>
      <c r="J642" s="129"/>
      <c r="K642" s="129"/>
      <c r="L642" s="129"/>
      <c r="M642" s="129"/>
      <c r="N642" s="129"/>
      <c r="O642" s="129"/>
      <c r="P642" s="129"/>
      <c r="Q642" s="129"/>
      <c r="R642" s="129"/>
      <c r="S642" s="129"/>
      <c r="T642" s="129"/>
      <c r="U642" s="106"/>
      <c r="V642" s="106"/>
      <c r="W642" s="106"/>
      <c r="X642" s="106"/>
      <c r="Y642" s="106"/>
      <c r="Z642" s="129"/>
      <c r="AA642" s="129"/>
      <c r="AB642" s="129"/>
      <c r="AC642" s="129"/>
      <c r="AD642" s="129"/>
      <c r="AE642" s="129"/>
      <c r="AF642" s="129"/>
      <c r="AG642" s="117"/>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c r="BK642" s="124"/>
      <c r="BL642" s="124"/>
      <c r="BM642" s="124"/>
      <c r="BN642" s="124"/>
      <c r="BO642" s="124"/>
      <c r="BP642" s="124"/>
      <c r="BQ642" s="124"/>
      <c r="BR642" s="124"/>
      <c r="BS642" s="124"/>
      <c r="BT642" s="124"/>
      <c r="BU642" s="124"/>
      <c r="BV642" s="124"/>
      <c r="BW642" s="124"/>
      <c r="BX642" s="124"/>
      <c r="BY642" s="124"/>
      <c r="BZ642" s="124"/>
      <c r="CA642" s="124"/>
    </row>
    <row r="643">
      <c r="A643" s="141"/>
      <c r="B643" s="107"/>
      <c r="C643" s="107"/>
      <c r="D643" s="143"/>
      <c r="E643" s="129"/>
      <c r="F643" s="129"/>
      <c r="G643" s="129"/>
      <c r="H643" s="129"/>
      <c r="I643" s="129"/>
      <c r="J643" s="129"/>
      <c r="K643" s="129"/>
      <c r="L643" s="129"/>
      <c r="M643" s="129"/>
      <c r="N643" s="129"/>
      <c r="O643" s="129"/>
      <c r="P643" s="129"/>
      <c r="Q643" s="129"/>
      <c r="R643" s="129"/>
      <c r="S643" s="129"/>
      <c r="T643" s="129"/>
      <c r="U643" s="106"/>
      <c r="V643" s="106"/>
      <c r="W643" s="106"/>
      <c r="X643" s="106"/>
      <c r="Y643" s="106"/>
      <c r="Z643" s="129"/>
      <c r="AA643" s="129"/>
      <c r="AB643" s="129"/>
      <c r="AC643" s="129"/>
      <c r="AD643" s="129"/>
      <c r="AE643" s="129"/>
      <c r="AF643" s="129"/>
      <c r="AG643" s="117"/>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c r="BK643" s="124"/>
      <c r="BL643" s="124"/>
      <c r="BM643" s="124"/>
      <c r="BN643" s="124"/>
      <c r="BO643" s="124"/>
      <c r="BP643" s="124"/>
      <c r="BQ643" s="124"/>
      <c r="BR643" s="124"/>
      <c r="BS643" s="124"/>
      <c r="BT643" s="124"/>
      <c r="BU643" s="124"/>
      <c r="BV643" s="124"/>
      <c r="BW643" s="124"/>
      <c r="BX643" s="124"/>
      <c r="BY643" s="124"/>
      <c r="BZ643" s="124"/>
      <c r="CA643" s="124"/>
    </row>
    <row r="644">
      <c r="A644" s="141"/>
      <c r="B644" s="107"/>
      <c r="C644" s="107"/>
      <c r="D644" s="143"/>
      <c r="E644" s="129"/>
      <c r="F644" s="129"/>
      <c r="G644" s="129"/>
      <c r="H644" s="129"/>
      <c r="I644" s="129"/>
      <c r="J644" s="129"/>
      <c r="K644" s="129"/>
      <c r="L644" s="129"/>
      <c r="M644" s="129"/>
      <c r="N644" s="129"/>
      <c r="O644" s="129"/>
      <c r="P644" s="129"/>
      <c r="Q644" s="129"/>
      <c r="R644" s="129"/>
      <c r="S644" s="129"/>
      <c r="T644" s="129"/>
      <c r="U644" s="106"/>
      <c r="V644" s="106"/>
      <c r="W644" s="106"/>
      <c r="X644" s="106"/>
      <c r="Y644" s="106"/>
      <c r="Z644" s="129"/>
      <c r="AA644" s="129"/>
      <c r="AB644" s="129"/>
      <c r="AC644" s="129"/>
      <c r="AD644" s="129"/>
      <c r="AE644" s="129"/>
      <c r="AF644" s="129"/>
      <c r="AG644" s="117"/>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c r="BK644" s="124"/>
      <c r="BL644" s="124"/>
      <c r="BM644" s="124"/>
      <c r="BN644" s="124"/>
      <c r="BO644" s="124"/>
      <c r="BP644" s="124"/>
      <c r="BQ644" s="124"/>
      <c r="BR644" s="124"/>
      <c r="BS644" s="124"/>
      <c r="BT644" s="124"/>
      <c r="BU644" s="124"/>
      <c r="BV644" s="124"/>
      <c r="BW644" s="124"/>
      <c r="BX644" s="124"/>
      <c r="BY644" s="124"/>
      <c r="BZ644" s="124"/>
      <c r="CA644" s="124"/>
    </row>
    <row r="645">
      <c r="A645" s="141"/>
      <c r="B645" s="107"/>
      <c r="C645" s="107"/>
      <c r="D645" s="143"/>
      <c r="E645" s="129"/>
      <c r="F645" s="129"/>
      <c r="G645" s="129"/>
      <c r="H645" s="129"/>
      <c r="I645" s="129"/>
      <c r="J645" s="129"/>
      <c r="K645" s="129"/>
      <c r="L645" s="129"/>
      <c r="M645" s="129"/>
      <c r="N645" s="129"/>
      <c r="O645" s="129"/>
      <c r="P645" s="129"/>
      <c r="Q645" s="129"/>
      <c r="R645" s="129"/>
      <c r="S645" s="129"/>
      <c r="T645" s="129"/>
      <c r="U645" s="106"/>
      <c r="V645" s="106"/>
      <c r="W645" s="106"/>
      <c r="X645" s="106"/>
      <c r="Y645" s="106"/>
      <c r="Z645" s="129"/>
      <c r="AA645" s="129"/>
      <c r="AB645" s="129"/>
      <c r="AC645" s="129"/>
      <c r="AD645" s="129"/>
      <c r="AE645" s="129"/>
      <c r="AF645" s="129"/>
      <c r="AG645" s="117"/>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c r="BK645" s="124"/>
      <c r="BL645" s="124"/>
      <c r="BM645" s="124"/>
      <c r="BN645" s="124"/>
      <c r="BO645" s="124"/>
      <c r="BP645" s="124"/>
      <c r="BQ645" s="124"/>
      <c r="BR645" s="124"/>
      <c r="BS645" s="124"/>
      <c r="BT645" s="124"/>
      <c r="BU645" s="124"/>
      <c r="BV645" s="124"/>
      <c r="BW645" s="124"/>
      <c r="BX645" s="124"/>
      <c r="BY645" s="124"/>
      <c r="BZ645" s="124"/>
      <c r="CA645" s="124"/>
    </row>
    <row r="646">
      <c r="A646" s="141"/>
      <c r="B646" s="107"/>
      <c r="C646" s="107"/>
      <c r="D646" s="143"/>
      <c r="E646" s="129"/>
      <c r="F646" s="129"/>
      <c r="G646" s="129"/>
      <c r="H646" s="129"/>
      <c r="I646" s="129"/>
      <c r="J646" s="129"/>
      <c r="K646" s="129"/>
      <c r="L646" s="129"/>
      <c r="M646" s="129"/>
      <c r="N646" s="129"/>
      <c r="O646" s="129"/>
      <c r="P646" s="129"/>
      <c r="Q646" s="129"/>
      <c r="R646" s="129"/>
      <c r="S646" s="129"/>
      <c r="T646" s="129"/>
      <c r="U646" s="106"/>
      <c r="V646" s="106"/>
      <c r="W646" s="106"/>
      <c r="X646" s="106"/>
      <c r="Y646" s="106"/>
      <c r="Z646" s="129"/>
      <c r="AA646" s="129"/>
      <c r="AB646" s="129"/>
      <c r="AC646" s="129"/>
      <c r="AD646" s="129"/>
      <c r="AE646" s="129"/>
      <c r="AF646" s="129"/>
      <c r="AG646" s="117"/>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c r="BK646" s="124"/>
      <c r="BL646" s="124"/>
      <c r="BM646" s="124"/>
      <c r="BN646" s="124"/>
      <c r="BO646" s="124"/>
      <c r="BP646" s="124"/>
      <c r="BQ646" s="124"/>
      <c r="BR646" s="124"/>
      <c r="BS646" s="124"/>
      <c r="BT646" s="124"/>
      <c r="BU646" s="124"/>
      <c r="BV646" s="124"/>
      <c r="BW646" s="124"/>
      <c r="BX646" s="124"/>
      <c r="BY646" s="124"/>
      <c r="BZ646" s="124"/>
      <c r="CA646" s="124"/>
    </row>
    <row r="647">
      <c r="A647" s="141"/>
      <c r="B647" s="107"/>
      <c r="C647" s="107"/>
      <c r="D647" s="143"/>
      <c r="E647" s="129"/>
      <c r="F647" s="129"/>
      <c r="G647" s="129"/>
      <c r="H647" s="129"/>
      <c r="I647" s="129"/>
      <c r="J647" s="129"/>
      <c r="K647" s="129"/>
      <c r="L647" s="129"/>
      <c r="M647" s="129"/>
      <c r="N647" s="129"/>
      <c r="O647" s="129"/>
      <c r="P647" s="129"/>
      <c r="Q647" s="129"/>
      <c r="R647" s="129"/>
      <c r="S647" s="129"/>
      <c r="T647" s="129"/>
      <c r="U647" s="106"/>
      <c r="V647" s="106"/>
      <c r="W647" s="106"/>
      <c r="X647" s="106"/>
      <c r="Y647" s="106"/>
      <c r="Z647" s="129"/>
      <c r="AA647" s="129"/>
      <c r="AB647" s="129"/>
      <c r="AC647" s="129"/>
      <c r="AD647" s="129"/>
      <c r="AE647" s="129"/>
      <c r="AF647" s="129"/>
      <c r="AG647" s="117"/>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c r="BK647" s="124"/>
      <c r="BL647" s="124"/>
      <c r="BM647" s="124"/>
      <c r="BN647" s="124"/>
      <c r="BO647" s="124"/>
      <c r="BP647" s="124"/>
      <c r="BQ647" s="124"/>
      <c r="BR647" s="124"/>
      <c r="BS647" s="124"/>
      <c r="BT647" s="124"/>
      <c r="BU647" s="124"/>
      <c r="BV647" s="124"/>
      <c r="BW647" s="124"/>
      <c r="BX647" s="124"/>
      <c r="BY647" s="124"/>
      <c r="BZ647" s="124"/>
      <c r="CA647" s="124"/>
    </row>
    <row r="648">
      <c r="A648" s="141"/>
      <c r="B648" s="107"/>
      <c r="C648" s="107"/>
      <c r="D648" s="143"/>
      <c r="E648" s="129"/>
      <c r="F648" s="129"/>
      <c r="G648" s="129"/>
      <c r="H648" s="129"/>
      <c r="I648" s="129"/>
      <c r="J648" s="129"/>
      <c r="K648" s="129"/>
      <c r="L648" s="129"/>
      <c r="M648" s="129"/>
      <c r="N648" s="129"/>
      <c r="O648" s="129"/>
      <c r="P648" s="129"/>
      <c r="Q648" s="129"/>
      <c r="R648" s="129"/>
      <c r="S648" s="129"/>
      <c r="T648" s="129"/>
      <c r="U648" s="106"/>
      <c r="V648" s="106"/>
      <c r="W648" s="106"/>
      <c r="X648" s="106"/>
      <c r="Y648" s="106"/>
      <c r="Z648" s="129"/>
      <c r="AA648" s="129"/>
      <c r="AB648" s="129"/>
      <c r="AC648" s="129"/>
      <c r="AD648" s="129"/>
      <c r="AE648" s="129"/>
      <c r="AF648" s="129"/>
      <c r="AG648" s="117"/>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c r="BK648" s="124"/>
      <c r="BL648" s="124"/>
      <c r="BM648" s="124"/>
      <c r="BN648" s="124"/>
      <c r="BO648" s="124"/>
      <c r="BP648" s="124"/>
      <c r="BQ648" s="124"/>
      <c r="BR648" s="124"/>
      <c r="BS648" s="124"/>
      <c r="BT648" s="124"/>
      <c r="BU648" s="124"/>
      <c r="BV648" s="124"/>
      <c r="BW648" s="124"/>
      <c r="BX648" s="124"/>
      <c r="BY648" s="124"/>
      <c r="BZ648" s="124"/>
      <c r="CA648" s="124"/>
    </row>
    <row r="649">
      <c r="A649" s="141"/>
      <c r="B649" s="107"/>
      <c r="C649" s="107"/>
      <c r="D649" s="143"/>
      <c r="E649" s="129"/>
      <c r="F649" s="129"/>
      <c r="G649" s="129"/>
      <c r="H649" s="129"/>
      <c r="I649" s="129"/>
      <c r="J649" s="129"/>
      <c r="K649" s="129"/>
      <c r="L649" s="129"/>
      <c r="M649" s="129"/>
      <c r="N649" s="129"/>
      <c r="O649" s="129"/>
      <c r="P649" s="129"/>
      <c r="Q649" s="129"/>
      <c r="R649" s="129"/>
      <c r="S649" s="129"/>
      <c r="T649" s="129"/>
      <c r="U649" s="106"/>
      <c r="V649" s="106"/>
      <c r="W649" s="106"/>
      <c r="X649" s="106"/>
      <c r="Y649" s="106"/>
      <c r="Z649" s="129"/>
      <c r="AA649" s="129"/>
      <c r="AB649" s="129"/>
      <c r="AC649" s="129"/>
      <c r="AD649" s="129"/>
      <c r="AE649" s="129"/>
      <c r="AF649" s="129"/>
      <c r="AG649" s="117"/>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c r="BK649" s="124"/>
      <c r="BL649" s="124"/>
      <c r="BM649" s="124"/>
      <c r="BN649" s="124"/>
      <c r="BO649" s="124"/>
      <c r="BP649" s="124"/>
      <c r="BQ649" s="124"/>
      <c r="BR649" s="124"/>
      <c r="BS649" s="124"/>
      <c r="BT649" s="124"/>
      <c r="BU649" s="124"/>
      <c r="BV649" s="124"/>
      <c r="BW649" s="124"/>
      <c r="BX649" s="124"/>
      <c r="BY649" s="124"/>
      <c r="BZ649" s="124"/>
      <c r="CA649" s="124"/>
    </row>
    <row r="650">
      <c r="A650" s="141"/>
      <c r="B650" s="107"/>
      <c r="C650" s="107"/>
      <c r="D650" s="143"/>
      <c r="E650" s="129"/>
      <c r="F650" s="129"/>
      <c r="G650" s="129"/>
      <c r="H650" s="129"/>
      <c r="I650" s="129"/>
      <c r="J650" s="129"/>
      <c r="K650" s="129"/>
      <c r="L650" s="129"/>
      <c r="M650" s="129"/>
      <c r="N650" s="129"/>
      <c r="O650" s="129"/>
      <c r="P650" s="129"/>
      <c r="Q650" s="129"/>
      <c r="R650" s="129"/>
      <c r="S650" s="129"/>
      <c r="T650" s="129"/>
      <c r="U650" s="106"/>
      <c r="V650" s="106"/>
      <c r="W650" s="106"/>
      <c r="X650" s="106"/>
      <c r="Y650" s="106"/>
      <c r="Z650" s="129"/>
      <c r="AA650" s="129"/>
      <c r="AB650" s="129"/>
      <c r="AC650" s="129"/>
      <c r="AD650" s="129"/>
      <c r="AE650" s="129"/>
      <c r="AF650" s="129"/>
      <c r="AG650" s="117"/>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c r="BK650" s="124"/>
      <c r="BL650" s="124"/>
      <c r="BM650" s="124"/>
      <c r="BN650" s="124"/>
      <c r="BO650" s="124"/>
      <c r="BP650" s="124"/>
      <c r="BQ650" s="124"/>
      <c r="BR650" s="124"/>
      <c r="BS650" s="124"/>
      <c r="BT650" s="124"/>
      <c r="BU650" s="124"/>
      <c r="BV650" s="124"/>
      <c r="BW650" s="124"/>
      <c r="BX650" s="124"/>
      <c r="BY650" s="124"/>
      <c r="BZ650" s="124"/>
      <c r="CA650" s="124"/>
    </row>
    <row r="651">
      <c r="A651" s="141"/>
      <c r="B651" s="107"/>
      <c r="C651" s="107"/>
      <c r="D651" s="143"/>
      <c r="E651" s="129"/>
      <c r="F651" s="129"/>
      <c r="G651" s="129"/>
      <c r="H651" s="129"/>
      <c r="I651" s="129"/>
      <c r="J651" s="129"/>
      <c r="K651" s="129"/>
      <c r="L651" s="129"/>
      <c r="M651" s="129"/>
      <c r="N651" s="129"/>
      <c r="O651" s="129"/>
      <c r="P651" s="129"/>
      <c r="Q651" s="129"/>
      <c r="R651" s="129"/>
      <c r="S651" s="129"/>
      <c r="T651" s="129"/>
      <c r="U651" s="106"/>
      <c r="V651" s="106"/>
      <c r="W651" s="106"/>
      <c r="X651" s="106"/>
      <c r="Y651" s="106"/>
      <c r="Z651" s="129"/>
      <c r="AA651" s="129"/>
      <c r="AB651" s="129"/>
      <c r="AC651" s="129"/>
      <c r="AD651" s="129"/>
      <c r="AE651" s="129"/>
      <c r="AF651" s="129"/>
      <c r="AG651" s="117"/>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c r="BK651" s="124"/>
      <c r="BL651" s="124"/>
      <c r="BM651" s="124"/>
      <c r="BN651" s="124"/>
      <c r="BO651" s="124"/>
      <c r="BP651" s="124"/>
      <c r="BQ651" s="124"/>
      <c r="BR651" s="124"/>
      <c r="BS651" s="124"/>
      <c r="BT651" s="124"/>
      <c r="BU651" s="124"/>
      <c r="BV651" s="124"/>
      <c r="BW651" s="124"/>
      <c r="BX651" s="124"/>
      <c r="BY651" s="124"/>
      <c r="BZ651" s="124"/>
      <c r="CA651" s="124"/>
    </row>
    <row r="652">
      <c r="A652" s="141"/>
      <c r="B652" s="107"/>
      <c r="C652" s="107"/>
      <c r="D652" s="143"/>
      <c r="E652" s="129"/>
      <c r="F652" s="129"/>
      <c r="G652" s="129"/>
      <c r="H652" s="129"/>
      <c r="I652" s="129"/>
      <c r="J652" s="129"/>
      <c r="K652" s="129"/>
      <c r="L652" s="129"/>
      <c r="M652" s="129"/>
      <c r="N652" s="129"/>
      <c r="O652" s="129"/>
      <c r="P652" s="129"/>
      <c r="Q652" s="129"/>
      <c r="R652" s="129"/>
      <c r="S652" s="129"/>
      <c r="T652" s="129"/>
      <c r="U652" s="106"/>
      <c r="V652" s="106"/>
      <c r="W652" s="106"/>
      <c r="X652" s="106"/>
      <c r="Y652" s="106"/>
      <c r="Z652" s="129"/>
      <c r="AA652" s="129"/>
      <c r="AB652" s="129"/>
      <c r="AC652" s="129"/>
      <c r="AD652" s="129"/>
      <c r="AE652" s="129"/>
      <c r="AF652" s="129"/>
      <c r="AG652" s="117"/>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c r="BK652" s="124"/>
      <c r="BL652" s="124"/>
      <c r="BM652" s="124"/>
      <c r="BN652" s="124"/>
      <c r="BO652" s="124"/>
      <c r="BP652" s="124"/>
      <c r="BQ652" s="124"/>
      <c r="BR652" s="124"/>
      <c r="BS652" s="124"/>
      <c r="BT652" s="124"/>
      <c r="BU652" s="124"/>
      <c r="BV652" s="124"/>
      <c r="BW652" s="124"/>
      <c r="BX652" s="124"/>
      <c r="BY652" s="124"/>
      <c r="BZ652" s="124"/>
      <c r="CA652" s="124"/>
    </row>
    <row r="653">
      <c r="A653" s="141"/>
      <c r="B653" s="107"/>
      <c r="C653" s="107"/>
      <c r="D653" s="143"/>
      <c r="E653" s="129"/>
      <c r="F653" s="129"/>
      <c r="G653" s="129"/>
      <c r="H653" s="129"/>
      <c r="I653" s="129"/>
      <c r="J653" s="129"/>
      <c r="K653" s="129"/>
      <c r="L653" s="129"/>
      <c r="M653" s="129"/>
      <c r="N653" s="129"/>
      <c r="O653" s="129"/>
      <c r="P653" s="129"/>
      <c r="Q653" s="129"/>
      <c r="R653" s="129"/>
      <c r="S653" s="129"/>
      <c r="T653" s="129"/>
      <c r="U653" s="106"/>
      <c r="V653" s="106"/>
      <c r="W653" s="106"/>
      <c r="X653" s="106"/>
      <c r="Y653" s="106"/>
      <c r="Z653" s="129"/>
      <c r="AA653" s="129"/>
      <c r="AB653" s="129"/>
      <c r="AC653" s="129"/>
      <c r="AD653" s="129"/>
      <c r="AE653" s="129"/>
      <c r="AF653" s="129"/>
      <c r="AG653" s="117"/>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c r="BK653" s="124"/>
      <c r="BL653" s="124"/>
      <c r="BM653" s="124"/>
      <c r="BN653" s="124"/>
      <c r="BO653" s="124"/>
      <c r="BP653" s="124"/>
      <c r="BQ653" s="124"/>
      <c r="BR653" s="124"/>
      <c r="BS653" s="124"/>
      <c r="BT653" s="124"/>
      <c r="BU653" s="124"/>
      <c r="BV653" s="124"/>
      <c r="BW653" s="124"/>
      <c r="BX653" s="124"/>
      <c r="BY653" s="124"/>
      <c r="BZ653" s="124"/>
      <c r="CA653" s="124"/>
    </row>
    <row r="654">
      <c r="A654" s="141"/>
      <c r="B654" s="107"/>
      <c r="C654" s="107"/>
      <c r="D654" s="143"/>
      <c r="E654" s="129"/>
      <c r="F654" s="129"/>
      <c r="G654" s="129"/>
      <c r="H654" s="129"/>
      <c r="I654" s="129"/>
      <c r="J654" s="129"/>
      <c r="K654" s="129"/>
      <c r="L654" s="129"/>
      <c r="M654" s="129"/>
      <c r="N654" s="129"/>
      <c r="O654" s="129"/>
      <c r="P654" s="129"/>
      <c r="Q654" s="129"/>
      <c r="R654" s="129"/>
      <c r="S654" s="129"/>
      <c r="T654" s="129"/>
      <c r="U654" s="106"/>
      <c r="V654" s="106"/>
      <c r="W654" s="106"/>
      <c r="X654" s="106"/>
      <c r="Y654" s="106"/>
      <c r="Z654" s="129"/>
      <c r="AA654" s="129"/>
      <c r="AB654" s="129"/>
      <c r="AC654" s="129"/>
      <c r="AD654" s="129"/>
      <c r="AE654" s="129"/>
      <c r="AF654" s="129"/>
      <c r="AG654" s="117"/>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c r="BK654" s="124"/>
      <c r="BL654" s="124"/>
      <c r="BM654" s="124"/>
      <c r="BN654" s="124"/>
      <c r="BO654" s="124"/>
      <c r="BP654" s="124"/>
      <c r="BQ654" s="124"/>
      <c r="BR654" s="124"/>
      <c r="BS654" s="124"/>
      <c r="BT654" s="124"/>
      <c r="BU654" s="124"/>
      <c r="BV654" s="124"/>
      <c r="BW654" s="124"/>
      <c r="BX654" s="124"/>
      <c r="BY654" s="124"/>
      <c r="BZ654" s="124"/>
      <c r="CA654" s="124"/>
    </row>
    <row r="655">
      <c r="A655" s="141"/>
      <c r="B655" s="107"/>
      <c r="C655" s="107"/>
      <c r="D655" s="143"/>
      <c r="E655" s="129"/>
      <c r="F655" s="129"/>
      <c r="G655" s="129"/>
      <c r="H655" s="129"/>
      <c r="I655" s="129"/>
      <c r="J655" s="129"/>
      <c r="K655" s="129"/>
      <c r="L655" s="129"/>
      <c r="M655" s="129"/>
      <c r="N655" s="129"/>
      <c r="O655" s="129"/>
      <c r="P655" s="129"/>
      <c r="Q655" s="129"/>
      <c r="R655" s="129"/>
      <c r="S655" s="129"/>
      <c r="T655" s="129"/>
      <c r="U655" s="106"/>
      <c r="V655" s="106"/>
      <c r="W655" s="106"/>
      <c r="X655" s="106"/>
      <c r="Y655" s="106"/>
      <c r="Z655" s="129"/>
      <c r="AA655" s="129"/>
      <c r="AB655" s="129"/>
      <c r="AC655" s="129"/>
      <c r="AD655" s="129"/>
      <c r="AE655" s="129"/>
      <c r="AF655" s="129"/>
      <c r="AG655" s="117"/>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c r="BK655" s="124"/>
      <c r="BL655" s="124"/>
      <c r="BM655" s="124"/>
      <c r="BN655" s="124"/>
      <c r="BO655" s="124"/>
      <c r="BP655" s="124"/>
      <c r="BQ655" s="124"/>
      <c r="BR655" s="124"/>
      <c r="BS655" s="124"/>
      <c r="BT655" s="124"/>
      <c r="BU655" s="124"/>
      <c r="BV655" s="124"/>
      <c r="BW655" s="124"/>
      <c r="BX655" s="124"/>
      <c r="BY655" s="124"/>
      <c r="BZ655" s="124"/>
      <c r="CA655" s="124"/>
    </row>
    <row r="656">
      <c r="A656" s="141"/>
      <c r="B656" s="107"/>
      <c r="C656" s="107"/>
      <c r="D656" s="143"/>
      <c r="E656" s="129"/>
      <c r="F656" s="129"/>
      <c r="G656" s="129"/>
      <c r="H656" s="129"/>
      <c r="I656" s="129"/>
      <c r="J656" s="129"/>
      <c r="K656" s="129"/>
      <c r="L656" s="129"/>
      <c r="M656" s="129"/>
      <c r="N656" s="129"/>
      <c r="O656" s="129"/>
      <c r="P656" s="129"/>
      <c r="Q656" s="129"/>
      <c r="R656" s="129"/>
      <c r="S656" s="129"/>
      <c r="T656" s="129"/>
      <c r="U656" s="106"/>
      <c r="V656" s="106"/>
      <c r="W656" s="106"/>
      <c r="X656" s="106"/>
      <c r="Y656" s="106"/>
      <c r="Z656" s="129"/>
      <c r="AA656" s="129"/>
      <c r="AB656" s="129"/>
      <c r="AC656" s="129"/>
      <c r="AD656" s="129"/>
      <c r="AE656" s="129"/>
      <c r="AF656" s="129"/>
      <c r="AG656" s="117"/>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c r="BK656" s="124"/>
      <c r="BL656" s="124"/>
      <c r="BM656" s="124"/>
      <c r="BN656" s="124"/>
      <c r="BO656" s="124"/>
      <c r="BP656" s="124"/>
      <c r="BQ656" s="124"/>
      <c r="BR656" s="124"/>
      <c r="BS656" s="124"/>
      <c r="BT656" s="124"/>
      <c r="BU656" s="124"/>
      <c r="BV656" s="124"/>
      <c r="BW656" s="124"/>
      <c r="BX656" s="124"/>
      <c r="BY656" s="124"/>
      <c r="BZ656" s="124"/>
      <c r="CA656" s="124"/>
    </row>
    <row r="657">
      <c r="A657" s="141"/>
      <c r="B657" s="107"/>
      <c r="C657" s="107"/>
      <c r="D657" s="143"/>
      <c r="E657" s="129"/>
      <c r="F657" s="129"/>
      <c r="G657" s="129"/>
      <c r="H657" s="129"/>
      <c r="I657" s="129"/>
      <c r="J657" s="129"/>
      <c r="K657" s="129"/>
      <c r="L657" s="129"/>
      <c r="M657" s="129"/>
      <c r="N657" s="129"/>
      <c r="O657" s="129"/>
      <c r="P657" s="129"/>
      <c r="Q657" s="129"/>
      <c r="R657" s="129"/>
      <c r="S657" s="129"/>
      <c r="T657" s="129"/>
      <c r="U657" s="106"/>
      <c r="V657" s="106"/>
      <c r="W657" s="106"/>
      <c r="X657" s="106"/>
      <c r="Y657" s="106"/>
      <c r="Z657" s="129"/>
      <c r="AA657" s="129"/>
      <c r="AB657" s="129"/>
      <c r="AC657" s="129"/>
      <c r="AD657" s="129"/>
      <c r="AE657" s="129"/>
      <c r="AF657" s="129"/>
      <c r="AG657" s="117"/>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c r="BK657" s="124"/>
      <c r="BL657" s="124"/>
      <c r="BM657" s="124"/>
      <c r="BN657" s="124"/>
      <c r="BO657" s="124"/>
      <c r="BP657" s="124"/>
      <c r="BQ657" s="124"/>
      <c r="BR657" s="124"/>
      <c r="BS657" s="124"/>
      <c r="BT657" s="124"/>
      <c r="BU657" s="124"/>
      <c r="BV657" s="124"/>
      <c r="BW657" s="124"/>
      <c r="BX657" s="124"/>
      <c r="BY657" s="124"/>
      <c r="BZ657" s="124"/>
      <c r="CA657" s="124"/>
    </row>
    <row r="658">
      <c r="A658" s="141"/>
      <c r="B658" s="107"/>
      <c r="C658" s="107"/>
      <c r="D658" s="143"/>
      <c r="E658" s="129"/>
      <c r="F658" s="129"/>
      <c r="G658" s="129"/>
      <c r="H658" s="129"/>
      <c r="I658" s="129"/>
      <c r="J658" s="129"/>
      <c r="K658" s="129"/>
      <c r="L658" s="129"/>
      <c r="M658" s="129"/>
      <c r="N658" s="129"/>
      <c r="O658" s="129"/>
      <c r="P658" s="129"/>
      <c r="Q658" s="129"/>
      <c r="R658" s="129"/>
      <c r="S658" s="129"/>
      <c r="T658" s="129"/>
      <c r="U658" s="106"/>
      <c r="V658" s="106"/>
      <c r="W658" s="106"/>
      <c r="X658" s="106"/>
      <c r="Y658" s="106"/>
      <c r="Z658" s="129"/>
      <c r="AA658" s="129"/>
      <c r="AB658" s="129"/>
      <c r="AC658" s="129"/>
      <c r="AD658" s="129"/>
      <c r="AE658" s="129"/>
      <c r="AF658" s="129"/>
      <c r="AG658" s="117"/>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c r="BK658" s="124"/>
      <c r="BL658" s="124"/>
      <c r="BM658" s="124"/>
      <c r="BN658" s="124"/>
      <c r="BO658" s="124"/>
      <c r="BP658" s="124"/>
      <c r="BQ658" s="124"/>
      <c r="BR658" s="124"/>
      <c r="BS658" s="124"/>
      <c r="BT658" s="124"/>
      <c r="BU658" s="124"/>
      <c r="BV658" s="124"/>
      <c r="BW658" s="124"/>
      <c r="BX658" s="124"/>
      <c r="BY658" s="124"/>
      <c r="BZ658" s="124"/>
      <c r="CA658" s="124"/>
    </row>
    <row r="659">
      <c r="A659" s="141"/>
      <c r="B659" s="107"/>
      <c r="C659" s="107"/>
      <c r="D659" s="143"/>
      <c r="E659" s="129"/>
      <c r="F659" s="129"/>
      <c r="G659" s="129"/>
      <c r="H659" s="129"/>
      <c r="I659" s="129"/>
      <c r="J659" s="129"/>
      <c r="K659" s="129"/>
      <c r="L659" s="129"/>
      <c r="M659" s="129"/>
      <c r="N659" s="129"/>
      <c r="O659" s="129"/>
      <c r="P659" s="129"/>
      <c r="Q659" s="129"/>
      <c r="R659" s="129"/>
      <c r="S659" s="129"/>
      <c r="T659" s="129"/>
      <c r="U659" s="106"/>
      <c r="V659" s="106"/>
      <c r="W659" s="106"/>
      <c r="X659" s="106"/>
      <c r="Y659" s="106"/>
      <c r="Z659" s="129"/>
      <c r="AA659" s="129"/>
      <c r="AB659" s="129"/>
      <c r="AC659" s="129"/>
      <c r="AD659" s="129"/>
      <c r="AE659" s="129"/>
      <c r="AF659" s="129"/>
      <c r="AG659" s="117"/>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c r="BK659" s="124"/>
      <c r="BL659" s="124"/>
      <c r="BM659" s="124"/>
      <c r="BN659" s="124"/>
      <c r="BO659" s="124"/>
      <c r="BP659" s="124"/>
      <c r="BQ659" s="124"/>
      <c r="BR659" s="124"/>
      <c r="BS659" s="124"/>
      <c r="BT659" s="124"/>
      <c r="BU659" s="124"/>
      <c r="BV659" s="124"/>
      <c r="BW659" s="124"/>
      <c r="BX659" s="124"/>
      <c r="BY659" s="124"/>
      <c r="BZ659" s="124"/>
      <c r="CA659" s="124"/>
    </row>
    <row r="660">
      <c r="A660" s="141"/>
      <c r="B660" s="107"/>
      <c r="C660" s="107"/>
      <c r="D660" s="143"/>
      <c r="E660" s="129"/>
      <c r="F660" s="129"/>
      <c r="G660" s="129"/>
      <c r="H660" s="129"/>
      <c r="I660" s="129"/>
      <c r="J660" s="129"/>
      <c r="K660" s="129"/>
      <c r="L660" s="129"/>
      <c r="M660" s="129"/>
      <c r="N660" s="129"/>
      <c r="O660" s="129"/>
      <c r="P660" s="129"/>
      <c r="Q660" s="129"/>
      <c r="R660" s="129"/>
      <c r="S660" s="129"/>
      <c r="T660" s="129"/>
      <c r="U660" s="106"/>
      <c r="V660" s="106"/>
      <c r="W660" s="106"/>
      <c r="X660" s="106"/>
      <c r="Y660" s="106"/>
      <c r="Z660" s="129"/>
      <c r="AA660" s="129"/>
      <c r="AB660" s="129"/>
      <c r="AC660" s="129"/>
      <c r="AD660" s="129"/>
      <c r="AE660" s="129"/>
      <c r="AF660" s="129"/>
      <c r="AG660" s="117"/>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c r="BK660" s="124"/>
      <c r="BL660" s="124"/>
      <c r="BM660" s="124"/>
      <c r="BN660" s="124"/>
      <c r="BO660" s="124"/>
      <c r="BP660" s="124"/>
      <c r="BQ660" s="124"/>
      <c r="BR660" s="124"/>
      <c r="BS660" s="124"/>
      <c r="BT660" s="124"/>
      <c r="BU660" s="124"/>
      <c r="BV660" s="124"/>
      <c r="BW660" s="124"/>
      <c r="BX660" s="124"/>
      <c r="BY660" s="124"/>
      <c r="BZ660" s="124"/>
      <c r="CA660" s="124"/>
    </row>
    <row r="661">
      <c r="A661" s="141"/>
      <c r="B661" s="107"/>
      <c r="C661" s="107"/>
      <c r="D661" s="143"/>
      <c r="E661" s="129"/>
      <c r="F661" s="129"/>
      <c r="G661" s="129"/>
      <c r="H661" s="129"/>
      <c r="I661" s="129"/>
      <c r="J661" s="129"/>
      <c r="K661" s="129"/>
      <c r="L661" s="129"/>
      <c r="M661" s="129"/>
      <c r="N661" s="129"/>
      <c r="O661" s="129"/>
      <c r="P661" s="129"/>
      <c r="Q661" s="129"/>
      <c r="R661" s="129"/>
      <c r="S661" s="129"/>
      <c r="T661" s="129"/>
      <c r="U661" s="106"/>
      <c r="V661" s="106"/>
      <c r="W661" s="106"/>
      <c r="X661" s="106"/>
      <c r="Y661" s="106"/>
      <c r="Z661" s="129"/>
      <c r="AA661" s="129"/>
      <c r="AB661" s="129"/>
      <c r="AC661" s="129"/>
      <c r="AD661" s="129"/>
      <c r="AE661" s="129"/>
      <c r="AF661" s="129"/>
      <c r="AG661" s="117"/>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c r="BK661" s="124"/>
      <c r="BL661" s="124"/>
      <c r="BM661" s="124"/>
      <c r="BN661" s="124"/>
      <c r="BO661" s="124"/>
      <c r="BP661" s="124"/>
      <c r="BQ661" s="124"/>
      <c r="BR661" s="124"/>
      <c r="BS661" s="124"/>
      <c r="BT661" s="124"/>
      <c r="BU661" s="124"/>
      <c r="BV661" s="124"/>
      <c r="BW661" s="124"/>
      <c r="BX661" s="124"/>
      <c r="BY661" s="124"/>
      <c r="BZ661" s="124"/>
      <c r="CA661" s="124"/>
    </row>
    <row r="662">
      <c r="A662" s="141"/>
      <c r="B662" s="107"/>
      <c r="C662" s="107"/>
      <c r="D662" s="143"/>
      <c r="E662" s="129"/>
      <c r="F662" s="129"/>
      <c r="G662" s="129"/>
      <c r="H662" s="129"/>
      <c r="I662" s="129"/>
      <c r="J662" s="129"/>
      <c r="K662" s="129"/>
      <c r="L662" s="129"/>
      <c r="M662" s="129"/>
      <c r="N662" s="129"/>
      <c r="O662" s="129"/>
      <c r="P662" s="129"/>
      <c r="Q662" s="129"/>
      <c r="R662" s="129"/>
      <c r="S662" s="129"/>
      <c r="T662" s="129"/>
      <c r="U662" s="106"/>
      <c r="V662" s="106"/>
      <c r="W662" s="106"/>
      <c r="X662" s="106"/>
      <c r="Y662" s="106"/>
      <c r="Z662" s="129"/>
      <c r="AA662" s="129"/>
      <c r="AB662" s="129"/>
      <c r="AC662" s="129"/>
      <c r="AD662" s="129"/>
      <c r="AE662" s="129"/>
      <c r="AF662" s="129"/>
      <c r="AG662" s="117"/>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c r="BK662" s="124"/>
      <c r="BL662" s="124"/>
      <c r="BM662" s="124"/>
      <c r="BN662" s="124"/>
      <c r="BO662" s="124"/>
      <c r="BP662" s="124"/>
      <c r="BQ662" s="124"/>
      <c r="BR662" s="124"/>
      <c r="BS662" s="124"/>
      <c r="BT662" s="124"/>
      <c r="BU662" s="124"/>
      <c r="BV662" s="124"/>
      <c r="BW662" s="124"/>
      <c r="BX662" s="124"/>
      <c r="BY662" s="124"/>
      <c r="BZ662" s="124"/>
      <c r="CA662" s="124"/>
    </row>
    <row r="663">
      <c r="A663" s="141"/>
      <c r="B663" s="107"/>
      <c r="C663" s="107"/>
      <c r="D663" s="143"/>
      <c r="E663" s="129"/>
      <c r="F663" s="129"/>
      <c r="G663" s="129"/>
      <c r="H663" s="129"/>
      <c r="I663" s="129"/>
      <c r="J663" s="129"/>
      <c r="K663" s="129"/>
      <c r="L663" s="129"/>
      <c r="M663" s="129"/>
      <c r="N663" s="129"/>
      <c r="O663" s="129"/>
      <c r="P663" s="129"/>
      <c r="Q663" s="129"/>
      <c r="R663" s="129"/>
      <c r="S663" s="129"/>
      <c r="T663" s="129"/>
      <c r="U663" s="106"/>
      <c r="V663" s="106"/>
      <c r="W663" s="106"/>
      <c r="X663" s="106"/>
      <c r="Y663" s="106"/>
      <c r="Z663" s="129"/>
      <c r="AA663" s="129"/>
      <c r="AB663" s="129"/>
      <c r="AC663" s="129"/>
      <c r="AD663" s="129"/>
      <c r="AE663" s="129"/>
      <c r="AF663" s="129"/>
      <c r="AG663" s="117"/>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c r="BK663" s="124"/>
      <c r="BL663" s="124"/>
      <c r="BM663" s="124"/>
      <c r="BN663" s="124"/>
      <c r="BO663" s="124"/>
      <c r="BP663" s="124"/>
      <c r="BQ663" s="124"/>
      <c r="BR663" s="124"/>
      <c r="BS663" s="124"/>
      <c r="BT663" s="124"/>
      <c r="BU663" s="124"/>
      <c r="BV663" s="124"/>
      <c r="BW663" s="124"/>
      <c r="BX663" s="124"/>
      <c r="BY663" s="124"/>
      <c r="BZ663" s="124"/>
      <c r="CA663" s="124"/>
    </row>
    <row r="664">
      <c r="A664" s="141"/>
      <c r="B664" s="107"/>
      <c r="C664" s="107"/>
      <c r="D664" s="143"/>
      <c r="E664" s="129"/>
      <c r="F664" s="129"/>
      <c r="G664" s="129"/>
      <c r="H664" s="129"/>
      <c r="I664" s="129"/>
      <c r="J664" s="129"/>
      <c r="K664" s="129"/>
      <c r="L664" s="129"/>
      <c r="M664" s="129"/>
      <c r="N664" s="129"/>
      <c r="O664" s="129"/>
      <c r="P664" s="129"/>
      <c r="Q664" s="129"/>
      <c r="R664" s="129"/>
      <c r="S664" s="129"/>
      <c r="T664" s="129"/>
      <c r="U664" s="106"/>
      <c r="V664" s="106"/>
      <c r="W664" s="106"/>
      <c r="X664" s="106"/>
      <c r="Y664" s="106"/>
      <c r="Z664" s="129"/>
      <c r="AA664" s="129"/>
      <c r="AB664" s="129"/>
      <c r="AC664" s="129"/>
      <c r="AD664" s="129"/>
      <c r="AE664" s="129"/>
      <c r="AF664" s="129"/>
      <c r="AG664" s="117"/>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c r="BK664" s="124"/>
      <c r="BL664" s="124"/>
      <c r="BM664" s="124"/>
      <c r="BN664" s="124"/>
      <c r="BO664" s="124"/>
      <c r="BP664" s="124"/>
      <c r="BQ664" s="124"/>
      <c r="BR664" s="124"/>
      <c r="BS664" s="124"/>
      <c r="BT664" s="124"/>
      <c r="BU664" s="124"/>
      <c r="BV664" s="124"/>
      <c r="BW664" s="124"/>
      <c r="BX664" s="124"/>
      <c r="BY664" s="124"/>
      <c r="BZ664" s="124"/>
      <c r="CA664" s="124"/>
    </row>
    <row r="665">
      <c r="A665" s="141"/>
      <c r="B665" s="107"/>
      <c r="C665" s="107"/>
      <c r="D665" s="143"/>
      <c r="E665" s="129"/>
      <c r="F665" s="129"/>
      <c r="G665" s="129"/>
      <c r="H665" s="129"/>
      <c r="I665" s="129"/>
      <c r="J665" s="129"/>
      <c r="K665" s="129"/>
      <c r="L665" s="129"/>
      <c r="M665" s="129"/>
      <c r="N665" s="129"/>
      <c r="O665" s="129"/>
      <c r="P665" s="129"/>
      <c r="Q665" s="129"/>
      <c r="R665" s="129"/>
      <c r="S665" s="129"/>
      <c r="T665" s="129"/>
      <c r="U665" s="106"/>
      <c r="V665" s="106"/>
      <c r="W665" s="106"/>
      <c r="X665" s="106"/>
      <c r="Y665" s="106"/>
      <c r="Z665" s="129"/>
      <c r="AA665" s="129"/>
      <c r="AB665" s="129"/>
      <c r="AC665" s="129"/>
      <c r="AD665" s="129"/>
      <c r="AE665" s="129"/>
      <c r="AF665" s="129"/>
      <c r="AG665" s="117"/>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c r="BK665" s="124"/>
      <c r="BL665" s="124"/>
      <c r="BM665" s="124"/>
      <c r="BN665" s="124"/>
      <c r="BO665" s="124"/>
      <c r="BP665" s="124"/>
      <c r="BQ665" s="124"/>
      <c r="BR665" s="124"/>
      <c r="BS665" s="124"/>
      <c r="BT665" s="124"/>
      <c r="BU665" s="124"/>
      <c r="BV665" s="124"/>
      <c r="BW665" s="124"/>
      <c r="BX665" s="124"/>
      <c r="BY665" s="124"/>
      <c r="BZ665" s="124"/>
      <c r="CA665" s="124"/>
    </row>
    <row r="666">
      <c r="A666" s="141"/>
      <c r="B666" s="107"/>
      <c r="C666" s="107"/>
      <c r="D666" s="143"/>
      <c r="E666" s="129"/>
      <c r="F666" s="129"/>
      <c r="G666" s="129"/>
      <c r="H666" s="129"/>
      <c r="I666" s="129"/>
      <c r="J666" s="129"/>
      <c r="K666" s="129"/>
      <c r="L666" s="129"/>
      <c r="M666" s="129"/>
      <c r="N666" s="129"/>
      <c r="O666" s="129"/>
      <c r="P666" s="129"/>
      <c r="Q666" s="129"/>
      <c r="R666" s="129"/>
      <c r="S666" s="129"/>
      <c r="T666" s="129"/>
      <c r="U666" s="106"/>
      <c r="V666" s="106"/>
      <c r="W666" s="106"/>
      <c r="X666" s="106"/>
      <c r="Y666" s="106"/>
      <c r="Z666" s="129"/>
      <c r="AA666" s="129"/>
      <c r="AB666" s="129"/>
      <c r="AC666" s="129"/>
      <c r="AD666" s="129"/>
      <c r="AE666" s="129"/>
      <c r="AF666" s="129"/>
      <c r="AG666" s="117"/>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c r="BK666" s="124"/>
      <c r="BL666" s="124"/>
      <c r="BM666" s="124"/>
      <c r="BN666" s="124"/>
      <c r="BO666" s="124"/>
      <c r="BP666" s="124"/>
      <c r="BQ666" s="124"/>
      <c r="BR666" s="124"/>
      <c r="BS666" s="124"/>
      <c r="BT666" s="124"/>
      <c r="BU666" s="124"/>
      <c r="BV666" s="124"/>
      <c r="BW666" s="124"/>
      <c r="BX666" s="124"/>
      <c r="BY666" s="124"/>
      <c r="BZ666" s="124"/>
      <c r="CA666" s="124"/>
    </row>
    <row r="667">
      <c r="A667" s="141"/>
      <c r="B667" s="107"/>
      <c r="C667" s="107"/>
      <c r="D667" s="143"/>
      <c r="E667" s="129"/>
      <c r="F667" s="129"/>
      <c r="G667" s="129"/>
      <c r="H667" s="129"/>
      <c r="I667" s="129"/>
      <c r="J667" s="129"/>
      <c r="K667" s="129"/>
      <c r="L667" s="129"/>
      <c r="M667" s="129"/>
      <c r="N667" s="129"/>
      <c r="O667" s="129"/>
      <c r="P667" s="129"/>
      <c r="Q667" s="129"/>
      <c r="R667" s="129"/>
      <c r="S667" s="129"/>
      <c r="T667" s="129"/>
      <c r="U667" s="106"/>
      <c r="V667" s="106"/>
      <c r="W667" s="106"/>
      <c r="X667" s="106"/>
      <c r="Y667" s="106"/>
      <c r="Z667" s="129"/>
      <c r="AA667" s="129"/>
      <c r="AB667" s="129"/>
      <c r="AC667" s="129"/>
      <c r="AD667" s="129"/>
      <c r="AE667" s="129"/>
      <c r="AF667" s="129"/>
      <c r="AG667" s="117"/>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c r="BK667" s="124"/>
      <c r="BL667" s="124"/>
      <c r="BM667" s="124"/>
      <c r="BN667" s="124"/>
      <c r="BO667" s="124"/>
      <c r="BP667" s="124"/>
      <c r="BQ667" s="124"/>
      <c r="BR667" s="124"/>
      <c r="BS667" s="124"/>
      <c r="BT667" s="124"/>
      <c r="BU667" s="124"/>
      <c r="BV667" s="124"/>
      <c r="BW667" s="124"/>
      <c r="BX667" s="124"/>
      <c r="BY667" s="124"/>
      <c r="BZ667" s="124"/>
      <c r="CA667" s="124"/>
    </row>
    <row r="668">
      <c r="A668" s="141"/>
      <c r="B668" s="107"/>
      <c r="C668" s="107"/>
      <c r="D668" s="143"/>
      <c r="E668" s="129"/>
      <c r="F668" s="129"/>
      <c r="G668" s="129"/>
      <c r="H668" s="129"/>
      <c r="I668" s="129"/>
      <c r="J668" s="129"/>
      <c r="K668" s="129"/>
      <c r="L668" s="129"/>
      <c r="M668" s="129"/>
      <c r="N668" s="129"/>
      <c r="O668" s="129"/>
      <c r="P668" s="129"/>
      <c r="Q668" s="129"/>
      <c r="R668" s="129"/>
      <c r="S668" s="129"/>
      <c r="T668" s="129"/>
      <c r="U668" s="106"/>
      <c r="V668" s="106"/>
      <c r="W668" s="106"/>
      <c r="X668" s="106"/>
      <c r="Y668" s="106"/>
      <c r="Z668" s="129"/>
      <c r="AA668" s="129"/>
      <c r="AB668" s="129"/>
      <c r="AC668" s="129"/>
      <c r="AD668" s="129"/>
      <c r="AE668" s="129"/>
      <c r="AF668" s="129"/>
      <c r="AG668" s="117"/>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c r="BK668" s="124"/>
      <c r="BL668" s="124"/>
      <c r="BM668" s="124"/>
      <c r="BN668" s="124"/>
      <c r="BO668" s="124"/>
      <c r="BP668" s="124"/>
      <c r="BQ668" s="124"/>
      <c r="BR668" s="124"/>
      <c r="BS668" s="124"/>
      <c r="BT668" s="124"/>
      <c r="BU668" s="124"/>
      <c r="BV668" s="124"/>
      <c r="BW668" s="124"/>
      <c r="BX668" s="124"/>
      <c r="BY668" s="124"/>
      <c r="BZ668" s="124"/>
      <c r="CA668" s="124"/>
    </row>
    <row r="669">
      <c r="A669" s="141"/>
      <c r="B669" s="107"/>
      <c r="C669" s="107"/>
      <c r="D669" s="143"/>
      <c r="E669" s="129"/>
      <c r="F669" s="129"/>
      <c r="G669" s="129"/>
      <c r="H669" s="129"/>
      <c r="I669" s="129"/>
      <c r="J669" s="129"/>
      <c r="K669" s="129"/>
      <c r="L669" s="129"/>
      <c r="M669" s="129"/>
      <c r="N669" s="129"/>
      <c r="O669" s="129"/>
      <c r="P669" s="129"/>
      <c r="Q669" s="129"/>
      <c r="R669" s="129"/>
      <c r="S669" s="129"/>
      <c r="T669" s="129"/>
      <c r="U669" s="106"/>
      <c r="V669" s="106"/>
      <c r="W669" s="106"/>
      <c r="X669" s="106"/>
      <c r="Y669" s="106"/>
      <c r="Z669" s="129"/>
      <c r="AA669" s="129"/>
      <c r="AB669" s="129"/>
      <c r="AC669" s="129"/>
      <c r="AD669" s="129"/>
      <c r="AE669" s="129"/>
      <c r="AF669" s="129"/>
      <c r="AG669" s="117"/>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c r="BK669" s="124"/>
      <c r="BL669" s="124"/>
      <c r="BM669" s="124"/>
      <c r="BN669" s="124"/>
      <c r="BO669" s="124"/>
      <c r="BP669" s="124"/>
      <c r="BQ669" s="124"/>
      <c r="BR669" s="124"/>
      <c r="BS669" s="124"/>
      <c r="BT669" s="124"/>
      <c r="BU669" s="124"/>
      <c r="BV669" s="124"/>
      <c r="BW669" s="124"/>
      <c r="BX669" s="124"/>
      <c r="BY669" s="124"/>
      <c r="BZ669" s="124"/>
      <c r="CA669" s="124"/>
    </row>
    <row r="670">
      <c r="A670" s="141"/>
      <c r="B670" s="107"/>
      <c r="C670" s="107"/>
      <c r="D670" s="143"/>
      <c r="E670" s="129"/>
      <c r="F670" s="129"/>
      <c r="G670" s="129"/>
      <c r="H670" s="129"/>
      <c r="I670" s="129"/>
      <c r="J670" s="129"/>
      <c r="K670" s="129"/>
      <c r="L670" s="129"/>
      <c r="M670" s="129"/>
      <c r="N670" s="129"/>
      <c r="O670" s="129"/>
      <c r="P670" s="129"/>
      <c r="Q670" s="129"/>
      <c r="R670" s="129"/>
      <c r="S670" s="129"/>
      <c r="T670" s="129"/>
      <c r="U670" s="106"/>
      <c r="V670" s="106"/>
      <c r="W670" s="106"/>
      <c r="X670" s="106"/>
      <c r="Y670" s="106"/>
      <c r="Z670" s="129"/>
      <c r="AA670" s="129"/>
      <c r="AB670" s="129"/>
      <c r="AC670" s="129"/>
      <c r="AD670" s="129"/>
      <c r="AE670" s="129"/>
      <c r="AF670" s="129"/>
      <c r="AG670" s="117"/>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c r="BK670" s="124"/>
      <c r="BL670" s="124"/>
      <c r="BM670" s="124"/>
      <c r="BN670" s="124"/>
      <c r="BO670" s="124"/>
      <c r="BP670" s="124"/>
      <c r="BQ670" s="124"/>
      <c r="BR670" s="124"/>
      <c r="BS670" s="124"/>
      <c r="BT670" s="124"/>
      <c r="BU670" s="124"/>
      <c r="BV670" s="124"/>
      <c r="BW670" s="124"/>
      <c r="BX670" s="124"/>
      <c r="BY670" s="124"/>
      <c r="BZ670" s="124"/>
      <c r="CA670" s="124"/>
    </row>
    <row r="671">
      <c r="A671" s="141"/>
      <c r="B671" s="107"/>
      <c r="C671" s="107"/>
      <c r="D671" s="143"/>
      <c r="E671" s="129"/>
      <c r="F671" s="129"/>
      <c r="G671" s="129"/>
      <c r="H671" s="129"/>
      <c r="I671" s="129"/>
      <c r="J671" s="129"/>
      <c r="K671" s="129"/>
      <c r="L671" s="129"/>
      <c r="M671" s="129"/>
      <c r="N671" s="129"/>
      <c r="O671" s="129"/>
      <c r="P671" s="129"/>
      <c r="Q671" s="129"/>
      <c r="R671" s="129"/>
      <c r="S671" s="129"/>
      <c r="T671" s="129"/>
      <c r="U671" s="106"/>
      <c r="V671" s="106"/>
      <c r="W671" s="106"/>
      <c r="X671" s="106"/>
      <c r="Y671" s="106"/>
      <c r="Z671" s="129"/>
      <c r="AA671" s="129"/>
      <c r="AB671" s="129"/>
      <c r="AC671" s="129"/>
      <c r="AD671" s="129"/>
      <c r="AE671" s="129"/>
      <c r="AF671" s="129"/>
      <c r="AG671" s="117"/>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c r="BK671" s="124"/>
      <c r="BL671" s="124"/>
      <c r="BM671" s="124"/>
      <c r="BN671" s="124"/>
      <c r="BO671" s="124"/>
      <c r="BP671" s="124"/>
      <c r="BQ671" s="124"/>
      <c r="BR671" s="124"/>
      <c r="BS671" s="124"/>
      <c r="BT671" s="124"/>
      <c r="BU671" s="124"/>
      <c r="BV671" s="124"/>
      <c r="BW671" s="124"/>
      <c r="BX671" s="124"/>
      <c r="BY671" s="124"/>
      <c r="BZ671" s="124"/>
      <c r="CA671" s="124"/>
    </row>
    <row r="672">
      <c r="A672" s="141"/>
      <c r="B672" s="107"/>
      <c r="C672" s="107"/>
      <c r="D672" s="143"/>
      <c r="E672" s="129"/>
      <c r="F672" s="129"/>
      <c r="G672" s="129"/>
      <c r="H672" s="129"/>
      <c r="I672" s="129"/>
      <c r="J672" s="129"/>
      <c r="K672" s="129"/>
      <c r="L672" s="129"/>
      <c r="M672" s="129"/>
      <c r="N672" s="129"/>
      <c r="O672" s="129"/>
      <c r="P672" s="129"/>
      <c r="Q672" s="129"/>
      <c r="R672" s="129"/>
      <c r="S672" s="129"/>
      <c r="T672" s="129"/>
      <c r="U672" s="106"/>
      <c r="V672" s="106"/>
      <c r="W672" s="106"/>
      <c r="X672" s="106"/>
      <c r="Y672" s="106"/>
      <c r="Z672" s="129"/>
      <c r="AA672" s="129"/>
      <c r="AB672" s="129"/>
      <c r="AC672" s="129"/>
      <c r="AD672" s="129"/>
      <c r="AE672" s="129"/>
      <c r="AF672" s="129"/>
      <c r="AG672" s="117"/>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c r="BK672" s="124"/>
      <c r="BL672" s="124"/>
      <c r="BM672" s="124"/>
      <c r="BN672" s="124"/>
      <c r="BO672" s="124"/>
      <c r="BP672" s="124"/>
      <c r="BQ672" s="124"/>
      <c r="BR672" s="124"/>
      <c r="BS672" s="124"/>
      <c r="BT672" s="124"/>
      <c r="BU672" s="124"/>
      <c r="BV672" s="124"/>
      <c r="BW672" s="124"/>
      <c r="BX672" s="124"/>
      <c r="BY672" s="124"/>
      <c r="BZ672" s="124"/>
      <c r="CA672" s="124"/>
    </row>
    <row r="673">
      <c r="A673" s="141"/>
      <c r="B673" s="107"/>
      <c r="C673" s="107"/>
      <c r="D673" s="143"/>
      <c r="E673" s="129"/>
      <c r="F673" s="129"/>
      <c r="G673" s="129"/>
      <c r="H673" s="129"/>
      <c r="I673" s="129"/>
      <c r="J673" s="129"/>
      <c r="K673" s="129"/>
      <c r="L673" s="129"/>
      <c r="M673" s="129"/>
      <c r="N673" s="129"/>
      <c r="O673" s="129"/>
      <c r="P673" s="129"/>
      <c r="Q673" s="129"/>
      <c r="R673" s="129"/>
      <c r="S673" s="129"/>
      <c r="T673" s="129"/>
      <c r="U673" s="106"/>
      <c r="V673" s="106"/>
      <c r="W673" s="106"/>
      <c r="X673" s="106"/>
      <c r="Y673" s="106"/>
      <c r="Z673" s="129"/>
      <c r="AA673" s="129"/>
      <c r="AB673" s="129"/>
      <c r="AC673" s="129"/>
      <c r="AD673" s="129"/>
      <c r="AE673" s="129"/>
      <c r="AF673" s="129"/>
      <c r="AG673" s="117"/>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c r="BK673" s="124"/>
      <c r="BL673" s="124"/>
      <c r="BM673" s="124"/>
      <c r="BN673" s="124"/>
      <c r="BO673" s="124"/>
      <c r="BP673" s="124"/>
      <c r="BQ673" s="124"/>
      <c r="BR673" s="124"/>
      <c r="BS673" s="124"/>
      <c r="BT673" s="124"/>
      <c r="BU673" s="124"/>
      <c r="BV673" s="124"/>
      <c r="BW673" s="124"/>
      <c r="BX673" s="124"/>
      <c r="BY673" s="124"/>
      <c r="BZ673" s="124"/>
      <c r="CA673" s="124"/>
    </row>
    <row r="674">
      <c r="A674" s="141"/>
      <c r="B674" s="107"/>
      <c r="C674" s="107"/>
      <c r="D674" s="143"/>
      <c r="E674" s="129"/>
      <c r="F674" s="129"/>
      <c r="G674" s="129"/>
      <c r="H674" s="129"/>
      <c r="I674" s="129"/>
      <c r="J674" s="129"/>
      <c r="K674" s="129"/>
      <c r="L674" s="129"/>
      <c r="M674" s="129"/>
      <c r="N674" s="129"/>
      <c r="O674" s="129"/>
      <c r="P674" s="129"/>
      <c r="Q674" s="129"/>
      <c r="R674" s="129"/>
      <c r="S674" s="129"/>
      <c r="T674" s="129"/>
      <c r="U674" s="106"/>
      <c r="V674" s="106"/>
      <c r="W674" s="106"/>
      <c r="X674" s="106"/>
      <c r="Y674" s="106"/>
      <c r="Z674" s="129"/>
      <c r="AA674" s="129"/>
      <c r="AB674" s="129"/>
      <c r="AC674" s="129"/>
      <c r="AD674" s="129"/>
      <c r="AE674" s="129"/>
      <c r="AF674" s="129"/>
      <c r="AG674" s="117"/>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c r="BK674" s="124"/>
      <c r="BL674" s="124"/>
      <c r="BM674" s="124"/>
      <c r="BN674" s="124"/>
      <c r="BO674" s="124"/>
      <c r="BP674" s="124"/>
      <c r="BQ674" s="124"/>
      <c r="BR674" s="124"/>
      <c r="BS674" s="124"/>
      <c r="BT674" s="124"/>
      <c r="BU674" s="124"/>
      <c r="BV674" s="124"/>
      <c r="BW674" s="124"/>
      <c r="BX674" s="124"/>
      <c r="BY674" s="124"/>
      <c r="BZ674" s="124"/>
      <c r="CA674" s="124"/>
    </row>
    <row r="675">
      <c r="A675" s="141"/>
      <c r="B675" s="107"/>
      <c r="C675" s="107"/>
      <c r="D675" s="143"/>
      <c r="E675" s="129"/>
      <c r="F675" s="129"/>
      <c r="G675" s="129"/>
      <c r="H675" s="129"/>
      <c r="I675" s="129"/>
      <c r="J675" s="129"/>
      <c r="K675" s="129"/>
      <c r="L675" s="129"/>
      <c r="M675" s="129"/>
      <c r="N675" s="129"/>
      <c r="O675" s="129"/>
      <c r="P675" s="129"/>
      <c r="Q675" s="129"/>
      <c r="R675" s="129"/>
      <c r="S675" s="129"/>
      <c r="T675" s="129"/>
      <c r="U675" s="106"/>
      <c r="V675" s="106"/>
      <c r="W675" s="106"/>
      <c r="X675" s="106"/>
      <c r="Y675" s="106"/>
      <c r="Z675" s="129"/>
      <c r="AA675" s="129"/>
      <c r="AB675" s="129"/>
      <c r="AC675" s="129"/>
      <c r="AD675" s="129"/>
      <c r="AE675" s="129"/>
      <c r="AF675" s="129"/>
      <c r="AG675" s="117"/>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c r="BK675" s="124"/>
      <c r="BL675" s="124"/>
      <c r="BM675" s="124"/>
      <c r="BN675" s="124"/>
      <c r="BO675" s="124"/>
      <c r="BP675" s="124"/>
      <c r="BQ675" s="124"/>
      <c r="BR675" s="124"/>
      <c r="BS675" s="124"/>
      <c r="BT675" s="124"/>
      <c r="BU675" s="124"/>
      <c r="BV675" s="124"/>
      <c r="BW675" s="124"/>
      <c r="BX675" s="124"/>
      <c r="BY675" s="124"/>
      <c r="BZ675" s="124"/>
      <c r="CA675" s="124"/>
    </row>
    <row r="676">
      <c r="A676" s="141"/>
      <c r="B676" s="107"/>
      <c r="C676" s="107"/>
      <c r="D676" s="143"/>
      <c r="E676" s="129"/>
      <c r="F676" s="129"/>
      <c r="G676" s="129"/>
      <c r="H676" s="129"/>
      <c r="I676" s="129"/>
      <c r="J676" s="129"/>
      <c r="K676" s="129"/>
      <c r="L676" s="129"/>
      <c r="M676" s="129"/>
      <c r="N676" s="129"/>
      <c r="O676" s="129"/>
      <c r="P676" s="129"/>
      <c r="Q676" s="129"/>
      <c r="R676" s="129"/>
      <c r="S676" s="129"/>
      <c r="T676" s="129"/>
      <c r="U676" s="106"/>
      <c r="V676" s="106"/>
      <c r="W676" s="106"/>
      <c r="X676" s="106"/>
      <c r="Y676" s="106"/>
      <c r="Z676" s="129"/>
      <c r="AA676" s="129"/>
      <c r="AB676" s="129"/>
      <c r="AC676" s="129"/>
      <c r="AD676" s="129"/>
      <c r="AE676" s="129"/>
      <c r="AF676" s="129"/>
      <c r="AG676" s="117"/>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c r="BK676" s="124"/>
      <c r="BL676" s="124"/>
      <c r="BM676" s="124"/>
      <c r="BN676" s="124"/>
      <c r="BO676" s="124"/>
      <c r="BP676" s="124"/>
      <c r="BQ676" s="124"/>
      <c r="BR676" s="124"/>
      <c r="BS676" s="124"/>
      <c r="BT676" s="124"/>
      <c r="BU676" s="124"/>
      <c r="BV676" s="124"/>
      <c r="BW676" s="124"/>
      <c r="BX676" s="124"/>
      <c r="BY676" s="124"/>
      <c r="BZ676" s="124"/>
      <c r="CA676" s="124"/>
    </row>
    <row r="677">
      <c r="A677" s="141"/>
      <c r="B677" s="107"/>
      <c r="C677" s="107"/>
      <c r="D677" s="143"/>
      <c r="E677" s="129"/>
      <c r="F677" s="129"/>
      <c r="G677" s="129"/>
      <c r="H677" s="129"/>
      <c r="I677" s="129"/>
      <c r="J677" s="129"/>
      <c r="K677" s="129"/>
      <c r="L677" s="129"/>
      <c r="M677" s="129"/>
      <c r="N677" s="129"/>
      <c r="O677" s="129"/>
      <c r="P677" s="129"/>
      <c r="Q677" s="129"/>
      <c r="R677" s="129"/>
      <c r="S677" s="129"/>
      <c r="T677" s="129"/>
      <c r="U677" s="106"/>
      <c r="V677" s="106"/>
      <c r="W677" s="106"/>
      <c r="X677" s="106"/>
      <c r="Y677" s="106"/>
      <c r="Z677" s="129"/>
      <c r="AA677" s="129"/>
      <c r="AB677" s="129"/>
      <c r="AC677" s="129"/>
      <c r="AD677" s="129"/>
      <c r="AE677" s="129"/>
      <c r="AF677" s="129"/>
      <c r="AG677" s="117"/>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c r="BK677" s="124"/>
      <c r="BL677" s="124"/>
      <c r="BM677" s="124"/>
      <c r="BN677" s="124"/>
      <c r="BO677" s="124"/>
      <c r="BP677" s="124"/>
      <c r="BQ677" s="124"/>
      <c r="BR677" s="124"/>
      <c r="BS677" s="124"/>
      <c r="BT677" s="124"/>
      <c r="BU677" s="124"/>
      <c r="BV677" s="124"/>
      <c r="BW677" s="124"/>
      <c r="BX677" s="124"/>
      <c r="BY677" s="124"/>
      <c r="BZ677" s="124"/>
      <c r="CA677" s="124"/>
    </row>
    <row r="678">
      <c r="A678" s="141"/>
      <c r="B678" s="107"/>
      <c r="C678" s="107"/>
      <c r="D678" s="143"/>
      <c r="E678" s="129"/>
      <c r="F678" s="129"/>
      <c r="G678" s="129"/>
      <c r="H678" s="129"/>
      <c r="I678" s="129"/>
      <c r="J678" s="129"/>
      <c r="K678" s="129"/>
      <c r="L678" s="129"/>
      <c r="M678" s="129"/>
      <c r="N678" s="129"/>
      <c r="O678" s="129"/>
      <c r="P678" s="129"/>
      <c r="Q678" s="129"/>
      <c r="R678" s="129"/>
      <c r="S678" s="129"/>
      <c r="T678" s="129"/>
      <c r="U678" s="106"/>
      <c r="V678" s="106"/>
      <c r="W678" s="106"/>
      <c r="X678" s="106"/>
      <c r="Y678" s="106"/>
      <c r="Z678" s="129"/>
      <c r="AA678" s="129"/>
      <c r="AB678" s="129"/>
      <c r="AC678" s="129"/>
      <c r="AD678" s="129"/>
      <c r="AE678" s="129"/>
      <c r="AF678" s="129"/>
      <c r="AG678" s="117"/>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c r="BK678" s="124"/>
      <c r="BL678" s="124"/>
      <c r="BM678" s="124"/>
      <c r="BN678" s="124"/>
      <c r="BO678" s="124"/>
      <c r="BP678" s="124"/>
      <c r="BQ678" s="124"/>
      <c r="BR678" s="124"/>
      <c r="BS678" s="124"/>
      <c r="BT678" s="124"/>
      <c r="BU678" s="124"/>
      <c r="BV678" s="124"/>
      <c r="BW678" s="124"/>
      <c r="BX678" s="124"/>
      <c r="BY678" s="124"/>
      <c r="BZ678" s="124"/>
      <c r="CA678" s="124"/>
    </row>
    <row r="679">
      <c r="A679" s="141"/>
      <c r="B679" s="107"/>
      <c r="C679" s="107"/>
      <c r="D679" s="143"/>
      <c r="E679" s="129"/>
      <c r="F679" s="129"/>
      <c r="G679" s="129"/>
      <c r="H679" s="129"/>
      <c r="I679" s="129"/>
      <c r="J679" s="129"/>
      <c r="K679" s="129"/>
      <c r="L679" s="129"/>
      <c r="M679" s="129"/>
      <c r="N679" s="129"/>
      <c r="O679" s="129"/>
      <c r="P679" s="129"/>
      <c r="Q679" s="129"/>
      <c r="R679" s="129"/>
      <c r="S679" s="129"/>
      <c r="T679" s="129"/>
      <c r="U679" s="106"/>
      <c r="V679" s="106"/>
      <c r="W679" s="106"/>
      <c r="X679" s="106"/>
      <c r="Y679" s="106"/>
      <c r="Z679" s="129"/>
      <c r="AA679" s="129"/>
      <c r="AB679" s="129"/>
      <c r="AC679" s="129"/>
      <c r="AD679" s="129"/>
      <c r="AE679" s="129"/>
      <c r="AF679" s="129"/>
      <c r="AG679" s="117"/>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c r="BK679" s="124"/>
      <c r="BL679" s="124"/>
      <c r="BM679" s="124"/>
      <c r="BN679" s="124"/>
      <c r="BO679" s="124"/>
      <c r="BP679" s="124"/>
      <c r="BQ679" s="124"/>
      <c r="BR679" s="124"/>
      <c r="BS679" s="124"/>
      <c r="BT679" s="124"/>
      <c r="BU679" s="124"/>
      <c r="BV679" s="124"/>
      <c r="BW679" s="124"/>
      <c r="BX679" s="124"/>
      <c r="BY679" s="124"/>
      <c r="BZ679" s="124"/>
      <c r="CA679" s="124"/>
    </row>
    <row r="680">
      <c r="A680" s="141"/>
      <c r="B680" s="107"/>
      <c r="C680" s="107"/>
      <c r="D680" s="143"/>
      <c r="E680" s="129"/>
      <c r="F680" s="129"/>
      <c r="G680" s="129"/>
      <c r="H680" s="129"/>
      <c r="I680" s="129"/>
      <c r="J680" s="129"/>
      <c r="K680" s="129"/>
      <c r="L680" s="129"/>
      <c r="M680" s="129"/>
      <c r="N680" s="129"/>
      <c r="O680" s="129"/>
      <c r="P680" s="129"/>
      <c r="Q680" s="129"/>
      <c r="R680" s="129"/>
      <c r="S680" s="129"/>
      <c r="T680" s="129"/>
      <c r="U680" s="106"/>
      <c r="V680" s="106"/>
      <c r="W680" s="106"/>
      <c r="X680" s="106"/>
      <c r="Y680" s="106"/>
      <c r="Z680" s="129"/>
      <c r="AA680" s="129"/>
      <c r="AB680" s="129"/>
      <c r="AC680" s="129"/>
      <c r="AD680" s="129"/>
      <c r="AE680" s="129"/>
      <c r="AF680" s="129"/>
      <c r="AG680" s="117"/>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c r="BK680" s="124"/>
      <c r="BL680" s="124"/>
      <c r="BM680" s="124"/>
      <c r="BN680" s="124"/>
      <c r="BO680" s="124"/>
      <c r="BP680" s="124"/>
      <c r="BQ680" s="124"/>
      <c r="BR680" s="124"/>
      <c r="BS680" s="124"/>
      <c r="BT680" s="124"/>
      <c r="BU680" s="124"/>
      <c r="BV680" s="124"/>
      <c r="BW680" s="124"/>
      <c r="BX680" s="124"/>
      <c r="BY680" s="124"/>
      <c r="BZ680" s="124"/>
      <c r="CA680" s="124"/>
    </row>
    <row r="681">
      <c r="A681" s="141"/>
      <c r="B681" s="107"/>
      <c r="C681" s="107"/>
      <c r="D681" s="143"/>
      <c r="E681" s="129"/>
      <c r="F681" s="129"/>
      <c r="G681" s="129"/>
      <c r="H681" s="129"/>
      <c r="I681" s="129"/>
      <c r="J681" s="129"/>
      <c r="K681" s="129"/>
      <c r="L681" s="129"/>
      <c r="M681" s="129"/>
      <c r="N681" s="129"/>
      <c r="O681" s="129"/>
      <c r="P681" s="129"/>
      <c r="Q681" s="129"/>
      <c r="R681" s="129"/>
      <c r="S681" s="129"/>
      <c r="T681" s="129"/>
      <c r="U681" s="106"/>
      <c r="V681" s="106"/>
      <c r="W681" s="106"/>
      <c r="X681" s="106"/>
      <c r="Y681" s="106"/>
      <c r="Z681" s="129"/>
      <c r="AA681" s="129"/>
      <c r="AB681" s="129"/>
      <c r="AC681" s="129"/>
      <c r="AD681" s="129"/>
      <c r="AE681" s="129"/>
      <c r="AF681" s="129"/>
      <c r="AG681" s="117"/>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c r="BK681" s="124"/>
      <c r="BL681" s="124"/>
      <c r="BM681" s="124"/>
      <c r="BN681" s="124"/>
      <c r="BO681" s="124"/>
      <c r="BP681" s="124"/>
      <c r="BQ681" s="124"/>
      <c r="BR681" s="124"/>
      <c r="BS681" s="124"/>
      <c r="BT681" s="124"/>
      <c r="BU681" s="124"/>
      <c r="BV681" s="124"/>
      <c r="BW681" s="124"/>
      <c r="BX681" s="124"/>
      <c r="BY681" s="124"/>
      <c r="BZ681" s="124"/>
      <c r="CA681" s="124"/>
    </row>
    <row r="682">
      <c r="A682" s="141"/>
      <c r="B682" s="107"/>
      <c r="C682" s="107"/>
      <c r="D682" s="143"/>
      <c r="E682" s="129"/>
      <c r="F682" s="129"/>
      <c r="G682" s="129"/>
      <c r="H682" s="129"/>
      <c r="I682" s="129"/>
      <c r="J682" s="129"/>
      <c r="K682" s="129"/>
      <c r="L682" s="129"/>
      <c r="M682" s="129"/>
      <c r="N682" s="129"/>
      <c r="O682" s="129"/>
      <c r="P682" s="129"/>
      <c r="Q682" s="129"/>
      <c r="R682" s="129"/>
      <c r="S682" s="129"/>
      <c r="T682" s="129"/>
      <c r="U682" s="106"/>
      <c r="V682" s="106"/>
      <c r="W682" s="106"/>
      <c r="X682" s="106"/>
      <c r="Y682" s="106"/>
      <c r="Z682" s="129"/>
      <c r="AA682" s="129"/>
      <c r="AB682" s="129"/>
      <c r="AC682" s="129"/>
      <c r="AD682" s="129"/>
      <c r="AE682" s="129"/>
      <c r="AF682" s="129"/>
      <c r="AG682" s="117"/>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c r="BK682" s="124"/>
      <c r="BL682" s="124"/>
      <c r="BM682" s="124"/>
      <c r="BN682" s="124"/>
      <c r="BO682" s="124"/>
      <c r="BP682" s="124"/>
      <c r="BQ682" s="124"/>
      <c r="BR682" s="124"/>
      <c r="BS682" s="124"/>
      <c r="BT682" s="124"/>
      <c r="BU682" s="124"/>
      <c r="BV682" s="124"/>
      <c r="BW682" s="124"/>
      <c r="BX682" s="124"/>
      <c r="BY682" s="124"/>
      <c r="BZ682" s="124"/>
      <c r="CA682" s="124"/>
    </row>
    <row r="683">
      <c r="A683" s="141"/>
      <c r="B683" s="107"/>
      <c r="C683" s="107"/>
      <c r="D683" s="143"/>
      <c r="E683" s="129"/>
      <c r="F683" s="129"/>
      <c r="G683" s="129"/>
      <c r="H683" s="129"/>
      <c r="I683" s="129"/>
      <c r="J683" s="129"/>
      <c r="K683" s="129"/>
      <c r="L683" s="129"/>
      <c r="M683" s="129"/>
      <c r="N683" s="129"/>
      <c r="O683" s="129"/>
      <c r="P683" s="129"/>
      <c r="Q683" s="129"/>
      <c r="R683" s="129"/>
      <c r="S683" s="129"/>
      <c r="T683" s="129"/>
      <c r="U683" s="106"/>
      <c r="V683" s="106"/>
      <c r="W683" s="106"/>
      <c r="X683" s="106"/>
      <c r="Y683" s="106"/>
      <c r="Z683" s="129"/>
      <c r="AA683" s="129"/>
      <c r="AB683" s="129"/>
      <c r="AC683" s="129"/>
      <c r="AD683" s="129"/>
      <c r="AE683" s="129"/>
      <c r="AF683" s="129"/>
      <c r="AG683" s="117"/>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c r="BK683" s="124"/>
      <c r="BL683" s="124"/>
      <c r="BM683" s="124"/>
      <c r="BN683" s="124"/>
      <c r="BO683" s="124"/>
      <c r="BP683" s="124"/>
      <c r="BQ683" s="124"/>
      <c r="BR683" s="124"/>
      <c r="BS683" s="124"/>
      <c r="BT683" s="124"/>
      <c r="BU683" s="124"/>
      <c r="BV683" s="124"/>
      <c r="BW683" s="124"/>
      <c r="BX683" s="124"/>
      <c r="BY683" s="124"/>
      <c r="BZ683" s="124"/>
      <c r="CA683" s="124"/>
    </row>
    <row r="684">
      <c r="A684" s="141"/>
      <c r="B684" s="107"/>
      <c r="C684" s="107"/>
      <c r="D684" s="143"/>
      <c r="E684" s="129"/>
      <c r="F684" s="129"/>
      <c r="G684" s="129"/>
      <c r="H684" s="129"/>
      <c r="I684" s="129"/>
      <c r="J684" s="129"/>
      <c r="K684" s="129"/>
      <c r="L684" s="129"/>
      <c r="M684" s="129"/>
      <c r="N684" s="129"/>
      <c r="O684" s="129"/>
      <c r="P684" s="129"/>
      <c r="Q684" s="129"/>
      <c r="R684" s="129"/>
      <c r="S684" s="129"/>
      <c r="T684" s="129"/>
      <c r="U684" s="106"/>
      <c r="V684" s="106"/>
      <c r="W684" s="106"/>
      <c r="X684" s="106"/>
      <c r="Y684" s="106"/>
      <c r="Z684" s="129"/>
      <c r="AA684" s="129"/>
      <c r="AB684" s="129"/>
      <c r="AC684" s="129"/>
      <c r="AD684" s="129"/>
      <c r="AE684" s="129"/>
      <c r="AF684" s="129"/>
      <c r="AG684" s="117"/>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c r="BK684" s="124"/>
      <c r="BL684" s="124"/>
      <c r="BM684" s="124"/>
      <c r="BN684" s="124"/>
      <c r="BO684" s="124"/>
      <c r="BP684" s="124"/>
      <c r="BQ684" s="124"/>
      <c r="BR684" s="124"/>
      <c r="BS684" s="124"/>
      <c r="BT684" s="124"/>
      <c r="BU684" s="124"/>
      <c r="BV684" s="124"/>
      <c r="BW684" s="124"/>
      <c r="BX684" s="124"/>
      <c r="BY684" s="124"/>
      <c r="BZ684" s="124"/>
      <c r="CA684" s="124"/>
    </row>
    <row r="685">
      <c r="A685" s="141"/>
      <c r="B685" s="107"/>
      <c r="C685" s="107"/>
      <c r="D685" s="143"/>
      <c r="E685" s="129"/>
      <c r="F685" s="129"/>
      <c r="G685" s="129"/>
      <c r="H685" s="129"/>
      <c r="I685" s="129"/>
      <c r="J685" s="129"/>
      <c r="K685" s="129"/>
      <c r="L685" s="129"/>
      <c r="M685" s="129"/>
      <c r="N685" s="129"/>
      <c r="O685" s="129"/>
      <c r="P685" s="129"/>
      <c r="Q685" s="129"/>
      <c r="R685" s="129"/>
      <c r="S685" s="129"/>
      <c r="T685" s="129"/>
      <c r="U685" s="106"/>
      <c r="V685" s="106"/>
      <c r="W685" s="106"/>
      <c r="X685" s="106"/>
      <c r="Y685" s="106"/>
      <c r="Z685" s="129"/>
      <c r="AA685" s="129"/>
      <c r="AB685" s="129"/>
      <c r="AC685" s="129"/>
      <c r="AD685" s="129"/>
      <c r="AE685" s="129"/>
      <c r="AF685" s="129"/>
      <c r="AG685" s="117"/>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c r="BK685" s="124"/>
      <c r="BL685" s="124"/>
      <c r="BM685" s="124"/>
      <c r="BN685" s="124"/>
      <c r="BO685" s="124"/>
      <c r="BP685" s="124"/>
      <c r="BQ685" s="124"/>
      <c r="BR685" s="124"/>
      <c r="BS685" s="124"/>
      <c r="BT685" s="124"/>
      <c r="BU685" s="124"/>
      <c r="BV685" s="124"/>
      <c r="BW685" s="124"/>
      <c r="BX685" s="124"/>
      <c r="BY685" s="124"/>
      <c r="BZ685" s="124"/>
      <c r="CA685" s="124"/>
    </row>
    <row r="686">
      <c r="A686" s="141"/>
      <c r="B686" s="107"/>
      <c r="C686" s="107"/>
      <c r="D686" s="143"/>
      <c r="E686" s="129"/>
      <c r="F686" s="129"/>
      <c r="G686" s="129"/>
      <c r="H686" s="129"/>
      <c r="I686" s="129"/>
      <c r="J686" s="129"/>
      <c r="K686" s="129"/>
      <c r="L686" s="129"/>
      <c r="M686" s="129"/>
      <c r="N686" s="129"/>
      <c r="O686" s="129"/>
      <c r="P686" s="129"/>
      <c r="Q686" s="129"/>
      <c r="R686" s="129"/>
      <c r="S686" s="129"/>
      <c r="T686" s="129"/>
      <c r="U686" s="106"/>
      <c r="V686" s="106"/>
      <c r="W686" s="106"/>
      <c r="X686" s="106"/>
      <c r="Y686" s="106"/>
      <c r="Z686" s="129"/>
      <c r="AA686" s="129"/>
      <c r="AB686" s="129"/>
      <c r="AC686" s="129"/>
      <c r="AD686" s="129"/>
      <c r="AE686" s="129"/>
      <c r="AF686" s="129"/>
      <c r="AG686" s="117"/>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4"/>
      <c r="BR686" s="124"/>
      <c r="BS686" s="124"/>
      <c r="BT686" s="124"/>
      <c r="BU686" s="124"/>
      <c r="BV686" s="124"/>
      <c r="BW686" s="124"/>
      <c r="BX686" s="124"/>
      <c r="BY686" s="124"/>
      <c r="BZ686" s="124"/>
      <c r="CA686" s="124"/>
    </row>
    <row r="687">
      <c r="A687" s="141"/>
      <c r="B687" s="107"/>
      <c r="C687" s="107"/>
      <c r="D687" s="143"/>
      <c r="E687" s="129"/>
      <c r="F687" s="129"/>
      <c r="G687" s="129"/>
      <c r="H687" s="129"/>
      <c r="I687" s="129"/>
      <c r="J687" s="129"/>
      <c r="K687" s="129"/>
      <c r="L687" s="129"/>
      <c r="M687" s="129"/>
      <c r="N687" s="129"/>
      <c r="O687" s="129"/>
      <c r="P687" s="129"/>
      <c r="Q687" s="129"/>
      <c r="R687" s="129"/>
      <c r="S687" s="129"/>
      <c r="T687" s="129"/>
      <c r="U687" s="106"/>
      <c r="V687" s="106"/>
      <c r="W687" s="106"/>
      <c r="X687" s="106"/>
      <c r="Y687" s="106"/>
      <c r="Z687" s="129"/>
      <c r="AA687" s="129"/>
      <c r="AB687" s="129"/>
      <c r="AC687" s="129"/>
      <c r="AD687" s="129"/>
      <c r="AE687" s="129"/>
      <c r="AF687" s="129"/>
      <c r="AG687" s="117"/>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c r="BK687" s="124"/>
      <c r="BL687" s="124"/>
      <c r="BM687" s="124"/>
      <c r="BN687" s="124"/>
      <c r="BO687" s="124"/>
      <c r="BP687" s="124"/>
      <c r="BQ687" s="124"/>
      <c r="BR687" s="124"/>
      <c r="BS687" s="124"/>
      <c r="BT687" s="124"/>
      <c r="BU687" s="124"/>
      <c r="BV687" s="124"/>
      <c r="BW687" s="124"/>
      <c r="BX687" s="124"/>
      <c r="BY687" s="124"/>
      <c r="BZ687" s="124"/>
      <c r="CA687" s="124"/>
    </row>
    <row r="688">
      <c r="A688" s="141"/>
      <c r="B688" s="107"/>
      <c r="C688" s="107"/>
      <c r="D688" s="143"/>
      <c r="E688" s="129"/>
      <c r="F688" s="129"/>
      <c r="G688" s="129"/>
      <c r="H688" s="129"/>
      <c r="I688" s="129"/>
      <c r="J688" s="129"/>
      <c r="K688" s="129"/>
      <c r="L688" s="129"/>
      <c r="M688" s="129"/>
      <c r="N688" s="129"/>
      <c r="O688" s="129"/>
      <c r="P688" s="129"/>
      <c r="Q688" s="129"/>
      <c r="R688" s="129"/>
      <c r="S688" s="129"/>
      <c r="T688" s="129"/>
      <c r="U688" s="106"/>
      <c r="V688" s="106"/>
      <c r="W688" s="106"/>
      <c r="X688" s="106"/>
      <c r="Y688" s="106"/>
      <c r="Z688" s="129"/>
      <c r="AA688" s="129"/>
      <c r="AB688" s="129"/>
      <c r="AC688" s="129"/>
      <c r="AD688" s="129"/>
      <c r="AE688" s="129"/>
      <c r="AF688" s="129"/>
      <c r="AG688" s="117"/>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c r="BK688" s="124"/>
      <c r="BL688" s="124"/>
      <c r="BM688" s="124"/>
      <c r="BN688" s="124"/>
      <c r="BO688" s="124"/>
      <c r="BP688" s="124"/>
      <c r="BQ688" s="124"/>
      <c r="BR688" s="124"/>
      <c r="BS688" s="124"/>
      <c r="BT688" s="124"/>
      <c r="BU688" s="124"/>
      <c r="BV688" s="124"/>
      <c r="BW688" s="124"/>
      <c r="BX688" s="124"/>
      <c r="BY688" s="124"/>
      <c r="BZ688" s="124"/>
      <c r="CA688" s="124"/>
    </row>
    <row r="689">
      <c r="A689" s="141"/>
      <c r="B689" s="107"/>
      <c r="C689" s="107"/>
      <c r="D689" s="143"/>
      <c r="E689" s="129"/>
      <c r="F689" s="129"/>
      <c r="G689" s="129"/>
      <c r="H689" s="129"/>
      <c r="I689" s="129"/>
      <c r="J689" s="129"/>
      <c r="K689" s="129"/>
      <c r="L689" s="129"/>
      <c r="M689" s="129"/>
      <c r="N689" s="129"/>
      <c r="O689" s="129"/>
      <c r="P689" s="129"/>
      <c r="Q689" s="129"/>
      <c r="R689" s="129"/>
      <c r="S689" s="129"/>
      <c r="T689" s="129"/>
      <c r="U689" s="106"/>
      <c r="V689" s="106"/>
      <c r="W689" s="106"/>
      <c r="X689" s="106"/>
      <c r="Y689" s="106"/>
      <c r="Z689" s="129"/>
      <c r="AA689" s="129"/>
      <c r="AB689" s="129"/>
      <c r="AC689" s="129"/>
      <c r="AD689" s="129"/>
      <c r="AE689" s="129"/>
      <c r="AF689" s="129"/>
      <c r="AG689" s="117"/>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c r="BK689" s="124"/>
      <c r="BL689" s="124"/>
      <c r="BM689" s="124"/>
      <c r="BN689" s="124"/>
      <c r="BO689" s="124"/>
      <c r="BP689" s="124"/>
      <c r="BQ689" s="124"/>
      <c r="BR689" s="124"/>
      <c r="BS689" s="124"/>
      <c r="BT689" s="124"/>
      <c r="BU689" s="124"/>
      <c r="BV689" s="124"/>
      <c r="BW689" s="124"/>
      <c r="BX689" s="124"/>
      <c r="BY689" s="124"/>
      <c r="BZ689" s="124"/>
      <c r="CA689" s="124"/>
    </row>
    <row r="690">
      <c r="A690" s="141"/>
      <c r="B690" s="107"/>
      <c r="C690" s="107"/>
      <c r="D690" s="143"/>
      <c r="E690" s="129"/>
      <c r="F690" s="129"/>
      <c r="G690" s="129"/>
      <c r="H690" s="129"/>
      <c r="I690" s="129"/>
      <c r="J690" s="129"/>
      <c r="K690" s="129"/>
      <c r="L690" s="129"/>
      <c r="M690" s="129"/>
      <c r="N690" s="129"/>
      <c r="O690" s="129"/>
      <c r="P690" s="129"/>
      <c r="Q690" s="129"/>
      <c r="R690" s="129"/>
      <c r="S690" s="129"/>
      <c r="T690" s="129"/>
      <c r="U690" s="106"/>
      <c r="V690" s="106"/>
      <c r="W690" s="106"/>
      <c r="X690" s="106"/>
      <c r="Y690" s="106"/>
      <c r="Z690" s="129"/>
      <c r="AA690" s="129"/>
      <c r="AB690" s="129"/>
      <c r="AC690" s="129"/>
      <c r="AD690" s="129"/>
      <c r="AE690" s="129"/>
      <c r="AF690" s="129"/>
      <c r="AG690" s="117"/>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c r="BK690" s="124"/>
      <c r="BL690" s="124"/>
      <c r="BM690" s="124"/>
      <c r="BN690" s="124"/>
      <c r="BO690" s="124"/>
      <c r="BP690" s="124"/>
      <c r="BQ690" s="124"/>
      <c r="BR690" s="124"/>
      <c r="BS690" s="124"/>
      <c r="BT690" s="124"/>
      <c r="BU690" s="124"/>
      <c r="BV690" s="124"/>
      <c r="BW690" s="124"/>
      <c r="BX690" s="124"/>
      <c r="BY690" s="124"/>
      <c r="BZ690" s="124"/>
      <c r="CA690" s="124"/>
    </row>
    <row r="691">
      <c r="A691" s="141"/>
      <c r="B691" s="107"/>
      <c r="C691" s="107"/>
      <c r="D691" s="143"/>
      <c r="E691" s="129"/>
      <c r="F691" s="129"/>
      <c r="G691" s="129"/>
      <c r="H691" s="129"/>
      <c r="I691" s="129"/>
      <c r="J691" s="129"/>
      <c r="K691" s="129"/>
      <c r="L691" s="129"/>
      <c r="M691" s="129"/>
      <c r="N691" s="129"/>
      <c r="O691" s="129"/>
      <c r="P691" s="129"/>
      <c r="Q691" s="129"/>
      <c r="R691" s="129"/>
      <c r="S691" s="129"/>
      <c r="T691" s="129"/>
      <c r="U691" s="106"/>
      <c r="V691" s="106"/>
      <c r="W691" s="106"/>
      <c r="X691" s="106"/>
      <c r="Y691" s="106"/>
      <c r="Z691" s="129"/>
      <c r="AA691" s="129"/>
      <c r="AB691" s="129"/>
      <c r="AC691" s="129"/>
      <c r="AD691" s="129"/>
      <c r="AE691" s="129"/>
      <c r="AF691" s="129"/>
      <c r="AG691" s="117"/>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c r="BK691" s="124"/>
      <c r="BL691" s="124"/>
      <c r="BM691" s="124"/>
      <c r="BN691" s="124"/>
      <c r="BO691" s="124"/>
      <c r="BP691" s="124"/>
      <c r="BQ691" s="124"/>
      <c r="BR691" s="124"/>
      <c r="BS691" s="124"/>
      <c r="BT691" s="124"/>
      <c r="BU691" s="124"/>
      <c r="BV691" s="124"/>
      <c r="BW691" s="124"/>
      <c r="BX691" s="124"/>
      <c r="BY691" s="124"/>
      <c r="BZ691" s="124"/>
      <c r="CA691" s="124"/>
    </row>
    <row r="692">
      <c r="A692" s="141"/>
      <c r="B692" s="107"/>
      <c r="C692" s="107"/>
      <c r="D692" s="143"/>
      <c r="E692" s="129"/>
      <c r="F692" s="129"/>
      <c r="G692" s="129"/>
      <c r="H692" s="129"/>
      <c r="I692" s="129"/>
      <c r="J692" s="129"/>
      <c r="K692" s="129"/>
      <c r="L692" s="129"/>
      <c r="M692" s="129"/>
      <c r="N692" s="129"/>
      <c r="O692" s="129"/>
      <c r="P692" s="129"/>
      <c r="Q692" s="129"/>
      <c r="R692" s="129"/>
      <c r="S692" s="129"/>
      <c r="T692" s="129"/>
      <c r="U692" s="106"/>
      <c r="V692" s="106"/>
      <c r="W692" s="106"/>
      <c r="X692" s="106"/>
      <c r="Y692" s="106"/>
      <c r="Z692" s="129"/>
      <c r="AA692" s="129"/>
      <c r="AB692" s="129"/>
      <c r="AC692" s="129"/>
      <c r="AD692" s="129"/>
      <c r="AE692" s="129"/>
      <c r="AF692" s="129"/>
      <c r="AG692" s="117"/>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c r="BK692" s="124"/>
      <c r="BL692" s="124"/>
      <c r="BM692" s="124"/>
      <c r="BN692" s="124"/>
      <c r="BO692" s="124"/>
      <c r="BP692" s="124"/>
      <c r="BQ692" s="124"/>
      <c r="BR692" s="124"/>
      <c r="BS692" s="124"/>
      <c r="BT692" s="124"/>
      <c r="BU692" s="124"/>
      <c r="BV692" s="124"/>
      <c r="BW692" s="124"/>
      <c r="BX692" s="124"/>
      <c r="BY692" s="124"/>
      <c r="BZ692" s="124"/>
      <c r="CA692" s="124"/>
    </row>
    <row r="693">
      <c r="A693" s="141"/>
      <c r="B693" s="107"/>
      <c r="C693" s="107"/>
      <c r="D693" s="143"/>
      <c r="E693" s="129"/>
      <c r="F693" s="129"/>
      <c r="G693" s="129"/>
      <c r="H693" s="129"/>
      <c r="I693" s="129"/>
      <c r="J693" s="129"/>
      <c r="K693" s="129"/>
      <c r="L693" s="129"/>
      <c r="M693" s="129"/>
      <c r="N693" s="129"/>
      <c r="O693" s="129"/>
      <c r="P693" s="129"/>
      <c r="Q693" s="129"/>
      <c r="R693" s="129"/>
      <c r="S693" s="129"/>
      <c r="T693" s="129"/>
      <c r="U693" s="106"/>
      <c r="V693" s="106"/>
      <c r="W693" s="106"/>
      <c r="X693" s="106"/>
      <c r="Y693" s="106"/>
      <c r="Z693" s="129"/>
      <c r="AA693" s="129"/>
      <c r="AB693" s="129"/>
      <c r="AC693" s="129"/>
      <c r="AD693" s="129"/>
      <c r="AE693" s="129"/>
      <c r="AF693" s="129"/>
      <c r="AG693" s="117"/>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c r="BK693" s="124"/>
      <c r="BL693" s="124"/>
      <c r="BM693" s="124"/>
      <c r="BN693" s="124"/>
      <c r="BO693" s="124"/>
      <c r="BP693" s="124"/>
      <c r="BQ693" s="124"/>
      <c r="BR693" s="124"/>
      <c r="BS693" s="124"/>
      <c r="BT693" s="124"/>
      <c r="BU693" s="124"/>
      <c r="BV693" s="124"/>
      <c r="BW693" s="124"/>
      <c r="BX693" s="124"/>
      <c r="BY693" s="124"/>
      <c r="BZ693" s="124"/>
      <c r="CA693" s="124"/>
    </row>
    <row r="694">
      <c r="A694" s="141"/>
      <c r="B694" s="107"/>
      <c r="C694" s="107"/>
      <c r="D694" s="143"/>
      <c r="E694" s="129"/>
      <c r="F694" s="129"/>
      <c r="G694" s="129"/>
      <c r="H694" s="129"/>
      <c r="I694" s="129"/>
      <c r="J694" s="129"/>
      <c r="K694" s="129"/>
      <c r="L694" s="129"/>
      <c r="M694" s="129"/>
      <c r="N694" s="129"/>
      <c r="O694" s="129"/>
      <c r="P694" s="129"/>
      <c r="Q694" s="129"/>
      <c r="R694" s="129"/>
      <c r="S694" s="129"/>
      <c r="T694" s="129"/>
      <c r="U694" s="106"/>
      <c r="V694" s="106"/>
      <c r="W694" s="106"/>
      <c r="X694" s="106"/>
      <c r="Y694" s="106"/>
      <c r="Z694" s="129"/>
      <c r="AA694" s="129"/>
      <c r="AB694" s="129"/>
      <c r="AC694" s="129"/>
      <c r="AD694" s="129"/>
      <c r="AE694" s="129"/>
      <c r="AF694" s="129"/>
      <c r="AG694" s="117"/>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c r="BK694" s="124"/>
      <c r="BL694" s="124"/>
      <c r="BM694" s="124"/>
      <c r="BN694" s="124"/>
      <c r="BO694" s="124"/>
      <c r="BP694" s="124"/>
      <c r="BQ694" s="124"/>
      <c r="BR694" s="124"/>
      <c r="BS694" s="124"/>
      <c r="BT694" s="124"/>
      <c r="BU694" s="124"/>
      <c r="BV694" s="124"/>
      <c r="BW694" s="124"/>
      <c r="BX694" s="124"/>
      <c r="BY694" s="124"/>
      <c r="BZ694" s="124"/>
      <c r="CA694" s="124"/>
    </row>
    <row r="695">
      <c r="A695" s="141"/>
      <c r="B695" s="107"/>
      <c r="C695" s="107"/>
      <c r="D695" s="143"/>
      <c r="E695" s="129"/>
      <c r="F695" s="129"/>
      <c r="G695" s="129"/>
      <c r="H695" s="129"/>
      <c r="I695" s="129"/>
      <c r="J695" s="129"/>
      <c r="K695" s="129"/>
      <c r="L695" s="129"/>
      <c r="M695" s="129"/>
      <c r="N695" s="129"/>
      <c r="O695" s="129"/>
      <c r="P695" s="129"/>
      <c r="Q695" s="129"/>
      <c r="R695" s="129"/>
      <c r="S695" s="129"/>
      <c r="T695" s="129"/>
      <c r="U695" s="106"/>
      <c r="V695" s="106"/>
      <c r="W695" s="106"/>
      <c r="X695" s="106"/>
      <c r="Y695" s="106"/>
      <c r="Z695" s="129"/>
      <c r="AA695" s="129"/>
      <c r="AB695" s="129"/>
      <c r="AC695" s="129"/>
      <c r="AD695" s="129"/>
      <c r="AE695" s="129"/>
      <c r="AF695" s="129"/>
      <c r="AG695" s="117"/>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c r="BK695" s="124"/>
      <c r="BL695" s="124"/>
      <c r="BM695" s="124"/>
      <c r="BN695" s="124"/>
      <c r="BO695" s="124"/>
      <c r="BP695" s="124"/>
      <c r="BQ695" s="124"/>
      <c r="BR695" s="124"/>
      <c r="BS695" s="124"/>
      <c r="BT695" s="124"/>
      <c r="BU695" s="124"/>
      <c r="BV695" s="124"/>
      <c r="BW695" s="124"/>
      <c r="BX695" s="124"/>
      <c r="BY695" s="124"/>
      <c r="BZ695" s="124"/>
      <c r="CA695" s="124"/>
    </row>
    <row r="696">
      <c r="A696" s="141"/>
      <c r="B696" s="107"/>
      <c r="C696" s="107"/>
      <c r="D696" s="143"/>
      <c r="E696" s="129"/>
      <c r="F696" s="129"/>
      <c r="G696" s="129"/>
      <c r="H696" s="129"/>
      <c r="I696" s="129"/>
      <c r="J696" s="129"/>
      <c r="K696" s="129"/>
      <c r="L696" s="129"/>
      <c r="M696" s="129"/>
      <c r="N696" s="129"/>
      <c r="O696" s="129"/>
      <c r="P696" s="129"/>
      <c r="Q696" s="129"/>
      <c r="R696" s="129"/>
      <c r="S696" s="129"/>
      <c r="T696" s="129"/>
      <c r="U696" s="106"/>
      <c r="V696" s="106"/>
      <c r="W696" s="106"/>
      <c r="X696" s="106"/>
      <c r="Y696" s="106"/>
      <c r="Z696" s="129"/>
      <c r="AA696" s="129"/>
      <c r="AB696" s="129"/>
      <c r="AC696" s="129"/>
      <c r="AD696" s="129"/>
      <c r="AE696" s="129"/>
      <c r="AF696" s="129"/>
      <c r="AG696" s="117"/>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c r="BK696" s="124"/>
      <c r="BL696" s="124"/>
      <c r="BM696" s="124"/>
      <c r="BN696" s="124"/>
      <c r="BO696" s="124"/>
      <c r="BP696" s="124"/>
      <c r="BQ696" s="124"/>
      <c r="BR696" s="124"/>
      <c r="BS696" s="124"/>
      <c r="BT696" s="124"/>
      <c r="BU696" s="124"/>
      <c r="BV696" s="124"/>
      <c r="BW696" s="124"/>
      <c r="BX696" s="124"/>
      <c r="BY696" s="124"/>
      <c r="BZ696" s="124"/>
      <c r="CA696" s="124"/>
    </row>
    <row r="697">
      <c r="A697" s="141"/>
      <c r="B697" s="107"/>
      <c r="C697" s="107"/>
      <c r="D697" s="143"/>
      <c r="E697" s="129"/>
      <c r="F697" s="129"/>
      <c r="G697" s="129"/>
      <c r="H697" s="129"/>
      <c r="I697" s="129"/>
      <c r="J697" s="129"/>
      <c r="K697" s="129"/>
      <c r="L697" s="129"/>
      <c r="M697" s="129"/>
      <c r="N697" s="129"/>
      <c r="O697" s="129"/>
      <c r="P697" s="129"/>
      <c r="Q697" s="129"/>
      <c r="R697" s="129"/>
      <c r="S697" s="129"/>
      <c r="T697" s="129"/>
      <c r="U697" s="106"/>
      <c r="V697" s="106"/>
      <c r="W697" s="106"/>
      <c r="X697" s="106"/>
      <c r="Y697" s="106"/>
      <c r="Z697" s="129"/>
      <c r="AA697" s="129"/>
      <c r="AB697" s="129"/>
      <c r="AC697" s="129"/>
      <c r="AD697" s="129"/>
      <c r="AE697" s="129"/>
      <c r="AF697" s="129"/>
      <c r="AG697" s="117"/>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c r="BK697" s="124"/>
      <c r="BL697" s="124"/>
      <c r="BM697" s="124"/>
      <c r="BN697" s="124"/>
      <c r="BO697" s="124"/>
      <c r="BP697" s="124"/>
      <c r="BQ697" s="124"/>
      <c r="BR697" s="124"/>
      <c r="BS697" s="124"/>
      <c r="BT697" s="124"/>
      <c r="BU697" s="124"/>
      <c r="BV697" s="124"/>
      <c r="BW697" s="124"/>
      <c r="BX697" s="124"/>
      <c r="BY697" s="124"/>
      <c r="BZ697" s="124"/>
      <c r="CA697" s="124"/>
    </row>
    <row r="698">
      <c r="A698" s="141"/>
      <c r="B698" s="107"/>
      <c r="C698" s="107"/>
      <c r="D698" s="143"/>
      <c r="E698" s="129"/>
      <c r="F698" s="129"/>
      <c r="G698" s="129"/>
      <c r="H698" s="129"/>
      <c r="I698" s="129"/>
      <c r="J698" s="129"/>
      <c r="K698" s="129"/>
      <c r="L698" s="129"/>
      <c r="M698" s="129"/>
      <c r="N698" s="129"/>
      <c r="O698" s="129"/>
      <c r="P698" s="129"/>
      <c r="Q698" s="129"/>
      <c r="R698" s="129"/>
      <c r="S698" s="129"/>
      <c r="T698" s="129"/>
      <c r="U698" s="106"/>
      <c r="V698" s="106"/>
      <c r="W698" s="106"/>
      <c r="X698" s="106"/>
      <c r="Y698" s="106"/>
      <c r="Z698" s="129"/>
      <c r="AA698" s="129"/>
      <c r="AB698" s="129"/>
      <c r="AC698" s="129"/>
      <c r="AD698" s="129"/>
      <c r="AE698" s="129"/>
      <c r="AF698" s="129"/>
      <c r="AG698" s="117"/>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c r="BK698" s="124"/>
      <c r="BL698" s="124"/>
      <c r="BM698" s="124"/>
      <c r="BN698" s="124"/>
      <c r="BO698" s="124"/>
      <c r="BP698" s="124"/>
      <c r="BQ698" s="124"/>
      <c r="BR698" s="124"/>
      <c r="BS698" s="124"/>
      <c r="BT698" s="124"/>
      <c r="BU698" s="124"/>
      <c r="BV698" s="124"/>
      <c r="BW698" s="124"/>
      <c r="BX698" s="124"/>
      <c r="BY698" s="124"/>
      <c r="BZ698" s="124"/>
      <c r="CA698" s="124"/>
    </row>
    <row r="699">
      <c r="A699" s="141"/>
      <c r="B699" s="107"/>
      <c r="C699" s="107"/>
      <c r="D699" s="143"/>
      <c r="E699" s="129"/>
      <c r="F699" s="129"/>
      <c r="G699" s="129"/>
      <c r="H699" s="129"/>
      <c r="I699" s="129"/>
      <c r="J699" s="129"/>
      <c r="K699" s="129"/>
      <c r="L699" s="129"/>
      <c r="M699" s="129"/>
      <c r="N699" s="129"/>
      <c r="O699" s="129"/>
      <c r="P699" s="129"/>
      <c r="Q699" s="129"/>
      <c r="R699" s="129"/>
      <c r="S699" s="129"/>
      <c r="T699" s="129"/>
      <c r="U699" s="106"/>
      <c r="V699" s="106"/>
      <c r="W699" s="106"/>
      <c r="X699" s="106"/>
      <c r="Y699" s="106"/>
      <c r="Z699" s="129"/>
      <c r="AA699" s="129"/>
      <c r="AB699" s="129"/>
      <c r="AC699" s="129"/>
      <c r="AD699" s="129"/>
      <c r="AE699" s="129"/>
      <c r="AF699" s="129"/>
      <c r="AG699" s="117"/>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c r="BK699" s="124"/>
      <c r="BL699" s="124"/>
      <c r="BM699" s="124"/>
      <c r="BN699" s="124"/>
      <c r="BO699" s="124"/>
      <c r="BP699" s="124"/>
      <c r="BQ699" s="124"/>
      <c r="BR699" s="124"/>
      <c r="BS699" s="124"/>
      <c r="BT699" s="124"/>
      <c r="BU699" s="124"/>
      <c r="BV699" s="124"/>
      <c r="BW699" s="124"/>
      <c r="BX699" s="124"/>
      <c r="BY699" s="124"/>
      <c r="BZ699" s="124"/>
      <c r="CA699" s="124"/>
    </row>
    <row r="700">
      <c r="A700" s="141"/>
      <c r="B700" s="107"/>
      <c r="C700" s="107"/>
      <c r="D700" s="143"/>
      <c r="E700" s="129"/>
      <c r="F700" s="129"/>
      <c r="G700" s="129"/>
      <c r="H700" s="129"/>
      <c r="I700" s="129"/>
      <c r="J700" s="129"/>
      <c r="K700" s="129"/>
      <c r="L700" s="129"/>
      <c r="M700" s="129"/>
      <c r="N700" s="129"/>
      <c r="O700" s="129"/>
      <c r="P700" s="129"/>
      <c r="Q700" s="129"/>
      <c r="R700" s="129"/>
      <c r="S700" s="129"/>
      <c r="T700" s="129"/>
      <c r="U700" s="106"/>
      <c r="V700" s="106"/>
      <c r="W700" s="106"/>
      <c r="X700" s="106"/>
      <c r="Y700" s="106"/>
      <c r="Z700" s="129"/>
      <c r="AA700" s="129"/>
      <c r="AB700" s="129"/>
      <c r="AC700" s="129"/>
      <c r="AD700" s="129"/>
      <c r="AE700" s="129"/>
      <c r="AF700" s="129"/>
      <c r="AG700" s="117"/>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c r="BK700" s="124"/>
      <c r="BL700" s="124"/>
      <c r="BM700" s="124"/>
      <c r="BN700" s="124"/>
      <c r="BO700" s="124"/>
      <c r="BP700" s="124"/>
      <c r="BQ700" s="124"/>
      <c r="BR700" s="124"/>
      <c r="BS700" s="124"/>
      <c r="BT700" s="124"/>
      <c r="BU700" s="124"/>
      <c r="BV700" s="124"/>
      <c r="BW700" s="124"/>
      <c r="BX700" s="124"/>
      <c r="BY700" s="124"/>
      <c r="BZ700" s="124"/>
      <c r="CA700" s="124"/>
    </row>
    <row r="701">
      <c r="A701" s="141"/>
      <c r="B701" s="107"/>
      <c r="C701" s="107"/>
      <c r="D701" s="143"/>
      <c r="E701" s="129"/>
      <c r="F701" s="129"/>
      <c r="G701" s="129"/>
      <c r="H701" s="129"/>
      <c r="I701" s="129"/>
      <c r="J701" s="129"/>
      <c r="K701" s="129"/>
      <c r="L701" s="129"/>
      <c r="M701" s="129"/>
      <c r="N701" s="129"/>
      <c r="O701" s="129"/>
      <c r="P701" s="129"/>
      <c r="Q701" s="129"/>
      <c r="R701" s="129"/>
      <c r="S701" s="129"/>
      <c r="T701" s="129"/>
      <c r="U701" s="106"/>
      <c r="V701" s="106"/>
      <c r="W701" s="106"/>
      <c r="X701" s="106"/>
      <c r="Y701" s="106"/>
      <c r="Z701" s="129"/>
      <c r="AA701" s="129"/>
      <c r="AB701" s="129"/>
      <c r="AC701" s="129"/>
      <c r="AD701" s="129"/>
      <c r="AE701" s="129"/>
      <c r="AF701" s="129"/>
      <c r="AG701" s="117"/>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c r="BK701" s="124"/>
      <c r="BL701" s="124"/>
      <c r="BM701" s="124"/>
      <c r="BN701" s="124"/>
      <c r="BO701" s="124"/>
      <c r="BP701" s="124"/>
      <c r="BQ701" s="124"/>
      <c r="BR701" s="124"/>
      <c r="BS701" s="124"/>
      <c r="BT701" s="124"/>
      <c r="BU701" s="124"/>
      <c r="BV701" s="124"/>
      <c r="BW701" s="124"/>
      <c r="BX701" s="124"/>
      <c r="BY701" s="124"/>
      <c r="BZ701" s="124"/>
      <c r="CA701" s="124"/>
    </row>
    <row r="702">
      <c r="A702" s="141"/>
      <c r="B702" s="107"/>
      <c r="C702" s="107"/>
      <c r="D702" s="143"/>
      <c r="E702" s="129"/>
      <c r="F702" s="129"/>
      <c r="G702" s="129"/>
      <c r="H702" s="129"/>
      <c r="I702" s="129"/>
      <c r="J702" s="129"/>
      <c r="K702" s="129"/>
      <c r="L702" s="129"/>
      <c r="M702" s="129"/>
      <c r="N702" s="129"/>
      <c r="O702" s="129"/>
      <c r="P702" s="129"/>
      <c r="Q702" s="129"/>
      <c r="R702" s="129"/>
      <c r="S702" s="129"/>
      <c r="T702" s="129"/>
      <c r="U702" s="106"/>
      <c r="V702" s="106"/>
      <c r="W702" s="106"/>
      <c r="X702" s="106"/>
      <c r="Y702" s="106"/>
      <c r="Z702" s="129"/>
      <c r="AA702" s="129"/>
      <c r="AB702" s="129"/>
      <c r="AC702" s="129"/>
      <c r="AD702" s="129"/>
      <c r="AE702" s="129"/>
      <c r="AF702" s="129"/>
      <c r="AG702" s="117"/>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c r="BK702" s="124"/>
      <c r="BL702" s="124"/>
      <c r="BM702" s="124"/>
      <c r="BN702" s="124"/>
      <c r="BO702" s="124"/>
      <c r="BP702" s="124"/>
      <c r="BQ702" s="124"/>
      <c r="BR702" s="124"/>
      <c r="BS702" s="124"/>
      <c r="BT702" s="124"/>
      <c r="BU702" s="124"/>
      <c r="BV702" s="124"/>
      <c r="BW702" s="124"/>
      <c r="BX702" s="124"/>
      <c r="BY702" s="124"/>
      <c r="BZ702" s="124"/>
      <c r="CA702" s="124"/>
    </row>
    <row r="703">
      <c r="A703" s="141"/>
      <c r="B703" s="107"/>
      <c r="C703" s="107"/>
      <c r="D703" s="143"/>
      <c r="E703" s="129"/>
      <c r="F703" s="129"/>
      <c r="G703" s="129"/>
      <c r="H703" s="129"/>
      <c r="I703" s="129"/>
      <c r="J703" s="129"/>
      <c r="K703" s="129"/>
      <c r="L703" s="129"/>
      <c r="M703" s="129"/>
      <c r="N703" s="129"/>
      <c r="O703" s="129"/>
      <c r="P703" s="129"/>
      <c r="Q703" s="129"/>
      <c r="R703" s="129"/>
      <c r="S703" s="129"/>
      <c r="T703" s="129"/>
      <c r="U703" s="106"/>
      <c r="V703" s="106"/>
      <c r="W703" s="106"/>
      <c r="X703" s="106"/>
      <c r="Y703" s="106"/>
      <c r="Z703" s="129"/>
      <c r="AA703" s="129"/>
      <c r="AB703" s="129"/>
      <c r="AC703" s="129"/>
      <c r="AD703" s="129"/>
      <c r="AE703" s="129"/>
      <c r="AF703" s="129"/>
      <c r="AG703" s="117"/>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c r="BK703" s="124"/>
      <c r="BL703" s="124"/>
      <c r="BM703" s="124"/>
      <c r="BN703" s="124"/>
      <c r="BO703" s="124"/>
      <c r="BP703" s="124"/>
      <c r="BQ703" s="124"/>
      <c r="BR703" s="124"/>
      <c r="BS703" s="124"/>
      <c r="BT703" s="124"/>
      <c r="BU703" s="124"/>
      <c r="BV703" s="124"/>
      <c r="BW703" s="124"/>
      <c r="BX703" s="124"/>
      <c r="BY703" s="124"/>
      <c r="BZ703" s="124"/>
      <c r="CA703" s="124"/>
    </row>
    <row r="704">
      <c r="A704" s="141"/>
      <c r="B704" s="107"/>
      <c r="C704" s="107"/>
      <c r="D704" s="143"/>
      <c r="E704" s="129"/>
      <c r="F704" s="129"/>
      <c r="G704" s="129"/>
      <c r="H704" s="129"/>
      <c r="I704" s="129"/>
      <c r="J704" s="129"/>
      <c r="K704" s="129"/>
      <c r="L704" s="129"/>
      <c r="M704" s="129"/>
      <c r="N704" s="129"/>
      <c r="O704" s="129"/>
      <c r="P704" s="129"/>
      <c r="Q704" s="129"/>
      <c r="R704" s="129"/>
      <c r="S704" s="129"/>
      <c r="T704" s="129"/>
      <c r="U704" s="106"/>
      <c r="V704" s="106"/>
      <c r="W704" s="106"/>
      <c r="X704" s="106"/>
      <c r="Y704" s="106"/>
      <c r="Z704" s="129"/>
      <c r="AA704" s="129"/>
      <c r="AB704" s="129"/>
      <c r="AC704" s="129"/>
      <c r="AD704" s="129"/>
      <c r="AE704" s="129"/>
      <c r="AF704" s="129"/>
      <c r="AG704" s="117"/>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c r="BK704" s="124"/>
      <c r="BL704" s="124"/>
      <c r="BM704" s="124"/>
      <c r="BN704" s="124"/>
      <c r="BO704" s="124"/>
      <c r="BP704" s="124"/>
      <c r="BQ704" s="124"/>
      <c r="BR704" s="124"/>
      <c r="BS704" s="124"/>
      <c r="BT704" s="124"/>
      <c r="BU704" s="124"/>
      <c r="BV704" s="124"/>
      <c r="BW704" s="124"/>
      <c r="BX704" s="124"/>
      <c r="BY704" s="124"/>
      <c r="BZ704" s="124"/>
      <c r="CA704" s="124"/>
    </row>
    <row r="705">
      <c r="A705" s="141"/>
      <c r="B705" s="107"/>
      <c r="C705" s="107"/>
      <c r="D705" s="143"/>
      <c r="E705" s="129"/>
      <c r="F705" s="129"/>
      <c r="G705" s="129"/>
      <c r="H705" s="129"/>
      <c r="I705" s="129"/>
      <c r="J705" s="129"/>
      <c r="K705" s="129"/>
      <c r="L705" s="129"/>
      <c r="M705" s="129"/>
      <c r="N705" s="129"/>
      <c r="O705" s="129"/>
      <c r="P705" s="129"/>
      <c r="Q705" s="129"/>
      <c r="R705" s="129"/>
      <c r="S705" s="129"/>
      <c r="T705" s="129"/>
      <c r="U705" s="106"/>
      <c r="V705" s="106"/>
      <c r="W705" s="106"/>
      <c r="X705" s="106"/>
      <c r="Y705" s="106"/>
      <c r="Z705" s="129"/>
      <c r="AA705" s="129"/>
      <c r="AB705" s="129"/>
      <c r="AC705" s="129"/>
      <c r="AD705" s="129"/>
      <c r="AE705" s="129"/>
      <c r="AF705" s="129"/>
      <c r="AG705" s="117"/>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c r="BK705" s="124"/>
      <c r="BL705" s="124"/>
      <c r="BM705" s="124"/>
      <c r="BN705" s="124"/>
      <c r="BO705" s="124"/>
      <c r="BP705" s="124"/>
      <c r="BQ705" s="124"/>
      <c r="BR705" s="124"/>
      <c r="BS705" s="124"/>
      <c r="BT705" s="124"/>
      <c r="BU705" s="124"/>
      <c r="BV705" s="124"/>
      <c r="BW705" s="124"/>
      <c r="BX705" s="124"/>
      <c r="BY705" s="124"/>
      <c r="BZ705" s="124"/>
      <c r="CA705" s="124"/>
    </row>
    <row r="706">
      <c r="A706" s="141"/>
      <c r="B706" s="107"/>
      <c r="C706" s="107"/>
      <c r="D706" s="143"/>
      <c r="E706" s="129"/>
      <c r="F706" s="129"/>
      <c r="G706" s="129"/>
      <c r="H706" s="129"/>
      <c r="I706" s="129"/>
      <c r="J706" s="129"/>
      <c r="K706" s="129"/>
      <c r="L706" s="129"/>
      <c r="M706" s="129"/>
      <c r="N706" s="129"/>
      <c r="O706" s="129"/>
      <c r="P706" s="129"/>
      <c r="Q706" s="129"/>
      <c r="R706" s="129"/>
      <c r="S706" s="129"/>
      <c r="T706" s="129"/>
      <c r="U706" s="106"/>
      <c r="V706" s="106"/>
      <c r="W706" s="106"/>
      <c r="X706" s="106"/>
      <c r="Y706" s="106"/>
      <c r="Z706" s="129"/>
      <c r="AA706" s="129"/>
      <c r="AB706" s="129"/>
      <c r="AC706" s="129"/>
      <c r="AD706" s="129"/>
      <c r="AE706" s="129"/>
      <c r="AF706" s="129"/>
      <c r="AG706" s="117"/>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c r="BK706" s="124"/>
      <c r="BL706" s="124"/>
      <c r="BM706" s="124"/>
      <c r="BN706" s="124"/>
      <c r="BO706" s="124"/>
      <c r="BP706" s="124"/>
      <c r="BQ706" s="124"/>
      <c r="BR706" s="124"/>
      <c r="BS706" s="124"/>
      <c r="BT706" s="124"/>
      <c r="BU706" s="124"/>
      <c r="BV706" s="124"/>
      <c r="BW706" s="124"/>
      <c r="BX706" s="124"/>
      <c r="BY706" s="124"/>
      <c r="BZ706" s="124"/>
      <c r="CA706" s="124"/>
    </row>
    <row r="707">
      <c r="A707" s="141"/>
      <c r="B707" s="107"/>
      <c r="C707" s="107"/>
      <c r="D707" s="143"/>
      <c r="E707" s="129"/>
      <c r="F707" s="129"/>
      <c r="G707" s="129"/>
      <c r="H707" s="129"/>
      <c r="I707" s="129"/>
      <c r="J707" s="129"/>
      <c r="K707" s="129"/>
      <c r="L707" s="129"/>
      <c r="M707" s="129"/>
      <c r="N707" s="129"/>
      <c r="O707" s="129"/>
      <c r="P707" s="129"/>
      <c r="Q707" s="129"/>
      <c r="R707" s="129"/>
      <c r="S707" s="129"/>
      <c r="T707" s="129"/>
      <c r="U707" s="106"/>
      <c r="V707" s="106"/>
      <c r="W707" s="106"/>
      <c r="X707" s="106"/>
      <c r="Y707" s="106"/>
      <c r="Z707" s="129"/>
      <c r="AA707" s="129"/>
      <c r="AB707" s="129"/>
      <c r="AC707" s="129"/>
      <c r="AD707" s="129"/>
      <c r="AE707" s="129"/>
      <c r="AF707" s="129"/>
      <c r="AG707" s="117"/>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c r="BK707" s="124"/>
      <c r="BL707" s="124"/>
      <c r="BM707" s="124"/>
      <c r="BN707" s="124"/>
      <c r="BO707" s="124"/>
      <c r="BP707" s="124"/>
      <c r="BQ707" s="124"/>
      <c r="BR707" s="124"/>
      <c r="BS707" s="124"/>
      <c r="BT707" s="124"/>
      <c r="BU707" s="124"/>
      <c r="BV707" s="124"/>
      <c r="BW707" s="124"/>
      <c r="BX707" s="124"/>
      <c r="BY707" s="124"/>
      <c r="BZ707" s="124"/>
      <c r="CA707" s="124"/>
    </row>
    <row r="708">
      <c r="A708" s="141"/>
      <c r="B708" s="107"/>
      <c r="C708" s="107"/>
      <c r="D708" s="143"/>
      <c r="E708" s="129"/>
      <c r="F708" s="129"/>
      <c r="G708" s="129"/>
      <c r="H708" s="129"/>
      <c r="I708" s="129"/>
      <c r="J708" s="129"/>
      <c r="K708" s="129"/>
      <c r="L708" s="129"/>
      <c r="M708" s="129"/>
      <c r="N708" s="129"/>
      <c r="O708" s="129"/>
      <c r="P708" s="129"/>
      <c r="Q708" s="129"/>
      <c r="R708" s="129"/>
      <c r="S708" s="129"/>
      <c r="T708" s="129"/>
      <c r="U708" s="106"/>
      <c r="V708" s="106"/>
      <c r="W708" s="106"/>
      <c r="X708" s="106"/>
      <c r="Y708" s="106"/>
      <c r="Z708" s="129"/>
      <c r="AA708" s="129"/>
      <c r="AB708" s="129"/>
      <c r="AC708" s="129"/>
      <c r="AD708" s="129"/>
      <c r="AE708" s="129"/>
      <c r="AF708" s="129"/>
      <c r="AG708" s="117"/>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c r="BK708" s="124"/>
      <c r="BL708" s="124"/>
      <c r="BM708" s="124"/>
      <c r="BN708" s="124"/>
      <c r="BO708" s="124"/>
      <c r="BP708" s="124"/>
      <c r="BQ708" s="124"/>
      <c r="BR708" s="124"/>
      <c r="BS708" s="124"/>
      <c r="BT708" s="124"/>
      <c r="BU708" s="124"/>
      <c r="BV708" s="124"/>
      <c r="BW708" s="124"/>
      <c r="BX708" s="124"/>
      <c r="BY708" s="124"/>
      <c r="BZ708" s="124"/>
      <c r="CA708" s="124"/>
    </row>
    <row r="709">
      <c r="A709" s="141"/>
      <c r="B709" s="107"/>
      <c r="C709" s="107"/>
      <c r="D709" s="143"/>
      <c r="E709" s="129"/>
      <c r="F709" s="129"/>
      <c r="G709" s="129"/>
      <c r="H709" s="129"/>
      <c r="I709" s="129"/>
      <c r="J709" s="129"/>
      <c r="K709" s="129"/>
      <c r="L709" s="129"/>
      <c r="M709" s="129"/>
      <c r="N709" s="129"/>
      <c r="O709" s="129"/>
      <c r="P709" s="129"/>
      <c r="Q709" s="129"/>
      <c r="R709" s="129"/>
      <c r="S709" s="129"/>
      <c r="T709" s="129"/>
      <c r="U709" s="106"/>
      <c r="V709" s="106"/>
      <c r="W709" s="106"/>
      <c r="X709" s="106"/>
      <c r="Y709" s="106"/>
      <c r="Z709" s="129"/>
      <c r="AA709" s="129"/>
      <c r="AB709" s="129"/>
      <c r="AC709" s="129"/>
      <c r="AD709" s="129"/>
      <c r="AE709" s="129"/>
      <c r="AF709" s="129"/>
      <c r="AG709" s="117"/>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c r="BK709" s="124"/>
      <c r="BL709" s="124"/>
      <c r="BM709" s="124"/>
      <c r="BN709" s="124"/>
      <c r="BO709" s="124"/>
      <c r="BP709" s="124"/>
      <c r="BQ709" s="124"/>
      <c r="BR709" s="124"/>
      <c r="BS709" s="124"/>
      <c r="BT709" s="124"/>
      <c r="BU709" s="124"/>
      <c r="BV709" s="124"/>
      <c r="BW709" s="124"/>
      <c r="BX709" s="124"/>
      <c r="BY709" s="124"/>
      <c r="BZ709" s="124"/>
      <c r="CA709" s="124"/>
    </row>
    <row r="710">
      <c r="A710" s="141"/>
      <c r="B710" s="107"/>
      <c r="C710" s="107"/>
      <c r="D710" s="143"/>
      <c r="E710" s="129"/>
      <c r="F710" s="129"/>
      <c r="G710" s="129"/>
      <c r="H710" s="129"/>
      <c r="I710" s="129"/>
      <c r="J710" s="129"/>
      <c r="K710" s="129"/>
      <c r="L710" s="129"/>
      <c r="M710" s="129"/>
      <c r="N710" s="129"/>
      <c r="O710" s="129"/>
      <c r="P710" s="129"/>
      <c r="Q710" s="129"/>
      <c r="R710" s="129"/>
      <c r="S710" s="129"/>
      <c r="T710" s="129"/>
      <c r="U710" s="106"/>
      <c r="V710" s="106"/>
      <c r="W710" s="106"/>
      <c r="X710" s="106"/>
      <c r="Y710" s="106"/>
      <c r="Z710" s="129"/>
      <c r="AA710" s="129"/>
      <c r="AB710" s="129"/>
      <c r="AC710" s="129"/>
      <c r="AD710" s="129"/>
      <c r="AE710" s="129"/>
      <c r="AF710" s="129"/>
      <c r="AG710" s="117"/>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c r="BK710" s="124"/>
      <c r="BL710" s="124"/>
      <c r="BM710" s="124"/>
      <c r="BN710" s="124"/>
      <c r="BO710" s="124"/>
      <c r="BP710" s="124"/>
      <c r="BQ710" s="124"/>
      <c r="BR710" s="124"/>
      <c r="BS710" s="124"/>
      <c r="BT710" s="124"/>
      <c r="BU710" s="124"/>
      <c r="BV710" s="124"/>
      <c r="BW710" s="124"/>
      <c r="BX710" s="124"/>
      <c r="BY710" s="124"/>
      <c r="BZ710" s="124"/>
      <c r="CA710" s="124"/>
    </row>
    <row r="711">
      <c r="A711" s="141"/>
      <c r="B711" s="107"/>
      <c r="C711" s="107"/>
      <c r="D711" s="143"/>
      <c r="E711" s="129"/>
      <c r="F711" s="129"/>
      <c r="G711" s="129"/>
      <c r="H711" s="129"/>
      <c r="I711" s="129"/>
      <c r="J711" s="129"/>
      <c r="K711" s="129"/>
      <c r="L711" s="129"/>
      <c r="M711" s="129"/>
      <c r="N711" s="129"/>
      <c r="O711" s="129"/>
      <c r="P711" s="129"/>
      <c r="Q711" s="129"/>
      <c r="R711" s="129"/>
      <c r="S711" s="129"/>
      <c r="T711" s="129"/>
      <c r="U711" s="106"/>
      <c r="V711" s="106"/>
      <c r="W711" s="106"/>
      <c r="X711" s="106"/>
      <c r="Y711" s="106"/>
      <c r="Z711" s="129"/>
      <c r="AA711" s="129"/>
      <c r="AB711" s="129"/>
      <c r="AC711" s="129"/>
      <c r="AD711" s="129"/>
      <c r="AE711" s="129"/>
      <c r="AF711" s="129"/>
      <c r="AG711" s="117"/>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c r="BK711" s="124"/>
      <c r="BL711" s="124"/>
      <c r="BM711" s="124"/>
      <c r="BN711" s="124"/>
      <c r="BO711" s="124"/>
      <c r="BP711" s="124"/>
      <c r="BQ711" s="124"/>
      <c r="BR711" s="124"/>
      <c r="BS711" s="124"/>
      <c r="BT711" s="124"/>
      <c r="BU711" s="124"/>
      <c r="BV711" s="124"/>
      <c r="BW711" s="124"/>
      <c r="BX711" s="124"/>
      <c r="BY711" s="124"/>
      <c r="BZ711" s="124"/>
      <c r="CA711" s="124"/>
    </row>
    <row r="712">
      <c r="A712" s="141"/>
      <c r="B712" s="107"/>
      <c r="C712" s="107"/>
      <c r="D712" s="143"/>
      <c r="E712" s="129"/>
      <c r="F712" s="129"/>
      <c r="G712" s="129"/>
      <c r="H712" s="129"/>
      <c r="I712" s="129"/>
      <c r="J712" s="129"/>
      <c r="K712" s="129"/>
      <c r="L712" s="129"/>
      <c r="M712" s="129"/>
      <c r="N712" s="129"/>
      <c r="O712" s="129"/>
      <c r="P712" s="129"/>
      <c r="Q712" s="129"/>
      <c r="R712" s="129"/>
      <c r="S712" s="129"/>
      <c r="T712" s="129"/>
      <c r="U712" s="106"/>
      <c r="V712" s="106"/>
      <c r="W712" s="106"/>
      <c r="X712" s="106"/>
      <c r="Y712" s="106"/>
      <c r="Z712" s="129"/>
      <c r="AA712" s="129"/>
      <c r="AB712" s="129"/>
      <c r="AC712" s="129"/>
      <c r="AD712" s="129"/>
      <c r="AE712" s="129"/>
      <c r="AF712" s="129"/>
      <c r="AG712" s="117"/>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c r="BK712" s="124"/>
      <c r="BL712" s="124"/>
      <c r="BM712" s="124"/>
      <c r="BN712" s="124"/>
      <c r="BO712" s="124"/>
      <c r="BP712" s="124"/>
      <c r="BQ712" s="124"/>
      <c r="BR712" s="124"/>
      <c r="BS712" s="124"/>
      <c r="BT712" s="124"/>
      <c r="BU712" s="124"/>
      <c r="BV712" s="124"/>
      <c r="BW712" s="124"/>
      <c r="BX712" s="124"/>
      <c r="BY712" s="124"/>
      <c r="BZ712" s="124"/>
      <c r="CA712" s="124"/>
    </row>
    <row r="713">
      <c r="A713" s="141"/>
      <c r="B713" s="107"/>
      <c r="C713" s="107"/>
      <c r="D713" s="143"/>
      <c r="E713" s="129"/>
      <c r="F713" s="129"/>
      <c r="G713" s="129"/>
      <c r="H713" s="129"/>
      <c r="I713" s="129"/>
      <c r="J713" s="129"/>
      <c r="K713" s="129"/>
      <c r="L713" s="129"/>
      <c r="M713" s="129"/>
      <c r="N713" s="129"/>
      <c r="O713" s="129"/>
      <c r="P713" s="129"/>
      <c r="Q713" s="129"/>
      <c r="R713" s="129"/>
      <c r="S713" s="129"/>
      <c r="T713" s="129"/>
      <c r="U713" s="106"/>
      <c r="V713" s="106"/>
      <c r="W713" s="106"/>
      <c r="X713" s="106"/>
      <c r="Y713" s="106"/>
      <c r="Z713" s="129"/>
      <c r="AA713" s="129"/>
      <c r="AB713" s="129"/>
      <c r="AC713" s="129"/>
      <c r="AD713" s="129"/>
      <c r="AE713" s="129"/>
      <c r="AF713" s="129"/>
      <c r="AG713" s="117"/>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c r="BK713" s="124"/>
      <c r="BL713" s="124"/>
      <c r="BM713" s="124"/>
      <c r="BN713" s="124"/>
      <c r="BO713" s="124"/>
      <c r="BP713" s="124"/>
      <c r="BQ713" s="124"/>
      <c r="BR713" s="124"/>
      <c r="BS713" s="124"/>
      <c r="BT713" s="124"/>
      <c r="BU713" s="124"/>
      <c r="BV713" s="124"/>
      <c r="BW713" s="124"/>
      <c r="BX713" s="124"/>
      <c r="BY713" s="124"/>
      <c r="BZ713" s="124"/>
      <c r="CA713" s="124"/>
    </row>
    <row r="714">
      <c r="A714" s="141"/>
      <c r="B714" s="107"/>
      <c r="C714" s="107"/>
      <c r="D714" s="143"/>
      <c r="E714" s="129"/>
      <c r="F714" s="129"/>
      <c r="G714" s="129"/>
      <c r="H714" s="129"/>
      <c r="I714" s="129"/>
      <c r="J714" s="129"/>
      <c r="K714" s="129"/>
      <c r="L714" s="129"/>
      <c r="M714" s="129"/>
      <c r="N714" s="129"/>
      <c r="O714" s="129"/>
      <c r="P714" s="129"/>
      <c r="Q714" s="129"/>
      <c r="R714" s="129"/>
      <c r="S714" s="129"/>
      <c r="T714" s="129"/>
      <c r="U714" s="106"/>
      <c r="V714" s="106"/>
      <c r="W714" s="106"/>
      <c r="X714" s="106"/>
      <c r="Y714" s="106"/>
      <c r="Z714" s="129"/>
      <c r="AA714" s="129"/>
      <c r="AB714" s="129"/>
      <c r="AC714" s="129"/>
      <c r="AD714" s="129"/>
      <c r="AE714" s="129"/>
      <c r="AF714" s="129"/>
      <c r="AG714" s="117"/>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c r="BK714" s="124"/>
      <c r="BL714" s="124"/>
      <c r="BM714" s="124"/>
      <c r="BN714" s="124"/>
      <c r="BO714" s="124"/>
      <c r="BP714" s="124"/>
      <c r="BQ714" s="124"/>
      <c r="BR714" s="124"/>
      <c r="BS714" s="124"/>
      <c r="BT714" s="124"/>
      <c r="BU714" s="124"/>
      <c r="BV714" s="124"/>
      <c r="BW714" s="124"/>
      <c r="BX714" s="124"/>
      <c r="BY714" s="124"/>
      <c r="BZ714" s="124"/>
      <c r="CA714" s="124"/>
    </row>
    <row r="715">
      <c r="A715" s="141"/>
      <c r="B715" s="107"/>
      <c r="C715" s="107"/>
      <c r="D715" s="143"/>
      <c r="E715" s="129"/>
      <c r="F715" s="129"/>
      <c r="G715" s="129"/>
      <c r="H715" s="129"/>
      <c r="I715" s="129"/>
      <c r="J715" s="129"/>
      <c r="K715" s="129"/>
      <c r="L715" s="129"/>
      <c r="M715" s="129"/>
      <c r="N715" s="129"/>
      <c r="O715" s="129"/>
      <c r="P715" s="129"/>
      <c r="Q715" s="129"/>
      <c r="R715" s="129"/>
      <c r="S715" s="129"/>
      <c r="T715" s="129"/>
      <c r="U715" s="106"/>
      <c r="V715" s="106"/>
      <c r="W715" s="106"/>
      <c r="X715" s="106"/>
      <c r="Y715" s="106"/>
      <c r="Z715" s="129"/>
      <c r="AA715" s="129"/>
      <c r="AB715" s="129"/>
      <c r="AC715" s="129"/>
      <c r="AD715" s="129"/>
      <c r="AE715" s="129"/>
      <c r="AF715" s="129"/>
      <c r="AG715" s="117"/>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c r="BK715" s="124"/>
      <c r="BL715" s="124"/>
      <c r="BM715" s="124"/>
      <c r="BN715" s="124"/>
      <c r="BO715" s="124"/>
      <c r="BP715" s="124"/>
      <c r="BQ715" s="124"/>
      <c r="BR715" s="124"/>
      <c r="BS715" s="124"/>
      <c r="BT715" s="124"/>
      <c r="BU715" s="124"/>
      <c r="BV715" s="124"/>
      <c r="BW715" s="124"/>
      <c r="BX715" s="124"/>
      <c r="BY715" s="124"/>
      <c r="BZ715" s="124"/>
      <c r="CA715" s="124"/>
    </row>
    <row r="716">
      <c r="A716" s="141"/>
      <c r="B716" s="107"/>
      <c r="C716" s="107"/>
      <c r="D716" s="143"/>
      <c r="E716" s="129"/>
      <c r="F716" s="129"/>
      <c r="G716" s="129"/>
      <c r="H716" s="129"/>
      <c r="I716" s="129"/>
      <c r="J716" s="129"/>
      <c r="K716" s="129"/>
      <c r="L716" s="129"/>
      <c r="M716" s="129"/>
      <c r="N716" s="129"/>
      <c r="O716" s="129"/>
      <c r="P716" s="129"/>
      <c r="Q716" s="129"/>
      <c r="R716" s="129"/>
      <c r="S716" s="129"/>
      <c r="T716" s="129"/>
      <c r="U716" s="106"/>
      <c r="V716" s="106"/>
      <c r="W716" s="106"/>
      <c r="X716" s="106"/>
      <c r="Y716" s="106"/>
      <c r="Z716" s="129"/>
      <c r="AA716" s="129"/>
      <c r="AB716" s="129"/>
      <c r="AC716" s="129"/>
      <c r="AD716" s="129"/>
      <c r="AE716" s="129"/>
      <c r="AF716" s="129"/>
      <c r="AG716" s="117"/>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c r="BK716" s="124"/>
      <c r="BL716" s="124"/>
      <c r="BM716" s="124"/>
      <c r="BN716" s="124"/>
      <c r="BO716" s="124"/>
      <c r="BP716" s="124"/>
      <c r="BQ716" s="124"/>
      <c r="BR716" s="124"/>
      <c r="BS716" s="124"/>
      <c r="BT716" s="124"/>
      <c r="BU716" s="124"/>
      <c r="BV716" s="124"/>
      <c r="BW716" s="124"/>
      <c r="BX716" s="124"/>
      <c r="BY716" s="124"/>
      <c r="BZ716" s="124"/>
      <c r="CA716" s="124"/>
    </row>
    <row r="717">
      <c r="A717" s="141"/>
      <c r="B717" s="107"/>
      <c r="C717" s="107"/>
      <c r="D717" s="143"/>
      <c r="E717" s="129"/>
      <c r="F717" s="129"/>
      <c r="G717" s="129"/>
      <c r="H717" s="129"/>
      <c r="I717" s="129"/>
      <c r="J717" s="129"/>
      <c r="K717" s="129"/>
      <c r="L717" s="129"/>
      <c r="M717" s="129"/>
      <c r="N717" s="129"/>
      <c r="O717" s="129"/>
      <c r="P717" s="129"/>
      <c r="Q717" s="129"/>
      <c r="R717" s="129"/>
      <c r="S717" s="129"/>
      <c r="T717" s="129"/>
      <c r="U717" s="106"/>
      <c r="V717" s="106"/>
      <c r="W717" s="106"/>
      <c r="X717" s="106"/>
      <c r="Y717" s="106"/>
      <c r="Z717" s="129"/>
      <c r="AA717" s="129"/>
      <c r="AB717" s="129"/>
      <c r="AC717" s="129"/>
      <c r="AD717" s="129"/>
      <c r="AE717" s="129"/>
      <c r="AF717" s="129"/>
      <c r="AG717" s="117"/>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c r="BK717" s="124"/>
      <c r="BL717" s="124"/>
      <c r="BM717" s="124"/>
      <c r="BN717" s="124"/>
      <c r="BO717" s="124"/>
      <c r="BP717" s="124"/>
      <c r="BQ717" s="124"/>
      <c r="BR717" s="124"/>
      <c r="BS717" s="124"/>
      <c r="BT717" s="124"/>
      <c r="BU717" s="124"/>
      <c r="BV717" s="124"/>
      <c r="BW717" s="124"/>
      <c r="BX717" s="124"/>
      <c r="BY717" s="124"/>
      <c r="BZ717" s="124"/>
      <c r="CA717" s="124"/>
    </row>
    <row r="718">
      <c r="A718" s="141"/>
      <c r="B718" s="107"/>
      <c r="C718" s="107"/>
      <c r="D718" s="143"/>
      <c r="E718" s="129"/>
      <c r="F718" s="129"/>
      <c r="G718" s="129"/>
      <c r="H718" s="129"/>
      <c r="I718" s="129"/>
      <c r="J718" s="129"/>
      <c r="K718" s="129"/>
      <c r="L718" s="129"/>
      <c r="M718" s="129"/>
      <c r="N718" s="129"/>
      <c r="O718" s="129"/>
      <c r="P718" s="129"/>
      <c r="Q718" s="129"/>
      <c r="R718" s="129"/>
      <c r="S718" s="129"/>
      <c r="T718" s="129"/>
      <c r="U718" s="106"/>
      <c r="V718" s="106"/>
      <c r="W718" s="106"/>
      <c r="X718" s="106"/>
      <c r="Y718" s="106"/>
      <c r="Z718" s="129"/>
      <c r="AA718" s="129"/>
      <c r="AB718" s="129"/>
      <c r="AC718" s="129"/>
      <c r="AD718" s="129"/>
      <c r="AE718" s="129"/>
      <c r="AF718" s="129"/>
      <c r="AG718" s="117"/>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c r="BK718" s="124"/>
      <c r="BL718" s="124"/>
      <c r="BM718" s="124"/>
      <c r="BN718" s="124"/>
      <c r="BO718" s="124"/>
      <c r="BP718" s="124"/>
      <c r="BQ718" s="124"/>
      <c r="BR718" s="124"/>
      <c r="BS718" s="124"/>
      <c r="BT718" s="124"/>
      <c r="BU718" s="124"/>
      <c r="BV718" s="124"/>
      <c r="BW718" s="124"/>
      <c r="BX718" s="124"/>
      <c r="BY718" s="124"/>
      <c r="BZ718" s="124"/>
      <c r="CA718" s="124"/>
    </row>
    <row r="719">
      <c r="A719" s="141"/>
      <c r="B719" s="107"/>
      <c r="C719" s="107"/>
      <c r="D719" s="143"/>
      <c r="E719" s="129"/>
      <c r="F719" s="129"/>
      <c r="G719" s="129"/>
      <c r="H719" s="129"/>
      <c r="I719" s="129"/>
      <c r="J719" s="129"/>
      <c r="K719" s="129"/>
      <c r="L719" s="129"/>
      <c r="M719" s="129"/>
      <c r="N719" s="129"/>
      <c r="O719" s="129"/>
      <c r="P719" s="129"/>
      <c r="Q719" s="129"/>
      <c r="R719" s="129"/>
      <c r="S719" s="129"/>
      <c r="T719" s="129"/>
      <c r="U719" s="106"/>
      <c r="V719" s="106"/>
      <c r="W719" s="106"/>
      <c r="X719" s="106"/>
      <c r="Y719" s="106"/>
      <c r="Z719" s="129"/>
      <c r="AA719" s="129"/>
      <c r="AB719" s="129"/>
      <c r="AC719" s="129"/>
      <c r="AD719" s="129"/>
      <c r="AE719" s="129"/>
      <c r="AF719" s="129"/>
      <c r="AG719" s="117"/>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c r="BK719" s="124"/>
      <c r="BL719" s="124"/>
      <c r="BM719" s="124"/>
      <c r="BN719" s="124"/>
      <c r="BO719" s="124"/>
      <c r="BP719" s="124"/>
      <c r="BQ719" s="124"/>
      <c r="BR719" s="124"/>
      <c r="BS719" s="124"/>
      <c r="BT719" s="124"/>
      <c r="BU719" s="124"/>
      <c r="BV719" s="124"/>
      <c r="BW719" s="124"/>
      <c r="BX719" s="124"/>
      <c r="BY719" s="124"/>
      <c r="BZ719" s="124"/>
      <c r="CA719" s="124"/>
    </row>
    <row r="720">
      <c r="A720" s="141"/>
      <c r="B720" s="107"/>
      <c r="C720" s="107"/>
      <c r="D720" s="143"/>
      <c r="E720" s="129"/>
      <c r="F720" s="129"/>
      <c r="G720" s="129"/>
      <c r="H720" s="129"/>
      <c r="I720" s="129"/>
      <c r="J720" s="129"/>
      <c r="K720" s="129"/>
      <c r="L720" s="129"/>
      <c r="M720" s="129"/>
      <c r="N720" s="129"/>
      <c r="O720" s="129"/>
      <c r="P720" s="129"/>
      <c r="Q720" s="129"/>
      <c r="R720" s="129"/>
      <c r="S720" s="129"/>
      <c r="T720" s="129"/>
      <c r="U720" s="106"/>
      <c r="V720" s="106"/>
      <c r="W720" s="106"/>
      <c r="X720" s="106"/>
      <c r="Y720" s="106"/>
      <c r="Z720" s="129"/>
      <c r="AA720" s="129"/>
      <c r="AB720" s="129"/>
      <c r="AC720" s="129"/>
      <c r="AD720" s="129"/>
      <c r="AE720" s="129"/>
      <c r="AF720" s="129"/>
      <c r="AG720" s="117"/>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c r="BK720" s="124"/>
      <c r="BL720" s="124"/>
      <c r="BM720" s="124"/>
      <c r="BN720" s="124"/>
      <c r="BO720" s="124"/>
      <c r="BP720" s="124"/>
      <c r="BQ720" s="124"/>
      <c r="BR720" s="124"/>
      <c r="BS720" s="124"/>
      <c r="BT720" s="124"/>
      <c r="BU720" s="124"/>
      <c r="BV720" s="124"/>
      <c r="BW720" s="124"/>
      <c r="BX720" s="124"/>
      <c r="BY720" s="124"/>
      <c r="BZ720" s="124"/>
      <c r="CA720" s="124"/>
    </row>
    <row r="721">
      <c r="A721" s="141"/>
      <c r="B721" s="107"/>
      <c r="C721" s="107"/>
      <c r="D721" s="143"/>
      <c r="E721" s="129"/>
      <c r="F721" s="129"/>
      <c r="G721" s="129"/>
      <c r="H721" s="129"/>
      <c r="I721" s="129"/>
      <c r="J721" s="129"/>
      <c r="K721" s="129"/>
      <c r="L721" s="129"/>
      <c r="M721" s="129"/>
      <c r="N721" s="129"/>
      <c r="O721" s="129"/>
      <c r="P721" s="129"/>
      <c r="Q721" s="129"/>
      <c r="R721" s="129"/>
      <c r="S721" s="129"/>
      <c r="T721" s="129"/>
      <c r="U721" s="106"/>
      <c r="V721" s="106"/>
      <c r="W721" s="106"/>
      <c r="X721" s="106"/>
      <c r="Y721" s="106"/>
      <c r="Z721" s="129"/>
      <c r="AA721" s="129"/>
      <c r="AB721" s="129"/>
      <c r="AC721" s="129"/>
      <c r="AD721" s="129"/>
      <c r="AE721" s="129"/>
      <c r="AF721" s="129"/>
      <c r="AG721" s="117"/>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c r="BK721" s="124"/>
      <c r="BL721" s="124"/>
      <c r="BM721" s="124"/>
      <c r="BN721" s="124"/>
      <c r="BO721" s="124"/>
      <c r="BP721" s="124"/>
      <c r="BQ721" s="124"/>
      <c r="BR721" s="124"/>
      <c r="BS721" s="124"/>
      <c r="BT721" s="124"/>
      <c r="BU721" s="124"/>
      <c r="BV721" s="124"/>
      <c r="BW721" s="124"/>
      <c r="BX721" s="124"/>
      <c r="BY721" s="124"/>
      <c r="BZ721" s="124"/>
      <c r="CA721" s="124"/>
    </row>
    <row r="722">
      <c r="A722" s="141"/>
      <c r="B722" s="107"/>
      <c r="C722" s="107"/>
      <c r="D722" s="143"/>
      <c r="E722" s="129"/>
      <c r="F722" s="129"/>
      <c r="G722" s="129"/>
      <c r="H722" s="129"/>
      <c r="I722" s="129"/>
      <c r="J722" s="129"/>
      <c r="K722" s="129"/>
      <c r="L722" s="129"/>
      <c r="M722" s="129"/>
      <c r="N722" s="129"/>
      <c r="O722" s="129"/>
      <c r="P722" s="129"/>
      <c r="Q722" s="129"/>
      <c r="R722" s="129"/>
      <c r="S722" s="129"/>
      <c r="T722" s="129"/>
      <c r="U722" s="106"/>
      <c r="V722" s="106"/>
      <c r="W722" s="106"/>
      <c r="X722" s="106"/>
      <c r="Y722" s="106"/>
      <c r="Z722" s="129"/>
      <c r="AA722" s="129"/>
      <c r="AB722" s="129"/>
      <c r="AC722" s="129"/>
      <c r="AD722" s="129"/>
      <c r="AE722" s="129"/>
      <c r="AF722" s="129"/>
      <c r="AG722" s="117"/>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c r="BK722" s="124"/>
      <c r="BL722" s="124"/>
      <c r="BM722" s="124"/>
      <c r="BN722" s="124"/>
      <c r="BO722" s="124"/>
      <c r="BP722" s="124"/>
      <c r="BQ722" s="124"/>
      <c r="BR722" s="124"/>
      <c r="BS722" s="124"/>
      <c r="BT722" s="124"/>
      <c r="BU722" s="124"/>
      <c r="BV722" s="124"/>
      <c r="BW722" s="124"/>
      <c r="BX722" s="124"/>
      <c r="BY722" s="124"/>
      <c r="BZ722" s="124"/>
      <c r="CA722" s="124"/>
    </row>
    <row r="723">
      <c r="A723" s="141"/>
      <c r="B723" s="107"/>
      <c r="C723" s="107"/>
      <c r="D723" s="143"/>
      <c r="E723" s="129"/>
      <c r="F723" s="129"/>
      <c r="G723" s="129"/>
      <c r="H723" s="129"/>
      <c r="I723" s="129"/>
      <c r="J723" s="129"/>
      <c r="K723" s="129"/>
      <c r="L723" s="129"/>
      <c r="M723" s="129"/>
      <c r="N723" s="129"/>
      <c r="O723" s="129"/>
      <c r="P723" s="129"/>
      <c r="Q723" s="129"/>
      <c r="R723" s="129"/>
      <c r="S723" s="129"/>
      <c r="T723" s="129"/>
      <c r="U723" s="106"/>
      <c r="V723" s="106"/>
      <c r="W723" s="106"/>
      <c r="X723" s="106"/>
      <c r="Y723" s="106"/>
      <c r="Z723" s="129"/>
      <c r="AA723" s="129"/>
      <c r="AB723" s="129"/>
      <c r="AC723" s="129"/>
      <c r="AD723" s="129"/>
      <c r="AE723" s="129"/>
      <c r="AF723" s="129"/>
      <c r="AG723" s="117"/>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c r="BK723" s="124"/>
      <c r="BL723" s="124"/>
      <c r="BM723" s="124"/>
      <c r="BN723" s="124"/>
      <c r="BO723" s="124"/>
      <c r="BP723" s="124"/>
      <c r="BQ723" s="124"/>
      <c r="BR723" s="124"/>
      <c r="BS723" s="124"/>
      <c r="BT723" s="124"/>
      <c r="BU723" s="124"/>
      <c r="BV723" s="124"/>
      <c r="BW723" s="124"/>
      <c r="BX723" s="124"/>
      <c r="BY723" s="124"/>
      <c r="BZ723" s="124"/>
      <c r="CA723" s="124"/>
    </row>
    <row r="724">
      <c r="A724" s="141"/>
      <c r="B724" s="107"/>
      <c r="C724" s="107"/>
      <c r="D724" s="143"/>
      <c r="E724" s="129"/>
      <c r="F724" s="129"/>
      <c r="G724" s="129"/>
      <c r="H724" s="129"/>
      <c r="I724" s="129"/>
      <c r="J724" s="129"/>
      <c r="K724" s="129"/>
      <c r="L724" s="129"/>
      <c r="M724" s="129"/>
      <c r="N724" s="129"/>
      <c r="O724" s="129"/>
      <c r="P724" s="129"/>
      <c r="Q724" s="129"/>
      <c r="R724" s="129"/>
      <c r="S724" s="129"/>
      <c r="T724" s="129"/>
      <c r="U724" s="106"/>
      <c r="V724" s="106"/>
      <c r="W724" s="106"/>
      <c r="X724" s="106"/>
      <c r="Y724" s="106"/>
      <c r="Z724" s="129"/>
      <c r="AA724" s="129"/>
      <c r="AB724" s="129"/>
      <c r="AC724" s="129"/>
      <c r="AD724" s="129"/>
      <c r="AE724" s="129"/>
      <c r="AF724" s="129"/>
      <c r="AG724" s="117"/>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c r="BK724" s="124"/>
      <c r="BL724" s="124"/>
      <c r="BM724" s="124"/>
      <c r="BN724" s="124"/>
      <c r="BO724" s="124"/>
      <c r="BP724" s="124"/>
      <c r="BQ724" s="124"/>
      <c r="BR724" s="124"/>
      <c r="BS724" s="124"/>
      <c r="BT724" s="124"/>
      <c r="BU724" s="124"/>
      <c r="BV724" s="124"/>
      <c r="BW724" s="124"/>
      <c r="BX724" s="124"/>
      <c r="BY724" s="124"/>
      <c r="BZ724" s="124"/>
      <c r="CA724" s="124"/>
    </row>
    <row r="725">
      <c r="A725" s="141"/>
      <c r="B725" s="107"/>
      <c r="C725" s="107"/>
      <c r="D725" s="143"/>
      <c r="E725" s="129"/>
      <c r="F725" s="129"/>
      <c r="G725" s="129"/>
      <c r="H725" s="129"/>
      <c r="I725" s="129"/>
      <c r="J725" s="129"/>
      <c r="K725" s="129"/>
      <c r="L725" s="129"/>
      <c r="M725" s="129"/>
      <c r="N725" s="129"/>
      <c r="O725" s="129"/>
      <c r="P725" s="129"/>
      <c r="Q725" s="129"/>
      <c r="R725" s="129"/>
      <c r="S725" s="129"/>
      <c r="T725" s="129"/>
      <c r="U725" s="106"/>
      <c r="V725" s="106"/>
      <c r="W725" s="106"/>
      <c r="X725" s="106"/>
      <c r="Y725" s="106"/>
      <c r="Z725" s="129"/>
      <c r="AA725" s="129"/>
      <c r="AB725" s="129"/>
      <c r="AC725" s="129"/>
      <c r="AD725" s="129"/>
      <c r="AE725" s="129"/>
      <c r="AF725" s="129"/>
      <c r="AG725" s="117"/>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c r="BK725" s="124"/>
      <c r="BL725" s="124"/>
      <c r="BM725" s="124"/>
      <c r="BN725" s="124"/>
      <c r="BO725" s="124"/>
      <c r="BP725" s="124"/>
      <c r="BQ725" s="124"/>
      <c r="BR725" s="124"/>
      <c r="BS725" s="124"/>
      <c r="BT725" s="124"/>
      <c r="BU725" s="124"/>
      <c r="BV725" s="124"/>
      <c r="BW725" s="124"/>
      <c r="BX725" s="124"/>
      <c r="BY725" s="124"/>
      <c r="BZ725" s="124"/>
      <c r="CA725" s="124"/>
    </row>
    <row r="726">
      <c r="A726" s="141"/>
      <c r="B726" s="107"/>
      <c r="C726" s="107"/>
      <c r="D726" s="143"/>
      <c r="E726" s="129"/>
      <c r="F726" s="129"/>
      <c r="G726" s="129"/>
      <c r="H726" s="129"/>
      <c r="I726" s="129"/>
      <c r="J726" s="129"/>
      <c r="K726" s="129"/>
      <c r="L726" s="129"/>
      <c r="M726" s="129"/>
      <c r="N726" s="129"/>
      <c r="O726" s="129"/>
      <c r="P726" s="129"/>
      <c r="Q726" s="129"/>
      <c r="R726" s="129"/>
      <c r="S726" s="129"/>
      <c r="T726" s="129"/>
      <c r="U726" s="106"/>
      <c r="V726" s="106"/>
      <c r="W726" s="106"/>
      <c r="X726" s="106"/>
      <c r="Y726" s="106"/>
      <c r="Z726" s="129"/>
      <c r="AA726" s="129"/>
      <c r="AB726" s="129"/>
      <c r="AC726" s="129"/>
      <c r="AD726" s="129"/>
      <c r="AE726" s="129"/>
      <c r="AF726" s="129"/>
      <c r="AG726" s="117"/>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c r="BK726" s="124"/>
      <c r="BL726" s="124"/>
      <c r="BM726" s="124"/>
      <c r="BN726" s="124"/>
      <c r="BO726" s="124"/>
      <c r="BP726" s="124"/>
      <c r="BQ726" s="124"/>
      <c r="BR726" s="124"/>
      <c r="BS726" s="124"/>
      <c r="BT726" s="124"/>
      <c r="BU726" s="124"/>
      <c r="BV726" s="124"/>
      <c r="BW726" s="124"/>
      <c r="BX726" s="124"/>
      <c r="BY726" s="124"/>
      <c r="BZ726" s="124"/>
      <c r="CA726" s="124"/>
    </row>
    <row r="727">
      <c r="A727" s="141"/>
      <c r="B727" s="107"/>
      <c r="C727" s="107"/>
      <c r="D727" s="143"/>
      <c r="E727" s="129"/>
      <c r="F727" s="129"/>
      <c r="G727" s="129"/>
      <c r="H727" s="129"/>
      <c r="I727" s="129"/>
      <c r="J727" s="129"/>
      <c r="K727" s="129"/>
      <c r="L727" s="129"/>
      <c r="M727" s="129"/>
      <c r="N727" s="129"/>
      <c r="O727" s="129"/>
      <c r="P727" s="129"/>
      <c r="Q727" s="129"/>
      <c r="R727" s="129"/>
      <c r="S727" s="129"/>
      <c r="T727" s="129"/>
      <c r="U727" s="106"/>
      <c r="V727" s="106"/>
      <c r="W727" s="106"/>
      <c r="X727" s="106"/>
      <c r="Y727" s="106"/>
      <c r="Z727" s="129"/>
      <c r="AA727" s="129"/>
      <c r="AB727" s="129"/>
      <c r="AC727" s="129"/>
      <c r="AD727" s="129"/>
      <c r="AE727" s="129"/>
      <c r="AF727" s="129"/>
      <c r="AG727" s="117"/>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c r="BK727" s="124"/>
      <c r="BL727" s="124"/>
      <c r="BM727" s="124"/>
      <c r="BN727" s="124"/>
      <c r="BO727" s="124"/>
      <c r="BP727" s="124"/>
      <c r="BQ727" s="124"/>
      <c r="BR727" s="124"/>
      <c r="BS727" s="124"/>
      <c r="BT727" s="124"/>
      <c r="BU727" s="124"/>
      <c r="BV727" s="124"/>
      <c r="BW727" s="124"/>
      <c r="BX727" s="124"/>
      <c r="BY727" s="124"/>
      <c r="BZ727" s="124"/>
      <c r="CA727" s="124"/>
    </row>
    <row r="728">
      <c r="A728" s="141"/>
      <c r="B728" s="107"/>
      <c r="C728" s="107"/>
      <c r="D728" s="143"/>
      <c r="E728" s="129"/>
      <c r="F728" s="129"/>
      <c r="G728" s="129"/>
      <c r="H728" s="129"/>
      <c r="I728" s="129"/>
      <c r="J728" s="129"/>
      <c r="K728" s="129"/>
      <c r="L728" s="129"/>
      <c r="M728" s="129"/>
      <c r="N728" s="129"/>
      <c r="O728" s="129"/>
      <c r="P728" s="129"/>
      <c r="Q728" s="129"/>
      <c r="R728" s="129"/>
      <c r="S728" s="129"/>
      <c r="T728" s="129"/>
      <c r="U728" s="106"/>
      <c r="V728" s="106"/>
      <c r="W728" s="106"/>
      <c r="X728" s="106"/>
      <c r="Y728" s="106"/>
      <c r="Z728" s="129"/>
      <c r="AA728" s="129"/>
      <c r="AB728" s="129"/>
      <c r="AC728" s="129"/>
      <c r="AD728" s="129"/>
      <c r="AE728" s="129"/>
      <c r="AF728" s="129"/>
      <c r="AG728" s="117"/>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c r="BK728" s="124"/>
      <c r="BL728" s="124"/>
      <c r="BM728" s="124"/>
      <c r="BN728" s="124"/>
      <c r="BO728" s="124"/>
      <c r="BP728" s="124"/>
      <c r="BQ728" s="124"/>
      <c r="BR728" s="124"/>
      <c r="BS728" s="124"/>
      <c r="BT728" s="124"/>
      <c r="BU728" s="124"/>
      <c r="BV728" s="124"/>
      <c r="BW728" s="124"/>
      <c r="BX728" s="124"/>
      <c r="BY728" s="124"/>
      <c r="BZ728" s="124"/>
      <c r="CA728" s="124"/>
    </row>
    <row r="729">
      <c r="A729" s="141"/>
      <c r="B729" s="107"/>
      <c r="C729" s="107"/>
      <c r="D729" s="143"/>
      <c r="E729" s="129"/>
      <c r="F729" s="129"/>
      <c r="G729" s="129"/>
      <c r="H729" s="129"/>
      <c r="I729" s="129"/>
      <c r="J729" s="129"/>
      <c r="K729" s="129"/>
      <c r="L729" s="129"/>
      <c r="M729" s="129"/>
      <c r="N729" s="129"/>
      <c r="O729" s="129"/>
      <c r="P729" s="129"/>
      <c r="Q729" s="129"/>
      <c r="R729" s="129"/>
      <c r="S729" s="129"/>
      <c r="T729" s="129"/>
      <c r="U729" s="106"/>
      <c r="V729" s="106"/>
      <c r="W729" s="106"/>
      <c r="X729" s="106"/>
      <c r="Y729" s="106"/>
      <c r="Z729" s="129"/>
      <c r="AA729" s="129"/>
      <c r="AB729" s="129"/>
      <c r="AC729" s="129"/>
      <c r="AD729" s="129"/>
      <c r="AE729" s="129"/>
      <c r="AF729" s="129"/>
      <c r="AG729" s="117"/>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c r="BK729" s="124"/>
      <c r="BL729" s="124"/>
      <c r="BM729" s="124"/>
      <c r="BN729" s="124"/>
      <c r="BO729" s="124"/>
      <c r="BP729" s="124"/>
      <c r="BQ729" s="124"/>
      <c r="BR729" s="124"/>
      <c r="BS729" s="124"/>
      <c r="BT729" s="124"/>
      <c r="BU729" s="124"/>
      <c r="BV729" s="124"/>
      <c r="BW729" s="124"/>
      <c r="BX729" s="124"/>
      <c r="BY729" s="124"/>
      <c r="BZ729" s="124"/>
      <c r="CA729" s="124"/>
    </row>
    <row r="730">
      <c r="A730" s="141"/>
      <c r="B730" s="107"/>
      <c r="C730" s="107"/>
      <c r="D730" s="143"/>
      <c r="E730" s="129"/>
      <c r="F730" s="129"/>
      <c r="G730" s="129"/>
      <c r="H730" s="129"/>
      <c r="I730" s="129"/>
      <c r="J730" s="129"/>
      <c r="K730" s="129"/>
      <c r="L730" s="129"/>
      <c r="M730" s="129"/>
      <c r="N730" s="129"/>
      <c r="O730" s="129"/>
      <c r="P730" s="129"/>
      <c r="Q730" s="129"/>
      <c r="R730" s="129"/>
      <c r="S730" s="129"/>
      <c r="T730" s="129"/>
      <c r="U730" s="106"/>
      <c r="V730" s="106"/>
      <c r="W730" s="106"/>
      <c r="X730" s="106"/>
      <c r="Y730" s="106"/>
      <c r="Z730" s="129"/>
      <c r="AA730" s="129"/>
      <c r="AB730" s="129"/>
      <c r="AC730" s="129"/>
      <c r="AD730" s="129"/>
      <c r="AE730" s="129"/>
      <c r="AF730" s="129"/>
      <c r="AG730" s="117"/>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c r="BK730" s="124"/>
      <c r="BL730" s="124"/>
      <c r="BM730" s="124"/>
      <c r="BN730" s="124"/>
      <c r="BO730" s="124"/>
      <c r="BP730" s="124"/>
      <c r="BQ730" s="124"/>
      <c r="BR730" s="124"/>
      <c r="BS730" s="124"/>
      <c r="BT730" s="124"/>
      <c r="BU730" s="124"/>
      <c r="BV730" s="124"/>
      <c r="BW730" s="124"/>
      <c r="BX730" s="124"/>
      <c r="BY730" s="124"/>
      <c r="BZ730" s="124"/>
      <c r="CA730" s="124"/>
    </row>
    <row r="731">
      <c r="A731" s="141"/>
      <c r="B731" s="107"/>
      <c r="C731" s="107"/>
      <c r="D731" s="143"/>
      <c r="E731" s="129"/>
      <c r="F731" s="129"/>
      <c r="G731" s="129"/>
      <c r="H731" s="129"/>
      <c r="I731" s="129"/>
      <c r="J731" s="129"/>
      <c r="K731" s="129"/>
      <c r="L731" s="129"/>
      <c r="M731" s="129"/>
      <c r="N731" s="129"/>
      <c r="O731" s="129"/>
      <c r="P731" s="129"/>
      <c r="Q731" s="129"/>
      <c r="R731" s="129"/>
      <c r="S731" s="129"/>
      <c r="T731" s="129"/>
      <c r="U731" s="106"/>
      <c r="V731" s="106"/>
      <c r="W731" s="106"/>
      <c r="X731" s="106"/>
      <c r="Y731" s="106"/>
      <c r="Z731" s="129"/>
      <c r="AA731" s="129"/>
      <c r="AB731" s="129"/>
      <c r="AC731" s="129"/>
      <c r="AD731" s="129"/>
      <c r="AE731" s="129"/>
      <c r="AF731" s="129"/>
      <c r="AG731" s="117"/>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c r="BK731" s="124"/>
      <c r="BL731" s="124"/>
      <c r="BM731" s="124"/>
      <c r="BN731" s="124"/>
      <c r="BO731" s="124"/>
      <c r="BP731" s="124"/>
      <c r="BQ731" s="124"/>
      <c r="BR731" s="124"/>
      <c r="BS731" s="124"/>
      <c r="BT731" s="124"/>
      <c r="BU731" s="124"/>
      <c r="BV731" s="124"/>
      <c r="BW731" s="124"/>
      <c r="BX731" s="124"/>
      <c r="BY731" s="124"/>
      <c r="BZ731" s="124"/>
      <c r="CA731" s="124"/>
    </row>
    <row r="732">
      <c r="A732" s="141"/>
      <c r="B732" s="107"/>
      <c r="C732" s="107"/>
      <c r="D732" s="143"/>
      <c r="E732" s="129"/>
      <c r="F732" s="129"/>
      <c r="G732" s="129"/>
      <c r="H732" s="129"/>
      <c r="I732" s="129"/>
      <c r="J732" s="129"/>
      <c r="K732" s="129"/>
      <c r="L732" s="129"/>
      <c r="M732" s="129"/>
      <c r="N732" s="129"/>
      <c r="O732" s="129"/>
      <c r="P732" s="129"/>
      <c r="Q732" s="129"/>
      <c r="R732" s="129"/>
      <c r="S732" s="129"/>
      <c r="T732" s="129"/>
      <c r="U732" s="106"/>
      <c r="V732" s="106"/>
      <c r="W732" s="106"/>
      <c r="X732" s="106"/>
      <c r="Y732" s="106"/>
      <c r="Z732" s="129"/>
      <c r="AA732" s="129"/>
      <c r="AB732" s="129"/>
      <c r="AC732" s="129"/>
      <c r="AD732" s="129"/>
      <c r="AE732" s="129"/>
      <c r="AF732" s="129"/>
      <c r="AG732" s="117"/>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c r="BK732" s="124"/>
      <c r="BL732" s="124"/>
      <c r="BM732" s="124"/>
      <c r="BN732" s="124"/>
      <c r="BO732" s="124"/>
      <c r="BP732" s="124"/>
      <c r="BQ732" s="124"/>
      <c r="BR732" s="124"/>
      <c r="BS732" s="124"/>
      <c r="BT732" s="124"/>
      <c r="BU732" s="124"/>
      <c r="BV732" s="124"/>
      <c r="BW732" s="124"/>
      <c r="BX732" s="124"/>
      <c r="BY732" s="124"/>
      <c r="BZ732" s="124"/>
      <c r="CA732" s="124"/>
    </row>
    <row r="733">
      <c r="A733" s="141"/>
      <c r="B733" s="107"/>
      <c r="C733" s="107"/>
      <c r="D733" s="143"/>
      <c r="E733" s="129"/>
      <c r="F733" s="129"/>
      <c r="G733" s="129"/>
      <c r="H733" s="129"/>
      <c r="I733" s="129"/>
      <c r="J733" s="129"/>
      <c r="K733" s="129"/>
      <c r="L733" s="129"/>
      <c r="M733" s="129"/>
      <c r="N733" s="129"/>
      <c r="O733" s="129"/>
      <c r="P733" s="129"/>
      <c r="Q733" s="129"/>
      <c r="R733" s="129"/>
      <c r="S733" s="129"/>
      <c r="T733" s="129"/>
      <c r="U733" s="106"/>
      <c r="V733" s="106"/>
      <c r="W733" s="106"/>
      <c r="X733" s="106"/>
      <c r="Y733" s="106"/>
      <c r="Z733" s="129"/>
      <c r="AA733" s="129"/>
      <c r="AB733" s="129"/>
      <c r="AC733" s="129"/>
      <c r="AD733" s="129"/>
      <c r="AE733" s="129"/>
      <c r="AF733" s="129"/>
      <c r="AG733" s="117"/>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c r="BK733" s="124"/>
      <c r="BL733" s="124"/>
      <c r="BM733" s="124"/>
      <c r="BN733" s="124"/>
      <c r="BO733" s="124"/>
      <c r="BP733" s="124"/>
      <c r="BQ733" s="124"/>
      <c r="BR733" s="124"/>
      <c r="BS733" s="124"/>
      <c r="BT733" s="124"/>
      <c r="BU733" s="124"/>
      <c r="BV733" s="124"/>
      <c r="BW733" s="124"/>
      <c r="BX733" s="124"/>
      <c r="BY733" s="124"/>
      <c r="BZ733" s="124"/>
      <c r="CA733" s="124"/>
    </row>
    <row r="734">
      <c r="A734" s="141"/>
      <c r="B734" s="107"/>
      <c r="C734" s="107"/>
      <c r="D734" s="143"/>
      <c r="E734" s="129"/>
      <c r="F734" s="129"/>
      <c r="G734" s="129"/>
      <c r="H734" s="129"/>
      <c r="I734" s="129"/>
      <c r="J734" s="129"/>
      <c r="K734" s="129"/>
      <c r="L734" s="129"/>
      <c r="M734" s="129"/>
      <c r="N734" s="129"/>
      <c r="O734" s="129"/>
      <c r="P734" s="129"/>
      <c r="Q734" s="129"/>
      <c r="R734" s="129"/>
      <c r="S734" s="129"/>
      <c r="T734" s="129"/>
      <c r="U734" s="106"/>
      <c r="V734" s="106"/>
      <c r="W734" s="106"/>
      <c r="X734" s="106"/>
      <c r="Y734" s="106"/>
      <c r="Z734" s="129"/>
      <c r="AA734" s="129"/>
      <c r="AB734" s="129"/>
      <c r="AC734" s="129"/>
      <c r="AD734" s="129"/>
      <c r="AE734" s="129"/>
      <c r="AF734" s="129"/>
      <c r="AG734" s="117"/>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c r="BK734" s="124"/>
      <c r="BL734" s="124"/>
      <c r="BM734" s="124"/>
      <c r="BN734" s="124"/>
      <c r="BO734" s="124"/>
      <c r="BP734" s="124"/>
      <c r="BQ734" s="124"/>
      <c r="BR734" s="124"/>
      <c r="BS734" s="124"/>
      <c r="BT734" s="124"/>
      <c r="BU734" s="124"/>
      <c r="BV734" s="124"/>
      <c r="BW734" s="124"/>
      <c r="BX734" s="124"/>
      <c r="BY734" s="124"/>
      <c r="BZ734" s="124"/>
      <c r="CA734" s="124"/>
    </row>
    <row r="735">
      <c r="A735" s="141"/>
      <c r="B735" s="107"/>
      <c r="C735" s="107"/>
      <c r="D735" s="143"/>
      <c r="E735" s="129"/>
      <c r="F735" s="129"/>
      <c r="G735" s="129"/>
      <c r="H735" s="129"/>
      <c r="I735" s="129"/>
      <c r="J735" s="129"/>
      <c r="K735" s="129"/>
      <c r="L735" s="129"/>
      <c r="M735" s="129"/>
      <c r="N735" s="129"/>
      <c r="O735" s="129"/>
      <c r="P735" s="129"/>
      <c r="Q735" s="129"/>
      <c r="R735" s="129"/>
      <c r="S735" s="129"/>
      <c r="T735" s="129"/>
      <c r="U735" s="106"/>
      <c r="V735" s="106"/>
      <c r="W735" s="106"/>
      <c r="X735" s="106"/>
      <c r="Y735" s="106"/>
      <c r="Z735" s="129"/>
      <c r="AA735" s="129"/>
      <c r="AB735" s="129"/>
      <c r="AC735" s="129"/>
      <c r="AD735" s="129"/>
      <c r="AE735" s="129"/>
      <c r="AF735" s="129"/>
      <c r="AG735" s="117"/>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c r="BK735" s="124"/>
      <c r="BL735" s="124"/>
      <c r="BM735" s="124"/>
      <c r="BN735" s="124"/>
      <c r="BO735" s="124"/>
      <c r="BP735" s="124"/>
      <c r="BQ735" s="124"/>
      <c r="BR735" s="124"/>
      <c r="BS735" s="124"/>
      <c r="BT735" s="124"/>
      <c r="BU735" s="124"/>
      <c r="BV735" s="124"/>
      <c r="BW735" s="124"/>
      <c r="BX735" s="124"/>
      <c r="BY735" s="124"/>
      <c r="BZ735" s="124"/>
      <c r="CA735" s="124"/>
    </row>
    <row r="736">
      <c r="A736" s="141"/>
      <c r="B736" s="107"/>
      <c r="C736" s="107"/>
      <c r="D736" s="143"/>
      <c r="E736" s="129"/>
      <c r="F736" s="129"/>
      <c r="G736" s="129"/>
      <c r="H736" s="129"/>
      <c r="I736" s="129"/>
      <c r="J736" s="129"/>
      <c r="K736" s="129"/>
      <c r="L736" s="129"/>
      <c r="M736" s="129"/>
      <c r="N736" s="129"/>
      <c r="O736" s="129"/>
      <c r="P736" s="129"/>
      <c r="Q736" s="129"/>
      <c r="R736" s="129"/>
      <c r="S736" s="129"/>
      <c r="T736" s="129"/>
      <c r="U736" s="106"/>
      <c r="V736" s="106"/>
      <c r="W736" s="106"/>
      <c r="X736" s="106"/>
      <c r="Y736" s="106"/>
      <c r="Z736" s="129"/>
      <c r="AA736" s="129"/>
      <c r="AB736" s="129"/>
      <c r="AC736" s="129"/>
      <c r="AD736" s="129"/>
      <c r="AE736" s="129"/>
      <c r="AF736" s="129"/>
      <c r="AG736" s="117"/>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c r="BK736" s="124"/>
      <c r="BL736" s="124"/>
      <c r="BM736" s="124"/>
      <c r="BN736" s="124"/>
      <c r="BO736" s="124"/>
      <c r="BP736" s="124"/>
      <c r="BQ736" s="124"/>
      <c r="BR736" s="124"/>
      <c r="BS736" s="124"/>
      <c r="BT736" s="124"/>
      <c r="BU736" s="124"/>
      <c r="BV736" s="124"/>
      <c r="BW736" s="124"/>
      <c r="BX736" s="124"/>
      <c r="BY736" s="124"/>
      <c r="BZ736" s="124"/>
      <c r="CA736" s="124"/>
    </row>
    <row r="737">
      <c r="A737" s="141"/>
      <c r="B737" s="107"/>
      <c r="C737" s="107"/>
      <c r="D737" s="143"/>
      <c r="E737" s="129"/>
      <c r="F737" s="129"/>
      <c r="G737" s="129"/>
      <c r="H737" s="129"/>
      <c r="I737" s="129"/>
      <c r="J737" s="129"/>
      <c r="K737" s="129"/>
      <c r="L737" s="129"/>
      <c r="M737" s="129"/>
      <c r="N737" s="129"/>
      <c r="O737" s="129"/>
      <c r="P737" s="129"/>
      <c r="Q737" s="129"/>
      <c r="R737" s="129"/>
      <c r="S737" s="129"/>
      <c r="T737" s="129"/>
      <c r="U737" s="106"/>
      <c r="V737" s="106"/>
      <c r="W737" s="106"/>
      <c r="X737" s="106"/>
      <c r="Y737" s="106"/>
      <c r="Z737" s="129"/>
      <c r="AA737" s="129"/>
      <c r="AB737" s="129"/>
      <c r="AC737" s="129"/>
      <c r="AD737" s="129"/>
      <c r="AE737" s="129"/>
      <c r="AF737" s="129"/>
      <c r="AG737" s="117"/>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c r="BK737" s="124"/>
      <c r="BL737" s="124"/>
      <c r="BM737" s="124"/>
      <c r="BN737" s="124"/>
      <c r="BO737" s="124"/>
      <c r="BP737" s="124"/>
      <c r="BQ737" s="124"/>
      <c r="BR737" s="124"/>
      <c r="BS737" s="124"/>
      <c r="BT737" s="124"/>
      <c r="BU737" s="124"/>
      <c r="BV737" s="124"/>
      <c r="BW737" s="124"/>
      <c r="BX737" s="124"/>
      <c r="BY737" s="124"/>
      <c r="BZ737" s="124"/>
      <c r="CA737" s="124"/>
    </row>
    <row r="738">
      <c r="A738" s="141"/>
      <c r="B738" s="107"/>
      <c r="C738" s="107"/>
      <c r="D738" s="143"/>
      <c r="E738" s="129"/>
      <c r="F738" s="129"/>
      <c r="G738" s="129"/>
      <c r="H738" s="129"/>
      <c r="I738" s="129"/>
      <c r="J738" s="129"/>
      <c r="K738" s="129"/>
      <c r="L738" s="129"/>
      <c r="M738" s="129"/>
      <c r="N738" s="129"/>
      <c r="O738" s="129"/>
      <c r="P738" s="129"/>
      <c r="Q738" s="129"/>
      <c r="R738" s="129"/>
      <c r="S738" s="129"/>
      <c r="T738" s="129"/>
      <c r="U738" s="106"/>
      <c r="V738" s="106"/>
      <c r="W738" s="106"/>
      <c r="X738" s="106"/>
      <c r="Y738" s="106"/>
      <c r="Z738" s="129"/>
      <c r="AA738" s="129"/>
      <c r="AB738" s="129"/>
      <c r="AC738" s="129"/>
      <c r="AD738" s="129"/>
      <c r="AE738" s="129"/>
      <c r="AF738" s="129"/>
      <c r="AG738" s="117"/>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c r="BK738" s="124"/>
      <c r="BL738" s="124"/>
      <c r="BM738" s="124"/>
      <c r="BN738" s="124"/>
      <c r="BO738" s="124"/>
      <c r="BP738" s="124"/>
      <c r="BQ738" s="124"/>
      <c r="BR738" s="124"/>
      <c r="BS738" s="124"/>
      <c r="BT738" s="124"/>
      <c r="BU738" s="124"/>
      <c r="BV738" s="124"/>
      <c r="BW738" s="124"/>
      <c r="BX738" s="124"/>
      <c r="BY738" s="124"/>
      <c r="BZ738" s="124"/>
      <c r="CA738" s="124"/>
    </row>
    <row r="739">
      <c r="A739" s="141"/>
      <c r="B739" s="107"/>
      <c r="C739" s="107"/>
      <c r="D739" s="143"/>
      <c r="E739" s="129"/>
      <c r="F739" s="129"/>
      <c r="G739" s="129"/>
      <c r="H739" s="129"/>
      <c r="I739" s="129"/>
      <c r="J739" s="129"/>
      <c r="K739" s="129"/>
      <c r="L739" s="129"/>
      <c r="M739" s="129"/>
      <c r="N739" s="129"/>
      <c r="O739" s="129"/>
      <c r="P739" s="129"/>
      <c r="Q739" s="129"/>
      <c r="R739" s="129"/>
      <c r="S739" s="129"/>
      <c r="T739" s="129"/>
      <c r="U739" s="106"/>
      <c r="V739" s="106"/>
      <c r="W739" s="106"/>
      <c r="X739" s="106"/>
      <c r="Y739" s="106"/>
      <c r="Z739" s="129"/>
      <c r="AA739" s="129"/>
      <c r="AB739" s="129"/>
      <c r="AC739" s="129"/>
      <c r="AD739" s="129"/>
      <c r="AE739" s="129"/>
      <c r="AF739" s="129"/>
      <c r="AG739" s="117"/>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c r="BK739" s="124"/>
      <c r="BL739" s="124"/>
      <c r="BM739" s="124"/>
      <c r="BN739" s="124"/>
      <c r="BO739" s="124"/>
      <c r="BP739" s="124"/>
      <c r="BQ739" s="124"/>
      <c r="BR739" s="124"/>
      <c r="BS739" s="124"/>
      <c r="BT739" s="124"/>
      <c r="BU739" s="124"/>
      <c r="BV739" s="124"/>
      <c r="BW739" s="124"/>
      <c r="BX739" s="124"/>
      <c r="BY739" s="124"/>
      <c r="BZ739" s="124"/>
      <c r="CA739" s="124"/>
    </row>
    <row r="740">
      <c r="A740" s="141"/>
      <c r="B740" s="107"/>
      <c r="C740" s="107"/>
      <c r="D740" s="143"/>
      <c r="E740" s="129"/>
      <c r="F740" s="129"/>
      <c r="G740" s="129"/>
      <c r="H740" s="129"/>
      <c r="I740" s="129"/>
      <c r="J740" s="129"/>
      <c r="K740" s="129"/>
      <c r="L740" s="129"/>
      <c r="M740" s="129"/>
      <c r="N740" s="129"/>
      <c r="O740" s="129"/>
      <c r="P740" s="129"/>
      <c r="Q740" s="129"/>
      <c r="R740" s="129"/>
      <c r="S740" s="129"/>
      <c r="T740" s="129"/>
      <c r="U740" s="106"/>
      <c r="V740" s="106"/>
      <c r="W740" s="106"/>
      <c r="X740" s="106"/>
      <c r="Y740" s="106"/>
      <c r="Z740" s="129"/>
      <c r="AA740" s="129"/>
      <c r="AB740" s="129"/>
      <c r="AC740" s="129"/>
      <c r="AD740" s="129"/>
      <c r="AE740" s="129"/>
      <c r="AF740" s="129"/>
      <c r="AG740" s="117"/>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c r="BK740" s="124"/>
      <c r="BL740" s="124"/>
      <c r="BM740" s="124"/>
      <c r="BN740" s="124"/>
      <c r="BO740" s="124"/>
      <c r="BP740" s="124"/>
      <c r="BQ740" s="124"/>
      <c r="BR740" s="124"/>
      <c r="BS740" s="124"/>
      <c r="BT740" s="124"/>
      <c r="BU740" s="124"/>
      <c r="BV740" s="124"/>
      <c r="BW740" s="124"/>
      <c r="BX740" s="124"/>
      <c r="BY740" s="124"/>
      <c r="BZ740" s="124"/>
      <c r="CA740" s="124"/>
    </row>
    <row r="741">
      <c r="A741" s="141"/>
      <c r="B741" s="107"/>
      <c r="C741" s="107"/>
      <c r="D741" s="143"/>
      <c r="E741" s="129"/>
      <c r="F741" s="129"/>
      <c r="G741" s="129"/>
      <c r="H741" s="129"/>
      <c r="I741" s="129"/>
      <c r="J741" s="129"/>
      <c r="K741" s="129"/>
      <c r="L741" s="129"/>
      <c r="M741" s="129"/>
      <c r="N741" s="129"/>
      <c r="O741" s="129"/>
      <c r="P741" s="129"/>
      <c r="Q741" s="129"/>
      <c r="R741" s="129"/>
      <c r="S741" s="129"/>
      <c r="T741" s="129"/>
      <c r="U741" s="106"/>
      <c r="V741" s="106"/>
      <c r="W741" s="106"/>
      <c r="X741" s="106"/>
      <c r="Y741" s="106"/>
      <c r="Z741" s="129"/>
      <c r="AA741" s="129"/>
      <c r="AB741" s="129"/>
      <c r="AC741" s="129"/>
      <c r="AD741" s="129"/>
      <c r="AE741" s="129"/>
      <c r="AF741" s="129"/>
      <c r="AG741" s="117"/>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c r="BK741" s="124"/>
      <c r="BL741" s="124"/>
      <c r="BM741" s="124"/>
      <c r="BN741" s="124"/>
      <c r="BO741" s="124"/>
      <c r="BP741" s="124"/>
      <c r="BQ741" s="124"/>
      <c r="BR741" s="124"/>
      <c r="BS741" s="124"/>
      <c r="BT741" s="124"/>
      <c r="BU741" s="124"/>
      <c r="BV741" s="124"/>
      <c r="BW741" s="124"/>
      <c r="BX741" s="124"/>
      <c r="BY741" s="124"/>
      <c r="BZ741" s="124"/>
      <c r="CA741" s="124"/>
    </row>
    <row r="742">
      <c r="A742" s="141"/>
      <c r="B742" s="107"/>
      <c r="C742" s="107"/>
      <c r="D742" s="143"/>
      <c r="E742" s="129"/>
      <c r="F742" s="129"/>
      <c r="G742" s="129"/>
      <c r="H742" s="129"/>
      <c r="I742" s="129"/>
      <c r="J742" s="129"/>
      <c r="K742" s="129"/>
      <c r="L742" s="129"/>
      <c r="M742" s="129"/>
      <c r="N742" s="129"/>
      <c r="O742" s="129"/>
      <c r="P742" s="129"/>
      <c r="Q742" s="129"/>
      <c r="R742" s="129"/>
      <c r="S742" s="129"/>
      <c r="T742" s="129"/>
      <c r="U742" s="106"/>
      <c r="V742" s="106"/>
      <c r="W742" s="106"/>
      <c r="X742" s="106"/>
      <c r="Y742" s="106"/>
      <c r="Z742" s="129"/>
      <c r="AA742" s="129"/>
      <c r="AB742" s="129"/>
      <c r="AC742" s="129"/>
      <c r="AD742" s="129"/>
      <c r="AE742" s="129"/>
      <c r="AF742" s="129"/>
      <c r="AG742" s="117"/>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c r="BK742" s="124"/>
      <c r="BL742" s="124"/>
      <c r="BM742" s="124"/>
      <c r="BN742" s="124"/>
      <c r="BO742" s="124"/>
      <c r="BP742" s="124"/>
      <c r="BQ742" s="124"/>
      <c r="BR742" s="124"/>
      <c r="BS742" s="124"/>
      <c r="BT742" s="124"/>
      <c r="BU742" s="124"/>
      <c r="BV742" s="124"/>
      <c r="BW742" s="124"/>
      <c r="BX742" s="124"/>
      <c r="BY742" s="124"/>
      <c r="BZ742" s="124"/>
      <c r="CA742" s="124"/>
    </row>
    <row r="743">
      <c r="A743" s="141"/>
      <c r="B743" s="107"/>
      <c r="C743" s="107"/>
      <c r="D743" s="143"/>
      <c r="E743" s="129"/>
      <c r="F743" s="129"/>
      <c r="G743" s="129"/>
      <c r="H743" s="129"/>
      <c r="I743" s="129"/>
      <c r="J743" s="129"/>
      <c r="K743" s="129"/>
      <c r="L743" s="129"/>
      <c r="M743" s="129"/>
      <c r="N743" s="129"/>
      <c r="O743" s="129"/>
      <c r="P743" s="129"/>
      <c r="Q743" s="129"/>
      <c r="R743" s="129"/>
      <c r="S743" s="129"/>
      <c r="T743" s="129"/>
      <c r="U743" s="106"/>
      <c r="V743" s="106"/>
      <c r="W743" s="106"/>
      <c r="X743" s="106"/>
      <c r="Y743" s="106"/>
      <c r="Z743" s="129"/>
      <c r="AA743" s="129"/>
      <c r="AB743" s="129"/>
      <c r="AC743" s="129"/>
      <c r="AD743" s="129"/>
      <c r="AE743" s="129"/>
      <c r="AF743" s="129"/>
      <c r="AG743" s="117"/>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c r="BK743" s="124"/>
      <c r="BL743" s="124"/>
      <c r="BM743" s="124"/>
      <c r="BN743" s="124"/>
      <c r="BO743" s="124"/>
      <c r="BP743" s="124"/>
      <c r="BQ743" s="124"/>
      <c r="BR743" s="124"/>
      <c r="BS743" s="124"/>
      <c r="BT743" s="124"/>
      <c r="BU743" s="124"/>
      <c r="BV743" s="124"/>
      <c r="BW743" s="124"/>
      <c r="BX743" s="124"/>
      <c r="BY743" s="124"/>
      <c r="BZ743" s="124"/>
      <c r="CA743" s="124"/>
    </row>
    <row r="744">
      <c r="A744" s="141"/>
      <c r="B744" s="107"/>
      <c r="C744" s="107"/>
      <c r="D744" s="143"/>
      <c r="E744" s="129"/>
      <c r="F744" s="129"/>
      <c r="G744" s="129"/>
      <c r="H744" s="129"/>
      <c r="I744" s="129"/>
      <c r="J744" s="129"/>
      <c r="K744" s="129"/>
      <c r="L744" s="129"/>
      <c r="M744" s="129"/>
      <c r="N744" s="129"/>
      <c r="O744" s="129"/>
      <c r="P744" s="129"/>
      <c r="Q744" s="129"/>
      <c r="R744" s="129"/>
      <c r="S744" s="129"/>
      <c r="T744" s="129"/>
      <c r="U744" s="106"/>
      <c r="V744" s="106"/>
      <c r="W744" s="106"/>
      <c r="X744" s="106"/>
      <c r="Y744" s="106"/>
      <c r="Z744" s="129"/>
      <c r="AA744" s="129"/>
      <c r="AB744" s="129"/>
      <c r="AC744" s="129"/>
      <c r="AD744" s="129"/>
      <c r="AE744" s="129"/>
      <c r="AF744" s="129"/>
      <c r="AG744" s="117"/>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c r="BK744" s="124"/>
      <c r="BL744" s="124"/>
      <c r="BM744" s="124"/>
      <c r="BN744" s="124"/>
      <c r="BO744" s="124"/>
      <c r="BP744" s="124"/>
      <c r="BQ744" s="124"/>
      <c r="BR744" s="124"/>
      <c r="BS744" s="124"/>
      <c r="BT744" s="124"/>
      <c r="BU744" s="124"/>
      <c r="BV744" s="124"/>
      <c r="BW744" s="124"/>
      <c r="BX744" s="124"/>
      <c r="BY744" s="124"/>
      <c r="BZ744" s="124"/>
      <c r="CA744" s="124"/>
    </row>
    <row r="745">
      <c r="A745" s="141"/>
      <c r="B745" s="107"/>
      <c r="C745" s="107"/>
      <c r="D745" s="143"/>
      <c r="E745" s="129"/>
      <c r="F745" s="129"/>
      <c r="G745" s="129"/>
      <c r="H745" s="129"/>
      <c r="I745" s="129"/>
      <c r="J745" s="129"/>
      <c r="K745" s="129"/>
      <c r="L745" s="129"/>
      <c r="M745" s="129"/>
      <c r="N745" s="129"/>
      <c r="O745" s="129"/>
      <c r="P745" s="129"/>
      <c r="Q745" s="129"/>
      <c r="R745" s="129"/>
      <c r="S745" s="129"/>
      <c r="T745" s="129"/>
      <c r="U745" s="106"/>
      <c r="V745" s="106"/>
      <c r="W745" s="106"/>
      <c r="X745" s="106"/>
      <c r="Y745" s="106"/>
      <c r="Z745" s="129"/>
      <c r="AA745" s="129"/>
      <c r="AB745" s="129"/>
      <c r="AC745" s="129"/>
      <c r="AD745" s="129"/>
      <c r="AE745" s="129"/>
      <c r="AF745" s="129"/>
      <c r="AG745" s="117"/>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c r="BK745" s="124"/>
      <c r="BL745" s="124"/>
      <c r="BM745" s="124"/>
      <c r="BN745" s="124"/>
      <c r="BO745" s="124"/>
      <c r="BP745" s="124"/>
      <c r="BQ745" s="124"/>
      <c r="BR745" s="124"/>
      <c r="BS745" s="124"/>
      <c r="BT745" s="124"/>
      <c r="BU745" s="124"/>
      <c r="BV745" s="124"/>
      <c r="BW745" s="124"/>
      <c r="BX745" s="124"/>
      <c r="BY745" s="124"/>
      <c r="BZ745" s="124"/>
      <c r="CA745" s="124"/>
    </row>
    <row r="746">
      <c r="A746" s="141"/>
      <c r="B746" s="107"/>
      <c r="C746" s="107"/>
      <c r="D746" s="143"/>
      <c r="E746" s="129"/>
      <c r="F746" s="129"/>
      <c r="G746" s="129"/>
      <c r="H746" s="129"/>
      <c r="I746" s="129"/>
      <c r="J746" s="129"/>
      <c r="K746" s="129"/>
      <c r="L746" s="129"/>
      <c r="M746" s="129"/>
      <c r="N746" s="129"/>
      <c r="O746" s="129"/>
      <c r="P746" s="129"/>
      <c r="Q746" s="129"/>
      <c r="R746" s="129"/>
      <c r="S746" s="129"/>
      <c r="T746" s="129"/>
      <c r="U746" s="106"/>
      <c r="V746" s="106"/>
      <c r="W746" s="106"/>
      <c r="X746" s="106"/>
      <c r="Y746" s="106"/>
      <c r="Z746" s="129"/>
      <c r="AA746" s="129"/>
      <c r="AB746" s="129"/>
      <c r="AC746" s="129"/>
      <c r="AD746" s="129"/>
      <c r="AE746" s="129"/>
      <c r="AF746" s="129"/>
      <c r="AG746" s="117"/>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c r="BK746" s="124"/>
      <c r="BL746" s="124"/>
      <c r="BM746" s="124"/>
      <c r="BN746" s="124"/>
      <c r="BO746" s="124"/>
      <c r="BP746" s="124"/>
      <c r="BQ746" s="124"/>
      <c r="BR746" s="124"/>
      <c r="BS746" s="124"/>
      <c r="BT746" s="124"/>
      <c r="BU746" s="124"/>
      <c r="BV746" s="124"/>
      <c r="BW746" s="124"/>
      <c r="BX746" s="124"/>
      <c r="BY746" s="124"/>
      <c r="BZ746" s="124"/>
      <c r="CA746" s="124"/>
    </row>
    <row r="747">
      <c r="A747" s="141"/>
      <c r="B747" s="107"/>
      <c r="C747" s="107"/>
      <c r="D747" s="143"/>
      <c r="E747" s="129"/>
      <c r="F747" s="129"/>
      <c r="G747" s="129"/>
      <c r="H747" s="129"/>
      <c r="I747" s="129"/>
      <c r="J747" s="129"/>
      <c r="K747" s="129"/>
      <c r="L747" s="129"/>
      <c r="M747" s="129"/>
      <c r="N747" s="129"/>
      <c r="O747" s="129"/>
      <c r="P747" s="129"/>
      <c r="Q747" s="129"/>
      <c r="R747" s="129"/>
      <c r="S747" s="129"/>
      <c r="T747" s="129"/>
      <c r="U747" s="106"/>
      <c r="V747" s="106"/>
      <c r="W747" s="106"/>
      <c r="X747" s="106"/>
      <c r="Y747" s="106"/>
      <c r="Z747" s="129"/>
      <c r="AA747" s="129"/>
      <c r="AB747" s="129"/>
      <c r="AC747" s="129"/>
      <c r="AD747" s="129"/>
      <c r="AE747" s="129"/>
      <c r="AF747" s="129"/>
      <c r="AG747" s="117"/>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c r="BK747" s="124"/>
      <c r="BL747" s="124"/>
      <c r="BM747" s="124"/>
      <c r="BN747" s="124"/>
      <c r="BO747" s="124"/>
      <c r="BP747" s="124"/>
      <c r="BQ747" s="124"/>
      <c r="BR747" s="124"/>
      <c r="BS747" s="124"/>
      <c r="BT747" s="124"/>
      <c r="BU747" s="124"/>
      <c r="BV747" s="124"/>
      <c r="BW747" s="124"/>
      <c r="BX747" s="124"/>
      <c r="BY747" s="124"/>
      <c r="BZ747" s="124"/>
      <c r="CA747" s="124"/>
    </row>
    <row r="748">
      <c r="A748" s="141"/>
      <c r="B748" s="107"/>
      <c r="C748" s="107"/>
      <c r="D748" s="143"/>
      <c r="E748" s="129"/>
      <c r="F748" s="129"/>
      <c r="G748" s="129"/>
      <c r="H748" s="129"/>
      <c r="I748" s="129"/>
      <c r="J748" s="129"/>
      <c r="K748" s="129"/>
      <c r="L748" s="129"/>
      <c r="M748" s="129"/>
      <c r="N748" s="129"/>
      <c r="O748" s="129"/>
      <c r="P748" s="129"/>
      <c r="Q748" s="129"/>
      <c r="R748" s="129"/>
      <c r="S748" s="129"/>
      <c r="T748" s="129"/>
      <c r="U748" s="106"/>
      <c r="V748" s="106"/>
      <c r="W748" s="106"/>
      <c r="X748" s="106"/>
      <c r="Y748" s="106"/>
      <c r="Z748" s="129"/>
      <c r="AA748" s="129"/>
      <c r="AB748" s="129"/>
      <c r="AC748" s="129"/>
      <c r="AD748" s="129"/>
      <c r="AE748" s="129"/>
      <c r="AF748" s="129"/>
      <c r="AG748" s="117"/>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c r="BK748" s="124"/>
      <c r="BL748" s="124"/>
      <c r="BM748" s="124"/>
      <c r="BN748" s="124"/>
      <c r="BO748" s="124"/>
      <c r="BP748" s="124"/>
      <c r="BQ748" s="124"/>
      <c r="BR748" s="124"/>
      <c r="BS748" s="124"/>
      <c r="BT748" s="124"/>
      <c r="BU748" s="124"/>
      <c r="BV748" s="124"/>
      <c r="BW748" s="124"/>
      <c r="BX748" s="124"/>
      <c r="BY748" s="124"/>
      <c r="BZ748" s="124"/>
      <c r="CA748" s="124"/>
    </row>
    <row r="749">
      <c r="A749" s="141"/>
      <c r="B749" s="107"/>
      <c r="C749" s="107"/>
      <c r="D749" s="143"/>
      <c r="E749" s="129"/>
      <c r="F749" s="129"/>
      <c r="G749" s="129"/>
      <c r="H749" s="129"/>
      <c r="I749" s="129"/>
      <c r="J749" s="129"/>
      <c r="K749" s="129"/>
      <c r="L749" s="129"/>
      <c r="M749" s="129"/>
      <c r="N749" s="129"/>
      <c r="O749" s="129"/>
      <c r="P749" s="129"/>
      <c r="Q749" s="129"/>
      <c r="R749" s="129"/>
      <c r="S749" s="129"/>
      <c r="T749" s="129"/>
      <c r="U749" s="106"/>
      <c r="V749" s="106"/>
      <c r="W749" s="106"/>
      <c r="X749" s="106"/>
      <c r="Y749" s="106"/>
      <c r="Z749" s="129"/>
      <c r="AA749" s="129"/>
      <c r="AB749" s="129"/>
      <c r="AC749" s="129"/>
      <c r="AD749" s="129"/>
      <c r="AE749" s="129"/>
      <c r="AF749" s="129"/>
      <c r="AG749" s="117"/>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c r="BK749" s="124"/>
      <c r="BL749" s="124"/>
      <c r="BM749" s="124"/>
      <c r="BN749" s="124"/>
      <c r="BO749" s="124"/>
      <c r="BP749" s="124"/>
      <c r="BQ749" s="124"/>
      <c r="BR749" s="124"/>
      <c r="BS749" s="124"/>
      <c r="BT749" s="124"/>
      <c r="BU749" s="124"/>
      <c r="BV749" s="124"/>
      <c r="BW749" s="124"/>
      <c r="BX749" s="124"/>
      <c r="BY749" s="124"/>
      <c r="BZ749" s="124"/>
      <c r="CA749" s="124"/>
    </row>
    <row r="750">
      <c r="A750" s="141"/>
      <c r="B750" s="107"/>
      <c r="C750" s="107"/>
      <c r="D750" s="143"/>
      <c r="E750" s="129"/>
      <c r="F750" s="129"/>
      <c r="G750" s="129"/>
      <c r="H750" s="129"/>
      <c r="I750" s="129"/>
      <c r="J750" s="129"/>
      <c r="K750" s="129"/>
      <c r="L750" s="129"/>
      <c r="M750" s="129"/>
      <c r="N750" s="129"/>
      <c r="O750" s="129"/>
      <c r="P750" s="129"/>
      <c r="Q750" s="129"/>
      <c r="R750" s="129"/>
      <c r="S750" s="129"/>
      <c r="T750" s="129"/>
      <c r="U750" s="106"/>
      <c r="V750" s="106"/>
      <c r="W750" s="106"/>
      <c r="X750" s="106"/>
      <c r="Y750" s="106"/>
      <c r="Z750" s="129"/>
      <c r="AA750" s="129"/>
      <c r="AB750" s="129"/>
      <c r="AC750" s="129"/>
      <c r="AD750" s="129"/>
      <c r="AE750" s="129"/>
      <c r="AF750" s="129"/>
      <c r="AG750" s="117"/>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c r="BK750" s="124"/>
      <c r="BL750" s="124"/>
      <c r="BM750" s="124"/>
      <c r="BN750" s="124"/>
      <c r="BO750" s="124"/>
      <c r="BP750" s="124"/>
      <c r="BQ750" s="124"/>
      <c r="BR750" s="124"/>
      <c r="BS750" s="124"/>
      <c r="BT750" s="124"/>
      <c r="BU750" s="124"/>
      <c r="BV750" s="124"/>
      <c r="BW750" s="124"/>
      <c r="BX750" s="124"/>
      <c r="BY750" s="124"/>
      <c r="BZ750" s="124"/>
      <c r="CA750" s="124"/>
    </row>
    <row r="751">
      <c r="A751" s="141"/>
      <c r="B751" s="107"/>
      <c r="C751" s="107"/>
      <c r="D751" s="143"/>
      <c r="E751" s="129"/>
      <c r="F751" s="129"/>
      <c r="G751" s="129"/>
      <c r="H751" s="129"/>
      <c r="I751" s="129"/>
      <c r="J751" s="129"/>
      <c r="K751" s="129"/>
      <c r="L751" s="129"/>
      <c r="M751" s="129"/>
      <c r="N751" s="129"/>
      <c r="O751" s="129"/>
      <c r="P751" s="129"/>
      <c r="Q751" s="129"/>
      <c r="R751" s="129"/>
      <c r="S751" s="129"/>
      <c r="T751" s="129"/>
      <c r="U751" s="106"/>
      <c r="V751" s="106"/>
      <c r="W751" s="106"/>
      <c r="X751" s="106"/>
      <c r="Y751" s="106"/>
      <c r="Z751" s="129"/>
      <c r="AA751" s="129"/>
      <c r="AB751" s="129"/>
      <c r="AC751" s="129"/>
      <c r="AD751" s="129"/>
      <c r="AE751" s="129"/>
      <c r="AF751" s="129"/>
      <c r="AG751" s="117"/>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4"/>
      <c r="BS751" s="124"/>
      <c r="BT751" s="124"/>
      <c r="BU751" s="124"/>
      <c r="BV751" s="124"/>
      <c r="BW751" s="124"/>
      <c r="BX751" s="124"/>
      <c r="BY751" s="124"/>
      <c r="BZ751" s="124"/>
      <c r="CA751" s="124"/>
    </row>
    <row r="752">
      <c r="A752" s="141"/>
      <c r="B752" s="107"/>
      <c r="C752" s="107"/>
      <c r="D752" s="143"/>
      <c r="E752" s="129"/>
      <c r="F752" s="129"/>
      <c r="G752" s="129"/>
      <c r="H752" s="129"/>
      <c r="I752" s="129"/>
      <c r="J752" s="129"/>
      <c r="K752" s="129"/>
      <c r="L752" s="129"/>
      <c r="M752" s="129"/>
      <c r="N752" s="129"/>
      <c r="O752" s="129"/>
      <c r="P752" s="129"/>
      <c r="Q752" s="129"/>
      <c r="R752" s="129"/>
      <c r="S752" s="129"/>
      <c r="T752" s="129"/>
      <c r="U752" s="106"/>
      <c r="V752" s="106"/>
      <c r="W752" s="106"/>
      <c r="X752" s="106"/>
      <c r="Y752" s="106"/>
      <c r="Z752" s="129"/>
      <c r="AA752" s="129"/>
      <c r="AB752" s="129"/>
      <c r="AC752" s="129"/>
      <c r="AD752" s="129"/>
      <c r="AE752" s="129"/>
      <c r="AF752" s="129"/>
      <c r="AG752" s="117"/>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c r="BK752" s="124"/>
      <c r="BL752" s="124"/>
      <c r="BM752" s="124"/>
      <c r="BN752" s="124"/>
      <c r="BO752" s="124"/>
      <c r="BP752" s="124"/>
      <c r="BQ752" s="124"/>
      <c r="BR752" s="124"/>
      <c r="BS752" s="124"/>
      <c r="BT752" s="124"/>
      <c r="BU752" s="124"/>
      <c r="BV752" s="124"/>
      <c r="BW752" s="124"/>
      <c r="BX752" s="124"/>
      <c r="BY752" s="124"/>
      <c r="BZ752" s="124"/>
      <c r="CA752" s="124"/>
    </row>
    <row r="753">
      <c r="A753" s="141"/>
      <c r="B753" s="107"/>
      <c r="C753" s="107"/>
      <c r="D753" s="143"/>
      <c r="E753" s="129"/>
      <c r="F753" s="129"/>
      <c r="G753" s="129"/>
      <c r="H753" s="129"/>
      <c r="I753" s="129"/>
      <c r="J753" s="129"/>
      <c r="K753" s="129"/>
      <c r="L753" s="129"/>
      <c r="M753" s="129"/>
      <c r="N753" s="129"/>
      <c r="O753" s="129"/>
      <c r="P753" s="129"/>
      <c r="Q753" s="129"/>
      <c r="R753" s="129"/>
      <c r="S753" s="129"/>
      <c r="T753" s="129"/>
      <c r="U753" s="106"/>
      <c r="V753" s="106"/>
      <c r="W753" s="106"/>
      <c r="X753" s="106"/>
      <c r="Y753" s="106"/>
      <c r="Z753" s="129"/>
      <c r="AA753" s="129"/>
      <c r="AB753" s="129"/>
      <c r="AC753" s="129"/>
      <c r="AD753" s="129"/>
      <c r="AE753" s="129"/>
      <c r="AF753" s="129"/>
      <c r="AG753" s="117"/>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c r="BK753" s="124"/>
      <c r="BL753" s="124"/>
      <c r="BM753" s="124"/>
      <c r="BN753" s="124"/>
      <c r="BO753" s="124"/>
      <c r="BP753" s="124"/>
      <c r="BQ753" s="124"/>
      <c r="BR753" s="124"/>
      <c r="BS753" s="124"/>
      <c r="BT753" s="124"/>
      <c r="BU753" s="124"/>
      <c r="BV753" s="124"/>
      <c r="BW753" s="124"/>
      <c r="BX753" s="124"/>
      <c r="BY753" s="124"/>
      <c r="BZ753" s="124"/>
      <c r="CA753" s="124"/>
    </row>
    <row r="754">
      <c r="A754" s="141"/>
      <c r="B754" s="107"/>
      <c r="C754" s="107"/>
      <c r="D754" s="143"/>
      <c r="E754" s="129"/>
      <c r="F754" s="129"/>
      <c r="G754" s="129"/>
      <c r="H754" s="129"/>
      <c r="I754" s="129"/>
      <c r="J754" s="129"/>
      <c r="K754" s="129"/>
      <c r="L754" s="129"/>
      <c r="M754" s="129"/>
      <c r="N754" s="129"/>
      <c r="O754" s="129"/>
      <c r="P754" s="129"/>
      <c r="Q754" s="129"/>
      <c r="R754" s="129"/>
      <c r="S754" s="129"/>
      <c r="T754" s="129"/>
      <c r="U754" s="106"/>
      <c r="V754" s="106"/>
      <c r="W754" s="106"/>
      <c r="X754" s="106"/>
      <c r="Y754" s="106"/>
      <c r="Z754" s="129"/>
      <c r="AA754" s="129"/>
      <c r="AB754" s="129"/>
      <c r="AC754" s="129"/>
      <c r="AD754" s="129"/>
      <c r="AE754" s="129"/>
      <c r="AF754" s="129"/>
      <c r="AG754" s="117"/>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c r="BK754" s="124"/>
      <c r="BL754" s="124"/>
      <c r="BM754" s="124"/>
      <c r="BN754" s="124"/>
      <c r="BO754" s="124"/>
      <c r="BP754" s="124"/>
      <c r="BQ754" s="124"/>
      <c r="BR754" s="124"/>
      <c r="BS754" s="124"/>
      <c r="BT754" s="124"/>
      <c r="BU754" s="124"/>
      <c r="BV754" s="124"/>
      <c r="BW754" s="124"/>
      <c r="BX754" s="124"/>
      <c r="BY754" s="124"/>
      <c r="BZ754" s="124"/>
      <c r="CA754" s="124"/>
    </row>
    <row r="755">
      <c r="A755" s="141"/>
      <c r="B755" s="107"/>
      <c r="C755" s="107"/>
      <c r="D755" s="143"/>
      <c r="E755" s="129"/>
      <c r="F755" s="129"/>
      <c r="G755" s="129"/>
      <c r="H755" s="129"/>
      <c r="I755" s="129"/>
      <c r="J755" s="129"/>
      <c r="K755" s="129"/>
      <c r="L755" s="129"/>
      <c r="M755" s="129"/>
      <c r="N755" s="129"/>
      <c r="O755" s="129"/>
      <c r="P755" s="129"/>
      <c r="Q755" s="129"/>
      <c r="R755" s="129"/>
      <c r="S755" s="129"/>
      <c r="T755" s="129"/>
      <c r="U755" s="106"/>
      <c r="V755" s="106"/>
      <c r="W755" s="106"/>
      <c r="X755" s="106"/>
      <c r="Y755" s="106"/>
      <c r="Z755" s="129"/>
      <c r="AA755" s="129"/>
      <c r="AB755" s="129"/>
      <c r="AC755" s="129"/>
      <c r="AD755" s="129"/>
      <c r="AE755" s="129"/>
      <c r="AF755" s="129"/>
      <c r="AG755" s="117"/>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c r="BK755" s="124"/>
      <c r="BL755" s="124"/>
      <c r="BM755" s="124"/>
      <c r="BN755" s="124"/>
      <c r="BO755" s="124"/>
      <c r="BP755" s="124"/>
      <c r="BQ755" s="124"/>
      <c r="BR755" s="124"/>
      <c r="BS755" s="124"/>
      <c r="BT755" s="124"/>
      <c r="BU755" s="124"/>
      <c r="BV755" s="124"/>
      <c r="BW755" s="124"/>
      <c r="BX755" s="124"/>
      <c r="BY755" s="124"/>
      <c r="BZ755" s="124"/>
      <c r="CA755" s="124"/>
    </row>
    <row r="756">
      <c r="A756" s="141"/>
      <c r="B756" s="107"/>
      <c r="C756" s="107"/>
      <c r="D756" s="143"/>
      <c r="E756" s="129"/>
      <c r="F756" s="129"/>
      <c r="G756" s="129"/>
      <c r="H756" s="129"/>
      <c r="I756" s="129"/>
      <c r="J756" s="129"/>
      <c r="K756" s="129"/>
      <c r="L756" s="129"/>
      <c r="M756" s="129"/>
      <c r="N756" s="129"/>
      <c r="O756" s="129"/>
      <c r="P756" s="129"/>
      <c r="Q756" s="129"/>
      <c r="R756" s="129"/>
      <c r="S756" s="129"/>
      <c r="T756" s="129"/>
      <c r="U756" s="106"/>
      <c r="V756" s="106"/>
      <c r="W756" s="106"/>
      <c r="X756" s="106"/>
      <c r="Y756" s="106"/>
      <c r="Z756" s="129"/>
      <c r="AA756" s="129"/>
      <c r="AB756" s="129"/>
      <c r="AC756" s="129"/>
      <c r="AD756" s="129"/>
      <c r="AE756" s="129"/>
      <c r="AF756" s="129"/>
      <c r="AG756" s="117"/>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c r="BK756" s="124"/>
      <c r="BL756" s="124"/>
      <c r="BM756" s="124"/>
      <c r="BN756" s="124"/>
      <c r="BO756" s="124"/>
      <c r="BP756" s="124"/>
      <c r="BQ756" s="124"/>
      <c r="BR756" s="124"/>
      <c r="BS756" s="124"/>
      <c r="BT756" s="124"/>
      <c r="BU756" s="124"/>
      <c r="BV756" s="124"/>
      <c r="BW756" s="124"/>
      <c r="BX756" s="124"/>
      <c r="BY756" s="124"/>
      <c r="BZ756" s="124"/>
      <c r="CA756" s="124"/>
    </row>
    <row r="757">
      <c r="A757" s="141"/>
      <c r="B757" s="107"/>
      <c r="C757" s="107"/>
      <c r="D757" s="143"/>
      <c r="E757" s="129"/>
      <c r="F757" s="129"/>
      <c r="G757" s="129"/>
      <c r="H757" s="129"/>
      <c r="I757" s="129"/>
      <c r="J757" s="129"/>
      <c r="K757" s="129"/>
      <c r="L757" s="129"/>
      <c r="M757" s="129"/>
      <c r="N757" s="129"/>
      <c r="O757" s="129"/>
      <c r="P757" s="129"/>
      <c r="Q757" s="129"/>
      <c r="R757" s="129"/>
      <c r="S757" s="129"/>
      <c r="T757" s="129"/>
      <c r="U757" s="106"/>
      <c r="V757" s="106"/>
      <c r="W757" s="106"/>
      <c r="X757" s="106"/>
      <c r="Y757" s="106"/>
      <c r="Z757" s="129"/>
      <c r="AA757" s="129"/>
      <c r="AB757" s="129"/>
      <c r="AC757" s="129"/>
      <c r="AD757" s="129"/>
      <c r="AE757" s="129"/>
      <c r="AF757" s="129"/>
      <c r="AG757" s="117"/>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c r="BK757" s="124"/>
      <c r="BL757" s="124"/>
      <c r="BM757" s="124"/>
      <c r="BN757" s="124"/>
      <c r="BO757" s="124"/>
      <c r="BP757" s="124"/>
      <c r="BQ757" s="124"/>
      <c r="BR757" s="124"/>
      <c r="BS757" s="124"/>
      <c r="BT757" s="124"/>
      <c r="BU757" s="124"/>
      <c r="BV757" s="124"/>
      <c r="BW757" s="124"/>
      <c r="BX757" s="124"/>
      <c r="BY757" s="124"/>
      <c r="BZ757" s="124"/>
      <c r="CA757" s="124"/>
    </row>
    <row r="758">
      <c r="A758" s="141"/>
      <c r="B758" s="107"/>
      <c r="C758" s="107"/>
      <c r="D758" s="143"/>
      <c r="E758" s="129"/>
      <c r="F758" s="129"/>
      <c r="G758" s="129"/>
      <c r="H758" s="129"/>
      <c r="I758" s="129"/>
      <c r="J758" s="129"/>
      <c r="K758" s="129"/>
      <c r="L758" s="129"/>
      <c r="M758" s="129"/>
      <c r="N758" s="129"/>
      <c r="O758" s="129"/>
      <c r="P758" s="129"/>
      <c r="Q758" s="129"/>
      <c r="R758" s="129"/>
      <c r="S758" s="129"/>
      <c r="T758" s="129"/>
      <c r="U758" s="106"/>
      <c r="V758" s="106"/>
      <c r="W758" s="106"/>
      <c r="X758" s="106"/>
      <c r="Y758" s="106"/>
      <c r="Z758" s="129"/>
      <c r="AA758" s="129"/>
      <c r="AB758" s="129"/>
      <c r="AC758" s="129"/>
      <c r="AD758" s="129"/>
      <c r="AE758" s="129"/>
      <c r="AF758" s="129"/>
      <c r="AG758" s="117"/>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c r="BK758" s="124"/>
      <c r="BL758" s="124"/>
      <c r="BM758" s="124"/>
      <c r="BN758" s="124"/>
      <c r="BO758" s="124"/>
      <c r="BP758" s="124"/>
      <c r="BQ758" s="124"/>
      <c r="BR758" s="124"/>
      <c r="BS758" s="124"/>
      <c r="BT758" s="124"/>
      <c r="BU758" s="124"/>
      <c r="BV758" s="124"/>
      <c r="BW758" s="124"/>
      <c r="BX758" s="124"/>
      <c r="BY758" s="124"/>
      <c r="BZ758" s="124"/>
      <c r="CA758" s="124"/>
    </row>
    <row r="759">
      <c r="A759" s="141"/>
      <c r="B759" s="107"/>
      <c r="C759" s="107"/>
      <c r="D759" s="143"/>
      <c r="E759" s="129"/>
      <c r="F759" s="129"/>
      <c r="G759" s="129"/>
      <c r="H759" s="129"/>
      <c r="I759" s="129"/>
      <c r="J759" s="129"/>
      <c r="K759" s="129"/>
      <c r="L759" s="129"/>
      <c r="M759" s="129"/>
      <c r="N759" s="129"/>
      <c r="O759" s="129"/>
      <c r="P759" s="129"/>
      <c r="Q759" s="129"/>
      <c r="R759" s="129"/>
      <c r="S759" s="129"/>
      <c r="T759" s="129"/>
      <c r="U759" s="106"/>
      <c r="V759" s="106"/>
      <c r="W759" s="106"/>
      <c r="X759" s="106"/>
      <c r="Y759" s="106"/>
      <c r="Z759" s="129"/>
      <c r="AA759" s="129"/>
      <c r="AB759" s="129"/>
      <c r="AC759" s="129"/>
      <c r="AD759" s="129"/>
      <c r="AE759" s="129"/>
      <c r="AF759" s="129"/>
      <c r="AG759" s="117"/>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c r="BK759" s="124"/>
      <c r="BL759" s="124"/>
      <c r="BM759" s="124"/>
      <c r="BN759" s="124"/>
      <c r="BO759" s="124"/>
      <c r="BP759" s="124"/>
      <c r="BQ759" s="124"/>
      <c r="BR759" s="124"/>
      <c r="BS759" s="124"/>
      <c r="BT759" s="124"/>
      <c r="BU759" s="124"/>
      <c r="BV759" s="124"/>
      <c r="BW759" s="124"/>
      <c r="BX759" s="124"/>
      <c r="BY759" s="124"/>
      <c r="BZ759" s="124"/>
      <c r="CA759" s="124"/>
    </row>
    <row r="760">
      <c r="A760" s="141"/>
      <c r="B760" s="107"/>
      <c r="C760" s="107"/>
      <c r="D760" s="143"/>
      <c r="E760" s="129"/>
      <c r="F760" s="129"/>
      <c r="G760" s="129"/>
      <c r="H760" s="129"/>
      <c r="I760" s="129"/>
      <c r="J760" s="129"/>
      <c r="K760" s="129"/>
      <c r="L760" s="129"/>
      <c r="M760" s="129"/>
      <c r="N760" s="129"/>
      <c r="O760" s="129"/>
      <c r="P760" s="129"/>
      <c r="Q760" s="129"/>
      <c r="R760" s="129"/>
      <c r="S760" s="129"/>
      <c r="T760" s="129"/>
      <c r="U760" s="106"/>
      <c r="V760" s="106"/>
      <c r="W760" s="106"/>
      <c r="X760" s="106"/>
      <c r="Y760" s="106"/>
      <c r="Z760" s="129"/>
      <c r="AA760" s="129"/>
      <c r="AB760" s="129"/>
      <c r="AC760" s="129"/>
      <c r="AD760" s="129"/>
      <c r="AE760" s="129"/>
      <c r="AF760" s="129"/>
      <c r="AG760" s="117"/>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c r="BK760" s="124"/>
      <c r="BL760" s="124"/>
      <c r="BM760" s="124"/>
      <c r="BN760" s="124"/>
      <c r="BO760" s="124"/>
      <c r="BP760" s="124"/>
      <c r="BQ760" s="124"/>
      <c r="BR760" s="124"/>
      <c r="BS760" s="124"/>
      <c r="BT760" s="124"/>
      <c r="BU760" s="124"/>
      <c r="BV760" s="124"/>
      <c r="BW760" s="124"/>
      <c r="BX760" s="124"/>
      <c r="BY760" s="124"/>
      <c r="BZ760" s="124"/>
      <c r="CA760" s="124"/>
    </row>
    <row r="761">
      <c r="A761" s="141"/>
      <c r="B761" s="107"/>
      <c r="C761" s="107"/>
      <c r="D761" s="143"/>
      <c r="E761" s="129"/>
      <c r="F761" s="129"/>
      <c r="G761" s="129"/>
      <c r="H761" s="129"/>
      <c r="I761" s="129"/>
      <c r="J761" s="129"/>
      <c r="K761" s="129"/>
      <c r="L761" s="129"/>
      <c r="M761" s="129"/>
      <c r="N761" s="129"/>
      <c r="O761" s="129"/>
      <c r="P761" s="129"/>
      <c r="Q761" s="129"/>
      <c r="R761" s="129"/>
      <c r="S761" s="129"/>
      <c r="T761" s="129"/>
      <c r="U761" s="106"/>
      <c r="V761" s="106"/>
      <c r="W761" s="106"/>
      <c r="X761" s="106"/>
      <c r="Y761" s="106"/>
      <c r="Z761" s="129"/>
      <c r="AA761" s="129"/>
      <c r="AB761" s="129"/>
      <c r="AC761" s="129"/>
      <c r="AD761" s="129"/>
      <c r="AE761" s="129"/>
      <c r="AF761" s="129"/>
      <c r="AG761" s="117"/>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c r="BK761" s="124"/>
      <c r="BL761" s="124"/>
      <c r="BM761" s="124"/>
      <c r="BN761" s="124"/>
      <c r="BO761" s="124"/>
      <c r="BP761" s="124"/>
      <c r="BQ761" s="124"/>
      <c r="BR761" s="124"/>
      <c r="BS761" s="124"/>
      <c r="BT761" s="124"/>
      <c r="BU761" s="124"/>
      <c r="BV761" s="124"/>
      <c r="BW761" s="124"/>
      <c r="BX761" s="124"/>
      <c r="BY761" s="124"/>
      <c r="BZ761" s="124"/>
      <c r="CA761" s="124"/>
    </row>
    <row r="762">
      <c r="A762" s="141"/>
      <c r="B762" s="107"/>
      <c r="C762" s="107"/>
      <c r="D762" s="143"/>
      <c r="E762" s="129"/>
      <c r="F762" s="129"/>
      <c r="G762" s="129"/>
      <c r="H762" s="129"/>
      <c r="I762" s="129"/>
      <c r="J762" s="129"/>
      <c r="K762" s="129"/>
      <c r="L762" s="129"/>
      <c r="M762" s="129"/>
      <c r="N762" s="129"/>
      <c r="O762" s="129"/>
      <c r="P762" s="129"/>
      <c r="Q762" s="129"/>
      <c r="R762" s="129"/>
      <c r="S762" s="129"/>
      <c r="T762" s="129"/>
      <c r="U762" s="106"/>
      <c r="V762" s="106"/>
      <c r="W762" s="106"/>
      <c r="X762" s="106"/>
      <c r="Y762" s="106"/>
      <c r="Z762" s="129"/>
      <c r="AA762" s="129"/>
      <c r="AB762" s="129"/>
      <c r="AC762" s="129"/>
      <c r="AD762" s="129"/>
      <c r="AE762" s="129"/>
      <c r="AF762" s="129"/>
      <c r="AG762" s="117"/>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c r="BK762" s="124"/>
      <c r="BL762" s="124"/>
      <c r="BM762" s="124"/>
      <c r="BN762" s="124"/>
      <c r="BO762" s="124"/>
      <c r="BP762" s="124"/>
      <c r="BQ762" s="124"/>
      <c r="BR762" s="124"/>
      <c r="BS762" s="124"/>
      <c r="BT762" s="124"/>
      <c r="BU762" s="124"/>
      <c r="BV762" s="124"/>
      <c r="BW762" s="124"/>
      <c r="BX762" s="124"/>
      <c r="BY762" s="124"/>
      <c r="BZ762" s="124"/>
      <c r="CA762" s="124"/>
    </row>
    <row r="763">
      <c r="A763" s="141"/>
      <c r="B763" s="107"/>
      <c r="C763" s="107"/>
      <c r="D763" s="143"/>
      <c r="E763" s="129"/>
      <c r="F763" s="129"/>
      <c r="G763" s="129"/>
      <c r="H763" s="129"/>
      <c r="I763" s="129"/>
      <c r="J763" s="129"/>
      <c r="K763" s="129"/>
      <c r="L763" s="129"/>
      <c r="M763" s="129"/>
      <c r="N763" s="129"/>
      <c r="O763" s="129"/>
      <c r="P763" s="129"/>
      <c r="Q763" s="129"/>
      <c r="R763" s="129"/>
      <c r="S763" s="129"/>
      <c r="T763" s="129"/>
      <c r="U763" s="106"/>
      <c r="V763" s="106"/>
      <c r="W763" s="106"/>
      <c r="X763" s="106"/>
      <c r="Y763" s="106"/>
      <c r="Z763" s="129"/>
      <c r="AA763" s="129"/>
      <c r="AB763" s="129"/>
      <c r="AC763" s="129"/>
      <c r="AD763" s="129"/>
      <c r="AE763" s="129"/>
      <c r="AF763" s="129"/>
      <c r="AG763" s="117"/>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c r="BK763" s="124"/>
      <c r="BL763" s="124"/>
      <c r="BM763" s="124"/>
      <c r="BN763" s="124"/>
      <c r="BO763" s="124"/>
      <c r="BP763" s="124"/>
      <c r="BQ763" s="124"/>
      <c r="BR763" s="124"/>
      <c r="BS763" s="124"/>
      <c r="BT763" s="124"/>
      <c r="BU763" s="124"/>
      <c r="BV763" s="124"/>
      <c r="BW763" s="124"/>
      <c r="BX763" s="124"/>
      <c r="BY763" s="124"/>
      <c r="BZ763" s="124"/>
      <c r="CA763" s="124"/>
    </row>
    <row r="764">
      <c r="A764" s="141"/>
      <c r="B764" s="107"/>
      <c r="C764" s="107"/>
      <c r="D764" s="143"/>
      <c r="E764" s="129"/>
      <c r="F764" s="129"/>
      <c r="G764" s="129"/>
      <c r="H764" s="129"/>
      <c r="I764" s="129"/>
      <c r="J764" s="129"/>
      <c r="K764" s="129"/>
      <c r="L764" s="129"/>
      <c r="M764" s="129"/>
      <c r="N764" s="129"/>
      <c r="O764" s="129"/>
      <c r="P764" s="129"/>
      <c r="Q764" s="129"/>
      <c r="R764" s="129"/>
      <c r="S764" s="129"/>
      <c r="T764" s="129"/>
      <c r="U764" s="106"/>
      <c r="V764" s="106"/>
      <c r="W764" s="106"/>
      <c r="X764" s="106"/>
      <c r="Y764" s="106"/>
      <c r="Z764" s="129"/>
      <c r="AA764" s="129"/>
      <c r="AB764" s="129"/>
      <c r="AC764" s="129"/>
      <c r="AD764" s="129"/>
      <c r="AE764" s="129"/>
      <c r="AF764" s="129"/>
      <c r="AG764" s="117"/>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c r="BK764" s="124"/>
      <c r="BL764" s="124"/>
      <c r="BM764" s="124"/>
      <c r="BN764" s="124"/>
      <c r="BO764" s="124"/>
      <c r="BP764" s="124"/>
      <c r="BQ764" s="124"/>
      <c r="BR764" s="124"/>
      <c r="BS764" s="124"/>
      <c r="BT764" s="124"/>
      <c r="BU764" s="124"/>
      <c r="BV764" s="124"/>
      <c r="BW764" s="124"/>
      <c r="BX764" s="124"/>
      <c r="BY764" s="124"/>
      <c r="BZ764" s="124"/>
      <c r="CA764" s="124"/>
    </row>
    <row r="765">
      <c r="A765" s="141"/>
      <c r="B765" s="107"/>
      <c r="C765" s="107"/>
      <c r="D765" s="143"/>
      <c r="E765" s="129"/>
      <c r="F765" s="129"/>
      <c r="G765" s="129"/>
      <c r="H765" s="129"/>
      <c r="I765" s="129"/>
      <c r="J765" s="129"/>
      <c r="K765" s="129"/>
      <c r="L765" s="129"/>
      <c r="M765" s="129"/>
      <c r="N765" s="129"/>
      <c r="O765" s="129"/>
      <c r="P765" s="129"/>
      <c r="Q765" s="129"/>
      <c r="R765" s="129"/>
      <c r="S765" s="129"/>
      <c r="T765" s="129"/>
      <c r="U765" s="106"/>
      <c r="V765" s="106"/>
      <c r="W765" s="106"/>
      <c r="X765" s="106"/>
      <c r="Y765" s="106"/>
      <c r="Z765" s="129"/>
      <c r="AA765" s="129"/>
      <c r="AB765" s="129"/>
      <c r="AC765" s="129"/>
      <c r="AD765" s="129"/>
      <c r="AE765" s="129"/>
      <c r="AF765" s="129"/>
      <c r="AG765" s="117"/>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c r="BK765" s="124"/>
      <c r="BL765" s="124"/>
      <c r="BM765" s="124"/>
      <c r="BN765" s="124"/>
      <c r="BO765" s="124"/>
      <c r="BP765" s="124"/>
      <c r="BQ765" s="124"/>
      <c r="BR765" s="124"/>
      <c r="BS765" s="124"/>
      <c r="BT765" s="124"/>
      <c r="BU765" s="124"/>
      <c r="BV765" s="124"/>
      <c r="BW765" s="124"/>
      <c r="BX765" s="124"/>
      <c r="BY765" s="124"/>
      <c r="BZ765" s="124"/>
      <c r="CA765" s="124"/>
    </row>
    <row r="766">
      <c r="A766" s="141"/>
      <c r="B766" s="107"/>
      <c r="C766" s="107"/>
      <c r="D766" s="143"/>
      <c r="E766" s="129"/>
      <c r="F766" s="129"/>
      <c r="G766" s="129"/>
      <c r="H766" s="129"/>
      <c r="I766" s="129"/>
      <c r="J766" s="129"/>
      <c r="K766" s="129"/>
      <c r="L766" s="129"/>
      <c r="M766" s="129"/>
      <c r="N766" s="129"/>
      <c r="O766" s="129"/>
      <c r="P766" s="129"/>
      <c r="Q766" s="129"/>
      <c r="R766" s="129"/>
      <c r="S766" s="129"/>
      <c r="T766" s="129"/>
      <c r="U766" s="106"/>
      <c r="V766" s="106"/>
      <c r="W766" s="106"/>
      <c r="X766" s="106"/>
      <c r="Y766" s="106"/>
      <c r="Z766" s="129"/>
      <c r="AA766" s="129"/>
      <c r="AB766" s="129"/>
      <c r="AC766" s="129"/>
      <c r="AD766" s="129"/>
      <c r="AE766" s="129"/>
      <c r="AF766" s="129"/>
      <c r="AG766" s="117"/>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c r="BK766" s="124"/>
      <c r="BL766" s="124"/>
      <c r="BM766" s="124"/>
      <c r="BN766" s="124"/>
      <c r="BO766" s="124"/>
      <c r="BP766" s="124"/>
      <c r="BQ766" s="124"/>
      <c r="BR766" s="124"/>
      <c r="BS766" s="124"/>
      <c r="BT766" s="124"/>
      <c r="BU766" s="124"/>
      <c r="BV766" s="124"/>
      <c r="BW766" s="124"/>
      <c r="BX766" s="124"/>
      <c r="BY766" s="124"/>
      <c r="BZ766" s="124"/>
      <c r="CA766" s="124"/>
    </row>
    <row r="767">
      <c r="A767" s="141"/>
      <c r="B767" s="107"/>
      <c r="C767" s="107"/>
      <c r="D767" s="143"/>
      <c r="E767" s="129"/>
      <c r="F767" s="129"/>
      <c r="G767" s="129"/>
      <c r="H767" s="129"/>
      <c r="I767" s="129"/>
      <c r="J767" s="129"/>
      <c r="K767" s="129"/>
      <c r="L767" s="129"/>
      <c r="M767" s="129"/>
      <c r="N767" s="129"/>
      <c r="O767" s="129"/>
      <c r="P767" s="129"/>
      <c r="Q767" s="129"/>
      <c r="R767" s="129"/>
      <c r="S767" s="129"/>
      <c r="T767" s="129"/>
      <c r="U767" s="106"/>
      <c r="V767" s="106"/>
      <c r="W767" s="106"/>
      <c r="X767" s="106"/>
      <c r="Y767" s="106"/>
      <c r="Z767" s="129"/>
      <c r="AA767" s="129"/>
      <c r="AB767" s="129"/>
      <c r="AC767" s="129"/>
      <c r="AD767" s="129"/>
      <c r="AE767" s="129"/>
      <c r="AF767" s="129"/>
      <c r="AG767" s="117"/>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c r="BK767" s="124"/>
      <c r="BL767" s="124"/>
      <c r="BM767" s="124"/>
      <c r="BN767" s="124"/>
      <c r="BO767" s="124"/>
      <c r="BP767" s="124"/>
      <c r="BQ767" s="124"/>
      <c r="BR767" s="124"/>
      <c r="BS767" s="124"/>
      <c r="BT767" s="124"/>
      <c r="BU767" s="124"/>
      <c r="BV767" s="124"/>
      <c r="BW767" s="124"/>
      <c r="BX767" s="124"/>
      <c r="BY767" s="124"/>
      <c r="BZ767" s="124"/>
      <c r="CA767" s="124"/>
    </row>
    <row r="768">
      <c r="A768" s="141"/>
      <c r="B768" s="107"/>
      <c r="C768" s="107"/>
      <c r="D768" s="143"/>
      <c r="E768" s="129"/>
      <c r="F768" s="129"/>
      <c r="G768" s="129"/>
      <c r="H768" s="129"/>
      <c r="I768" s="129"/>
      <c r="J768" s="129"/>
      <c r="K768" s="129"/>
      <c r="L768" s="129"/>
      <c r="M768" s="129"/>
      <c r="N768" s="129"/>
      <c r="O768" s="129"/>
      <c r="P768" s="129"/>
      <c r="Q768" s="129"/>
      <c r="R768" s="129"/>
      <c r="S768" s="129"/>
      <c r="T768" s="129"/>
      <c r="U768" s="106"/>
      <c r="V768" s="106"/>
      <c r="W768" s="106"/>
      <c r="X768" s="106"/>
      <c r="Y768" s="106"/>
      <c r="Z768" s="129"/>
      <c r="AA768" s="129"/>
      <c r="AB768" s="129"/>
      <c r="AC768" s="129"/>
      <c r="AD768" s="129"/>
      <c r="AE768" s="129"/>
      <c r="AF768" s="129"/>
      <c r="AG768" s="117"/>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c r="BK768" s="124"/>
      <c r="BL768" s="124"/>
      <c r="BM768" s="124"/>
      <c r="BN768" s="124"/>
      <c r="BO768" s="124"/>
      <c r="BP768" s="124"/>
      <c r="BQ768" s="124"/>
      <c r="BR768" s="124"/>
      <c r="BS768" s="124"/>
      <c r="BT768" s="124"/>
      <c r="BU768" s="124"/>
      <c r="BV768" s="124"/>
      <c r="BW768" s="124"/>
      <c r="BX768" s="124"/>
      <c r="BY768" s="124"/>
      <c r="BZ768" s="124"/>
      <c r="CA768" s="124"/>
    </row>
    <row r="769">
      <c r="A769" s="141"/>
      <c r="B769" s="107"/>
      <c r="C769" s="107"/>
      <c r="D769" s="143"/>
      <c r="E769" s="129"/>
      <c r="F769" s="129"/>
      <c r="G769" s="129"/>
      <c r="H769" s="129"/>
      <c r="I769" s="129"/>
      <c r="J769" s="129"/>
      <c r="K769" s="129"/>
      <c r="L769" s="129"/>
      <c r="M769" s="129"/>
      <c r="N769" s="129"/>
      <c r="O769" s="129"/>
      <c r="P769" s="129"/>
      <c r="Q769" s="129"/>
      <c r="R769" s="129"/>
      <c r="S769" s="129"/>
      <c r="T769" s="129"/>
      <c r="U769" s="106"/>
      <c r="V769" s="106"/>
      <c r="W769" s="106"/>
      <c r="X769" s="106"/>
      <c r="Y769" s="106"/>
      <c r="Z769" s="129"/>
      <c r="AA769" s="129"/>
      <c r="AB769" s="129"/>
      <c r="AC769" s="129"/>
      <c r="AD769" s="129"/>
      <c r="AE769" s="129"/>
      <c r="AF769" s="129"/>
      <c r="AG769" s="117"/>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c r="BK769" s="124"/>
      <c r="BL769" s="124"/>
      <c r="BM769" s="124"/>
      <c r="BN769" s="124"/>
      <c r="BO769" s="124"/>
      <c r="BP769" s="124"/>
      <c r="BQ769" s="124"/>
      <c r="BR769" s="124"/>
      <c r="BS769" s="124"/>
      <c r="BT769" s="124"/>
      <c r="BU769" s="124"/>
      <c r="BV769" s="124"/>
      <c r="BW769" s="124"/>
      <c r="BX769" s="124"/>
      <c r="BY769" s="124"/>
      <c r="BZ769" s="124"/>
      <c r="CA769" s="124"/>
    </row>
    <row r="770">
      <c r="A770" s="141"/>
      <c r="B770" s="107"/>
      <c r="C770" s="107"/>
      <c r="D770" s="143"/>
      <c r="E770" s="129"/>
      <c r="F770" s="129"/>
      <c r="G770" s="129"/>
      <c r="H770" s="129"/>
      <c r="I770" s="129"/>
      <c r="J770" s="129"/>
      <c r="K770" s="129"/>
      <c r="L770" s="129"/>
      <c r="M770" s="129"/>
      <c r="N770" s="129"/>
      <c r="O770" s="129"/>
      <c r="P770" s="129"/>
      <c r="Q770" s="129"/>
      <c r="R770" s="129"/>
      <c r="S770" s="129"/>
      <c r="T770" s="129"/>
      <c r="U770" s="106"/>
      <c r="V770" s="106"/>
      <c r="W770" s="106"/>
      <c r="X770" s="106"/>
      <c r="Y770" s="106"/>
      <c r="Z770" s="129"/>
      <c r="AA770" s="129"/>
      <c r="AB770" s="129"/>
      <c r="AC770" s="129"/>
      <c r="AD770" s="129"/>
      <c r="AE770" s="129"/>
      <c r="AF770" s="129"/>
      <c r="AG770" s="117"/>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c r="BK770" s="124"/>
      <c r="BL770" s="124"/>
      <c r="BM770" s="124"/>
      <c r="BN770" s="124"/>
      <c r="BO770" s="124"/>
      <c r="BP770" s="124"/>
      <c r="BQ770" s="124"/>
      <c r="BR770" s="124"/>
      <c r="BS770" s="124"/>
      <c r="BT770" s="124"/>
      <c r="BU770" s="124"/>
      <c r="BV770" s="124"/>
      <c r="BW770" s="124"/>
      <c r="BX770" s="124"/>
      <c r="BY770" s="124"/>
      <c r="BZ770" s="124"/>
      <c r="CA770" s="124"/>
    </row>
    <row r="771">
      <c r="A771" s="141"/>
      <c r="B771" s="107"/>
      <c r="C771" s="107"/>
      <c r="D771" s="143"/>
      <c r="E771" s="129"/>
      <c r="F771" s="129"/>
      <c r="G771" s="129"/>
      <c r="H771" s="129"/>
      <c r="I771" s="129"/>
      <c r="J771" s="129"/>
      <c r="K771" s="129"/>
      <c r="L771" s="129"/>
      <c r="M771" s="129"/>
      <c r="N771" s="129"/>
      <c r="O771" s="129"/>
      <c r="P771" s="129"/>
      <c r="Q771" s="129"/>
      <c r="R771" s="129"/>
      <c r="S771" s="129"/>
      <c r="T771" s="129"/>
      <c r="U771" s="106"/>
      <c r="V771" s="106"/>
      <c r="W771" s="106"/>
      <c r="X771" s="106"/>
      <c r="Y771" s="106"/>
      <c r="Z771" s="129"/>
      <c r="AA771" s="129"/>
      <c r="AB771" s="129"/>
      <c r="AC771" s="129"/>
      <c r="AD771" s="129"/>
      <c r="AE771" s="129"/>
      <c r="AF771" s="129"/>
      <c r="AG771" s="117"/>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c r="BK771" s="124"/>
      <c r="BL771" s="124"/>
      <c r="BM771" s="124"/>
      <c r="BN771" s="124"/>
      <c r="BO771" s="124"/>
      <c r="BP771" s="124"/>
      <c r="BQ771" s="124"/>
      <c r="BR771" s="124"/>
      <c r="BS771" s="124"/>
      <c r="BT771" s="124"/>
      <c r="BU771" s="124"/>
      <c r="BV771" s="124"/>
      <c r="BW771" s="124"/>
      <c r="BX771" s="124"/>
      <c r="BY771" s="124"/>
      <c r="BZ771" s="124"/>
      <c r="CA771" s="124"/>
    </row>
    <row r="772">
      <c r="A772" s="141"/>
      <c r="B772" s="107"/>
      <c r="C772" s="107"/>
      <c r="D772" s="143"/>
      <c r="E772" s="129"/>
      <c r="F772" s="129"/>
      <c r="G772" s="129"/>
      <c r="H772" s="129"/>
      <c r="I772" s="129"/>
      <c r="J772" s="129"/>
      <c r="K772" s="129"/>
      <c r="L772" s="129"/>
      <c r="M772" s="129"/>
      <c r="N772" s="129"/>
      <c r="O772" s="129"/>
      <c r="P772" s="129"/>
      <c r="Q772" s="129"/>
      <c r="R772" s="129"/>
      <c r="S772" s="129"/>
      <c r="T772" s="129"/>
      <c r="U772" s="106"/>
      <c r="V772" s="106"/>
      <c r="W772" s="106"/>
      <c r="X772" s="106"/>
      <c r="Y772" s="106"/>
      <c r="Z772" s="129"/>
      <c r="AA772" s="129"/>
      <c r="AB772" s="129"/>
      <c r="AC772" s="129"/>
      <c r="AD772" s="129"/>
      <c r="AE772" s="129"/>
      <c r="AF772" s="129"/>
      <c r="AG772" s="117"/>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c r="BK772" s="124"/>
      <c r="BL772" s="124"/>
      <c r="BM772" s="124"/>
      <c r="BN772" s="124"/>
      <c r="BO772" s="124"/>
      <c r="BP772" s="124"/>
      <c r="BQ772" s="124"/>
      <c r="BR772" s="124"/>
      <c r="BS772" s="124"/>
      <c r="BT772" s="124"/>
      <c r="BU772" s="124"/>
      <c r="BV772" s="124"/>
      <c r="BW772" s="124"/>
      <c r="BX772" s="124"/>
      <c r="BY772" s="124"/>
      <c r="BZ772" s="124"/>
      <c r="CA772" s="124"/>
    </row>
    <row r="773">
      <c r="A773" s="141"/>
      <c r="B773" s="107"/>
      <c r="C773" s="107"/>
      <c r="D773" s="143"/>
      <c r="E773" s="129"/>
      <c r="F773" s="129"/>
      <c r="G773" s="129"/>
      <c r="H773" s="129"/>
      <c r="I773" s="129"/>
      <c r="J773" s="129"/>
      <c r="K773" s="129"/>
      <c r="L773" s="129"/>
      <c r="M773" s="129"/>
      <c r="N773" s="129"/>
      <c r="O773" s="129"/>
      <c r="P773" s="129"/>
      <c r="Q773" s="129"/>
      <c r="R773" s="129"/>
      <c r="S773" s="129"/>
      <c r="T773" s="129"/>
      <c r="U773" s="106"/>
      <c r="V773" s="106"/>
      <c r="W773" s="106"/>
      <c r="X773" s="106"/>
      <c r="Y773" s="106"/>
      <c r="Z773" s="129"/>
      <c r="AA773" s="129"/>
      <c r="AB773" s="129"/>
      <c r="AC773" s="129"/>
      <c r="AD773" s="129"/>
      <c r="AE773" s="129"/>
      <c r="AF773" s="129"/>
      <c r="AG773" s="117"/>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c r="BK773" s="124"/>
      <c r="BL773" s="124"/>
      <c r="BM773" s="124"/>
      <c r="BN773" s="124"/>
      <c r="BO773" s="124"/>
      <c r="BP773" s="124"/>
      <c r="BQ773" s="124"/>
      <c r="BR773" s="124"/>
      <c r="BS773" s="124"/>
      <c r="BT773" s="124"/>
      <c r="BU773" s="124"/>
      <c r="BV773" s="124"/>
      <c r="BW773" s="124"/>
      <c r="BX773" s="124"/>
      <c r="BY773" s="124"/>
      <c r="BZ773" s="124"/>
      <c r="CA773" s="124"/>
    </row>
    <row r="774">
      <c r="A774" s="141"/>
      <c r="B774" s="107"/>
      <c r="C774" s="107"/>
      <c r="D774" s="143"/>
      <c r="E774" s="129"/>
      <c r="F774" s="129"/>
      <c r="G774" s="129"/>
      <c r="H774" s="129"/>
      <c r="I774" s="129"/>
      <c r="J774" s="129"/>
      <c r="K774" s="129"/>
      <c r="L774" s="129"/>
      <c r="M774" s="129"/>
      <c r="N774" s="129"/>
      <c r="O774" s="129"/>
      <c r="P774" s="129"/>
      <c r="Q774" s="129"/>
      <c r="R774" s="129"/>
      <c r="S774" s="129"/>
      <c r="T774" s="129"/>
      <c r="U774" s="106"/>
      <c r="V774" s="106"/>
      <c r="W774" s="106"/>
      <c r="X774" s="106"/>
      <c r="Y774" s="106"/>
      <c r="Z774" s="129"/>
      <c r="AA774" s="129"/>
      <c r="AB774" s="129"/>
      <c r="AC774" s="129"/>
      <c r="AD774" s="129"/>
      <c r="AE774" s="129"/>
      <c r="AF774" s="129"/>
      <c r="AG774" s="117"/>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c r="BK774" s="124"/>
      <c r="BL774" s="124"/>
      <c r="BM774" s="124"/>
      <c r="BN774" s="124"/>
      <c r="BO774" s="124"/>
      <c r="BP774" s="124"/>
      <c r="BQ774" s="124"/>
      <c r="BR774" s="124"/>
      <c r="BS774" s="124"/>
      <c r="BT774" s="124"/>
      <c r="BU774" s="124"/>
      <c r="BV774" s="124"/>
      <c r="BW774" s="124"/>
      <c r="BX774" s="124"/>
      <c r="BY774" s="124"/>
      <c r="BZ774" s="124"/>
      <c r="CA774" s="124"/>
    </row>
    <row r="775">
      <c r="A775" s="141"/>
      <c r="B775" s="107"/>
      <c r="C775" s="107"/>
      <c r="D775" s="143"/>
      <c r="E775" s="129"/>
      <c r="F775" s="129"/>
      <c r="G775" s="129"/>
      <c r="H775" s="129"/>
      <c r="I775" s="129"/>
      <c r="J775" s="129"/>
      <c r="K775" s="129"/>
      <c r="L775" s="129"/>
      <c r="M775" s="129"/>
      <c r="N775" s="129"/>
      <c r="O775" s="129"/>
      <c r="P775" s="129"/>
      <c r="Q775" s="129"/>
      <c r="R775" s="129"/>
      <c r="S775" s="129"/>
      <c r="T775" s="129"/>
      <c r="U775" s="106"/>
      <c r="V775" s="106"/>
      <c r="W775" s="106"/>
      <c r="X775" s="106"/>
      <c r="Y775" s="106"/>
      <c r="Z775" s="129"/>
      <c r="AA775" s="129"/>
      <c r="AB775" s="129"/>
      <c r="AC775" s="129"/>
      <c r="AD775" s="129"/>
      <c r="AE775" s="129"/>
      <c r="AF775" s="129"/>
      <c r="AG775" s="117"/>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c r="BK775" s="124"/>
      <c r="BL775" s="124"/>
      <c r="BM775" s="124"/>
      <c r="BN775" s="124"/>
      <c r="BO775" s="124"/>
      <c r="BP775" s="124"/>
      <c r="BQ775" s="124"/>
      <c r="BR775" s="124"/>
      <c r="BS775" s="124"/>
      <c r="BT775" s="124"/>
      <c r="BU775" s="124"/>
      <c r="BV775" s="124"/>
      <c r="BW775" s="124"/>
      <c r="BX775" s="124"/>
      <c r="BY775" s="124"/>
      <c r="BZ775" s="124"/>
      <c r="CA775" s="124"/>
    </row>
    <row r="776">
      <c r="A776" s="141"/>
      <c r="B776" s="107"/>
      <c r="C776" s="107"/>
      <c r="D776" s="143"/>
      <c r="E776" s="129"/>
      <c r="F776" s="129"/>
      <c r="G776" s="129"/>
      <c r="H776" s="129"/>
      <c r="I776" s="129"/>
      <c r="J776" s="129"/>
      <c r="K776" s="129"/>
      <c r="L776" s="129"/>
      <c r="M776" s="129"/>
      <c r="N776" s="129"/>
      <c r="O776" s="129"/>
      <c r="P776" s="129"/>
      <c r="Q776" s="129"/>
      <c r="R776" s="129"/>
      <c r="S776" s="129"/>
      <c r="T776" s="129"/>
      <c r="U776" s="106"/>
      <c r="V776" s="106"/>
      <c r="W776" s="106"/>
      <c r="X776" s="106"/>
      <c r="Y776" s="106"/>
      <c r="Z776" s="129"/>
      <c r="AA776" s="129"/>
      <c r="AB776" s="129"/>
      <c r="AC776" s="129"/>
      <c r="AD776" s="129"/>
      <c r="AE776" s="129"/>
      <c r="AF776" s="129"/>
      <c r="AG776" s="117"/>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c r="BK776" s="124"/>
      <c r="BL776" s="124"/>
      <c r="BM776" s="124"/>
      <c r="BN776" s="124"/>
      <c r="BO776" s="124"/>
      <c r="BP776" s="124"/>
      <c r="BQ776" s="124"/>
      <c r="BR776" s="124"/>
      <c r="BS776" s="124"/>
      <c r="BT776" s="124"/>
      <c r="BU776" s="124"/>
      <c r="BV776" s="124"/>
      <c r="BW776" s="124"/>
      <c r="BX776" s="124"/>
      <c r="BY776" s="124"/>
      <c r="BZ776" s="124"/>
      <c r="CA776" s="124"/>
    </row>
    <row r="777">
      <c r="A777" s="141"/>
      <c r="B777" s="107"/>
      <c r="C777" s="107"/>
      <c r="D777" s="143"/>
      <c r="E777" s="129"/>
      <c r="F777" s="129"/>
      <c r="G777" s="129"/>
      <c r="H777" s="129"/>
      <c r="I777" s="129"/>
      <c r="J777" s="129"/>
      <c r="K777" s="129"/>
      <c r="L777" s="129"/>
      <c r="M777" s="129"/>
      <c r="N777" s="129"/>
      <c r="O777" s="129"/>
      <c r="P777" s="129"/>
      <c r="Q777" s="129"/>
      <c r="R777" s="129"/>
      <c r="S777" s="129"/>
      <c r="T777" s="129"/>
      <c r="U777" s="106"/>
      <c r="V777" s="106"/>
      <c r="W777" s="106"/>
      <c r="X777" s="106"/>
      <c r="Y777" s="106"/>
      <c r="Z777" s="129"/>
      <c r="AA777" s="129"/>
      <c r="AB777" s="129"/>
      <c r="AC777" s="129"/>
      <c r="AD777" s="129"/>
      <c r="AE777" s="129"/>
      <c r="AF777" s="129"/>
      <c r="AG777" s="117"/>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c r="BK777" s="124"/>
      <c r="BL777" s="124"/>
      <c r="BM777" s="124"/>
      <c r="BN777" s="124"/>
      <c r="BO777" s="124"/>
      <c r="BP777" s="124"/>
      <c r="BQ777" s="124"/>
      <c r="BR777" s="124"/>
      <c r="BS777" s="124"/>
      <c r="BT777" s="124"/>
      <c r="BU777" s="124"/>
      <c r="BV777" s="124"/>
      <c r="BW777" s="124"/>
      <c r="BX777" s="124"/>
      <c r="BY777" s="124"/>
      <c r="BZ777" s="124"/>
      <c r="CA777" s="124"/>
    </row>
    <row r="778">
      <c r="A778" s="141"/>
      <c r="B778" s="107"/>
      <c r="C778" s="107"/>
      <c r="D778" s="143"/>
      <c r="E778" s="129"/>
      <c r="F778" s="129"/>
      <c r="G778" s="129"/>
      <c r="H778" s="129"/>
      <c r="I778" s="129"/>
      <c r="J778" s="129"/>
      <c r="K778" s="129"/>
      <c r="L778" s="129"/>
      <c r="M778" s="129"/>
      <c r="N778" s="129"/>
      <c r="O778" s="129"/>
      <c r="P778" s="129"/>
      <c r="Q778" s="129"/>
      <c r="R778" s="129"/>
      <c r="S778" s="129"/>
      <c r="T778" s="129"/>
      <c r="U778" s="106"/>
      <c r="V778" s="106"/>
      <c r="W778" s="106"/>
      <c r="X778" s="106"/>
      <c r="Y778" s="106"/>
      <c r="Z778" s="129"/>
      <c r="AA778" s="129"/>
      <c r="AB778" s="129"/>
      <c r="AC778" s="129"/>
      <c r="AD778" s="129"/>
      <c r="AE778" s="129"/>
      <c r="AF778" s="129"/>
      <c r="AG778" s="117"/>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c r="BK778" s="124"/>
      <c r="BL778" s="124"/>
      <c r="BM778" s="124"/>
      <c r="BN778" s="124"/>
      <c r="BO778" s="124"/>
      <c r="BP778" s="124"/>
      <c r="BQ778" s="124"/>
      <c r="BR778" s="124"/>
      <c r="BS778" s="124"/>
      <c r="BT778" s="124"/>
      <c r="BU778" s="124"/>
      <c r="BV778" s="124"/>
      <c r="BW778" s="124"/>
      <c r="BX778" s="124"/>
      <c r="BY778" s="124"/>
      <c r="BZ778" s="124"/>
      <c r="CA778" s="124"/>
    </row>
    <row r="779">
      <c r="A779" s="141"/>
      <c r="B779" s="107"/>
      <c r="C779" s="107"/>
      <c r="D779" s="143"/>
      <c r="E779" s="129"/>
      <c r="F779" s="129"/>
      <c r="G779" s="129"/>
      <c r="H779" s="129"/>
      <c r="I779" s="129"/>
      <c r="J779" s="129"/>
      <c r="K779" s="129"/>
      <c r="L779" s="129"/>
      <c r="M779" s="129"/>
      <c r="N779" s="129"/>
      <c r="O779" s="129"/>
      <c r="P779" s="129"/>
      <c r="Q779" s="129"/>
      <c r="R779" s="129"/>
      <c r="S779" s="129"/>
      <c r="T779" s="129"/>
      <c r="U779" s="106"/>
      <c r="V779" s="106"/>
      <c r="W779" s="106"/>
      <c r="X779" s="106"/>
      <c r="Y779" s="106"/>
      <c r="Z779" s="129"/>
      <c r="AA779" s="129"/>
      <c r="AB779" s="129"/>
      <c r="AC779" s="129"/>
      <c r="AD779" s="129"/>
      <c r="AE779" s="129"/>
      <c r="AF779" s="129"/>
      <c r="AG779" s="117"/>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c r="BK779" s="124"/>
      <c r="BL779" s="124"/>
      <c r="BM779" s="124"/>
      <c r="BN779" s="124"/>
      <c r="BO779" s="124"/>
      <c r="BP779" s="124"/>
      <c r="BQ779" s="124"/>
      <c r="BR779" s="124"/>
      <c r="BS779" s="124"/>
      <c r="BT779" s="124"/>
      <c r="BU779" s="124"/>
      <c r="BV779" s="124"/>
      <c r="BW779" s="124"/>
      <c r="BX779" s="124"/>
      <c r="BY779" s="124"/>
      <c r="BZ779" s="124"/>
      <c r="CA779" s="124"/>
    </row>
    <row r="780">
      <c r="A780" s="141"/>
      <c r="B780" s="107"/>
      <c r="C780" s="107"/>
      <c r="D780" s="143"/>
      <c r="E780" s="129"/>
      <c r="F780" s="129"/>
      <c r="G780" s="129"/>
      <c r="H780" s="129"/>
      <c r="I780" s="129"/>
      <c r="J780" s="129"/>
      <c r="K780" s="129"/>
      <c r="L780" s="129"/>
      <c r="M780" s="129"/>
      <c r="N780" s="129"/>
      <c r="O780" s="129"/>
      <c r="P780" s="129"/>
      <c r="Q780" s="129"/>
      <c r="R780" s="129"/>
      <c r="S780" s="129"/>
      <c r="T780" s="129"/>
      <c r="U780" s="106"/>
      <c r="V780" s="106"/>
      <c r="W780" s="106"/>
      <c r="X780" s="106"/>
      <c r="Y780" s="106"/>
      <c r="Z780" s="129"/>
      <c r="AA780" s="129"/>
      <c r="AB780" s="129"/>
      <c r="AC780" s="129"/>
      <c r="AD780" s="129"/>
      <c r="AE780" s="129"/>
      <c r="AF780" s="129"/>
      <c r="AG780" s="117"/>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c r="BK780" s="124"/>
      <c r="BL780" s="124"/>
      <c r="BM780" s="124"/>
      <c r="BN780" s="124"/>
      <c r="BO780" s="124"/>
      <c r="BP780" s="124"/>
      <c r="BQ780" s="124"/>
      <c r="BR780" s="124"/>
      <c r="BS780" s="124"/>
      <c r="BT780" s="124"/>
      <c r="BU780" s="124"/>
      <c r="BV780" s="124"/>
      <c r="BW780" s="124"/>
      <c r="BX780" s="124"/>
      <c r="BY780" s="124"/>
      <c r="BZ780" s="124"/>
      <c r="CA780" s="124"/>
    </row>
    <row r="781">
      <c r="A781" s="141"/>
      <c r="B781" s="107"/>
      <c r="C781" s="107"/>
      <c r="D781" s="143"/>
      <c r="E781" s="129"/>
      <c r="F781" s="129"/>
      <c r="G781" s="129"/>
      <c r="H781" s="129"/>
      <c r="I781" s="129"/>
      <c r="J781" s="129"/>
      <c r="K781" s="129"/>
      <c r="L781" s="129"/>
      <c r="M781" s="129"/>
      <c r="N781" s="129"/>
      <c r="O781" s="129"/>
      <c r="P781" s="129"/>
      <c r="Q781" s="129"/>
      <c r="R781" s="129"/>
      <c r="S781" s="129"/>
      <c r="T781" s="129"/>
      <c r="U781" s="106"/>
      <c r="V781" s="106"/>
      <c r="W781" s="106"/>
      <c r="X781" s="106"/>
      <c r="Y781" s="106"/>
      <c r="Z781" s="129"/>
      <c r="AA781" s="129"/>
      <c r="AB781" s="129"/>
      <c r="AC781" s="129"/>
      <c r="AD781" s="129"/>
      <c r="AE781" s="129"/>
      <c r="AF781" s="129"/>
      <c r="AG781" s="117"/>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c r="BK781" s="124"/>
      <c r="BL781" s="124"/>
      <c r="BM781" s="124"/>
      <c r="BN781" s="124"/>
      <c r="BO781" s="124"/>
      <c r="BP781" s="124"/>
      <c r="BQ781" s="124"/>
      <c r="BR781" s="124"/>
      <c r="BS781" s="124"/>
      <c r="BT781" s="124"/>
      <c r="BU781" s="124"/>
      <c r="BV781" s="124"/>
      <c r="BW781" s="124"/>
      <c r="BX781" s="124"/>
      <c r="BY781" s="124"/>
      <c r="BZ781" s="124"/>
      <c r="CA781" s="124"/>
    </row>
    <row r="782">
      <c r="A782" s="141"/>
      <c r="B782" s="107"/>
      <c r="C782" s="107"/>
      <c r="D782" s="143"/>
      <c r="E782" s="129"/>
      <c r="F782" s="129"/>
      <c r="G782" s="129"/>
      <c r="H782" s="129"/>
      <c r="I782" s="129"/>
      <c r="J782" s="129"/>
      <c r="K782" s="129"/>
      <c r="L782" s="129"/>
      <c r="M782" s="129"/>
      <c r="N782" s="129"/>
      <c r="O782" s="129"/>
      <c r="P782" s="129"/>
      <c r="Q782" s="129"/>
      <c r="R782" s="129"/>
      <c r="S782" s="129"/>
      <c r="T782" s="129"/>
      <c r="U782" s="106"/>
      <c r="V782" s="106"/>
      <c r="W782" s="106"/>
      <c r="X782" s="106"/>
      <c r="Y782" s="106"/>
      <c r="Z782" s="129"/>
      <c r="AA782" s="129"/>
      <c r="AB782" s="129"/>
      <c r="AC782" s="129"/>
      <c r="AD782" s="129"/>
      <c r="AE782" s="129"/>
      <c r="AF782" s="129"/>
      <c r="AG782" s="117"/>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c r="BK782" s="124"/>
      <c r="BL782" s="124"/>
      <c r="BM782" s="124"/>
      <c r="BN782" s="124"/>
      <c r="BO782" s="124"/>
      <c r="BP782" s="124"/>
      <c r="BQ782" s="124"/>
      <c r="BR782" s="124"/>
      <c r="BS782" s="124"/>
      <c r="BT782" s="124"/>
      <c r="BU782" s="124"/>
      <c r="BV782" s="124"/>
      <c r="BW782" s="124"/>
      <c r="BX782" s="124"/>
      <c r="BY782" s="124"/>
      <c r="BZ782" s="124"/>
      <c r="CA782" s="124"/>
    </row>
    <row r="783">
      <c r="A783" s="141"/>
      <c r="B783" s="107"/>
      <c r="C783" s="107"/>
      <c r="D783" s="143"/>
      <c r="E783" s="129"/>
      <c r="F783" s="129"/>
      <c r="G783" s="129"/>
      <c r="H783" s="129"/>
      <c r="I783" s="129"/>
      <c r="J783" s="129"/>
      <c r="K783" s="129"/>
      <c r="L783" s="129"/>
      <c r="M783" s="129"/>
      <c r="N783" s="129"/>
      <c r="O783" s="129"/>
      <c r="P783" s="129"/>
      <c r="Q783" s="129"/>
      <c r="R783" s="129"/>
      <c r="S783" s="129"/>
      <c r="T783" s="129"/>
      <c r="U783" s="106"/>
      <c r="V783" s="106"/>
      <c r="W783" s="106"/>
      <c r="X783" s="106"/>
      <c r="Y783" s="106"/>
      <c r="Z783" s="129"/>
      <c r="AA783" s="129"/>
      <c r="AB783" s="129"/>
      <c r="AC783" s="129"/>
      <c r="AD783" s="129"/>
      <c r="AE783" s="129"/>
      <c r="AF783" s="129"/>
      <c r="AG783" s="117"/>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c r="BK783" s="124"/>
      <c r="BL783" s="124"/>
      <c r="BM783" s="124"/>
      <c r="BN783" s="124"/>
      <c r="BO783" s="124"/>
      <c r="BP783" s="124"/>
      <c r="BQ783" s="124"/>
      <c r="BR783" s="124"/>
      <c r="BS783" s="124"/>
      <c r="BT783" s="124"/>
      <c r="BU783" s="124"/>
      <c r="BV783" s="124"/>
      <c r="BW783" s="124"/>
      <c r="BX783" s="124"/>
      <c r="BY783" s="124"/>
      <c r="BZ783" s="124"/>
      <c r="CA783" s="124"/>
    </row>
    <row r="784">
      <c r="A784" s="141"/>
      <c r="B784" s="107"/>
      <c r="C784" s="107"/>
      <c r="D784" s="143"/>
      <c r="E784" s="129"/>
      <c r="F784" s="129"/>
      <c r="G784" s="129"/>
      <c r="H784" s="129"/>
      <c r="I784" s="129"/>
      <c r="J784" s="129"/>
      <c r="K784" s="129"/>
      <c r="L784" s="129"/>
      <c r="M784" s="129"/>
      <c r="N784" s="129"/>
      <c r="O784" s="129"/>
      <c r="P784" s="129"/>
      <c r="Q784" s="129"/>
      <c r="R784" s="129"/>
      <c r="S784" s="129"/>
      <c r="T784" s="129"/>
      <c r="U784" s="106"/>
      <c r="V784" s="106"/>
      <c r="W784" s="106"/>
      <c r="X784" s="106"/>
      <c r="Y784" s="106"/>
      <c r="Z784" s="129"/>
      <c r="AA784" s="129"/>
      <c r="AB784" s="129"/>
      <c r="AC784" s="129"/>
      <c r="AD784" s="129"/>
      <c r="AE784" s="129"/>
      <c r="AF784" s="129"/>
      <c r="AG784" s="117"/>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c r="BK784" s="124"/>
      <c r="BL784" s="124"/>
      <c r="BM784" s="124"/>
      <c r="BN784" s="124"/>
      <c r="BO784" s="124"/>
      <c r="BP784" s="124"/>
      <c r="BQ784" s="124"/>
      <c r="BR784" s="124"/>
      <c r="BS784" s="124"/>
      <c r="BT784" s="124"/>
      <c r="BU784" s="124"/>
      <c r="BV784" s="124"/>
      <c r="BW784" s="124"/>
      <c r="BX784" s="124"/>
      <c r="BY784" s="124"/>
      <c r="BZ784" s="124"/>
      <c r="CA784" s="124"/>
    </row>
    <row r="785">
      <c r="A785" s="141"/>
      <c r="B785" s="107"/>
      <c r="C785" s="107"/>
      <c r="D785" s="143"/>
      <c r="E785" s="129"/>
      <c r="F785" s="129"/>
      <c r="G785" s="129"/>
      <c r="H785" s="129"/>
      <c r="I785" s="129"/>
      <c r="J785" s="129"/>
      <c r="K785" s="129"/>
      <c r="L785" s="129"/>
      <c r="M785" s="129"/>
      <c r="N785" s="129"/>
      <c r="O785" s="129"/>
      <c r="P785" s="129"/>
      <c r="Q785" s="129"/>
      <c r="R785" s="129"/>
      <c r="S785" s="129"/>
      <c r="T785" s="129"/>
      <c r="U785" s="106"/>
      <c r="V785" s="106"/>
      <c r="W785" s="106"/>
      <c r="X785" s="106"/>
      <c r="Y785" s="106"/>
      <c r="Z785" s="129"/>
      <c r="AA785" s="129"/>
      <c r="AB785" s="129"/>
      <c r="AC785" s="129"/>
      <c r="AD785" s="129"/>
      <c r="AE785" s="129"/>
      <c r="AF785" s="129"/>
      <c r="AG785" s="117"/>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c r="BK785" s="124"/>
      <c r="BL785" s="124"/>
      <c r="BM785" s="124"/>
      <c r="BN785" s="124"/>
      <c r="BO785" s="124"/>
      <c r="BP785" s="124"/>
      <c r="BQ785" s="124"/>
      <c r="BR785" s="124"/>
      <c r="BS785" s="124"/>
      <c r="BT785" s="124"/>
      <c r="BU785" s="124"/>
      <c r="BV785" s="124"/>
      <c r="BW785" s="124"/>
      <c r="BX785" s="124"/>
      <c r="BY785" s="124"/>
      <c r="BZ785" s="124"/>
      <c r="CA785" s="124"/>
    </row>
    <row r="786">
      <c r="A786" s="141"/>
      <c r="B786" s="107"/>
      <c r="C786" s="107"/>
      <c r="D786" s="143"/>
      <c r="E786" s="129"/>
      <c r="F786" s="129"/>
      <c r="G786" s="129"/>
      <c r="H786" s="129"/>
      <c r="I786" s="129"/>
      <c r="J786" s="129"/>
      <c r="K786" s="129"/>
      <c r="L786" s="129"/>
      <c r="M786" s="129"/>
      <c r="N786" s="129"/>
      <c r="O786" s="129"/>
      <c r="P786" s="129"/>
      <c r="Q786" s="129"/>
      <c r="R786" s="129"/>
      <c r="S786" s="129"/>
      <c r="T786" s="129"/>
      <c r="U786" s="106"/>
      <c r="V786" s="106"/>
      <c r="W786" s="106"/>
      <c r="X786" s="106"/>
      <c r="Y786" s="106"/>
      <c r="Z786" s="129"/>
      <c r="AA786" s="129"/>
      <c r="AB786" s="129"/>
      <c r="AC786" s="129"/>
      <c r="AD786" s="129"/>
      <c r="AE786" s="129"/>
      <c r="AF786" s="129"/>
      <c r="AG786" s="117"/>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c r="BK786" s="124"/>
      <c r="BL786" s="124"/>
      <c r="BM786" s="124"/>
      <c r="BN786" s="124"/>
      <c r="BO786" s="124"/>
      <c r="BP786" s="124"/>
      <c r="BQ786" s="124"/>
      <c r="BR786" s="124"/>
      <c r="BS786" s="124"/>
      <c r="BT786" s="124"/>
      <c r="BU786" s="124"/>
      <c r="BV786" s="124"/>
      <c r="BW786" s="124"/>
      <c r="BX786" s="124"/>
      <c r="BY786" s="124"/>
      <c r="BZ786" s="124"/>
      <c r="CA786" s="124"/>
    </row>
    <row r="787">
      <c r="A787" s="141"/>
      <c r="B787" s="107"/>
      <c r="C787" s="107"/>
      <c r="D787" s="143"/>
      <c r="E787" s="129"/>
      <c r="F787" s="129"/>
      <c r="G787" s="129"/>
      <c r="H787" s="129"/>
      <c r="I787" s="129"/>
      <c r="J787" s="129"/>
      <c r="K787" s="129"/>
      <c r="L787" s="129"/>
      <c r="M787" s="129"/>
      <c r="N787" s="129"/>
      <c r="O787" s="129"/>
      <c r="P787" s="129"/>
      <c r="Q787" s="129"/>
      <c r="R787" s="129"/>
      <c r="S787" s="129"/>
      <c r="T787" s="129"/>
      <c r="U787" s="106"/>
      <c r="V787" s="106"/>
      <c r="W787" s="106"/>
      <c r="X787" s="106"/>
      <c r="Y787" s="106"/>
      <c r="Z787" s="129"/>
      <c r="AA787" s="129"/>
      <c r="AB787" s="129"/>
      <c r="AC787" s="129"/>
      <c r="AD787" s="129"/>
      <c r="AE787" s="129"/>
      <c r="AF787" s="129"/>
      <c r="AG787" s="117"/>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c r="BK787" s="124"/>
      <c r="BL787" s="124"/>
      <c r="BM787" s="124"/>
      <c r="BN787" s="124"/>
      <c r="BO787" s="124"/>
      <c r="BP787" s="124"/>
      <c r="BQ787" s="124"/>
      <c r="BR787" s="124"/>
      <c r="BS787" s="124"/>
      <c r="BT787" s="124"/>
      <c r="BU787" s="124"/>
      <c r="BV787" s="124"/>
      <c r="BW787" s="124"/>
      <c r="BX787" s="124"/>
      <c r="BY787" s="124"/>
      <c r="BZ787" s="124"/>
      <c r="CA787" s="124"/>
    </row>
    <row r="788">
      <c r="A788" s="141"/>
      <c r="B788" s="107"/>
      <c r="C788" s="107"/>
      <c r="D788" s="143"/>
      <c r="E788" s="129"/>
      <c r="F788" s="129"/>
      <c r="G788" s="129"/>
      <c r="H788" s="129"/>
      <c r="I788" s="129"/>
      <c r="J788" s="129"/>
      <c r="K788" s="129"/>
      <c r="L788" s="129"/>
      <c r="M788" s="129"/>
      <c r="N788" s="129"/>
      <c r="O788" s="129"/>
      <c r="P788" s="129"/>
      <c r="Q788" s="129"/>
      <c r="R788" s="129"/>
      <c r="S788" s="129"/>
      <c r="T788" s="129"/>
      <c r="U788" s="106"/>
      <c r="V788" s="106"/>
      <c r="W788" s="106"/>
      <c r="X788" s="106"/>
      <c r="Y788" s="106"/>
      <c r="Z788" s="129"/>
      <c r="AA788" s="129"/>
      <c r="AB788" s="129"/>
      <c r="AC788" s="129"/>
      <c r="AD788" s="129"/>
      <c r="AE788" s="129"/>
      <c r="AF788" s="129"/>
      <c r="AG788" s="117"/>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c r="BK788" s="124"/>
      <c r="BL788" s="124"/>
      <c r="BM788" s="124"/>
      <c r="BN788" s="124"/>
      <c r="BO788" s="124"/>
      <c r="BP788" s="124"/>
      <c r="BQ788" s="124"/>
      <c r="BR788" s="124"/>
      <c r="BS788" s="124"/>
      <c r="BT788" s="124"/>
      <c r="BU788" s="124"/>
      <c r="BV788" s="124"/>
      <c r="BW788" s="124"/>
      <c r="BX788" s="124"/>
      <c r="BY788" s="124"/>
      <c r="BZ788" s="124"/>
      <c r="CA788" s="124"/>
    </row>
    <row r="789">
      <c r="A789" s="141"/>
      <c r="B789" s="107"/>
      <c r="C789" s="107"/>
      <c r="D789" s="143"/>
      <c r="E789" s="129"/>
      <c r="F789" s="129"/>
      <c r="G789" s="129"/>
      <c r="H789" s="129"/>
      <c r="I789" s="129"/>
      <c r="J789" s="129"/>
      <c r="K789" s="129"/>
      <c r="L789" s="129"/>
      <c r="M789" s="129"/>
      <c r="N789" s="129"/>
      <c r="O789" s="129"/>
      <c r="P789" s="129"/>
      <c r="Q789" s="129"/>
      <c r="R789" s="129"/>
      <c r="S789" s="129"/>
      <c r="T789" s="129"/>
      <c r="U789" s="106"/>
      <c r="V789" s="106"/>
      <c r="W789" s="106"/>
      <c r="X789" s="106"/>
      <c r="Y789" s="106"/>
      <c r="Z789" s="129"/>
      <c r="AA789" s="129"/>
      <c r="AB789" s="129"/>
      <c r="AC789" s="129"/>
      <c r="AD789" s="129"/>
      <c r="AE789" s="129"/>
      <c r="AF789" s="129"/>
      <c r="AG789" s="117"/>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c r="BK789" s="124"/>
      <c r="BL789" s="124"/>
      <c r="BM789" s="124"/>
      <c r="BN789" s="124"/>
      <c r="BO789" s="124"/>
      <c r="BP789" s="124"/>
      <c r="BQ789" s="124"/>
      <c r="BR789" s="124"/>
      <c r="BS789" s="124"/>
      <c r="BT789" s="124"/>
      <c r="BU789" s="124"/>
      <c r="BV789" s="124"/>
      <c r="BW789" s="124"/>
      <c r="BX789" s="124"/>
      <c r="BY789" s="124"/>
      <c r="BZ789" s="124"/>
      <c r="CA789" s="124"/>
    </row>
    <row r="790">
      <c r="A790" s="141"/>
      <c r="B790" s="107"/>
      <c r="C790" s="107"/>
      <c r="D790" s="143"/>
      <c r="E790" s="129"/>
      <c r="F790" s="129"/>
      <c r="G790" s="129"/>
      <c r="H790" s="129"/>
      <c r="I790" s="129"/>
      <c r="J790" s="129"/>
      <c r="K790" s="129"/>
      <c r="L790" s="129"/>
      <c r="M790" s="129"/>
      <c r="N790" s="129"/>
      <c r="O790" s="129"/>
      <c r="P790" s="129"/>
      <c r="Q790" s="129"/>
      <c r="R790" s="129"/>
      <c r="S790" s="129"/>
      <c r="T790" s="129"/>
      <c r="U790" s="106"/>
      <c r="V790" s="106"/>
      <c r="W790" s="106"/>
      <c r="X790" s="106"/>
      <c r="Y790" s="106"/>
      <c r="Z790" s="129"/>
      <c r="AA790" s="129"/>
      <c r="AB790" s="129"/>
      <c r="AC790" s="129"/>
      <c r="AD790" s="129"/>
      <c r="AE790" s="129"/>
      <c r="AF790" s="129"/>
      <c r="AG790" s="117"/>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c r="BK790" s="124"/>
      <c r="BL790" s="124"/>
      <c r="BM790" s="124"/>
      <c r="BN790" s="124"/>
      <c r="BO790" s="124"/>
      <c r="BP790" s="124"/>
      <c r="BQ790" s="124"/>
      <c r="BR790" s="124"/>
      <c r="BS790" s="124"/>
      <c r="BT790" s="124"/>
      <c r="BU790" s="124"/>
      <c r="BV790" s="124"/>
      <c r="BW790" s="124"/>
      <c r="BX790" s="124"/>
      <c r="BY790" s="124"/>
      <c r="BZ790" s="124"/>
      <c r="CA790" s="124"/>
    </row>
    <row r="791">
      <c r="A791" s="141"/>
      <c r="B791" s="107"/>
      <c r="C791" s="107"/>
      <c r="D791" s="143"/>
      <c r="E791" s="129"/>
      <c r="F791" s="129"/>
      <c r="G791" s="129"/>
      <c r="H791" s="129"/>
      <c r="I791" s="129"/>
      <c r="J791" s="129"/>
      <c r="K791" s="129"/>
      <c r="L791" s="129"/>
      <c r="M791" s="129"/>
      <c r="N791" s="129"/>
      <c r="O791" s="129"/>
      <c r="P791" s="129"/>
      <c r="Q791" s="129"/>
      <c r="R791" s="129"/>
      <c r="S791" s="129"/>
      <c r="T791" s="129"/>
      <c r="U791" s="106"/>
      <c r="V791" s="106"/>
      <c r="W791" s="106"/>
      <c r="X791" s="106"/>
      <c r="Y791" s="106"/>
      <c r="Z791" s="129"/>
      <c r="AA791" s="129"/>
      <c r="AB791" s="129"/>
      <c r="AC791" s="129"/>
      <c r="AD791" s="129"/>
      <c r="AE791" s="129"/>
      <c r="AF791" s="129"/>
      <c r="AG791" s="117"/>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c r="BK791" s="124"/>
      <c r="BL791" s="124"/>
      <c r="BM791" s="124"/>
      <c r="BN791" s="124"/>
      <c r="BO791" s="124"/>
      <c r="BP791" s="124"/>
      <c r="BQ791" s="124"/>
      <c r="BR791" s="124"/>
      <c r="BS791" s="124"/>
      <c r="BT791" s="124"/>
      <c r="BU791" s="124"/>
      <c r="BV791" s="124"/>
      <c r="BW791" s="124"/>
      <c r="BX791" s="124"/>
      <c r="BY791" s="124"/>
      <c r="BZ791" s="124"/>
      <c r="CA791" s="124"/>
    </row>
    <row r="792">
      <c r="A792" s="141"/>
      <c r="B792" s="107"/>
      <c r="C792" s="107"/>
      <c r="D792" s="143"/>
      <c r="E792" s="129"/>
      <c r="F792" s="129"/>
      <c r="G792" s="129"/>
      <c r="H792" s="129"/>
      <c r="I792" s="129"/>
      <c r="J792" s="129"/>
      <c r="K792" s="129"/>
      <c r="L792" s="129"/>
      <c r="M792" s="129"/>
      <c r="N792" s="129"/>
      <c r="O792" s="129"/>
      <c r="P792" s="129"/>
      <c r="Q792" s="129"/>
      <c r="R792" s="129"/>
      <c r="S792" s="129"/>
      <c r="T792" s="129"/>
      <c r="U792" s="106"/>
      <c r="V792" s="106"/>
      <c r="W792" s="106"/>
      <c r="X792" s="106"/>
      <c r="Y792" s="106"/>
      <c r="Z792" s="129"/>
      <c r="AA792" s="129"/>
      <c r="AB792" s="129"/>
      <c r="AC792" s="129"/>
      <c r="AD792" s="129"/>
      <c r="AE792" s="129"/>
      <c r="AF792" s="129"/>
      <c r="AG792" s="117"/>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c r="BK792" s="124"/>
      <c r="BL792" s="124"/>
      <c r="BM792" s="124"/>
      <c r="BN792" s="124"/>
      <c r="BO792" s="124"/>
      <c r="BP792" s="124"/>
      <c r="BQ792" s="124"/>
      <c r="BR792" s="124"/>
      <c r="BS792" s="124"/>
      <c r="BT792" s="124"/>
      <c r="BU792" s="124"/>
      <c r="BV792" s="124"/>
      <c r="BW792" s="124"/>
      <c r="BX792" s="124"/>
      <c r="BY792" s="124"/>
      <c r="BZ792" s="124"/>
      <c r="CA792" s="124"/>
    </row>
    <row r="793">
      <c r="A793" s="141"/>
      <c r="B793" s="107"/>
      <c r="C793" s="107"/>
      <c r="D793" s="143"/>
      <c r="E793" s="129"/>
      <c r="F793" s="129"/>
      <c r="G793" s="129"/>
      <c r="H793" s="129"/>
      <c r="I793" s="129"/>
      <c r="J793" s="129"/>
      <c r="K793" s="129"/>
      <c r="L793" s="129"/>
      <c r="M793" s="129"/>
      <c r="N793" s="129"/>
      <c r="O793" s="129"/>
      <c r="P793" s="129"/>
      <c r="Q793" s="129"/>
      <c r="R793" s="129"/>
      <c r="S793" s="129"/>
      <c r="T793" s="129"/>
      <c r="U793" s="106"/>
      <c r="V793" s="106"/>
      <c r="W793" s="106"/>
      <c r="X793" s="106"/>
      <c r="Y793" s="106"/>
      <c r="Z793" s="129"/>
      <c r="AA793" s="129"/>
      <c r="AB793" s="129"/>
      <c r="AC793" s="129"/>
      <c r="AD793" s="129"/>
      <c r="AE793" s="129"/>
      <c r="AF793" s="129"/>
      <c r="AG793" s="117"/>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c r="BK793" s="124"/>
      <c r="BL793" s="124"/>
      <c r="BM793" s="124"/>
      <c r="BN793" s="124"/>
      <c r="BO793" s="124"/>
      <c r="BP793" s="124"/>
      <c r="BQ793" s="124"/>
      <c r="BR793" s="124"/>
      <c r="BS793" s="124"/>
      <c r="BT793" s="124"/>
      <c r="BU793" s="124"/>
      <c r="BV793" s="124"/>
      <c r="BW793" s="124"/>
      <c r="BX793" s="124"/>
      <c r="BY793" s="124"/>
      <c r="BZ793" s="124"/>
      <c r="CA793" s="124"/>
    </row>
    <row r="794">
      <c r="A794" s="141"/>
      <c r="B794" s="107"/>
      <c r="C794" s="107"/>
      <c r="D794" s="143"/>
      <c r="E794" s="129"/>
      <c r="F794" s="129"/>
      <c r="G794" s="129"/>
      <c r="H794" s="129"/>
      <c r="I794" s="129"/>
      <c r="J794" s="129"/>
      <c r="K794" s="129"/>
      <c r="L794" s="129"/>
      <c r="M794" s="129"/>
      <c r="N794" s="129"/>
      <c r="O794" s="129"/>
      <c r="P794" s="129"/>
      <c r="Q794" s="129"/>
      <c r="R794" s="129"/>
      <c r="S794" s="129"/>
      <c r="T794" s="129"/>
      <c r="U794" s="106"/>
      <c r="V794" s="106"/>
      <c r="W794" s="106"/>
      <c r="X794" s="106"/>
      <c r="Y794" s="106"/>
      <c r="Z794" s="129"/>
      <c r="AA794" s="129"/>
      <c r="AB794" s="129"/>
      <c r="AC794" s="129"/>
      <c r="AD794" s="129"/>
      <c r="AE794" s="129"/>
      <c r="AF794" s="129"/>
      <c r="AG794" s="117"/>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c r="BK794" s="124"/>
      <c r="BL794" s="124"/>
      <c r="BM794" s="124"/>
      <c r="BN794" s="124"/>
      <c r="BO794" s="124"/>
      <c r="BP794" s="124"/>
      <c r="BQ794" s="124"/>
      <c r="BR794" s="124"/>
      <c r="BS794" s="124"/>
      <c r="BT794" s="124"/>
      <c r="BU794" s="124"/>
      <c r="BV794" s="124"/>
      <c r="BW794" s="124"/>
      <c r="BX794" s="124"/>
      <c r="BY794" s="124"/>
      <c r="BZ794" s="124"/>
      <c r="CA794" s="124"/>
    </row>
    <row r="795">
      <c r="A795" s="141"/>
      <c r="B795" s="107"/>
      <c r="C795" s="107"/>
      <c r="D795" s="143"/>
      <c r="E795" s="129"/>
      <c r="F795" s="129"/>
      <c r="G795" s="129"/>
      <c r="H795" s="129"/>
      <c r="I795" s="129"/>
      <c r="J795" s="129"/>
      <c r="K795" s="129"/>
      <c r="L795" s="129"/>
      <c r="M795" s="129"/>
      <c r="N795" s="129"/>
      <c r="O795" s="129"/>
      <c r="P795" s="129"/>
      <c r="Q795" s="129"/>
      <c r="R795" s="129"/>
      <c r="S795" s="129"/>
      <c r="T795" s="129"/>
      <c r="U795" s="106"/>
      <c r="V795" s="106"/>
      <c r="W795" s="106"/>
      <c r="X795" s="106"/>
      <c r="Y795" s="106"/>
      <c r="Z795" s="129"/>
      <c r="AA795" s="129"/>
      <c r="AB795" s="129"/>
      <c r="AC795" s="129"/>
      <c r="AD795" s="129"/>
      <c r="AE795" s="129"/>
      <c r="AF795" s="129"/>
      <c r="AG795" s="117"/>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c r="BK795" s="124"/>
      <c r="BL795" s="124"/>
      <c r="BM795" s="124"/>
      <c r="BN795" s="124"/>
      <c r="BO795" s="124"/>
      <c r="BP795" s="124"/>
      <c r="BQ795" s="124"/>
      <c r="BR795" s="124"/>
      <c r="BS795" s="124"/>
      <c r="BT795" s="124"/>
      <c r="BU795" s="124"/>
      <c r="BV795" s="124"/>
      <c r="BW795" s="124"/>
      <c r="BX795" s="124"/>
      <c r="BY795" s="124"/>
      <c r="BZ795" s="124"/>
      <c r="CA795" s="124"/>
    </row>
    <row r="796">
      <c r="A796" s="141"/>
      <c r="B796" s="107"/>
      <c r="C796" s="107"/>
      <c r="D796" s="143"/>
      <c r="E796" s="129"/>
      <c r="F796" s="129"/>
      <c r="G796" s="129"/>
      <c r="H796" s="129"/>
      <c r="I796" s="129"/>
      <c r="J796" s="129"/>
      <c r="K796" s="129"/>
      <c r="L796" s="129"/>
      <c r="M796" s="129"/>
      <c r="N796" s="129"/>
      <c r="O796" s="129"/>
      <c r="P796" s="129"/>
      <c r="Q796" s="129"/>
      <c r="R796" s="129"/>
      <c r="S796" s="129"/>
      <c r="T796" s="129"/>
      <c r="U796" s="106"/>
      <c r="V796" s="106"/>
      <c r="W796" s="106"/>
      <c r="X796" s="106"/>
      <c r="Y796" s="106"/>
      <c r="Z796" s="129"/>
      <c r="AA796" s="129"/>
      <c r="AB796" s="129"/>
      <c r="AC796" s="129"/>
      <c r="AD796" s="129"/>
      <c r="AE796" s="129"/>
      <c r="AF796" s="129"/>
      <c r="AG796" s="117"/>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c r="BK796" s="124"/>
      <c r="BL796" s="124"/>
      <c r="BM796" s="124"/>
      <c r="BN796" s="124"/>
      <c r="BO796" s="124"/>
      <c r="BP796" s="124"/>
      <c r="BQ796" s="124"/>
      <c r="BR796" s="124"/>
      <c r="BS796" s="124"/>
      <c r="BT796" s="124"/>
      <c r="BU796" s="124"/>
      <c r="BV796" s="124"/>
      <c r="BW796" s="124"/>
      <c r="BX796" s="124"/>
      <c r="BY796" s="124"/>
      <c r="BZ796" s="124"/>
      <c r="CA796" s="124"/>
    </row>
    <row r="797">
      <c r="A797" s="141"/>
      <c r="B797" s="107"/>
      <c r="C797" s="107"/>
      <c r="D797" s="143"/>
      <c r="E797" s="129"/>
      <c r="F797" s="129"/>
      <c r="G797" s="129"/>
      <c r="H797" s="129"/>
      <c r="I797" s="129"/>
      <c r="J797" s="129"/>
      <c r="K797" s="129"/>
      <c r="L797" s="129"/>
      <c r="M797" s="129"/>
      <c r="N797" s="129"/>
      <c r="O797" s="129"/>
      <c r="P797" s="129"/>
      <c r="Q797" s="129"/>
      <c r="R797" s="129"/>
      <c r="S797" s="129"/>
      <c r="T797" s="129"/>
      <c r="U797" s="106"/>
      <c r="V797" s="106"/>
      <c r="W797" s="106"/>
      <c r="X797" s="106"/>
      <c r="Y797" s="106"/>
      <c r="Z797" s="129"/>
      <c r="AA797" s="129"/>
      <c r="AB797" s="129"/>
      <c r="AC797" s="129"/>
      <c r="AD797" s="129"/>
      <c r="AE797" s="129"/>
      <c r="AF797" s="129"/>
      <c r="AG797" s="117"/>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c r="BK797" s="124"/>
      <c r="BL797" s="124"/>
      <c r="BM797" s="124"/>
      <c r="BN797" s="124"/>
      <c r="BO797" s="124"/>
      <c r="BP797" s="124"/>
      <c r="BQ797" s="124"/>
      <c r="BR797" s="124"/>
      <c r="BS797" s="124"/>
      <c r="BT797" s="124"/>
      <c r="BU797" s="124"/>
      <c r="BV797" s="124"/>
      <c r="BW797" s="124"/>
      <c r="BX797" s="124"/>
      <c r="BY797" s="124"/>
      <c r="BZ797" s="124"/>
      <c r="CA797" s="124"/>
    </row>
    <row r="798">
      <c r="A798" s="141"/>
      <c r="B798" s="107"/>
      <c r="C798" s="107"/>
      <c r="D798" s="143"/>
      <c r="E798" s="129"/>
      <c r="F798" s="129"/>
      <c r="G798" s="129"/>
      <c r="H798" s="129"/>
      <c r="I798" s="129"/>
      <c r="J798" s="129"/>
      <c r="K798" s="129"/>
      <c r="L798" s="129"/>
      <c r="M798" s="129"/>
      <c r="N798" s="129"/>
      <c r="O798" s="129"/>
      <c r="P798" s="129"/>
      <c r="Q798" s="129"/>
      <c r="R798" s="129"/>
      <c r="S798" s="129"/>
      <c r="T798" s="129"/>
      <c r="U798" s="106"/>
      <c r="V798" s="106"/>
      <c r="W798" s="106"/>
      <c r="X798" s="106"/>
      <c r="Y798" s="106"/>
      <c r="Z798" s="129"/>
      <c r="AA798" s="129"/>
      <c r="AB798" s="129"/>
      <c r="AC798" s="129"/>
      <c r="AD798" s="129"/>
      <c r="AE798" s="129"/>
      <c r="AF798" s="129"/>
      <c r="AG798" s="117"/>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c r="BK798" s="124"/>
      <c r="BL798" s="124"/>
      <c r="BM798" s="124"/>
      <c r="BN798" s="124"/>
      <c r="BO798" s="124"/>
      <c r="BP798" s="124"/>
      <c r="BQ798" s="124"/>
      <c r="BR798" s="124"/>
      <c r="BS798" s="124"/>
      <c r="BT798" s="124"/>
      <c r="BU798" s="124"/>
      <c r="BV798" s="124"/>
      <c r="BW798" s="124"/>
      <c r="BX798" s="124"/>
      <c r="BY798" s="124"/>
      <c r="BZ798" s="124"/>
      <c r="CA798" s="124"/>
    </row>
    <row r="799">
      <c r="A799" s="141"/>
      <c r="B799" s="107"/>
      <c r="C799" s="107"/>
      <c r="D799" s="143"/>
      <c r="E799" s="129"/>
      <c r="F799" s="129"/>
      <c r="G799" s="129"/>
      <c r="H799" s="129"/>
      <c r="I799" s="129"/>
      <c r="J799" s="129"/>
      <c r="K799" s="129"/>
      <c r="L799" s="129"/>
      <c r="M799" s="129"/>
      <c r="N799" s="129"/>
      <c r="O799" s="129"/>
      <c r="P799" s="129"/>
      <c r="Q799" s="129"/>
      <c r="R799" s="129"/>
      <c r="S799" s="129"/>
      <c r="T799" s="129"/>
      <c r="U799" s="106"/>
      <c r="V799" s="106"/>
      <c r="W799" s="106"/>
      <c r="X799" s="106"/>
      <c r="Y799" s="106"/>
      <c r="Z799" s="129"/>
      <c r="AA799" s="129"/>
      <c r="AB799" s="129"/>
      <c r="AC799" s="129"/>
      <c r="AD799" s="129"/>
      <c r="AE799" s="129"/>
      <c r="AF799" s="129"/>
      <c r="AG799" s="117"/>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c r="BK799" s="124"/>
      <c r="BL799" s="124"/>
      <c r="BM799" s="124"/>
      <c r="BN799" s="124"/>
      <c r="BO799" s="124"/>
      <c r="BP799" s="124"/>
      <c r="BQ799" s="124"/>
      <c r="BR799" s="124"/>
      <c r="BS799" s="124"/>
      <c r="BT799" s="124"/>
      <c r="BU799" s="124"/>
      <c r="BV799" s="124"/>
      <c r="BW799" s="124"/>
      <c r="BX799" s="124"/>
      <c r="BY799" s="124"/>
      <c r="BZ799" s="124"/>
      <c r="CA799" s="124"/>
    </row>
    <row r="800">
      <c r="A800" s="141"/>
      <c r="B800" s="107"/>
      <c r="C800" s="107"/>
      <c r="D800" s="143"/>
      <c r="E800" s="129"/>
      <c r="F800" s="129"/>
      <c r="G800" s="129"/>
      <c r="H800" s="129"/>
      <c r="I800" s="129"/>
      <c r="J800" s="129"/>
      <c r="K800" s="129"/>
      <c r="L800" s="129"/>
      <c r="M800" s="129"/>
      <c r="N800" s="129"/>
      <c r="O800" s="129"/>
      <c r="P800" s="129"/>
      <c r="Q800" s="129"/>
      <c r="R800" s="129"/>
      <c r="S800" s="129"/>
      <c r="T800" s="129"/>
      <c r="U800" s="106"/>
      <c r="V800" s="106"/>
      <c r="W800" s="106"/>
      <c r="X800" s="106"/>
      <c r="Y800" s="106"/>
      <c r="Z800" s="129"/>
      <c r="AA800" s="129"/>
      <c r="AB800" s="129"/>
      <c r="AC800" s="129"/>
      <c r="AD800" s="129"/>
      <c r="AE800" s="129"/>
      <c r="AF800" s="129"/>
      <c r="AG800" s="117"/>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c r="BK800" s="124"/>
      <c r="BL800" s="124"/>
      <c r="BM800" s="124"/>
      <c r="BN800" s="124"/>
      <c r="BO800" s="124"/>
      <c r="BP800" s="124"/>
      <c r="BQ800" s="124"/>
      <c r="BR800" s="124"/>
      <c r="BS800" s="124"/>
      <c r="BT800" s="124"/>
      <c r="BU800" s="124"/>
      <c r="BV800" s="124"/>
      <c r="BW800" s="124"/>
      <c r="BX800" s="124"/>
      <c r="BY800" s="124"/>
      <c r="BZ800" s="124"/>
      <c r="CA800" s="124"/>
    </row>
    <row r="801">
      <c r="A801" s="141"/>
      <c r="B801" s="107"/>
      <c r="C801" s="107"/>
      <c r="D801" s="143"/>
      <c r="E801" s="129"/>
      <c r="F801" s="129"/>
      <c r="G801" s="129"/>
      <c r="H801" s="129"/>
      <c r="I801" s="129"/>
      <c r="J801" s="129"/>
      <c r="K801" s="129"/>
      <c r="L801" s="129"/>
      <c r="M801" s="129"/>
      <c r="N801" s="129"/>
      <c r="O801" s="129"/>
      <c r="P801" s="129"/>
      <c r="Q801" s="129"/>
      <c r="R801" s="129"/>
      <c r="S801" s="129"/>
      <c r="T801" s="129"/>
      <c r="U801" s="106"/>
      <c r="V801" s="106"/>
      <c r="W801" s="106"/>
      <c r="X801" s="106"/>
      <c r="Y801" s="106"/>
      <c r="Z801" s="129"/>
      <c r="AA801" s="129"/>
      <c r="AB801" s="129"/>
      <c r="AC801" s="129"/>
      <c r="AD801" s="129"/>
      <c r="AE801" s="129"/>
      <c r="AF801" s="129"/>
      <c r="AG801" s="117"/>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c r="BK801" s="124"/>
      <c r="BL801" s="124"/>
      <c r="BM801" s="124"/>
      <c r="BN801" s="124"/>
      <c r="BO801" s="124"/>
      <c r="BP801" s="124"/>
      <c r="BQ801" s="124"/>
      <c r="BR801" s="124"/>
      <c r="BS801" s="124"/>
      <c r="BT801" s="124"/>
      <c r="BU801" s="124"/>
      <c r="BV801" s="124"/>
      <c r="BW801" s="124"/>
      <c r="BX801" s="124"/>
      <c r="BY801" s="124"/>
      <c r="BZ801" s="124"/>
      <c r="CA801" s="124"/>
    </row>
    <row r="802">
      <c r="A802" s="141"/>
      <c r="B802" s="107"/>
      <c r="C802" s="107"/>
      <c r="D802" s="143"/>
      <c r="E802" s="129"/>
      <c r="F802" s="129"/>
      <c r="G802" s="129"/>
      <c r="H802" s="129"/>
      <c r="I802" s="129"/>
      <c r="J802" s="129"/>
      <c r="K802" s="129"/>
      <c r="L802" s="129"/>
      <c r="M802" s="129"/>
      <c r="N802" s="129"/>
      <c r="O802" s="129"/>
      <c r="P802" s="129"/>
      <c r="Q802" s="129"/>
      <c r="R802" s="129"/>
      <c r="S802" s="129"/>
      <c r="T802" s="129"/>
      <c r="U802" s="106"/>
      <c r="V802" s="106"/>
      <c r="W802" s="106"/>
      <c r="X802" s="106"/>
      <c r="Y802" s="106"/>
      <c r="Z802" s="129"/>
      <c r="AA802" s="129"/>
      <c r="AB802" s="129"/>
      <c r="AC802" s="129"/>
      <c r="AD802" s="129"/>
      <c r="AE802" s="129"/>
      <c r="AF802" s="129"/>
      <c r="AG802" s="117"/>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c r="BK802" s="124"/>
      <c r="BL802" s="124"/>
      <c r="BM802" s="124"/>
      <c r="BN802" s="124"/>
      <c r="BO802" s="124"/>
      <c r="BP802" s="124"/>
      <c r="BQ802" s="124"/>
      <c r="BR802" s="124"/>
      <c r="BS802" s="124"/>
      <c r="BT802" s="124"/>
      <c r="BU802" s="124"/>
      <c r="BV802" s="124"/>
      <c r="BW802" s="124"/>
      <c r="BX802" s="124"/>
      <c r="BY802" s="124"/>
      <c r="BZ802" s="124"/>
      <c r="CA802" s="124"/>
    </row>
    <row r="803">
      <c r="A803" s="141"/>
      <c r="B803" s="107"/>
      <c r="C803" s="107"/>
      <c r="D803" s="143"/>
      <c r="E803" s="129"/>
      <c r="F803" s="129"/>
      <c r="G803" s="129"/>
      <c r="H803" s="129"/>
      <c r="I803" s="129"/>
      <c r="J803" s="129"/>
      <c r="K803" s="129"/>
      <c r="L803" s="129"/>
      <c r="M803" s="129"/>
      <c r="N803" s="129"/>
      <c r="O803" s="129"/>
      <c r="P803" s="129"/>
      <c r="Q803" s="129"/>
      <c r="R803" s="129"/>
      <c r="S803" s="129"/>
      <c r="T803" s="129"/>
      <c r="U803" s="106"/>
      <c r="V803" s="106"/>
      <c r="W803" s="106"/>
      <c r="X803" s="106"/>
      <c r="Y803" s="106"/>
      <c r="Z803" s="129"/>
      <c r="AA803" s="129"/>
      <c r="AB803" s="129"/>
      <c r="AC803" s="129"/>
      <c r="AD803" s="129"/>
      <c r="AE803" s="129"/>
      <c r="AF803" s="129"/>
      <c r="AG803" s="117"/>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c r="BK803" s="124"/>
      <c r="BL803" s="124"/>
      <c r="BM803" s="124"/>
      <c r="BN803" s="124"/>
      <c r="BO803" s="124"/>
      <c r="BP803" s="124"/>
      <c r="BQ803" s="124"/>
      <c r="BR803" s="124"/>
      <c r="BS803" s="124"/>
      <c r="BT803" s="124"/>
      <c r="BU803" s="124"/>
      <c r="BV803" s="124"/>
      <c r="BW803" s="124"/>
      <c r="BX803" s="124"/>
      <c r="BY803" s="124"/>
      <c r="BZ803" s="124"/>
      <c r="CA803" s="124"/>
    </row>
    <row r="804">
      <c r="A804" s="141"/>
      <c r="B804" s="107"/>
      <c r="C804" s="107"/>
      <c r="D804" s="143"/>
      <c r="E804" s="129"/>
      <c r="F804" s="129"/>
      <c r="G804" s="129"/>
      <c r="H804" s="129"/>
      <c r="I804" s="129"/>
      <c r="J804" s="129"/>
      <c r="K804" s="129"/>
      <c r="L804" s="129"/>
      <c r="M804" s="129"/>
      <c r="N804" s="129"/>
      <c r="O804" s="129"/>
      <c r="P804" s="129"/>
      <c r="Q804" s="129"/>
      <c r="R804" s="129"/>
      <c r="S804" s="129"/>
      <c r="T804" s="129"/>
      <c r="U804" s="106"/>
      <c r="V804" s="106"/>
      <c r="W804" s="106"/>
      <c r="X804" s="106"/>
      <c r="Y804" s="106"/>
      <c r="Z804" s="129"/>
      <c r="AA804" s="129"/>
      <c r="AB804" s="129"/>
      <c r="AC804" s="129"/>
      <c r="AD804" s="129"/>
      <c r="AE804" s="129"/>
      <c r="AF804" s="129"/>
      <c r="AG804" s="117"/>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c r="BK804" s="124"/>
      <c r="BL804" s="124"/>
      <c r="BM804" s="124"/>
      <c r="BN804" s="124"/>
      <c r="BO804" s="124"/>
      <c r="BP804" s="124"/>
      <c r="BQ804" s="124"/>
      <c r="BR804" s="124"/>
      <c r="BS804" s="124"/>
      <c r="BT804" s="124"/>
      <c r="BU804" s="124"/>
      <c r="BV804" s="124"/>
      <c r="BW804" s="124"/>
      <c r="BX804" s="124"/>
      <c r="BY804" s="124"/>
      <c r="BZ804" s="124"/>
      <c r="CA804" s="124"/>
    </row>
    <row r="805">
      <c r="A805" s="141"/>
      <c r="B805" s="107"/>
      <c r="C805" s="107"/>
      <c r="D805" s="143"/>
      <c r="E805" s="129"/>
      <c r="F805" s="129"/>
      <c r="G805" s="129"/>
      <c r="H805" s="129"/>
      <c r="I805" s="129"/>
      <c r="J805" s="129"/>
      <c r="K805" s="129"/>
      <c r="L805" s="129"/>
      <c r="M805" s="129"/>
      <c r="N805" s="129"/>
      <c r="O805" s="129"/>
      <c r="P805" s="129"/>
      <c r="Q805" s="129"/>
      <c r="R805" s="129"/>
      <c r="S805" s="129"/>
      <c r="T805" s="129"/>
      <c r="U805" s="106"/>
      <c r="V805" s="106"/>
      <c r="W805" s="106"/>
      <c r="X805" s="106"/>
      <c r="Y805" s="106"/>
      <c r="Z805" s="129"/>
      <c r="AA805" s="129"/>
      <c r="AB805" s="129"/>
      <c r="AC805" s="129"/>
      <c r="AD805" s="129"/>
      <c r="AE805" s="129"/>
      <c r="AF805" s="129"/>
      <c r="AG805" s="117"/>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c r="BK805" s="124"/>
      <c r="BL805" s="124"/>
      <c r="BM805" s="124"/>
      <c r="BN805" s="124"/>
      <c r="BO805" s="124"/>
      <c r="BP805" s="124"/>
      <c r="BQ805" s="124"/>
      <c r="BR805" s="124"/>
      <c r="BS805" s="124"/>
      <c r="BT805" s="124"/>
      <c r="BU805" s="124"/>
      <c r="BV805" s="124"/>
      <c r="BW805" s="124"/>
      <c r="BX805" s="124"/>
      <c r="BY805" s="124"/>
      <c r="BZ805" s="124"/>
      <c r="CA805" s="124"/>
    </row>
    <row r="806">
      <c r="A806" s="141"/>
      <c r="B806" s="107"/>
      <c r="C806" s="107"/>
      <c r="D806" s="143"/>
      <c r="E806" s="129"/>
      <c r="F806" s="129"/>
      <c r="G806" s="129"/>
      <c r="H806" s="129"/>
      <c r="I806" s="129"/>
      <c r="J806" s="129"/>
      <c r="K806" s="129"/>
      <c r="L806" s="129"/>
      <c r="M806" s="129"/>
      <c r="N806" s="129"/>
      <c r="O806" s="129"/>
      <c r="P806" s="129"/>
      <c r="Q806" s="129"/>
      <c r="R806" s="129"/>
      <c r="S806" s="129"/>
      <c r="T806" s="129"/>
      <c r="U806" s="106"/>
      <c r="V806" s="106"/>
      <c r="W806" s="106"/>
      <c r="X806" s="106"/>
      <c r="Y806" s="106"/>
      <c r="Z806" s="129"/>
      <c r="AA806" s="129"/>
      <c r="AB806" s="129"/>
      <c r="AC806" s="129"/>
      <c r="AD806" s="129"/>
      <c r="AE806" s="129"/>
      <c r="AF806" s="129"/>
      <c r="AG806" s="117"/>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c r="BK806" s="124"/>
      <c r="BL806" s="124"/>
      <c r="BM806" s="124"/>
      <c r="BN806" s="124"/>
      <c r="BO806" s="124"/>
      <c r="BP806" s="124"/>
      <c r="BQ806" s="124"/>
      <c r="BR806" s="124"/>
      <c r="BS806" s="124"/>
      <c r="BT806" s="124"/>
      <c r="BU806" s="124"/>
      <c r="BV806" s="124"/>
      <c r="BW806" s="124"/>
      <c r="BX806" s="124"/>
      <c r="BY806" s="124"/>
      <c r="BZ806" s="124"/>
      <c r="CA806" s="124"/>
    </row>
    <row r="807">
      <c r="A807" s="141"/>
      <c r="B807" s="107"/>
      <c r="C807" s="107"/>
      <c r="D807" s="143"/>
      <c r="E807" s="129"/>
      <c r="F807" s="129"/>
      <c r="G807" s="129"/>
      <c r="H807" s="129"/>
      <c r="I807" s="129"/>
      <c r="J807" s="129"/>
      <c r="K807" s="129"/>
      <c r="L807" s="129"/>
      <c r="M807" s="129"/>
      <c r="N807" s="129"/>
      <c r="O807" s="129"/>
      <c r="P807" s="129"/>
      <c r="Q807" s="129"/>
      <c r="R807" s="129"/>
      <c r="S807" s="129"/>
      <c r="T807" s="129"/>
      <c r="U807" s="106"/>
      <c r="V807" s="106"/>
      <c r="W807" s="106"/>
      <c r="X807" s="106"/>
      <c r="Y807" s="106"/>
      <c r="Z807" s="129"/>
      <c r="AA807" s="129"/>
      <c r="AB807" s="129"/>
      <c r="AC807" s="129"/>
      <c r="AD807" s="129"/>
      <c r="AE807" s="129"/>
      <c r="AF807" s="129"/>
      <c r="AG807" s="117"/>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c r="BK807" s="124"/>
      <c r="BL807" s="124"/>
      <c r="BM807" s="124"/>
      <c r="BN807" s="124"/>
      <c r="BO807" s="124"/>
      <c r="BP807" s="124"/>
      <c r="BQ807" s="124"/>
      <c r="BR807" s="124"/>
      <c r="BS807" s="124"/>
      <c r="BT807" s="124"/>
      <c r="BU807" s="124"/>
      <c r="BV807" s="124"/>
      <c r="BW807" s="124"/>
      <c r="BX807" s="124"/>
      <c r="BY807" s="124"/>
      <c r="BZ807" s="124"/>
      <c r="CA807" s="124"/>
    </row>
    <row r="808">
      <c r="A808" s="141"/>
      <c r="B808" s="107"/>
      <c r="C808" s="107"/>
      <c r="D808" s="143"/>
      <c r="E808" s="129"/>
      <c r="F808" s="129"/>
      <c r="G808" s="129"/>
      <c r="H808" s="129"/>
      <c r="I808" s="129"/>
      <c r="J808" s="129"/>
      <c r="K808" s="129"/>
      <c r="L808" s="129"/>
      <c r="M808" s="129"/>
      <c r="N808" s="129"/>
      <c r="O808" s="129"/>
      <c r="P808" s="129"/>
      <c r="Q808" s="129"/>
      <c r="R808" s="129"/>
      <c r="S808" s="129"/>
      <c r="T808" s="129"/>
      <c r="U808" s="106"/>
      <c r="V808" s="106"/>
      <c r="W808" s="106"/>
      <c r="X808" s="106"/>
      <c r="Y808" s="106"/>
      <c r="Z808" s="129"/>
      <c r="AA808" s="129"/>
      <c r="AB808" s="129"/>
      <c r="AC808" s="129"/>
      <c r="AD808" s="129"/>
      <c r="AE808" s="129"/>
      <c r="AF808" s="129"/>
      <c r="AG808" s="117"/>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c r="BK808" s="124"/>
      <c r="BL808" s="124"/>
      <c r="BM808" s="124"/>
      <c r="BN808" s="124"/>
      <c r="BO808" s="124"/>
      <c r="BP808" s="124"/>
      <c r="BQ808" s="124"/>
      <c r="BR808" s="124"/>
      <c r="BS808" s="124"/>
      <c r="BT808" s="124"/>
      <c r="BU808" s="124"/>
      <c r="BV808" s="124"/>
      <c r="BW808" s="124"/>
      <c r="BX808" s="124"/>
      <c r="BY808" s="124"/>
      <c r="BZ808" s="124"/>
      <c r="CA808" s="124"/>
    </row>
    <row r="809">
      <c r="A809" s="141"/>
      <c r="B809" s="107"/>
      <c r="C809" s="107"/>
      <c r="D809" s="143"/>
      <c r="E809" s="129"/>
      <c r="F809" s="129"/>
      <c r="G809" s="129"/>
      <c r="H809" s="129"/>
      <c r="I809" s="129"/>
      <c r="J809" s="129"/>
      <c r="K809" s="129"/>
      <c r="L809" s="129"/>
      <c r="M809" s="129"/>
      <c r="N809" s="129"/>
      <c r="O809" s="129"/>
      <c r="P809" s="129"/>
      <c r="Q809" s="129"/>
      <c r="R809" s="129"/>
      <c r="S809" s="129"/>
      <c r="T809" s="129"/>
      <c r="U809" s="106"/>
      <c r="V809" s="106"/>
      <c r="W809" s="106"/>
      <c r="X809" s="106"/>
      <c r="Y809" s="106"/>
      <c r="Z809" s="129"/>
      <c r="AA809" s="129"/>
      <c r="AB809" s="129"/>
      <c r="AC809" s="129"/>
      <c r="AD809" s="129"/>
      <c r="AE809" s="129"/>
      <c r="AF809" s="129"/>
      <c r="AG809" s="117"/>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c r="BK809" s="124"/>
      <c r="BL809" s="124"/>
      <c r="BM809" s="124"/>
      <c r="BN809" s="124"/>
      <c r="BO809" s="124"/>
      <c r="BP809" s="124"/>
      <c r="BQ809" s="124"/>
      <c r="BR809" s="124"/>
      <c r="BS809" s="124"/>
      <c r="BT809" s="124"/>
      <c r="BU809" s="124"/>
      <c r="BV809" s="124"/>
      <c r="BW809" s="124"/>
      <c r="BX809" s="124"/>
      <c r="BY809" s="124"/>
      <c r="BZ809" s="124"/>
      <c r="CA809" s="124"/>
    </row>
    <row r="810">
      <c r="A810" s="141"/>
      <c r="B810" s="107"/>
      <c r="C810" s="107"/>
      <c r="D810" s="143"/>
      <c r="E810" s="129"/>
      <c r="F810" s="129"/>
      <c r="G810" s="129"/>
      <c r="H810" s="129"/>
      <c r="I810" s="129"/>
      <c r="J810" s="129"/>
      <c r="K810" s="129"/>
      <c r="L810" s="129"/>
      <c r="M810" s="129"/>
      <c r="N810" s="129"/>
      <c r="O810" s="129"/>
      <c r="P810" s="129"/>
      <c r="Q810" s="129"/>
      <c r="R810" s="129"/>
      <c r="S810" s="129"/>
      <c r="T810" s="129"/>
      <c r="U810" s="106"/>
      <c r="V810" s="106"/>
      <c r="W810" s="106"/>
      <c r="X810" s="106"/>
      <c r="Y810" s="106"/>
      <c r="Z810" s="129"/>
      <c r="AA810" s="129"/>
      <c r="AB810" s="129"/>
      <c r="AC810" s="129"/>
      <c r="AD810" s="129"/>
      <c r="AE810" s="129"/>
      <c r="AF810" s="129"/>
      <c r="AG810" s="117"/>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c r="BK810" s="124"/>
      <c r="BL810" s="124"/>
      <c r="BM810" s="124"/>
      <c r="BN810" s="124"/>
      <c r="BO810" s="124"/>
      <c r="BP810" s="124"/>
      <c r="BQ810" s="124"/>
      <c r="BR810" s="124"/>
      <c r="BS810" s="124"/>
      <c r="BT810" s="124"/>
      <c r="BU810" s="124"/>
      <c r="BV810" s="124"/>
      <c r="BW810" s="124"/>
      <c r="BX810" s="124"/>
      <c r="BY810" s="124"/>
      <c r="BZ810" s="124"/>
      <c r="CA810" s="124"/>
    </row>
    <row r="811">
      <c r="A811" s="141"/>
      <c r="B811" s="107"/>
      <c r="C811" s="107"/>
      <c r="D811" s="143"/>
      <c r="E811" s="129"/>
      <c r="F811" s="129"/>
      <c r="G811" s="129"/>
      <c r="H811" s="129"/>
      <c r="I811" s="129"/>
      <c r="J811" s="129"/>
      <c r="K811" s="129"/>
      <c r="L811" s="129"/>
      <c r="M811" s="129"/>
      <c r="N811" s="129"/>
      <c r="O811" s="129"/>
      <c r="P811" s="129"/>
      <c r="Q811" s="129"/>
      <c r="R811" s="129"/>
      <c r="S811" s="129"/>
      <c r="T811" s="129"/>
      <c r="U811" s="106"/>
      <c r="V811" s="106"/>
      <c r="W811" s="106"/>
      <c r="X811" s="106"/>
      <c r="Y811" s="106"/>
      <c r="Z811" s="129"/>
      <c r="AA811" s="129"/>
      <c r="AB811" s="129"/>
      <c r="AC811" s="129"/>
      <c r="AD811" s="129"/>
      <c r="AE811" s="129"/>
      <c r="AF811" s="129"/>
      <c r="AG811" s="117"/>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c r="BK811" s="124"/>
      <c r="BL811" s="124"/>
      <c r="BM811" s="124"/>
      <c r="BN811" s="124"/>
      <c r="BO811" s="124"/>
      <c r="BP811" s="124"/>
      <c r="BQ811" s="124"/>
      <c r="BR811" s="124"/>
      <c r="BS811" s="124"/>
      <c r="BT811" s="124"/>
      <c r="BU811" s="124"/>
      <c r="BV811" s="124"/>
      <c r="BW811" s="124"/>
      <c r="BX811" s="124"/>
      <c r="BY811" s="124"/>
      <c r="BZ811" s="124"/>
      <c r="CA811" s="124"/>
    </row>
    <row r="812">
      <c r="A812" s="141"/>
      <c r="B812" s="107"/>
      <c r="C812" s="107"/>
      <c r="D812" s="143"/>
      <c r="E812" s="129"/>
      <c r="F812" s="129"/>
      <c r="G812" s="129"/>
      <c r="H812" s="129"/>
      <c r="I812" s="129"/>
      <c r="J812" s="129"/>
      <c r="K812" s="129"/>
      <c r="L812" s="129"/>
      <c r="M812" s="129"/>
      <c r="N812" s="129"/>
      <c r="O812" s="129"/>
      <c r="P812" s="129"/>
      <c r="Q812" s="129"/>
      <c r="R812" s="129"/>
      <c r="S812" s="129"/>
      <c r="T812" s="129"/>
      <c r="U812" s="106"/>
      <c r="V812" s="106"/>
      <c r="W812" s="106"/>
      <c r="X812" s="106"/>
      <c r="Y812" s="106"/>
      <c r="Z812" s="129"/>
      <c r="AA812" s="129"/>
      <c r="AB812" s="129"/>
      <c r="AC812" s="129"/>
      <c r="AD812" s="129"/>
      <c r="AE812" s="129"/>
      <c r="AF812" s="129"/>
      <c r="AG812" s="117"/>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c r="BK812" s="124"/>
      <c r="BL812" s="124"/>
      <c r="BM812" s="124"/>
      <c r="BN812" s="124"/>
      <c r="BO812" s="124"/>
      <c r="BP812" s="124"/>
      <c r="BQ812" s="124"/>
      <c r="BR812" s="124"/>
      <c r="BS812" s="124"/>
      <c r="BT812" s="124"/>
      <c r="BU812" s="124"/>
      <c r="BV812" s="124"/>
      <c r="BW812" s="124"/>
      <c r="BX812" s="124"/>
      <c r="BY812" s="124"/>
      <c r="BZ812" s="124"/>
      <c r="CA812" s="124"/>
    </row>
    <row r="813">
      <c r="A813" s="141"/>
      <c r="B813" s="107"/>
      <c r="C813" s="107"/>
      <c r="D813" s="143"/>
      <c r="E813" s="129"/>
      <c r="F813" s="129"/>
      <c r="G813" s="129"/>
      <c r="H813" s="129"/>
      <c r="I813" s="129"/>
      <c r="J813" s="129"/>
      <c r="K813" s="129"/>
      <c r="L813" s="129"/>
      <c r="M813" s="129"/>
      <c r="N813" s="129"/>
      <c r="O813" s="129"/>
      <c r="P813" s="129"/>
      <c r="Q813" s="129"/>
      <c r="R813" s="129"/>
      <c r="S813" s="129"/>
      <c r="T813" s="129"/>
      <c r="U813" s="106"/>
      <c r="V813" s="106"/>
      <c r="W813" s="106"/>
      <c r="X813" s="106"/>
      <c r="Y813" s="106"/>
      <c r="Z813" s="129"/>
      <c r="AA813" s="129"/>
      <c r="AB813" s="129"/>
      <c r="AC813" s="129"/>
      <c r="AD813" s="129"/>
      <c r="AE813" s="129"/>
      <c r="AF813" s="129"/>
      <c r="AG813" s="117"/>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c r="BK813" s="124"/>
      <c r="BL813" s="124"/>
      <c r="BM813" s="124"/>
      <c r="BN813" s="124"/>
      <c r="BO813" s="124"/>
      <c r="BP813" s="124"/>
      <c r="BQ813" s="124"/>
      <c r="BR813" s="124"/>
      <c r="BS813" s="124"/>
      <c r="BT813" s="124"/>
      <c r="BU813" s="124"/>
      <c r="BV813" s="124"/>
      <c r="BW813" s="124"/>
      <c r="BX813" s="124"/>
      <c r="BY813" s="124"/>
      <c r="BZ813" s="124"/>
      <c r="CA813" s="124"/>
    </row>
    <row r="814">
      <c r="A814" s="141"/>
      <c r="B814" s="107"/>
      <c r="C814" s="107"/>
      <c r="D814" s="143"/>
      <c r="E814" s="129"/>
      <c r="F814" s="129"/>
      <c r="G814" s="129"/>
      <c r="H814" s="129"/>
      <c r="I814" s="129"/>
      <c r="J814" s="129"/>
      <c r="K814" s="129"/>
      <c r="L814" s="129"/>
      <c r="M814" s="129"/>
      <c r="N814" s="129"/>
      <c r="O814" s="129"/>
      <c r="P814" s="129"/>
      <c r="Q814" s="129"/>
      <c r="R814" s="129"/>
      <c r="S814" s="129"/>
      <c r="T814" s="129"/>
      <c r="U814" s="106"/>
      <c r="V814" s="106"/>
      <c r="W814" s="106"/>
      <c r="X814" s="106"/>
      <c r="Y814" s="106"/>
      <c r="Z814" s="129"/>
      <c r="AA814" s="129"/>
      <c r="AB814" s="129"/>
      <c r="AC814" s="129"/>
      <c r="AD814" s="129"/>
      <c r="AE814" s="129"/>
      <c r="AF814" s="129"/>
      <c r="AG814" s="117"/>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c r="BK814" s="124"/>
      <c r="BL814" s="124"/>
      <c r="BM814" s="124"/>
      <c r="BN814" s="124"/>
      <c r="BO814" s="124"/>
      <c r="BP814" s="124"/>
      <c r="BQ814" s="124"/>
      <c r="BR814" s="124"/>
      <c r="BS814" s="124"/>
      <c r="BT814" s="124"/>
      <c r="BU814" s="124"/>
      <c r="BV814" s="124"/>
      <c r="BW814" s="124"/>
      <c r="BX814" s="124"/>
      <c r="BY814" s="124"/>
      <c r="BZ814" s="124"/>
      <c r="CA814" s="124"/>
    </row>
    <row r="815">
      <c r="A815" s="141"/>
      <c r="B815" s="107"/>
      <c r="C815" s="107"/>
      <c r="D815" s="143"/>
      <c r="E815" s="129"/>
      <c r="F815" s="129"/>
      <c r="G815" s="129"/>
      <c r="H815" s="129"/>
      <c r="I815" s="129"/>
      <c r="J815" s="129"/>
      <c r="K815" s="129"/>
      <c r="L815" s="129"/>
      <c r="M815" s="129"/>
      <c r="N815" s="129"/>
      <c r="O815" s="129"/>
      <c r="P815" s="129"/>
      <c r="Q815" s="129"/>
      <c r="R815" s="129"/>
      <c r="S815" s="129"/>
      <c r="T815" s="129"/>
      <c r="U815" s="106"/>
      <c r="V815" s="106"/>
      <c r="W815" s="106"/>
      <c r="X815" s="106"/>
      <c r="Y815" s="106"/>
      <c r="Z815" s="129"/>
      <c r="AA815" s="129"/>
      <c r="AB815" s="129"/>
      <c r="AC815" s="129"/>
      <c r="AD815" s="129"/>
      <c r="AE815" s="129"/>
      <c r="AF815" s="129"/>
      <c r="AG815" s="117"/>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c r="BK815" s="124"/>
      <c r="BL815" s="124"/>
      <c r="BM815" s="124"/>
      <c r="BN815" s="124"/>
      <c r="BO815" s="124"/>
      <c r="BP815" s="124"/>
      <c r="BQ815" s="124"/>
      <c r="BR815" s="124"/>
      <c r="BS815" s="124"/>
      <c r="BT815" s="124"/>
      <c r="BU815" s="124"/>
      <c r="BV815" s="124"/>
      <c r="BW815" s="124"/>
      <c r="BX815" s="124"/>
      <c r="BY815" s="124"/>
      <c r="BZ815" s="124"/>
      <c r="CA815" s="124"/>
    </row>
    <row r="816">
      <c r="A816" s="141"/>
      <c r="B816" s="107"/>
      <c r="C816" s="107"/>
      <c r="D816" s="143"/>
      <c r="E816" s="129"/>
      <c r="F816" s="129"/>
      <c r="G816" s="129"/>
      <c r="H816" s="129"/>
      <c r="I816" s="129"/>
      <c r="J816" s="129"/>
      <c r="K816" s="129"/>
      <c r="L816" s="129"/>
      <c r="M816" s="129"/>
      <c r="N816" s="129"/>
      <c r="O816" s="129"/>
      <c r="P816" s="129"/>
      <c r="Q816" s="129"/>
      <c r="R816" s="129"/>
      <c r="S816" s="129"/>
      <c r="T816" s="129"/>
      <c r="U816" s="106"/>
      <c r="V816" s="106"/>
      <c r="W816" s="106"/>
      <c r="X816" s="106"/>
      <c r="Y816" s="106"/>
      <c r="Z816" s="129"/>
      <c r="AA816" s="129"/>
      <c r="AB816" s="129"/>
      <c r="AC816" s="129"/>
      <c r="AD816" s="129"/>
      <c r="AE816" s="129"/>
      <c r="AF816" s="129"/>
      <c r="AG816" s="117"/>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c r="BK816" s="124"/>
      <c r="BL816" s="124"/>
      <c r="BM816" s="124"/>
      <c r="BN816" s="124"/>
      <c r="BO816" s="124"/>
      <c r="BP816" s="124"/>
      <c r="BQ816" s="124"/>
      <c r="BR816" s="124"/>
      <c r="BS816" s="124"/>
      <c r="BT816" s="124"/>
      <c r="BU816" s="124"/>
      <c r="BV816" s="124"/>
      <c r="BW816" s="124"/>
      <c r="BX816" s="124"/>
      <c r="BY816" s="124"/>
      <c r="BZ816" s="124"/>
      <c r="CA816" s="124"/>
    </row>
    <row r="817">
      <c r="A817" s="141"/>
      <c r="B817" s="107"/>
      <c r="C817" s="107"/>
      <c r="D817" s="143"/>
      <c r="E817" s="129"/>
      <c r="F817" s="129"/>
      <c r="G817" s="129"/>
      <c r="H817" s="129"/>
      <c r="I817" s="129"/>
      <c r="J817" s="129"/>
      <c r="K817" s="129"/>
      <c r="L817" s="129"/>
      <c r="M817" s="129"/>
      <c r="N817" s="129"/>
      <c r="O817" s="129"/>
      <c r="P817" s="129"/>
      <c r="Q817" s="129"/>
      <c r="R817" s="129"/>
      <c r="S817" s="129"/>
      <c r="T817" s="129"/>
      <c r="U817" s="106"/>
      <c r="V817" s="106"/>
      <c r="W817" s="106"/>
      <c r="X817" s="106"/>
      <c r="Y817" s="106"/>
      <c r="Z817" s="129"/>
      <c r="AA817" s="129"/>
      <c r="AB817" s="129"/>
      <c r="AC817" s="129"/>
      <c r="AD817" s="129"/>
      <c r="AE817" s="129"/>
      <c r="AF817" s="129"/>
      <c r="AG817" s="117"/>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c r="BK817" s="124"/>
      <c r="BL817" s="124"/>
      <c r="BM817" s="124"/>
      <c r="BN817" s="124"/>
      <c r="BO817" s="124"/>
      <c r="BP817" s="124"/>
      <c r="BQ817" s="124"/>
      <c r="BR817" s="124"/>
      <c r="BS817" s="124"/>
      <c r="BT817" s="124"/>
      <c r="BU817" s="124"/>
      <c r="BV817" s="124"/>
      <c r="BW817" s="124"/>
      <c r="BX817" s="124"/>
      <c r="BY817" s="124"/>
      <c r="BZ817" s="124"/>
      <c r="CA817" s="124"/>
    </row>
    <row r="818">
      <c r="A818" s="141"/>
      <c r="B818" s="107"/>
      <c r="C818" s="107"/>
      <c r="D818" s="143"/>
      <c r="E818" s="129"/>
      <c r="F818" s="129"/>
      <c r="G818" s="129"/>
      <c r="H818" s="129"/>
      <c r="I818" s="129"/>
      <c r="J818" s="129"/>
      <c r="K818" s="129"/>
      <c r="L818" s="129"/>
      <c r="M818" s="129"/>
      <c r="N818" s="129"/>
      <c r="O818" s="129"/>
      <c r="P818" s="129"/>
      <c r="Q818" s="129"/>
      <c r="R818" s="129"/>
      <c r="S818" s="129"/>
      <c r="T818" s="129"/>
      <c r="U818" s="106"/>
      <c r="V818" s="106"/>
      <c r="W818" s="106"/>
      <c r="X818" s="106"/>
      <c r="Y818" s="106"/>
      <c r="Z818" s="129"/>
      <c r="AA818" s="129"/>
      <c r="AB818" s="129"/>
      <c r="AC818" s="129"/>
      <c r="AD818" s="129"/>
      <c r="AE818" s="129"/>
      <c r="AF818" s="129"/>
      <c r="AG818" s="117"/>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c r="BK818" s="124"/>
      <c r="BL818" s="124"/>
      <c r="BM818" s="124"/>
      <c r="BN818" s="124"/>
      <c r="BO818" s="124"/>
      <c r="BP818" s="124"/>
      <c r="BQ818" s="124"/>
      <c r="BR818" s="124"/>
      <c r="BS818" s="124"/>
      <c r="BT818" s="124"/>
      <c r="BU818" s="124"/>
      <c r="BV818" s="124"/>
      <c r="BW818" s="124"/>
      <c r="BX818" s="124"/>
      <c r="BY818" s="124"/>
      <c r="BZ818" s="124"/>
      <c r="CA818" s="124"/>
    </row>
    <row r="819">
      <c r="A819" s="141"/>
      <c r="B819" s="107"/>
      <c r="C819" s="107"/>
      <c r="D819" s="143"/>
      <c r="E819" s="129"/>
      <c r="F819" s="129"/>
      <c r="G819" s="129"/>
      <c r="H819" s="129"/>
      <c r="I819" s="129"/>
      <c r="J819" s="129"/>
      <c r="K819" s="129"/>
      <c r="L819" s="129"/>
      <c r="M819" s="129"/>
      <c r="N819" s="129"/>
      <c r="O819" s="129"/>
      <c r="P819" s="129"/>
      <c r="Q819" s="129"/>
      <c r="R819" s="129"/>
      <c r="S819" s="129"/>
      <c r="T819" s="129"/>
      <c r="U819" s="106"/>
      <c r="V819" s="106"/>
      <c r="W819" s="106"/>
      <c r="X819" s="106"/>
      <c r="Y819" s="106"/>
      <c r="Z819" s="129"/>
      <c r="AA819" s="129"/>
      <c r="AB819" s="129"/>
      <c r="AC819" s="129"/>
      <c r="AD819" s="129"/>
      <c r="AE819" s="129"/>
      <c r="AF819" s="129"/>
      <c r="AG819" s="117"/>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c r="BK819" s="124"/>
      <c r="BL819" s="124"/>
      <c r="BM819" s="124"/>
      <c r="BN819" s="124"/>
      <c r="BO819" s="124"/>
      <c r="BP819" s="124"/>
      <c r="BQ819" s="124"/>
      <c r="BR819" s="124"/>
      <c r="BS819" s="124"/>
      <c r="BT819" s="124"/>
      <c r="BU819" s="124"/>
      <c r="BV819" s="124"/>
      <c r="BW819" s="124"/>
      <c r="BX819" s="124"/>
      <c r="BY819" s="124"/>
      <c r="BZ819" s="124"/>
      <c r="CA819" s="124"/>
    </row>
    <row r="820">
      <c r="A820" s="141"/>
      <c r="B820" s="107"/>
      <c r="C820" s="107"/>
      <c r="D820" s="143"/>
      <c r="E820" s="129"/>
      <c r="F820" s="129"/>
      <c r="G820" s="129"/>
      <c r="H820" s="129"/>
      <c r="I820" s="129"/>
      <c r="J820" s="129"/>
      <c r="K820" s="129"/>
      <c r="L820" s="129"/>
      <c r="M820" s="129"/>
      <c r="N820" s="129"/>
      <c r="O820" s="129"/>
      <c r="P820" s="129"/>
      <c r="Q820" s="129"/>
      <c r="R820" s="129"/>
      <c r="S820" s="129"/>
      <c r="T820" s="129"/>
      <c r="U820" s="106"/>
      <c r="V820" s="106"/>
      <c r="W820" s="106"/>
      <c r="X820" s="106"/>
      <c r="Y820" s="106"/>
      <c r="Z820" s="129"/>
      <c r="AA820" s="129"/>
      <c r="AB820" s="129"/>
      <c r="AC820" s="129"/>
      <c r="AD820" s="129"/>
      <c r="AE820" s="129"/>
      <c r="AF820" s="129"/>
      <c r="AG820" s="117"/>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c r="BK820" s="124"/>
      <c r="BL820" s="124"/>
      <c r="BM820" s="124"/>
      <c r="BN820" s="124"/>
      <c r="BO820" s="124"/>
      <c r="BP820" s="124"/>
      <c r="BQ820" s="124"/>
      <c r="BR820" s="124"/>
      <c r="BS820" s="124"/>
      <c r="BT820" s="124"/>
      <c r="BU820" s="124"/>
      <c r="BV820" s="124"/>
      <c r="BW820" s="124"/>
      <c r="BX820" s="124"/>
      <c r="BY820" s="124"/>
      <c r="BZ820" s="124"/>
      <c r="CA820" s="124"/>
    </row>
    <row r="821">
      <c r="A821" s="141"/>
      <c r="B821" s="107"/>
      <c r="C821" s="107"/>
      <c r="D821" s="143"/>
      <c r="E821" s="129"/>
      <c r="F821" s="129"/>
      <c r="G821" s="129"/>
      <c r="H821" s="129"/>
      <c r="I821" s="129"/>
      <c r="J821" s="129"/>
      <c r="K821" s="129"/>
      <c r="L821" s="129"/>
      <c r="M821" s="129"/>
      <c r="N821" s="129"/>
      <c r="O821" s="129"/>
      <c r="P821" s="129"/>
      <c r="Q821" s="129"/>
      <c r="R821" s="129"/>
      <c r="S821" s="129"/>
      <c r="T821" s="129"/>
      <c r="U821" s="106"/>
      <c r="V821" s="106"/>
      <c r="W821" s="106"/>
      <c r="X821" s="106"/>
      <c r="Y821" s="106"/>
      <c r="Z821" s="129"/>
      <c r="AA821" s="129"/>
      <c r="AB821" s="129"/>
      <c r="AC821" s="129"/>
      <c r="AD821" s="129"/>
      <c r="AE821" s="129"/>
      <c r="AF821" s="129"/>
      <c r="AG821" s="117"/>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c r="BK821" s="124"/>
      <c r="BL821" s="124"/>
      <c r="BM821" s="124"/>
      <c r="BN821" s="124"/>
      <c r="BO821" s="124"/>
      <c r="BP821" s="124"/>
      <c r="BQ821" s="124"/>
      <c r="BR821" s="124"/>
      <c r="BS821" s="124"/>
      <c r="BT821" s="124"/>
      <c r="BU821" s="124"/>
      <c r="BV821" s="124"/>
      <c r="BW821" s="124"/>
      <c r="BX821" s="124"/>
      <c r="BY821" s="124"/>
      <c r="BZ821" s="124"/>
      <c r="CA821" s="124"/>
    </row>
    <row r="822">
      <c r="A822" s="141"/>
      <c r="B822" s="107"/>
      <c r="C822" s="107"/>
      <c r="D822" s="143"/>
      <c r="E822" s="129"/>
      <c r="F822" s="129"/>
      <c r="G822" s="129"/>
      <c r="H822" s="129"/>
      <c r="I822" s="129"/>
      <c r="J822" s="129"/>
      <c r="K822" s="129"/>
      <c r="L822" s="129"/>
      <c r="M822" s="129"/>
      <c r="N822" s="129"/>
      <c r="O822" s="129"/>
      <c r="P822" s="129"/>
      <c r="Q822" s="129"/>
      <c r="R822" s="129"/>
      <c r="S822" s="129"/>
      <c r="T822" s="129"/>
      <c r="U822" s="106"/>
      <c r="V822" s="106"/>
      <c r="W822" s="106"/>
      <c r="X822" s="106"/>
      <c r="Y822" s="106"/>
      <c r="Z822" s="129"/>
      <c r="AA822" s="129"/>
      <c r="AB822" s="129"/>
      <c r="AC822" s="129"/>
      <c r="AD822" s="129"/>
      <c r="AE822" s="129"/>
      <c r="AF822" s="129"/>
      <c r="AG822" s="117"/>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c r="BK822" s="124"/>
      <c r="BL822" s="124"/>
      <c r="BM822" s="124"/>
      <c r="BN822" s="124"/>
      <c r="BO822" s="124"/>
      <c r="BP822" s="124"/>
      <c r="BQ822" s="124"/>
      <c r="BR822" s="124"/>
      <c r="BS822" s="124"/>
      <c r="BT822" s="124"/>
      <c r="BU822" s="124"/>
      <c r="BV822" s="124"/>
      <c r="BW822" s="124"/>
      <c r="BX822" s="124"/>
      <c r="BY822" s="124"/>
      <c r="BZ822" s="124"/>
      <c r="CA822" s="124"/>
    </row>
    <row r="823">
      <c r="A823" s="141"/>
      <c r="B823" s="107"/>
      <c r="C823" s="107"/>
      <c r="D823" s="143"/>
      <c r="E823" s="129"/>
      <c r="F823" s="129"/>
      <c r="G823" s="129"/>
      <c r="H823" s="129"/>
      <c r="I823" s="129"/>
      <c r="J823" s="129"/>
      <c r="K823" s="129"/>
      <c r="L823" s="129"/>
      <c r="M823" s="129"/>
      <c r="N823" s="129"/>
      <c r="O823" s="129"/>
      <c r="P823" s="129"/>
      <c r="Q823" s="129"/>
      <c r="R823" s="129"/>
      <c r="S823" s="129"/>
      <c r="T823" s="129"/>
      <c r="U823" s="106"/>
      <c r="V823" s="106"/>
      <c r="W823" s="106"/>
      <c r="X823" s="106"/>
      <c r="Y823" s="106"/>
      <c r="Z823" s="129"/>
      <c r="AA823" s="129"/>
      <c r="AB823" s="129"/>
      <c r="AC823" s="129"/>
      <c r="AD823" s="129"/>
      <c r="AE823" s="129"/>
      <c r="AF823" s="129"/>
      <c r="AG823" s="117"/>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c r="BK823" s="124"/>
      <c r="BL823" s="124"/>
      <c r="BM823" s="124"/>
      <c r="BN823" s="124"/>
      <c r="BO823" s="124"/>
      <c r="BP823" s="124"/>
      <c r="BQ823" s="124"/>
      <c r="BR823" s="124"/>
      <c r="BS823" s="124"/>
      <c r="BT823" s="124"/>
      <c r="BU823" s="124"/>
      <c r="BV823" s="124"/>
      <c r="BW823" s="124"/>
      <c r="BX823" s="124"/>
      <c r="BY823" s="124"/>
      <c r="BZ823" s="124"/>
      <c r="CA823" s="124"/>
    </row>
    <row r="824">
      <c r="A824" s="141"/>
      <c r="B824" s="107"/>
      <c r="C824" s="107"/>
      <c r="D824" s="143"/>
      <c r="E824" s="129"/>
      <c r="F824" s="129"/>
      <c r="G824" s="129"/>
      <c r="H824" s="129"/>
      <c r="I824" s="129"/>
      <c r="J824" s="129"/>
      <c r="K824" s="129"/>
      <c r="L824" s="129"/>
      <c r="M824" s="129"/>
      <c r="N824" s="129"/>
      <c r="O824" s="129"/>
      <c r="P824" s="129"/>
      <c r="Q824" s="129"/>
      <c r="R824" s="129"/>
      <c r="S824" s="129"/>
      <c r="T824" s="129"/>
      <c r="U824" s="106"/>
      <c r="V824" s="106"/>
      <c r="W824" s="106"/>
      <c r="X824" s="106"/>
      <c r="Y824" s="106"/>
      <c r="Z824" s="129"/>
      <c r="AA824" s="129"/>
      <c r="AB824" s="129"/>
      <c r="AC824" s="129"/>
      <c r="AD824" s="129"/>
      <c r="AE824" s="129"/>
      <c r="AF824" s="129"/>
      <c r="AG824" s="117"/>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c r="BK824" s="124"/>
      <c r="BL824" s="124"/>
      <c r="BM824" s="124"/>
      <c r="BN824" s="124"/>
      <c r="BO824" s="124"/>
      <c r="BP824" s="124"/>
      <c r="BQ824" s="124"/>
      <c r="BR824" s="124"/>
      <c r="BS824" s="124"/>
      <c r="BT824" s="124"/>
      <c r="BU824" s="124"/>
      <c r="BV824" s="124"/>
      <c r="BW824" s="124"/>
      <c r="BX824" s="124"/>
      <c r="BY824" s="124"/>
      <c r="BZ824" s="124"/>
      <c r="CA824" s="124"/>
    </row>
    <row r="825">
      <c r="A825" s="141"/>
      <c r="B825" s="107"/>
      <c r="C825" s="107"/>
      <c r="D825" s="143"/>
      <c r="E825" s="129"/>
      <c r="F825" s="129"/>
      <c r="G825" s="129"/>
      <c r="H825" s="129"/>
      <c r="I825" s="129"/>
      <c r="J825" s="129"/>
      <c r="K825" s="129"/>
      <c r="L825" s="129"/>
      <c r="M825" s="129"/>
      <c r="N825" s="129"/>
      <c r="O825" s="129"/>
      <c r="P825" s="129"/>
      <c r="Q825" s="129"/>
      <c r="R825" s="129"/>
      <c r="S825" s="129"/>
      <c r="T825" s="129"/>
      <c r="U825" s="106"/>
      <c r="V825" s="106"/>
      <c r="W825" s="106"/>
      <c r="X825" s="106"/>
      <c r="Y825" s="106"/>
      <c r="Z825" s="129"/>
      <c r="AA825" s="129"/>
      <c r="AB825" s="129"/>
      <c r="AC825" s="129"/>
      <c r="AD825" s="129"/>
      <c r="AE825" s="129"/>
      <c r="AF825" s="129"/>
      <c r="AG825" s="117"/>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c r="BK825" s="124"/>
      <c r="BL825" s="124"/>
      <c r="BM825" s="124"/>
      <c r="BN825" s="124"/>
      <c r="BO825" s="124"/>
      <c r="BP825" s="124"/>
      <c r="BQ825" s="124"/>
      <c r="BR825" s="124"/>
      <c r="BS825" s="124"/>
      <c r="BT825" s="124"/>
      <c r="BU825" s="124"/>
      <c r="BV825" s="124"/>
      <c r="BW825" s="124"/>
      <c r="BX825" s="124"/>
      <c r="BY825" s="124"/>
      <c r="BZ825" s="124"/>
      <c r="CA825" s="124"/>
    </row>
    <row r="826">
      <c r="A826" s="141"/>
      <c r="B826" s="107"/>
      <c r="C826" s="107"/>
      <c r="D826" s="143"/>
      <c r="E826" s="129"/>
      <c r="F826" s="129"/>
      <c r="G826" s="129"/>
      <c r="H826" s="129"/>
      <c r="I826" s="129"/>
      <c r="J826" s="129"/>
      <c r="K826" s="129"/>
      <c r="L826" s="129"/>
      <c r="M826" s="129"/>
      <c r="N826" s="129"/>
      <c r="O826" s="129"/>
      <c r="P826" s="129"/>
      <c r="Q826" s="129"/>
      <c r="R826" s="129"/>
      <c r="S826" s="129"/>
      <c r="T826" s="129"/>
      <c r="U826" s="106"/>
      <c r="V826" s="106"/>
      <c r="W826" s="106"/>
      <c r="X826" s="106"/>
      <c r="Y826" s="106"/>
      <c r="Z826" s="129"/>
      <c r="AA826" s="129"/>
      <c r="AB826" s="129"/>
      <c r="AC826" s="129"/>
      <c r="AD826" s="129"/>
      <c r="AE826" s="129"/>
      <c r="AF826" s="129"/>
      <c r="AG826" s="117"/>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c r="BK826" s="124"/>
      <c r="BL826" s="124"/>
      <c r="BM826" s="124"/>
      <c r="BN826" s="124"/>
      <c r="BO826" s="124"/>
      <c r="BP826" s="124"/>
      <c r="BQ826" s="124"/>
      <c r="BR826" s="124"/>
      <c r="BS826" s="124"/>
      <c r="BT826" s="124"/>
      <c r="BU826" s="124"/>
      <c r="BV826" s="124"/>
      <c r="BW826" s="124"/>
      <c r="BX826" s="124"/>
      <c r="BY826" s="124"/>
      <c r="BZ826" s="124"/>
      <c r="CA826" s="124"/>
    </row>
    <row r="827">
      <c r="A827" s="141"/>
      <c r="B827" s="107"/>
      <c r="C827" s="107"/>
      <c r="D827" s="143"/>
      <c r="E827" s="129"/>
      <c r="F827" s="129"/>
      <c r="G827" s="129"/>
      <c r="H827" s="129"/>
      <c r="I827" s="129"/>
      <c r="J827" s="129"/>
      <c r="K827" s="129"/>
      <c r="L827" s="129"/>
      <c r="M827" s="129"/>
      <c r="N827" s="129"/>
      <c r="O827" s="129"/>
      <c r="P827" s="129"/>
      <c r="Q827" s="129"/>
      <c r="R827" s="129"/>
      <c r="S827" s="129"/>
      <c r="T827" s="129"/>
      <c r="U827" s="106"/>
      <c r="V827" s="106"/>
      <c r="W827" s="106"/>
      <c r="X827" s="106"/>
      <c r="Y827" s="106"/>
      <c r="Z827" s="129"/>
      <c r="AA827" s="129"/>
      <c r="AB827" s="129"/>
      <c r="AC827" s="129"/>
      <c r="AD827" s="129"/>
      <c r="AE827" s="129"/>
      <c r="AF827" s="129"/>
      <c r="AG827" s="117"/>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c r="BK827" s="124"/>
      <c r="BL827" s="124"/>
      <c r="BM827" s="124"/>
      <c r="BN827" s="124"/>
      <c r="BO827" s="124"/>
      <c r="BP827" s="124"/>
      <c r="BQ827" s="124"/>
      <c r="BR827" s="124"/>
      <c r="BS827" s="124"/>
      <c r="BT827" s="124"/>
      <c r="BU827" s="124"/>
      <c r="BV827" s="124"/>
      <c r="BW827" s="124"/>
      <c r="BX827" s="124"/>
      <c r="BY827" s="124"/>
      <c r="BZ827" s="124"/>
      <c r="CA827" s="124"/>
    </row>
    <row r="828">
      <c r="A828" s="141"/>
      <c r="B828" s="107"/>
      <c r="C828" s="107"/>
      <c r="D828" s="143"/>
      <c r="E828" s="129"/>
      <c r="F828" s="129"/>
      <c r="G828" s="129"/>
      <c r="H828" s="129"/>
      <c r="I828" s="129"/>
      <c r="J828" s="129"/>
      <c r="K828" s="129"/>
      <c r="L828" s="129"/>
      <c r="M828" s="129"/>
      <c r="N828" s="129"/>
      <c r="O828" s="129"/>
      <c r="P828" s="129"/>
      <c r="Q828" s="129"/>
      <c r="R828" s="129"/>
      <c r="S828" s="129"/>
      <c r="T828" s="129"/>
      <c r="U828" s="106"/>
      <c r="V828" s="106"/>
      <c r="W828" s="106"/>
      <c r="X828" s="106"/>
      <c r="Y828" s="106"/>
      <c r="Z828" s="129"/>
      <c r="AA828" s="129"/>
      <c r="AB828" s="129"/>
      <c r="AC828" s="129"/>
      <c r="AD828" s="129"/>
      <c r="AE828" s="129"/>
      <c r="AF828" s="129"/>
      <c r="AG828" s="117"/>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c r="BK828" s="124"/>
      <c r="BL828" s="124"/>
      <c r="BM828" s="124"/>
      <c r="BN828" s="124"/>
      <c r="BO828" s="124"/>
      <c r="BP828" s="124"/>
      <c r="BQ828" s="124"/>
      <c r="BR828" s="124"/>
      <c r="BS828" s="124"/>
      <c r="BT828" s="124"/>
      <c r="BU828" s="124"/>
      <c r="BV828" s="124"/>
      <c r="BW828" s="124"/>
      <c r="BX828" s="124"/>
      <c r="BY828" s="124"/>
      <c r="BZ828" s="124"/>
      <c r="CA828" s="124"/>
    </row>
    <row r="829">
      <c r="A829" s="141"/>
      <c r="B829" s="107"/>
      <c r="C829" s="107"/>
      <c r="D829" s="143"/>
      <c r="E829" s="129"/>
      <c r="F829" s="129"/>
      <c r="G829" s="129"/>
      <c r="H829" s="129"/>
      <c r="I829" s="129"/>
      <c r="J829" s="129"/>
      <c r="K829" s="129"/>
      <c r="L829" s="129"/>
      <c r="M829" s="129"/>
      <c r="N829" s="129"/>
      <c r="O829" s="129"/>
      <c r="P829" s="129"/>
      <c r="Q829" s="129"/>
      <c r="R829" s="129"/>
      <c r="S829" s="129"/>
      <c r="T829" s="129"/>
      <c r="U829" s="106"/>
      <c r="V829" s="106"/>
      <c r="W829" s="106"/>
      <c r="X829" s="106"/>
      <c r="Y829" s="106"/>
      <c r="Z829" s="129"/>
      <c r="AA829" s="129"/>
      <c r="AB829" s="129"/>
      <c r="AC829" s="129"/>
      <c r="AD829" s="129"/>
      <c r="AE829" s="129"/>
      <c r="AF829" s="129"/>
      <c r="AG829" s="117"/>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c r="BK829" s="124"/>
      <c r="BL829" s="124"/>
      <c r="BM829" s="124"/>
      <c r="BN829" s="124"/>
      <c r="BO829" s="124"/>
      <c r="BP829" s="124"/>
      <c r="BQ829" s="124"/>
      <c r="BR829" s="124"/>
      <c r="BS829" s="124"/>
      <c r="BT829" s="124"/>
      <c r="BU829" s="124"/>
      <c r="BV829" s="124"/>
      <c r="BW829" s="124"/>
      <c r="BX829" s="124"/>
      <c r="BY829" s="124"/>
      <c r="BZ829" s="124"/>
      <c r="CA829" s="124"/>
    </row>
    <row r="830">
      <c r="A830" s="141"/>
      <c r="B830" s="107"/>
      <c r="C830" s="107"/>
      <c r="D830" s="143"/>
      <c r="E830" s="129"/>
      <c r="F830" s="129"/>
      <c r="G830" s="129"/>
      <c r="H830" s="129"/>
      <c r="I830" s="129"/>
      <c r="J830" s="129"/>
      <c r="K830" s="129"/>
      <c r="L830" s="129"/>
      <c r="M830" s="129"/>
      <c r="N830" s="129"/>
      <c r="O830" s="129"/>
      <c r="P830" s="129"/>
      <c r="Q830" s="129"/>
      <c r="R830" s="129"/>
      <c r="S830" s="129"/>
      <c r="T830" s="129"/>
      <c r="U830" s="106"/>
      <c r="V830" s="106"/>
      <c r="W830" s="106"/>
      <c r="X830" s="106"/>
      <c r="Y830" s="106"/>
      <c r="Z830" s="129"/>
      <c r="AA830" s="129"/>
      <c r="AB830" s="129"/>
      <c r="AC830" s="129"/>
      <c r="AD830" s="129"/>
      <c r="AE830" s="129"/>
      <c r="AF830" s="129"/>
      <c r="AG830" s="117"/>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c r="BK830" s="124"/>
      <c r="BL830" s="124"/>
      <c r="BM830" s="124"/>
      <c r="BN830" s="124"/>
      <c r="BO830" s="124"/>
      <c r="BP830" s="124"/>
      <c r="BQ830" s="124"/>
      <c r="BR830" s="124"/>
      <c r="BS830" s="124"/>
      <c r="BT830" s="124"/>
      <c r="BU830" s="124"/>
      <c r="BV830" s="124"/>
      <c r="BW830" s="124"/>
      <c r="BX830" s="124"/>
      <c r="BY830" s="124"/>
      <c r="BZ830" s="124"/>
      <c r="CA830" s="124"/>
    </row>
    <row r="831">
      <c r="A831" s="141"/>
      <c r="B831" s="107"/>
      <c r="C831" s="107"/>
      <c r="D831" s="143"/>
      <c r="E831" s="129"/>
      <c r="F831" s="129"/>
      <c r="G831" s="129"/>
      <c r="H831" s="129"/>
      <c r="I831" s="129"/>
      <c r="J831" s="129"/>
      <c r="K831" s="129"/>
      <c r="L831" s="129"/>
      <c r="M831" s="129"/>
      <c r="N831" s="129"/>
      <c r="O831" s="129"/>
      <c r="P831" s="129"/>
      <c r="Q831" s="129"/>
      <c r="R831" s="129"/>
      <c r="S831" s="129"/>
      <c r="T831" s="129"/>
      <c r="U831" s="106"/>
      <c r="V831" s="106"/>
      <c r="W831" s="106"/>
      <c r="X831" s="106"/>
      <c r="Y831" s="106"/>
      <c r="Z831" s="129"/>
      <c r="AA831" s="129"/>
      <c r="AB831" s="129"/>
      <c r="AC831" s="129"/>
      <c r="AD831" s="129"/>
      <c r="AE831" s="129"/>
      <c r="AF831" s="129"/>
      <c r="AG831" s="117"/>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c r="BK831" s="124"/>
      <c r="BL831" s="124"/>
      <c r="BM831" s="124"/>
      <c r="BN831" s="124"/>
      <c r="BO831" s="124"/>
      <c r="BP831" s="124"/>
      <c r="BQ831" s="124"/>
      <c r="BR831" s="124"/>
      <c r="BS831" s="124"/>
      <c r="BT831" s="124"/>
      <c r="BU831" s="124"/>
      <c r="BV831" s="124"/>
      <c r="BW831" s="124"/>
      <c r="BX831" s="124"/>
      <c r="BY831" s="124"/>
      <c r="BZ831" s="124"/>
      <c r="CA831" s="124"/>
    </row>
    <row r="832">
      <c r="A832" s="141"/>
      <c r="B832" s="107"/>
      <c r="C832" s="107"/>
      <c r="D832" s="143"/>
      <c r="E832" s="129"/>
      <c r="F832" s="129"/>
      <c r="G832" s="129"/>
      <c r="H832" s="129"/>
      <c r="I832" s="129"/>
      <c r="J832" s="129"/>
      <c r="K832" s="129"/>
      <c r="L832" s="129"/>
      <c r="M832" s="129"/>
      <c r="N832" s="129"/>
      <c r="O832" s="129"/>
      <c r="P832" s="129"/>
      <c r="Q832" s="129"/>
      <c r="R832" s="129"/>
      <c r="S832" s="129"/>
      <c r="T832" s="129"/>
      <c r="U832" s="106"/>
      <c r="V832" s="106"/>
      <c r="W832" s="106"/>
      <c r="X832" s="106"/>
      <c r="Y832" s="106"/>
      <c r="Z832" s="129"/>
      <c r="AA832" s="129"/>
      <c r="AB832" s="129"/>
      <c r="AC832" s="129"/>
      <c r="AD832" s="129"/>
      <c r="AE832" s="129"/>
      <c r="AF832" s="129"/>
      <c r="AG832" s="117"/>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c r="BK832" s="124"/>
      <c r="BL832" s="124"/>
      <c r="BM832" s="124"/>
      <c r="BN832" s="124"/>
      <c r="BO832" s="124"/>
      <c r="BP832" s="124"/>
      <c r="BQ832" s="124"/>
      <c r="BR832" s="124"/>
      <c r="BS832" s="124"/>
      <c r="BT832" s="124"/>
      <c r="BU832" s="124"/>
      <c r="BV832" s="124"/>
      <c r="BW832" s="124"/>
      <c r="BX832" s="124"/>
      <c r="BY832" s="124"/>
      <c r="BZ832" s="124"/>
      <c r="CA832" s="124"/>
    </row>
    <row r="833">
      <c r="A833" s="141"/>
      <c r="B833" s="107"/>
      <c r="C833" s="107"/>
      <c r="D833" s="143"/>
      <c r="E833" s="129"/>
      <c r="F833" s="129"/>
      <c r="G833" s="129"/>
      <c r="H833" s="129"/>
      <c r="I833" s="129"/>
      <c r="J833" s="129"/>
      <c r="K833" s="129"/>
      <c r="L833" s="129"/>
      <c r="M833" s="129"/>
      <c r="N833" s="129"/>
      <c r="O833" s="129"/>
      <c r="P833" s="129"/>
      <c r="Q833" s="129"/>
      <c r="R833" s="129"/>
      <c r="S833" s="129"/>
      <c r="T833" s="129"/>
      <c r="U833" s="106"/>
      <c r="V833" s="106"/>
      <c r="W833" s="106"/>
      <c r="X833" s="106"/>
      <c r="Y833" s="106"/>
      <c r="Z833" s="129"/>
      <c r="AA833" s="129"/>
      <c r="AB833" s="129"/>
      <c r="AC833" s="129"/>
      <c r="AD833" s="129"/>
      <c r="AE833" s="129"/>
      <c r="AF833" s="129"/>
      <c r="AG833" s="117"/>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c r="BK833" s="124"/>
      <c r="BL833" s="124"/>
      <c r="BM833" s="124"/>
      <c r="BN833" s="124"/>
      <c r="BO833" s="124"/>
      <c r="BP833" s="124"/>
      <c r="BQ833" s="124"/>
      <c r="BR833" s="124"/>
      <c r="BS833" s="124"/>
      <c r="BT833" s="124"/>
      <c r="BU833" s="124"/>
      <c r="BV833" s="124"/>
      <c r="BW833" s="124"/>
      <c r="BX833" s="124"/>
      <c r="BY833" s="124"/>
      <c r="BZ833" s="124"/>
      <c r="CA833" s="124"/>
    </row>
    <row r="834">
      <c r="A834" s="141"/>
      <c r="B834" s="107"/>
      <c r="C834" s="107"/>
      <c r="D834" s="143"/>
      <c r="E834" s="129"/>
      <c r="F834" s="129"/>
      <c r="G834" s="129"/>
      <c r="H834" s="129"/>
      <c r="I834" s="129"/>
      <c r="J834" s="129"/>
      <c r="K834" s="129"/>
      <c r="L834" s="129"/>
      <c r="M834" s="129"/>
      <c r="N834" s="129"/>
      <c r="O834" s="129"/>
      <c r="P834" s="129"/>
      <c r="Q834" s="129"/>
      <c r="R834" s="129"/>
      <c r="S834" s="129"/>
      <c r="T834" s="129"/>
      <c r="U834" s="106"/>
      <c r="V834" s="106"/>
      <c r="W834" s="106"/>
      <c r="X834" s="106"/>
      <c r="Y834" s="106"/>
      <c r="Z834" s="129"/>
      <c r="AA834" s="129"/>
      <c r="AB834" s="129"/>
      <c r="AC834" s="129"/>
      <c r="AD834" s="129"/>
      <c r="AE834" s="129"/>
      <c r="AF834" s="129"/>
      <c r="AG834" s="117"/>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c r="BK834" s="124"/>
      <c r="BL834" s="124"/>
      <c r="BM834" s="124"/>
      <c r="BN834" s="124"/>
      <c r="BO834" s="124"/>
      <c r="BP834" s="124"/>
      <c r="BQ834" s="124"/>
      <c r="BR834" s="124"/>
      <c r="BS834" s="124"/>
      <c r="BT834" s="124"/>
      <c r="BU834" s="124"/>
      <c r="BV834" s="124"/>
      <c r="BW834" s="124"/>
      <c r="BX834" s="124"/>
      <c r="BY834" s="124"/>
      <c r="BZ834" s="124"/>
      <c r="CA834" s="124"/>
    </row>
    <row r="835">
      <c r="A835" s="141"/>
      <c r="B835" s="107"/>
      <c r="C835" s="107"/>
      <c r="D835" s="143"/>
      <c r="E835" s="129"/>
      <c r="F835" s="129"/>
      <c r="G835" s="129"/>
      <c r="H835" s="129"/>
      <c r="I835" s="129"/>
      <c r="J835" s="129"/>
      <c r="K835" s="129"/>
      <c r="L835" s="129"/>
      <c r="M835" s="129"/>
      <c r="N835" s="129"/>
      <c r="O835" s="129"/>
      <c r="P835" s="129"/>
      <c r="Q835" s="129"/>
      <c r="R835" s="129"/>
      <c r="S835" s="129"/>
      <c r="T835" s="129"/>
      <c r="U835" s="106"/>
      <c r="V835" s="106"/>
      <c r="W835" s="106"/>
      <c r="X835" s="106"/>
      <c r="Y835" s="106"/>
      <c r="Z835" s="129"/>
      <c r="AA835" s="129"/>
      <c r="AB835" s="129"/>
      <c r="AC835" s="129"/>
      <c r="AD835" s="129"/>
      <c r="AE835" s="129"/>
      <c r="AF835" s="129"/>
      <c r="AG835" s="117"/>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c r="BK835" s="124"/>
      <c r="BL835" s="124"/>
      <c r="BM835" s="124"/>
      <c r="BN835" s="124"/>
      <c r="BO835" s="124"/>
      <c r="BP835" s="124"/>
      <c r="BQ835" s="124"/>
      <c r="BR835" s="124"/>
      <c r="BS835" s="124"/>
      <c r="BT835" s="124"/>
      <c r="BU835" s="124"/>
      <c r="BV835" s="124"/>
      <c r="BW835" s="124"/>
      <c r="BX835" s="124"/>
      <c r="BY835" s="124"/>
      <c r="BZ835" s="124"/>
      <c r="CA835" s="124"/>
    </row>
    <row r="836">
      <c r="A836" s="141"/>
      <c r="B836" s="107"/>
      <c r="C836" s="107"/>
      <c r="D836" s="143"/>
      <c r="E836" s="129"/>
      <c r="F836" s="129"/>
      <c r="G836" s="129"/>
      <c r="H836" s="129"/>
      <c r="I836" s="129"/>
      <c r="J836" s="129"/>
      <c r="K836" s="129"/>
      <c r="L836" s="129"/>
      <c r="M836" s="129"/>
      <c r="N836" s="129"/>
      <c r="O836" s="129"/>
      <c r="P836" s="129"/>
      <c r="Q836" s="129"/>
      <c r="R836" s="129"/>
      <c r="S836" s="129"/>
      <c r="T836" s="129"/>
      <c r="U836" s="106"/>
      <c r="V836" s="106"/>
      <c r="W836" s="106"/>
      <c r="X836" s="106"/>
      <c r="Y836" s="106"/>
      <c r="Z836" s="129"/>
      <c r="AA836" s="129"/>
      <c r="AB836" s="129"/>
      <c r="AC836" s="129"/>
      <c r="AD836" s="129"/>
      <c r="AE836" s="129"/>
      <c r="AF836" s="129"/>
      <c r="AG836" s="117"/>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c r="BK836" s="124"/>
      <c r="BL836" s="124"/>
      <c r="BM836" s="124"/>
      <c r="BN836" s="124"/>
      <c r="BO836" s="124"/>
      <c r="BP836" s="124"/>
      <c r="BQ836" s="124"/>
      <c r="BR836" s="124"/>
      <c r="BS836" s="124"/>
      <c r="BT836" s="124"/>
      <c r="BU836" s="124"/>
      <c r="BV836" s="124"/>
      <c r="BW836" s="124"/>
      <c r="BX836" s="124"/>
      <c r="BY836" s="124"/>
      <c r="BZ836" s="124"/>
      <c r="CA836" s="124"/>
    </row>
    <row r="837">
      <c r="A837" s="141"/>
      <c r="B837" s="107"/>
      <c r="C837" s="107"/>
      <c r="D837" s="143"/>
      <c r="E837" s="129"/>
      <c r="F837" s="129"/>
      <c r="G837" s="129"/>
      <c r="H837" s="129"/>
      <c r="I837" s="129"/>
      <c r="J837" s="129"/>
      <c r="K837" s="129"/>
      <c r="L837" s="129"/>
      <c r="M837" s="129"/>
      <c r="N837" s="129"/>
      <c r="O837" s="129"/>
      <c r="P837" s="129"/>
      <c r="Q837" s="129"/>
      <c r="R837" s="129"/>
      <c r="S837" s="129"/>
      <c r="T837" s="129"/>
      <c r="U837" s="106"/>
      <c r="V837" s="106"/>
      <c r="W837" s="106"/>
      <c r="X837" s="106"/>
      <c r="Y837" s="106"/>
      <c r="Z837" s="129"/>
      <c r="AA837" s="129"/>
      <c r="AB837" s="129"/>
      <c r="AC837" s="129"/>
      <c r="AD837" s="129"/>
      <c r="AE837" s="129"/>
      <c r="AF837" s="129"/>
      <c r="AG837" s="117"/>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c r="BK837" s="124"/>
      <c r="BL837" s="124"/>
      <c r="BM837" s="124"/>
      <c r="BN837" s="124"/>
      <c r="BO837" s="124"/>
      <c r="BP837" s="124"/>
      <c r="BQ837" s="124"/>
      <c r="BR837" s="124"/>
      <c r="BS837" s="124"/>
      <c r="BT837" s="124"/>
      <c r="BU837" s="124"/>
      <c r="BV837" s="124"/>
      <c r="BW837" s="124"/>
      <c r="BX837" s="124"/>
      <c r="BY837" s="124"/>
      <c r="BZ837" s="124"/>
      <c r="CA837" s="124"/>
    </row>
    <row r="838">
      <c r="A838" s="141"/>
      <c r="B838" s="107"/>
      <c r="C838" s="107"/>
      <c r="D838" s="143"/>
      <c r="E838" s="129"/>
      <c r="F838" s="129"/>
      <c r="G838" s="129"/>
      <c r="H838" s="129"/>
      <c r="I838" s="129"/>
      <c r="J838" s="129"/>
      <c r="K838" s="129"/>
      <c r="L838" s="129"/>
      <c r="M838" s="129"/>
      <c r="N838" s="129"/>
      <c r="O838" s="129"/>
      <c r="P838" s="129"/>
      <c r="Q838" s="129"/>
      <c r="R838" s="129"/>
      <c r="S838" s="129"/>
      <c r="T838" s="129"/>
      <c r="U838" s="106"/>
      <c r="V838" s="106"/>
      <c r="W838" s="106"/>
      <c r="X838" s="106"/>
      <c r="Y838" s="106"/>
      <c r="Z838" s="129"/>
      <c r="AA838" s="129"/>
      <c r="AB838" s="129"/>
      <c r="AC838" s="129"/>
      <c r="AD838" s="129"/>
      <c r="AE838" s="129"/>
      <c r="AF838" s="129"/>
      <c r="AG838" s="117"/>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c r="BK838" s="124"/>
      <c r="BL838" s="124"/>
      <c r="BM838" s="124"/>
      <c r="BN838" s="124"/>
      <c r="BO838" s="124"/>
      <c r="BP838" s="124"/>
      <c r="BQ838" s="124"/>
      <c r="BR838" s="124"/>
      <c r="BS838" s="124"/>
      <c r="BT838" s="124"/>
      <c r="BU838" s="124"/>
      <c r="BV838" s="124"/>
      <c r="BW838" s="124"/>
      <c r="BX838" s="124"/>
      <c r="BY838" s="124"/>
      <c r="BZ838" s="124"/>
      <c r="CA838" s="124"/>
    </row>
    <row r="839">
      <c r="A839" s="141"/>
      <c r="B839" s="107"/>
      <c r="C839" s="107"/>
      <c r="D839" s="143"/>
      <c r="E839" s="129"/>
      <c r="F839" s="129"/>
      <c r="G839" s="129"/>
      <c r="H839" s="129"/>
      <c r="I839" s="129"/>
      <c r="J839" s="129"/>
      <c r="K839" s="129"/>
      <c r="L839" s="129"/>
      <c r="M839" s="129"/>
      <c r="N839" s="129"/>
      <c r="O839" s="129"/>
      <c r="P839" s="129"/>
      <c r="Q839" s="129"/>
      <c r="R839" s="129"/>
      <c r="S839" s="129"/>
      <c r="T839" s="129"/>
      <c r="U839" s="106"/>
      <c r="V839" s="106"/>
      <c r="W839" s="106"/>
      <c r="X839" s="106"/>
      <c r="Y839" s="106"/>
      <c r="Z839" s="129"/>
      <c r="AA839" s="129"/>
      <c r="AB839" s="129"/>
      <c r="AC839" s="129"/>
      <c r="AD839" s="129"/>
      <c r="AE839" s="129"/>
      <c r="AF839" s="129"/>
      <c r="AG839" s="117"/>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c r="BK839" s="124"/>
      <c r="BL839" s="124"/>
      <c r="BM839" s="124"/>
      <c r="BN839" s="124"/>
      <c r="BO839" s="124"/>
      <c r="BP839" s="124"/>
      <c r="BQ839" s="124"/>
      <c r="BR839" s="124"/>
      <c r="BS839" s="124"/>
      <c r="BT839" s="124"/>
      <c r="BU839" s="124"/>
      <c r="BV839" s="124"/>
      <c r="BW839" s="124"/>
      <c r="BX839" s="124"/>
      <c r="BY839" s="124"/>
      <c r="BZ839" s="124"/>
      <c r="CA839" s="124"/>
    </row>
    <row r="840">
      <c r="A840" s="141"/>
      <c r="B840" s="107"/>
      <c r="C840" s="107"/>
      <c r="D840" s="143"/>
      <c r="E840" s="129"/>
      <c r="F840" s="129"/>
      <c r="G840" s="129"/>
      <c r="H840" s="129"/>
      <c r="I840" s="129"/>
      <c r="J840" s="129"/>
      <c r="K840" s="129"/>
      <c r="L840" s="129"/>
      <c r="M840" s="129"/>
      <c r="N840" s="129"/>
      <c r="O840" s="129"/>
      <c r="P840" s="129"/>
      <c r="Q840" s="129"/>
      <c r="R840" s="129"/>
      <c r="S840" s="129"/>
      <c r="T840" s="129"/>
      <c r="U840" s="106"/>
      <c r="V840" s="106"/>
      <c r="W840" s="106"/>
      <c r="X840" s="106"/>
      <c r="Y840" s="106"/>
      <c r="Z840" s="129"/>
      <c r="AA840" s="129"/>
      <c r="AB840" s="129"/>
      <c r="AC840" s="129"/>
      <c r="AD840" s="129"/>
      <c r="AE840" s="129"/>
      <c r="AF840" s="129"/>
      <c r="AG840" s="117"/>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c r="BK840" s="124"/>
      <c r="BL840" s="124"/>
      <c r="BM840" s="124"/>
      <c r="BN840" s="124"/>
      <c r="BO840" s="124"/>
      <c r="BP840" s="124"/>
      <c r="BQ840" s="124"/>
      <c r="BR840" s="124"/>
      <c r="BS840" s="124"/>
      <c r="BT840" s="124"/>
      <c r="BU840" s="124"/>
      <c r="BV840" s="124"/>
      <c r="BW840" s="124"/>
      <c r="BX840" s="124"/>
      <c r="BY840" s="124"/>
      <c r="BZ840" s="124"/>
      <c r="CA840" s="124"/>
    </row>
    <row r="841">
      <c r="A841" s="141"/>
      <c r="B841" s="107"/>
      <c r="C841" s="107"/>
      <c r="D841" s="143"/>
      <c r="E841" s="129"/>
      <c r="F841" s="129"/>
      <c r="G841" s="129"/>
      <c r="H841" s="129"/>
      <c r="I841" s="129"/>
      <c r="J841" s="129"/>
      <c r="K841" s="129"/>
      <c r="L841" s="129"/>
      <c r="M841" s="129"/>
      <c r="N841" s="129"/>
      <c r="O841" s="129"/>
      <c r="P841" s="129"/>
      <c r="Q841" s="129"/>
      <c r="R841" s="129"/>
      <c r="S841" s="129"/>
      <c r="T841" s="129"/>
      <c r="U841" s="106"/>
      <c r="V841" s="106"/>
      <c r="W841" s="106"/>
      <c r="X841" s="106"/>
      <c r="Y841" s="106"/>
      <c r="Z841" s="129"/>
      <c r="AA841" s="129"/>
      <c r="AB841" s="129"/>
      <c r="AC841" s="129"/>
      <c r="AD841" s="129"/>
      <c r="AE841" s="129"/>
      <c r="AF841" s="129"/>
      <c r="AG841" s="117"/>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c r="BK841" s="124"/>
      <c r="BL841" s="124"/>
      <c r="BM841" s="124"/>
      <c r="BN841" s="124"/>
      <c r="BO841" s="124"/>
      <c r="BP841" s="124"/>
      <c r="BQ841" s="124"/>
      <c r="BR841" s="124"/>
      <c r="BS841" s="124"/>
      <c r="BT841" s="124"/>
      <c r="BU841" s="124"/>
      <c r="BV841" s="124"/>
      <c r="BW841" s="124"/>
      <c r="BX841" s="124"/>
      <c r="BY841" s="124"/>
      <c r="BZ841" s="124"/>
      <c r="CA841" s="124"/>
    </row>
    <row r="842">
      <c r="A842" s="141"/>
      <c r="B842" s="107"/>
      <c r="C842" s="107"/>
      <c r="D842" s="143"/>
      <c r="E842" s="129"/>
      <c r="F842" s="129"/>
      <c r="G842" s="129"/>
      <c r="H842" s="129"/>
      <c r="I842" s="129"/>
      <c r="J842" s="129"/>
      <c r="K842" s="129"/>
      <c r="L842" s="129"/>
      <c r="M842" s="129"/>
      <c r="N842" s="129"/>
      <c r="O842" s="129"/>
      <c r="P842" s="129"/>
      <c r="Q842" s="129"/>
      <c r="R842" s="129"/>
      <c r="S842" s="129"/>
      <c r="T842" s="129"/>
      <c r="U842" s="106"/>
      <c r="V842" s="106"/>
      <c r="W842" s="106"/>
      <c r="X842" s="106"/>
      <c r="Y842" s="106"/>
      <c r="Z842" s="129"/>
      <c r="AA842" s="129"/>
      <c r="AB842" s="129"/>
      <c r="AC842" s="129"/>
      <c r="AD842" s="129"/>
      <c r="AE842" s="129"/>
      <c r="AF842" s="129"/>
      <c r="AG842" s="117"/>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c r="BK842" s="124"/>
      <c r="BL842" s="124"/>
      <c r="BM842" s="124"/>
      <c r="BN842" s="124"/>
      <c r="BO842" s="124"/>
      <c r="BP842" s="124"/>
      <c r="BQ842" s="124"/>
      <c r="BR842" s="124"/>
      <c r="BS842" s="124"/>
      <c r="BT842" s="124"/>
      <c r="BU842" s="124"/>
      <c r="BV842" s="124"/>
      <c r="BW842" s="124"/>
      <c r="BX842" s="124"/>
      <c r="BY842" s="124"/>
      <c r="BZ842" s="124"/>
      <c r="CA842" s="124"/>
    </row>
    <row r="843">
      <c r="A843" s="141"/>
      <c r="B843" s="107"/>
      <c r="C843" s="107"/>
      <c r="D843" s="143"/>
      <c r="E843" s="129"/>
      <c r="F843" s="129"/>
      <c r="G843" s="129"/>
      <c r="H843" s="129"/>
      <c r="I843" s="129"/>
      <c r="J843" s="129"/>
      <c r="K843" s="129"/>
      <c r="L843" s="129"/>
      <c r="M843" s="129"/>
      <c r="N843" s="129"/>
      <c r="O843" s="129"/>
      <c r="P843" s="129"/>
      <c r="Q843" s="129"/>
      <c r="R843" s="129"/>
      <c r="S843" s="129"/>
      <c r="T843" s="129"/>
      <c r="U843" s="106"/>
      <c r="V843" s="106"/>
      <c r="W843" s="106"/>
      <c r="X843" s="106"/>
      <c r="Y843" s="106"/>
      <c r="Z843" s="129"/>
      <c r="AA843" s="129"/>
      <c r="AB843" s="129"/>
      <c r="AC843" s="129"/>
      <c r="AD843" s="129"/>
      <c r="AE843" s="129"/>
      <c r="AF843" s="129"/>
      <c r="AG843" s="117"/>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c r="BK843" s="124"/>
      <c r="BL843" s="124"/>
      <c r="BM843" s="124"/>
      <c r="BN843" s="124"/>
      <c r="BO843" s="124"/>
      <c r="BP843" s="124"/>
      <c r="BQ843" s="124"/>
      <c r="BR843" s="124"/>
      <c r="BS843" s="124"/>
      <c r="BT843" s="124"/>
      <c r="BU843" s="124"/>
      <c r="BV843" s="124"/>
      <c r="BW843" s="124"/>
      <c r="BX843" s="124"/>
      <c r="BY843" s="124"/>
      <c r="BZ843" s="124"/>
      <c r="CA843" s="124"/>
    </row>
    <row r="844">
      <c r="A844" s="141"/>
      <c r="B844" s="107"/>
      <c r="C844" s="107"/>
      <c r="D844" s="143"/>
      <c r="E844" s="129"/>
      <c r="F844" s="129"/>
      <c r="G844" s="129"/>
      <c r="H844" s="129"/>
      <c r="I844" s="129"/>
      <c r="J844" s="129"/>
      <c r="K844" s="129"/>
      <c r="L844" s="129"/>
      <c r="M844" s="129"/>
      <c r="N844" s="129"/>
      <c r="O844" s="129"/>
      <c r="P844" s="129"/>
      <c r="Q844" s="129"/>
      <c r="R844" s="129"/>
      <c r="S844" s="129"/>
      <c r="T844" s="129"/>
      <c r="U844" s="106"/>
      <c r="V844" s="106"/>
      <c r="W844" s="106"/>
      <c r="X844" s="106"/>
      <c r="Y844" s="106"/>
      <c r="Z844" s="129"/>
      <c r="AA844" s="129"/>
      <c r="AB844" s="129"/>
      <c r="AC844" s="129"/>
      <c r="AD844" s="129"/>
      <c r="AE844" s="129"/>
      <c r="AF844" s="129"/>
      <c r="AG844" s="117"/>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c r="BK844" s="124"/>
      <c r="BL844" s="124"/>
      <c r="BM844" s="124"/>
      <c r="BN844" s="124"/>
      <c r="BO844" s="124"/>
      <c r="BP844" s="124"/>
      <c r="BQ844" s="124"/>
      <c r="BR844" s="124"/>
      <c r="BS844" s="124"/>
      <c r="BT844" s="124"/>
      <c r="BU844" s="124"/>
      <c r="BV844" s="124"/>
      <c r="BW844" s="124"/>
      <c r="BX844" s="124"/>
      <c r="BY844" s="124"/>
      <c r="BZ844" s="124"/>
      <c r="CA844" s="124"/>
    </row>
    <row r="845">
      <c r="A845" s="141"/>
      <c r="B845" s="107"/>
      <c r="C845" s="107"/>
      <c r="D845" s="143"/>
      <c r="E845" s="129"/>
      <c r="F845" s="129"/>
      <c r="G845" s="129"/>
      <c r="H845" s="129"/>
      <c r="I845" s="129"/>
      <c r="J845" s="129"/>
      <c r="K845" s="129"/>
      <c r="L845" s="129"/>
      <c r="M845" s="129"/>
      <c r="N845" s="129"/>
      <c r="O845" s="129"/>
      <c r="P845" s="129"/>
      <c r="Q845" s="129"/>
      <c r="R845" s="129"/>
      <c r="S845" s="129"/>
      <c r="T845" s="129"/>
      <c r="U845" s="106"/>
      <c r="V845" s="106"/>
      <c r="W845" s="106"/>
      <c r="X845" s="106"/>
      <c r="Y845" s="106"/>
      <c r="Z845" s="129"/>
      <c r="AA845" s="129"/>
      <c r="AB845" s="129"/>
      <c r="AC845" s="129"/>
      <c r="AD845" s="129"/>
      <c r="AE845" s="129"/>
      <c r="AF845" s="129"/>
      <c r="AG845" s="117"/>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c r="BK845" s="124"/>
      <c r="BL845" s="124"/>
      <c r="BM845" s="124"/>
      <c r="BN845" s="124"/>
      <c r="BO845" s="124"/>
      <c r="BP845" s="124"/>
      <c r="BQ845" s="124"/>
      <c r="BR845" s="124"/>
      <c r="BS845" s="124"/>
      <c r="BT845" s="124"/>
      <c r="BU845" s="124"/>
      <c r="BV845" s="124"/>
      <c r="BW845" s="124"/>
      <c r="BX845" s="124"/>
      <c r="BY845" s="124"/>
      <c r="BZ845" s="124"/>
      <c r="CA845" s="124"/>
    </row>
    <row r="846">
      <c r="A846" s="141"/>
      <c r="B846" s="107"/>
      <c r="C846" s="107"/>
      <c r="D846" s="143"/>
      <c r="E846" s="129"/>
      <c r="F846" s="129"/>
      <c r="G846" s="129"/>
      <c r="H846" s="129"/>
      <c r="I846" s="129"/>
      <c r="J846" s="129"/>
      <c r="K846" s="129"/>
      <c r="L846" s="129"/>
      <c r="M846" s="129"/>
      <c r="N846" s="129"/>
      <c r="O846" s="129"/>
      <c r="P846" s="129"/>
      <c r="Q846" s="129"/>
      <c r="R846" s="129"/>
      <c r="S846" s="129"/>
      <c r="T846" s="129"/>
      <c r="U846" s="106"/>
      <c r="V846" s="106"/>
      <c r="W846" s="106"/>
      <c r="X846" s="106"/>
      <c r="Y846" s="106"/>
      <c r="Z846" s="129"/>
      <c r="AA846" s="129"/>
      <c r="AB846" s="129"/>
      <c r="AC846" s="129"/>
      <c r="AD846" s="129"/>
      <c r="AE846" s="129"/>
      <c r="AF846" s="129"/>
      <c r="AG846" s="117"/>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c r="BK846" s="124"/>
      <c r="BL846" s="124"/>
      <c r="BM846" s="124"/>
      <c r="BN846" s="124"/>
      <c r="BO846" s="124"/>
      <c r="BP846" s="124"/>
      <c r="BQ846" s="124"/>
      <c r="BR846" s="124"/>
      <c r="BS846" s="124"/>
      <c r="BT846" s="124"/>
      <c r="BU846" s="124"/>
      <c r="BV846" s="124"/>
      <c r="BW846" s="124"/>
      <c r="BX846" s="124"/>
      <c r="BY846" s="124"/>
      <c r="BZ846" s="124"/>
      <c r="CA846" s="124"/>
    </row>
    <row r="847">
      <c r="A847" s="141"/>
      <c r="B847" s="107"/>
      <c r="C847" s="107"/>
      <c r="D847" s="143"/>
      <c r="E847" s="129"/>
      <c r="F847" s="129"/>
      <c r="G847" s="129"/>
      <c r="H847" s="129"/>
      <c r="I847" s="129"/>
      <c r="J847" s="129"/>
      <c r="K847" s="129"/>
      <c r="L847" s="129"/>
      <c r="M847" s="129"/>
      <c r="N847" s="129"/>
      <c r="O847" s="129"/>
      <c r="P847" s="129"/>
      <c r="Q847" s="129"/>
      <c r="R847" s="129"/>
      <c r="S847" s="129"/>
      <c r="T847" s="129"/>
      <c r="U847" s="106"/>
      <c r="V847" s="106"/>
      <c r="W847" s="106"/>
      <c r="X847" s="106"/>
      <c r="Y847" s="106"/>
      <c r="Z847" s="129"/>
      <c r="AA847" s="129"/>
      <c r="AB847" s="129"/>
      <c r="AC847" s="129"/>
      <c r="AD847" s="129"/>
      <c r="AE847" s="129"/>
      <c r="AF847" s="129"/>
      <c r="AG847" s="117"/>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c r="BK847" s="124"/>
      <c r="BL847" s="124"/>
      <c r="BM847" s="124"/>
      <c r="BN847" s="124"/>
      <c r="BO847" s="124"/>
      <c r="BP847" s="124"/>
      <c r="BQ847" s="124"/>
      <c r="BR847" s="124"/>
      <c r="BS847" s="124"/>
      <c r="BT847" s="124"/>
      <c r="BU847" s="124"/>
      <c r="BV847" s="124"/>
      <c r="BW847" s="124"/>
      <c r="BX847" s="124"/>
      <c r="BY847" s="124"/>
      <c r="BZ847" s="124"/>
      <c r="CA847" s="124"/>
    </row>
    <row r="848">
      <c r="A848" s="141"/>
      <c r="B848" s="107"/>
      <c r="C848" s="107"/>
      <c r="D848" s="143"/>
      <c r="E848" s="129"/>
      <c r="F848" s="129"/>
      <c r="G848" s="129"/>
      <c r="H848" s="129"/>
      <c r="I848" s="129"/>
      <c r="J848" s="129"/>
      <c r="K848" s="129"/>
      <c r="L848" s="129"/>
      <c r="M848" s="129"/>
      <c r="N848" s="129"/>
      <c r="O848" s="129"/>
      <c r="P848" s="129"/>
      <c r="Q848" s="129"/>
      <c r="R848" s="129"/>
      <c r="S848" s="129"/>
      <c r="T848" s="129"/>
      <c r="U848" s="106"/>
      <c r="V848" s="106"/>
      <c r="W848" s="106"/>
      <c r="X848" s="106"/>
      <c r="Y848" s="106"/>
      <c r="Z848" s="129"/>
      <c r="AA848" s="129"/>
      <c r="AB848" s="129"/>
      <c r="AC848" s="129"/>
      <c r="AD848" s="129"/>
      <c r="AE848" s="129"/>
      <c r="AF848" s="129"/>
      <c r="AG848" s="117"/>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c r="BK848" s="124"/>
      <c r="BL848" s="124"/>
      <c r="BM848" s="124"/>
      <c r="BN848" s="124"/>
      <c r="BO848" s="124"/>
      <c r="BP848" s="124"/>
      <c r="BQ848" s="124"/>
      <c r="BR848" s="124"/>
      <c r="BS848" s="124"/>
      <c r="BT848" s="124"/>
      <c r="BU848" s="124"/>
      <c r="BV848" s="124"/>
      <c r="BW848" s="124"/>
      <c r="BX848" s="124"/>
      <c r="BY848" s="124"/>
      <c r="BZ848" s="124"/>
      <c r="CA848" s="124"/>
    </row>
    <row r="849">
      <c r="A849" s="141"/>
      <c r="B849" s="107"/>
      <c r="C849" s="107"/>
      <c r="D849" s="143"/>
      <c r="E849" s="129"/>
      <c r="F849" s="129"/>
      <c r="G849" s="129"/>
      <c r="H849" s="129"/>
      <c r="I849" s="129"/>
      <c r="J849" s="129"/>
      <c r="K849" s="129"/>
      <c r="L849" s="129"/>
      <c r="M849" s="129"/>
      <c r="N849" s="129"/>
      <c r="O849" s="129"/>
      <c r="P849" s="129"/>
      <c r="Q849" s="129"/>
      <c r="R849" s="129"/>
      <c r="S849" s="129"/>
      <c r="T849" s="129"/>
      <c r="U849" s="106"/>
      <c r="V849" s="106"/>
      <c r="W849" s="106"/>
      <c r="X849" s="106"/>
      <c r="Y849" s="106"/>
      <c r="Z849" s="129"/>
      <c r="AA849" s="129"/>
      <c r="AB849" s="129"/>
      <c r="AC849" s="129"/>
      <c r="AD849" s="129"/>
      <c r="AE849" s="129"/>
      <c r="AF849" s="129"/>
      <c r="AG849" s="117"/>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c r="BK849" s="124"/>
      <c r="BL849" s="124"/>
      <c r="BM849" s="124"/>
      <c r="BN849" s="124"/>
      <c r="BO849" s="124"/>
      <c r="BP849" s="124"/>
      <c r="BQ849" s="124"/>
      <c r="BR849" s="124"/>
      <c r="BS849" s="124"/>
      <c r="BT849" s="124"/>
      <c r="BU849" s="124"/>
      <c r="BV849" s="124"/>
      <c r="BW849" s="124"/>
      <c r="BX849" s="124"/>
      <c r="BY849" s="124"/>
      <c r="BZ849" s="124"/>
      <c r="CA849" s="124"/>
    </row>
    <row r="850">
      <c r="A850" s="141"/>
      <c r="B850" s="107"/>
      <c r="C850" s="107"/>
      <c r="D850" s="143"/>
      <c r="E850" s="129"/>
      <c r="F850" s="129"/>
      <c r="G850" s="129"/>
      <c r="H850" s="129"/>
      <c r="I850" s="129"/>
      <c r="J850" s="129"/>
      <c r="K850" s="129"/>
      <c r="L850" s="129"/>
      <c r="M850" s="129"/>
      <c r="N850" s="129"/>
      <c r="O850" s="129"/>
      <c r="P850" s="129"/>
      <c r="Q850" s="129"/>
      <c r="R850" s="129"/>
      <c r="S850" s="129"/>
      <c r="T850" s="129"/>
      <c r="U850" s="106"/>
      <c r="V850" s="106"/>
      <c r="W850" s="106"/>
      <c r="X850" s="106"/>
      <c r="Y850" s="106"/>
      <c r="Z850" s="129"/>
      <c r="AA850" s="129"/>
      <c r="AB850" s="129"/>
      <c r="AC850" s="129"/>
      <c r="AD850" s="129"/>
      <c r="AE850" s="129"/>
      <c r="AF850" s="129"/>
      <c r="AG850" s="117"/>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c r="BK850" s="124"/>
      <c r="BL850" s="124"/>
      <c r="BM850" s="124"/>
      <c r="BN850" s="124"/>
      <c r="BO850" s="124"/>
      <c r="BP850" s="124"/>
      <c r="BQ850" s="124"/>
      <c r="BR850" s="124"/>
      <c r="BS850" s="124"/>
      <c r="BT850" s="124"/>
      <c r="BU850" s="124"/>
      <c r="BV850" s="124"/>
      <c r="BW850" s="124"/>
      <c r="BX850" s="124"/>
      <c r="BY850" s="124"/>
      <c r="BZ850" s="124"/>
      <c r="CA850" s="124"/>
    </row>
    <row r="851">
      <c r="A851" s="141"/>
      <c r="B851" s="107"/>
      <c r="C851" s="107"/>
      <c r="D851" s="143"/>
      <c r="E851" s="129"/>
      <c r="F851" s="129"/>
      <c r="G851" s="129"/>
      <c r="H851" s="129"/>
      <c r="I851" s="129"/>
      <c r="J851" s="129"/>
      <c r="K851" s="129"/>
      <c r="L851" s="129"/>
      <c r="M851" s="129"/>
      <c r="N851" s="129"/>
      <c r="O851" s="129"/>
      <c r="P851" s="129"/>
      <c r="Q851" s="129"/>
      <c r="R851" s="129"/>
      <c r="S851" s="129"/>
      <c r="T851" s="129"/>
      <c r="U851" s="106"/>
      <c r="V851" s="106"/>
      <c r="W851" s="106"/>
      <c r="X851" s="106"/>
      <c r="Y851" s="106"/>
      <c r="Z851" s="129"/>
      <c r="AA851" s="129"/>
      <c r="AB851" s="129"/>
      <c r="AC851" s="129"/>
      <c r="AD851" s="129"/>
      <c r="AE851" s="129"/>
      <c r="AF851" s="129"/>
      <c r="AG851" s="117"/>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c r="BK851" s="124"/>
      <c r="BL851" s="124"/>
      <c r="BM851" s="124"/>
      <c r="BN851" s="124"/>
      <c r="BO851" s="124"/>
      <c r="BP851" s="124"/>
      <c r="BQ851" s="124"/>
      <c r="BR851" s="124"/>
      <c r="BS851" s="124"/>
      <c r="BT851" s="124"/>
      <c r="BU851" s="124"/>
      <c r="BV851" s="124"/>
      <c r="BW851" s="124"/>
      <c r="BX851" s="124"/>
      <c r="BY851" s="124"/>
      <c r="BZ851" s="124"/>
      <c r="CA851" s="124"/>
    </row>
    <row r="852">
      <c r="A852" s="141"/>
      <c r="B852" s="107"/>
      <c r="C852" s="107"/>
      <c r="D852" s="143"/>
      <c r="E852" s="129"/>
      <c r="F852" s="129"/>
      <c r="G852" s="129"/>
      <c r="H852" s="129"/>
      <c r="I852" s="129"/>
      <c r="J852" s="129"/>
      <c r="K852" s="129"/>
      <c r="L852" s="129"/>
      <c r="M852" s="129"/>
      <c r="N852" s="129"/>
      <c r="O852" s="129"/>
      <c r="P852" s="129"/>
      <c r="Q852" s="129"/>
      <c r="R852" s="129"/>
      <c r="S852" s="129"/>
      <c r="T852" s="129"/>
      <c r="U852" s="106"/>
      <c r="V852" s="106"/>
      <c r="W852" s="106"/>
      <c r="X852" s="106"/>
      <c r="Y852" s="106"/>
      <c r="Z852" s="129"/>
      <c r="AA852" s="129"/>
      <c r="AB852" s="129"/>
      <c r="AC852" s="129"/>
      <c r="AD852" s="129"/>
      <c r="AE852" s="129"/>
      <c r="AF852" s="129"/>
      <c r="AG852" s="117"/>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c r="BK852" s="124"/>
      <c r="BL852" s="124"/>
      <c r="BM852" s="124"/>
      <c r="BN852" s="124"/>
      <c r="BO852" s="124"/>
      <c r="BP852" s="124"/>
      <c r="BQ852" s="124"/>
      <c r="BR852" s="124"/>
      <c r="BS852" s="124"/>
      <c r="BT852" s="124"/>
      <c r="BU852" s="124"/>
      <c r="BV852" s="124"/>
      <c r="BW852" s="124"/>
      <c r="BX852" s="124"/>
      <c r="BY852" s="124"/>
      <c r="BZ852" s="124"/>
      <c r="CA852" s="124"/>
    </row>
    <row r="853">
      <c r="A853" s="141"/>
      <c r="B853" s="107"/>
      <c r="C853" s="107"/>
      <c r="D853" s="143"/>
      <c r="E853" s="129"/>
      <c r="F853" s="129"/>
      <c r="G853" s="129"/>
      <c r="H853" s="129"/>
      <c r="I853" s="129"/>
      <c r="J853" s="129"/>
      <c r="K853" s="129"/>
      <c r="L853" s="129"/>
      <c r="M853" s="129"/>
      <c r="N853" s="129"/>
      <c r="O853" s="129"/>
      <c r="P853" s="129"/>
      <c r="Q853" s="129"/>
      <c r="R853" s="129"/>
      <c r="S853" s="129"/>
      <c r="T853" s="129"/>
      <c r="U853" s="106"/>
      <c r="V853" s="106"/>
      <c r="W853" s="106"/>
      <c r="X853" s="106"/>
      <c r="Y853" s="106"/>
      <c r="Z853" s="129"/>
      <c r="AA853" s="129"/>
      <c r="AB853" s="129"/>
      <c r="AC853" s="129"/>
      <c r="AD853" s="129"/>
      <c r="AE853" s="129"/>
      <c r="AF853" s="129"/>
      <c r="AG853" s="117"/>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c r="BK853" s="124"/>
      <c r="BL853" s="124"/>
      <c r="BM853" s="124"/>
      <c r="BN853" s="124"/>
      <c r="BO853" s="124"/>
      <c r="BP853" s="124"/>
      <c r="BQ853" s="124"/>
      <c r="BR853" s="124"/>
      <c r="BS853" s="124"/>
      <c r="BT853" s="124"/>
      <c r="BU853" s="124"/>
      <c r="BV853" s="124"/>
      <c r="BW853" s="124"/>
      <c r="BX853" s="124"/>
      <c r="BY853" s="124"/>
      <c r="BZ853" s="124"/>
      <c r="CA853" s="124"/>
    </row>
    <row r="854">
      <c r="A854" s="141"/>
      <c r="B854" s="107"/>
      <c r="C854" s="107"/>
      <c r="D854" s="143"/>
      <c r="E854" s="129"/>
      <c r="F854" s="129"/>
      <c r="G854" s="129"/>
      <c r="H854" s="129"/>
      <c r="I854" s="129"/>
      <c r="J854" s="129"/>
      <c r="K854" s="129"/>
      <c r="L854" s="129"/>
      <c r="M854" s="129"/>
      <c r="N854" s="129"/>
      <c r="O854" s="129"/>
      <c r="P854" s="129"/>
      <c r="Q854" s="129"/>
      <c r="R854" s="129"/>
      <c r="S854" s="129"/>
      <c r="T854" s="129"/>
      <c r="U854" s="106"/>
      <c r="V854" s="106"/>
      <c r="W854" s="106"/>
      <c r="X854" s="106"/>
      <c r="Y854" s="106"/>
      <c r="Z854" s="129"/>
      <c r="AA854" s="129"/>
      <c r="AB854" s="129"/>
      <c r="AC854" s="129"/>
      <c r="AD854" s="129"/>
      <c r="AE854" s="129"/>
      <c r="AF854" s="129"/>
      <c r="AG854" s="117"/>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c r="BK854" s="124"/>
      <c r="BL854" s="124"/>
      <c r="BM854" s="124"/>
      <c r="BN854" s="124"/>
      <c r="BO854" s="124"/>
      <c r="BP854" s="124"/>
      <c r="BQ854" s="124"/>
      <c r="BR854" s="124"/>
      <c r="BS854" s="124"/>
      <c r="BT854" s="124"/>
      <c r="BU854" s="124"/>
      <c r="BV854" s="124"/>
      <c r="BW854" s="124"/>
      <c r="BX854" s="124"/>
      <c r="BY854" s="124"/>
      <c r="BZ854" s="124"/>
      <c r="CA854" s="124"/>
    </row>
    <row r="855">
      <c r="A855" s="141"/>
      <c r="B855" s="107"/>
      <c r="C855" s="107"/>
      <c r="D855" s="143"/>
      <c r="E855" s="129"/>
      <c r="F855" s="129"/>
      <c r="G855" s="129"/>
      <c r="H855" s="129"/>
      <c r="I855" s="129"/>
      <c r="J855" s="129"/>
      <c r="K855" s="129"/>
      <c r="L855" s="129"/>
      <c r="M855" s="129"/>
      <c r="N855" s="129"/>
      <c r="O855" s="129"/>
      <c r="P855" s="129"/>
      <c r="Q855" s="129"/>
      <c r="R855" s="129"/>
      <c r="S855" s="129"/>
      <c r="T855" s="129"/>
      <c r="U855" s="106"/>
      <c r="V855" s="106"/>
      <c r="W855" s="106"/>
      <c r="X855" s="106"/>
      <c r="Y855" s="106"/>
      <c r="Z855" s="129"/>
      <c r="AA855" s="129"/>
      <c r="AB855" s="129"/>
      <c r="AC855" s="129"/>
      <c r="AD855" s="129"/>
      <c r="AE855" s="129"/>
      <c r="AF855" s="129"/>
      <c r="AG855" s="117"/>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c r="BK855" s="124"/>
      <c r="BL855" s="124"/>
      <c r="BM855" s="124"/>
      <c r="BN855" s="124"/>
      <c r="BO855" s="124"/>
      <c r="BP855" s="124"/>
      <c r="BQ855" s="124"/>
      <c r="BR855" s="124"/>
      <c r="BS855" s="124"/>
      <c r="BT855" s="124"/>
      <c r="BU855" s="124"/>
      <c r="BV855" s="124"/>
      <c r="BW855" s="124"/>
      <c r="BX855" s="124"/>
      <c r="BY855" s="124"/>
      <c r="BZ855" s="124"/>
      <c r="CA855" s="124"/>
    </row>
    <row r="856">
      <c r="A856" s="141"/>
      <c r="B856" s="107"/>
      <c r="C856" s="107"/>
      <c r="D856" s="143"/>
      <c r="E856" s="129"/>
      <c r="F856" s="129"/>
      <c r="G856" s="129"/>
      <c r="H856" s="129"/>
      <c r="I856" s="129"/>
      <c r="J856" s="129"/>
      <c r="K856" s="129"/>
      <c r="L856" s="129"/>
      <c r="M856" s="129"/>
      <c r="N856" s="129"/>
      <c r="O856" s="129"/>
      <c r="P856" s="129"/>
      <c r="Q856" s="129"/>
      <c r="R856" s="129"/>
      <c r="S856" s="129"/>
      <c r="T856" s="129"/>
      <c r="U856" s="106"/>
      <c r="V856" s="106"/>
      <c r="W856" s="106"/>
      <c r="X856" s="106"/>
      <c r="Y856" s="106"/>
      <c r="Z856" s="129"/>
      <c r="AA856" s="129"/>
      <c r="AB856" s="129"/>
      <c r="AC856" s="129"/>
      <c r="AD856" s="129"/>
      <c r="AE856" s="129"/>
      <c r="AF856" s="129"/>
      <c r="AG856" s="117"/>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c r="BK856" s="124"/>
      <c r="BL856" s="124"/>
      <c r="BM856" s="124"/>
      <c r="BN856" s="124"/>
      <c r="BO856" s="124"/>
      <c r="BP856" s="124"/>
      <c r="BQ856" s="124"/>
      <c r="BR856" s="124"/>
      <c r="BS856" s="124"/>
      <c r="BT856" s="124"/>
      <c r="BU856" s="124"/>
      <c r="BV856" s="124"/>
      <c r="BW856" s="124"/>
      <c r="BX856" s="124"/>
      <c r="BY856" s="124"/>
      <c r="BZ856" s="124"/>
      <c r="CA856" s="124"/>
    </row>
    <row r="857">
      <c r="A857" s="141"/>
      <c r="B857" s="107"/>
      <c r="C857" s="107"/>
      <c r="D857" s="143"/>
      <c r="E857" s="129"/>
      <c r="F857" s="129"/>
      <c r="G857" s="129"/>
      <c r="H857" s="129"/>
      <c r="I857" s="129"/>
      <c r="J857" s="129"/>
      <c r="K857" s="129"/>
      <c r="L857" s="129"/>
      <c r="M857" s="129"/>
      <c r="N857" s="129"/>
      <c r="O857" s="129"/>
      <c r="P857" s="129"/>
      <c r="Q857" s="129"/>
      <c r="R857" s="129"/>
      <c r="S857" s="129"/>
      <c r="T857" s="129"/>
      <c r="U857" s="106"/>
      <c r="V857" s="106"/>
      <c r="W857" s="106"/>
      <c r="X857" s="106"/>
      <c r="Y857" s="106"/>
      <c r="Z857" s="129"/>
      <c r="AA857" s="129"/>
      <c r="AB857" s="129"/>
      <c r="AC857" s="129"/>
      <c r="AD857" s="129"/>
      <c r="AE857" s="129"/>
      <c r="AF857" s="129"/>
      <c r="AG857" s="117"/>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c r="BK857" s="124"/>
      <c r="BL857" s="124"/>
      <c r="BM857" s="124"/>
      <c r="BN857" s="124"/>
      <c r="BO857" s="124"/>
      <c r="BP857" s="124"/>
      <c r="BQ857" s="124"/>
      <c r="BR857" s="124"/>
      <c r="BS857" s="124"/>
      <c r="BT857" s="124"/>
      <c r="BU857" s="124"/>
      <c r="BV857" s="124"/>
      <c r="BW857" s="124"/>
      <c r="BX857" s="124"/>
      <c r="BY857" s="124"/>
      <c r="BZ857" s="124"/>
      <c r="CA857" s="124"/>
    </row>
    <row r="858">
      <c r="A858" s="141"/>
      <c r="B858" s="107"/>
      <c r="C858" s="107"/>
      <c r="D858" s="143"/>
      <c r="E858" s="129"/>
      <c r="F858" s="129"/>
      <c r="G858" s="129"/>
      <c r="H858" s="129"/>
      <c r="I858" s="129"/>
      <c r="J858" s="129"/>
      <c r="K858" s="129"/>
      <c r="L858" s="129"/>
      <c r="M858" s="129"/>
      <c r="N858" s="129"/>
      <c r="O858" s="129"/>
      <c r="P858" s="129"/>
      <c r="Q858" s="129"/>
      <c r="R858" s="129"/>
      <c r="S858" s="129"/>
      <c r="T858" s="129"/>
      <c r="U858" s="106"/>
      <c r="V858" s="106"/>
      <c r="W858" s="106"/>
      <c r="X858" s="106"/>
      <c r="Y858" s="106"/>
      <c r="Z858" s="129"/>
      <c r="AA858" s="129"/>
      <c r="AB858" s="129"/>
      <c r="AC858" s="129"/>
      <c r="AD858" s="129"/>
      <c r="AE858" s="129"/>
      <c r="AF858" s="129"/>
      <c r="AG858" s="117"/>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c r="BK858" s="124"/>
      <c r="BL858" s="124"/>
      <c r="BM858" s="124"/>
      <c r="BN858" s="124"/>
      <c r="BO858" s="124"/>
      <c r="BP858" s="124"/>
      <c r="BQ858" s="124"/>
      <c r="BR858" s="124"/>
      <c r="BS858" s="124"/>
      <c r="BT858" s="124"/>
      <c r="BU858" s="124"/>
      <c r="BV858" s="124"/>
      <c r="BW858" s="124"/>
      <c r="BX858" s="124"/>
      <c r="BY858" s="124"/>
      <c r="BZ858" s="124"/>
      <c r="CA858" s="124"/>
    </row>
    <row r="859">
      <c r="A859" s="141"/>
      <c r="B859" s="107"/>
      <c r="C859" s="107"/>
      <c r="D859" s="143"/>
      <c r="E859" s="129"/>
      <c r="F859" s="129"/>
      <c r="G859" s="129"/>
      <c r="H859" s="129"/>
      <c r="I859" s="129"/>
      <c r="J859" s="129"/>
      <c r="K859" s="129"/>
      <c r="L859" s="129"/>
      <c r="M859" s="129"/>
      <c r="N859" s="129"/>
      <c r="O859" s="129"/>
      <c r="P859" s="129"/>
      <c r="Q859" s="129"/>
      <c r="R859" s="129"/>
      <c r="S859" s="129"/>
      <c r="T859" s="129"/>
      <c r="U859" s="106"/>
      <c r="V859" s="106"/>
      <c r="W859" s="106"/>
      <c r="X859" s="106"/>
      <c r="Y859" s="106"/>
      <c r="Z859" s="129"/>
      <c r="AA859" s="129"/>
      <c r="AB859" s="129"/>
      <c r="AC859" s="129"/>
      <c r="AD859" s="129"/>
      <c r="AE859" s="129"/>
      <c r="AF859" s="129"/>
      <c r="AG859" s="117"/>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c r="BK859" s="124"/>
      <c r="BL859" s="124"/>
      <c r="BM859" s="124"/>
      <c r="BN859" s="124"/>
      <c r="BO859" s="124"/>
      <c r="BP859" s="124"/>
      <c r="BQ859" s="124"/>
      <c r="BR859" s="124"/>
      <c r="BS859" s="124"/>
      <c r="BT859" s="124"/>
      <c r="BU859" s="124"/>
      <c r="BV859" s="124"/>
      <c r="BW859" s="124"/>
      <c r="BX859" s="124"/>
      <c r="BY859" s="124"/>
      <c r="BZ859" s="124"/>
      <c r="CA859" s="124"/>
    </row>
    <row r="860">
      <c r="A860" s="141"/>
      <c r="B860" s="107"/>
      <c r="C860" s="107"/>
      <c r="D860" s="143"/>
      <c r="E860" s="129"/>
      <c r="F860" s="129"/>
      <c r="G860" s="129"/>
      <c r="H860" s="129"/>
      <c r="I860" s="129"/>
      <c r="J860" s="129"/>
      <c r="K860" s="129"/>
      <c r="L860" s="129"/>
      <c r="M860" s="129"/>
      <c r="N860" s="129"/>
      <c r="O860" s="129"/>
      <c r="P860" s="129"/>
      <c r="Q860" s="129"/>
      <c r="R860" s="129"/>
      <c r="S860" s="129"/>
      <c r="T860" s="129"/>
      <c r="U860" s="106"/>
      <c r="V860" s="106"/>
      <c r="W860" s="106"/>
      <c r="X860" s="106"/>
      <c r="Y860" s="106"/>
      <c r="Z860" s="129"/>
      <c r="AA860" s="129"/>
      <c r="AB860" s="129"/>
      <c r="AC860" s="129"/>
      <c r="AD860" s="129"/>
      <c r="AE860" s="129"/>
      <c r="AF860" s="129"/>
      <c r="AG860" s="117"/>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c r="BK860" s="124"/>
      <c r="BL860" s="124"/>
      <c r="BM860" s="124"/>
      <c r="BN860" s="124"/>
      <c r="BO860" s="124"/>
      <c r="BP860" s="124"/>
      <c r="BQ860" s="124"/>
      <c r="BR860" s="124"/>
      <c r="BS860" s="124"/>
      <c r="BT860" s="124"/>
      <c r="BU860" s="124"/>
      <c r="BV860" s="124"/>
      <c r="BW860" s="124"/>
      <c r="BX860" s="124"/>
      <c r="BY860" s="124"/>
      <c r="BZ860" s="124"/>
      <c r="CA860" s="124"/>
    </row>
    <row r="861">
      <c r="A861" s="141"/>
      <c r="B861" s="107"/>
      <c r="C861" s="107"/>
      <c r="D861" s="143"/>
      <c r="E861" s="129"/>
      <c r="F861" s="129"/>
      <c r="G861" s="129"/>
      <c r="H861" s="129"/>
      <c r="I861" s="129"/>
      <c r="J861" s="129"/>
      <c r="K861" s="129"/>
      <c r="L861" s="129"/>
      <c r="M861" s="129"/>
      <c r="N861" s="129"/>
      <c r="O861" s="129"/>
      <c r="P861" s="129"/>
      <c r="Q861" s="129"/>
      <c r="R861" s="129"/>
      <c r="S861" s="129"/>
      <c r="T861" s="129"/>
      <c r="U861" s="106"/>
      <c r="V861" s="106"/>
      <c r="W861" s="106"/>
      <c r="X861" s="106"/>
      <c r="Y861" s="106"/>
      <c r="Z861" s="129"/>
      <c r="AA861" s="129"/>
      <c r="AB861" s="129"/>
      <c r="AC861" s="129"/>
      <c r="AD861" s="129"/>
      <c r="AE861" s="129"/>
      <c r="AF861" s="129"/>
      <c r="AG861" s="117"/>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c r="BK861" s="124"/>
      <c r="BL861" s="124"/>
      <c r="BM861" s="124"/>
      <c r="BN861" s="124"/>
      <c r="BO861" s="124"/>
      <c r="BP861" s="124"/>
      <c r="BQ861" s="124"/>
      <c r="BR861" s="124"/>
      <c r="BS861" s="124"/>
      <c r="BT861" s="124"/>
      <c r="BU861" s="124"/>
      <c r="BV861" s="124"/>
      <c r="BW861" s="124"/>
      <c r="BX861" s="124"/>
      <c r="BY861" s="124"/>
      <c r="BZ861" s="124"/>
      <c r="CA861" s="124"/>
    </row>
    <row r="862">
      <c r="A862" s="141"/>
      <c r="B862" s="107"/>
      <c r="C862" s="107"/>
      <c r="D862" s="143"/>
      <c r="E862" s="129"/>
      <c r="F862" s="129"/>
      <c r="G862" s="129"/>
      <c r="H862" s="129"/>
      <c r="I862" s="129"/>
      <c r="J862" s="129"/>
      <c r="K862" s="129"/>
      <c r="L862" s="129"/>
      <c r="M862" s="129"/>
      <c r="N862" s="129"/>
      <c r="O862" s="129"/>
      <c r="P862" s="129"/>
      <c r="Q862" s="129"/>
      <c r="R862" s="129"/>
      <c r="S862" s="129"/>
      <c r="T862" s="129"/>
      <c r="U862" s="106"/>
      <c r="V862" s="106"/>
      <c r="W862" s="106"/>
      <c r="X862" s="106"/>
      <c r="Y862" s="106"/>
      <c r="Z862" s="129"/>
      <c r="AA862" s="129"/>
      <c r="AB862" s="129"/>
      <c r="AC862" s="129"/>
      <c r="AD862" s="129"/>
      <c r="AE862" s="129"/>
      <c r="AF862" s="129"/>
      <c r="AG862" s="117"/>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c r="BK862" s="124"/>
      <c r="BL862" s="124"/>
      <c r="BM862" s="124"/>
      <c r="BN862" s="124"/>
      <c r="BO862" s="124"/>
      <c r="BP862" s="124"/>
      <c r="BQ862" s="124"/>
      <c r="BR862" s="124"/>
      <c r="BS862" s="124"/>
      <c r="BT862" s="124"/>
      <c r="BU862" s="124"/>
      <c r="BV862" s="124"/>
      <c r="BW862" s="124"/>
      <c r="BX862" s="124"/>
      <c r="BY862" s="124"/>
      <c r="BZ862" s="124"/>
      <c r="CA862" s="124"/>
    </row>
    <row r="863">
      <c r="A863" s="141"/>
      <c r="B863" s="107"/>
      <c r="C863" s="107"/>
      <c r="D863" s="143"/>
      <c r="E863" s="129"/>
      <c r="F863" s="129"/>
      <c r="G863" s="129"/>
      <c r="H863" s="129"/>
      <c r="I863" s="129"/>
      <c r="J863" s="129"/>
      <c r="K863" s="129"/>
      <c r="L863" s="129"/>
      <c r="M863" s="129"/>
      <c r="N863" s="129"/>
      <c r="O863" s="129"/>
      <c r="P863" s="129"/>
      <c r="Q863" s="129"/>
      <c r="R863" s="129"/>
      <c r="S863" s="129"/>
      <c r="T863" s="129"/>
      <c r="U863" s="106"/>
      <c r="V863" s="106"/>
      <c r="W863" s="106"/>
      <c r="X863" s="106"/>
      <c r="Y863" s="106"/>
      <c r="Z863" s="129"/>
      <c r="AA863" s="129"/>
      <c r="AB863" s="129"/>
      <c r="AC863" s="129"/>
      <c r="AD863" s="129"/>
      <c r="AE863" s="129"/>
      <c r="AF863" s="129"/>
      <c r="AG863" s="117"/>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c r="BK863" s="124"/>
      <c r="BL863" s="124"/>
      <c r="BM863" s="124"/>
      <c r="BN863" s="124"/>
      <c r="BO863" s="124"/>
      <c r="BP863" s="124"/>
      <c r="BQ863" s="124"/>
      <c r="BR863" s="124"/>
      <c r="BS863" s="124"/>
      <c r="BT863" s="124"/>
      <c r="BU863" s="124"/>
      <c r="BV863" s="124"/>
      <c r="BW863" s="124"/>
      <c r="BX863" s="124"/>
      <c r="BY863" s="124"/>
      <c r="BZ863" s="124"/>
      <c r="CA863" s="124"/>
    </row>
    <row r="864">
      <c r="A864" s="141"/>
      <c r="B864" s="107"/>
      <c r="C864" s="107"/>
      <c r="D864" s="143"/>
      <c r="E864" s="129"/>
      <c r="F864" s="129"/>
      <c r="G864" s="129"/>
      <c r="H864" s="129"/>
      <c r="I864" s="129"/>
      <c r="J864" s="129"/>
      <c r="K864" s="129"/>
      <c r="L864" s="129"/>
      <c r="M864" s="129"/>
      <c r="N864" s="129"/>
      <c r="O864" s="129"/>
      <c r="P864" s="129"/>
      <c r="Q864" s="129"/>
      <c r="R864" s="129"/>
      <c r="S864" s="129"/>
      <c r="T864" s="129"/>
      <c r="U864" s="106"/>
      <c r="V864" s="106"/>
      <c r="W864" s="106"/>
      <c r="X864" s="106"/>
      <c r="Y864" s="106"/>
      <c r="Z864" s="129"/>
      <c r="AA864" s="129"/>
      <c r="AB864" s="129"/>
      <c r="AC864" s="129"/>
      <c r="AD864" s="129"/>
      <c r="AE864" s="129"/>
      <c r="AF864" s="129"/>
      <c r="AG864" s="117"/>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c r="BK864" s="124"/>
      <c r="BL864" s="124"/>
      <c r="BM864" s="124"/>
      <c r="BN864" s="124"/>
      <c r="BO864" s="124"/>
      <c r="BP864" s="124"/>
      <c r="BQ864" s="124"/>
      <c r="BR864" s="124"/>
      <c r="BS864" s="124"/>
      <c r="BT864" s="124"/>
      <c r="BU864" s="124"/>
      <c r="BV864" s="124"/>
      <c r="BW864" s="124"/>
      <c r="BX864" s="124"/>
      <c r="BY864" s="124"/>
      <c r="BZ864" s="124"/>
      <c r="CA864" s="124"/>
    </row>
    <row r="865">
      <c r="A865" s="141"/>
      <c r="B865" s="107"/>
      <c r="C865" s="107"/>
      <c r="D865" s="143"/>
      <c r="E865" s="129"/>
      <c r="F865" s="129"/>
      <c r="G865" s="129"/>
      <c r="H865" s="129"/>
      <c r="I865" s="129"/>
      <c r="J865" s="129"/>
      <c r="K865" s="129"/>
      <c r="L865" s="129"/>
      <c r="M865" s="129"/>
      <c r="N865" s="129"/>
      <c r="O865" s="129"/>
      <c r="P865" s="129"/>
      <c r="Q865" s="129"/>
      <c r="R865" s="129"/>
      <c r="S865" s="129"/>
      <c r="T865" s="129"/>
      <c r="U865" s="106"/>
      <c r="V865" s="106"/>
      <c r="W865" s="106"/>
      <c r="X865" s="106"/>
      <c r="Y865" s="106"/>
      <c r="Z865" s="129"/>
      <c r="AA865" s="129"/>
      <c r="AB865" s="129"/>
      <c r="AC865" s="129"/>
      <c r="AD865" s="129"/>
      <c r="AE865" s="129"/>
      <c r="AF865" s="129"/>
      <c r="AG865" s="117"/>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c r="BK865" s="124"/>
      <c r="BL865" s="124"/>
      <c r="BM865" s="124"/>
      <c r="BN865" s="124"/>
      <c r="BO865" s="124"/>
      <c r="BP865" s="124"/>
      <c r="BQ865" s="124"/>
      <c r="BR865" s="124"/>
      <c r="BS865" s="124"/>
      <c r="BT865" s="124"/>
      <c r="BU865" s="124"/>
      <c r="BV865" s="124"/>
      <c r="BW865" s="124"/>
      <c r="BX865" s="124"/>
      <c r="BY865" s="124"/>
      <c r="BZ865" s="124"/>
      <c r="CA865" s="124"/>
    </row>
    <row r="866">
      <c r="A866" s="141"/>
      <c r="B866" s="107"/>
      <c r="C866" s="107"/>
      <c r="D866" s="143"/>
      <c r="E866" s="129"/>
      <c r="F866" s="129"/>
      <c r="G866" s="129"/>
      <c r="H866" s="129"/>
      <c r="I866" s="129"/>
      <c r="J866" s="129"/>
      <c r="K866" s="129"/>
      <c r="L866" s="129"/>
      <c r="M866" s="129"/>
      <c r="N866" s="129"/>
      <c r="O866" s="129"/>
      <c r="P866" s="129"/>
      <c r="Q866" s="129"/>
      <c r="R866" s="129"/>
      <c r="S866" s="129"/>
      <c r="T866" s="129"/>
      <c r="U866" s="106"/>
      <c r="V866" s="106"/>
      <c r="W866" s="106"/>
      <c r="X866" s="106"/>
      <c r="Y866" s="106"/>
      <c r="Z866" s="129"/>
      <c r="AA866" s="129"/>
      <c r="AB866" s="129"/>
      <c r="AC866" s="129"/>
      <c r="AD866" s="129"/>
      <c r="AE866" s="129"/>
      <c r="AF866" s="129"/>
      <c r="AG866" s="117"/>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c r="BK866" s="124"/>
      <c r="BL866" s="124"/>
      <c r="BM866" s="124"/>
      <c r="BN866" s="124"/>
      <c r="BO866" s="124"/>
      <c r="BP866" s="124"/>
      <c r="BQ866" s="124"/>
      <c r="BR866" s="124"/>
      <c r="BS866" s="124"/>
      <c r="BT866" s="124"/>
      <c r="BU866" s="124"/>
      <c r="BV866" s="124"/>
      <c r="BW866" s="124"/>
      <c r="BX866" s="124"/>
      <c r="BY866" s="124"/>
      <c r="BZ866" s="124"/>
      <c r="CA866" s="124"/>
    </row>
    <row r="867">
      <c r="A867" s="141"/>
      <c r="B867" s="107"/>
      <c r="C867" s="107"/>
      <c r="D867" s="143"/>
      <c r="E867" s="129"/>
      <c r="F867" s="129"/>
      <c r="G867" s="129"/>
      <c r="H867" s="129"/>
      <c r="I867" s="129"/>
      <c r="J867" s="129"/>
      <c r="K867" s="129"/>
      <c r="L867" s="129"/>
      <c r="M867" s="129"/>
      <c r="N867" s="129"/>
      <c r="O867" s="129"/>
      <c r="P867" s="129"/>
      <c r="Q867" s="129"/>
      <c r="R867" s="129"/>
      <c r="S867" s="129"/>
      <c r="T867" s="129"/>
      <c r="U867" s="106"/>
      <c r="V867" s="106"/>
      <c r="W867" s="106"/>
      <c r="X867" s="106"/>
      <c r="Y867" s="106"/>
      <c r="Z867" s="129"/>
      <c r="AA867" s="129"/>
      <c r="AB867" s="129"/>
      <c r="AC867" s="129"/>
      <c r="AD867" s="129"/>
      <c r="AE867" s="129"/>
      <c r="AF867" s="129"/>
      <c r="AG867" s="117"/>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c r="BK867" s="124"/>
      <c r="BL867" s="124"/>
      <c r="BM867" s="124"/>
      <c r="BN867" s="124"/>
      <c r="BO867" s="124"/>
      <c r="BP867" s="124"/>
      <c r="BQ867" s="124"/>
      <c r="BR867" s="124"/>
      <c r="BS867" s="124"/>
      <c r="BT867" s="124"/>
      <c r="BU867" s="124"/>
      <c r="BV867" s="124"/>
      <c r="BW867" s="124"/>
      <c r="BX867" s="124"/>
      <c r="BY867" s="124"/>
      <c r="BZ867" s="124"/>
      <c r="CA867" s="124"/>
    </row>
    <row r="868">
      <c r="A868" s="141"/>
      <c r="B868" s="107"/>
      <c r="C868" s="107"/>
      <c r="D868" s="143"/>
      <c r="E868" s="129"/>
      <c r="F868" s="129"/>
      <c r="G868" s="129"/>
      <c r="H868" s="129"/>
      <c r="I868" s="129"/>
      <c r="J868" s="129"/>
      <c r="K868" s="129"/>
      <c r="L868" s="129"/>
      <c r="M868" s="129"/>
      <c r="N868" s="129"/>
      <c r="O868" s="129"/>
      <c r="P868" s="129"/>
      <c r="Q868" s="129"/>
      <c r="R868" s="129"/>
      <c r="S868" s="129"/>
      <c r="T868" s="129"/>
      <c r="U868" s="106"/>
      <c r="V868" s="106"/>
      <c r="W868" s="106"/>
      <c r="X868" s="106"/>
      <c r="Y868" s="106"/>
      <c r="Z868" s="129"/>
      <c r="AA868" s="129"/>
      <c r="AB868" s="129"/>
      <c r="AC868" s="129"/>
      <c r="AD868" s="129"/>
      <c r="AE868" s="129"/>
      <c r="AF868" s="129"/>
      <c r="AG868" s="117"/>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c r="BK868" s="124"/>
      <c r="BL868" s="124"/>
      <c r="BM868" s="124"/>
      <c r="BN868" s="124"/>
      <c r="BO868" s="124"/>
      <c r="BP868" s="124"/>
      <c r="BQ868" s="124"/>
      <c r="BR868" s="124"/>
      <c r="BS868" s="124"/>
      <c r="BT868" s="124"/>
      <c r="BU868" s="124"/>
      <c r="BV868" s="124"/>
      <c r="BW868" s="124"/>
      <c r="BX868" s="124"/>
      <c r="BY868" s="124"/>
      <c r="BZ868" s="124"/>
      <c r="CA868" s="124"/>
    </row>
    <row r="869">
      <c r="A869" s="141"/>
      <c r="B869" s="107"/>
      <c r="C869" s="107"/>
      <c r="D869" s="143"/>
      <c r="E869" s="129"/>
      <c r="F869" s="129"/>
      <c r="G869" s="129"/>
      <c r="H869" s="129"/>
      <c r="I869" s="129"/>
      <c r="J869" s="129"/>
      <c r="K869" s="129"/>
      <c r="L869" s="129"/>
      <c r="M869" s="129"/>
      <c r="N869" s="129"/>
      <c r="O869" s="129"/>
      <c r="P869" s="129"/>
      <c r="Q869" s="129"/>
      <c r="R869" s="129"/>
      <c r="S869" s="129"/>
      <c r="T869" s="129"/>
      <c r="U869" s="106"/>
      <c r="V869" s="106"/>
      <c r="W869" s="106"/>
      <c r="X869" s="106"/>
      <c r="Y869" s="106"/>
      <c r="Z869" s="129"/>
      <c r="AA869" s="129"/>
      <c r="AB869" s="129"/>
      <c r="AC869" s="129"/>
      <c r="AD869" s="129"/>
      <c r="AE869" s="129"/>
      <c r="AF869" s="129"/>
      <c r="AG869" s="117"/>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c r="BK869" s="124"/>
      <c r="BL869" s="124"/>
      <c r="BM869" s="124"/>
      <c r="BN869" s="124"/>
      <c r="BO869" s="124"/>
      <c r="BP869" s="124"/>
      <c r="BQ869" s="124"/>
      <c r="BR869" s="124"/>
      <c r="BS869" s="124"/>
      <c r="BT869" s="124"/>
      <c r="BU869" s="124"/>
      <c r="BV869" s="124"/>
      <c r="BW869" s="124"/>
      <c r="BX869" s="124"/>
      <c r="BY869" s="124"/>
      <c r="BZ869" s="124"/>
      <c r="CA869" s="124"/>
    </row>
    <row r="870">
      <c r="A870" s="141"/>
      <c r="B870" s="107"/>
      <c r="C870" s="107"/>
      <c r="D870" s="143"/>
      <c r="E870" s="129"/>
      <c r="F870" s="129"/>
      <c r="G870" s="129"/>
      <c r="H870" s="129"/>
      <c r="I870" s="129"/>
      <c r="J870" s="129"/>
      <c r="K870" s="129"/>
      <c r="L870" s="129"/>
      <c r="M870" s="129"/>
      <c r="N870" s="129"/>
      <c r="O870" s="129"/>
      <c r="P870" s="129"/>
      <c r="Q870" s="129"/>
      <c r="R870" s="129"/>
      <c r="S870" s="129"/>
      <c r="T870" s="129"/>
      <c r="U870" s="106"/>
      <c r="V870" s="106"/>
      <c r="W870" s="106"/>
      <c r="X870" s="106"/>
      <c r="Y870" s="106"/>
      <c r="Z870" s="129"/>
      <c r="AA870" s="129"/>
      <c r="AB870" s="129"/>
      <c r="AC870" s="129"/>
      <c r="AD870" s="129"/>
      <c r="AE870" s="129"/>
      <c r="AF870" s="129"/>
      <c r="AG870" s="117"/>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c r="BK870" s="124"/>
      <c r="BL870" s="124"/>
      <c r="BM870" s="124"/>
      <c r="BN870" s="124"/>
      <c r="BO870" s="124"/>
      <c r="BP870" s="124"/>
      <c r="BQ870" s="124"/>
      <c r="BR870" s="124"/>
      <c r="BS870" s="124"/>
      <c r="BT870" s="124"/>
      <c r="BU870" s="124"/>
      <c r="BV870" s="124"/>
      <c r="BW870" s="124"/>
      <c r="BX870" s="124"/>
      <c r="BY870" s="124"/>
      <c r="BZ870" s="124"/>
      <c r="CA870" s="124"/>
    </row>
    <row r="871">
      <c r="A871" s="141"/>
      <c r="B871" s="107"/>
      <c r="C871" s="107"/>
      <c r="D871" s="143"/>
      <c r="E871" s="129"/>
      <c r="F871" s="129"/>
      <c r="G871" s="129"/>
      <c r="H871" s="129"/>
      <c r="I871" s="129"/>
      <c r="J871" s="129"/>
      <c r="K871" s="129"/>
      <c r="L871" s="129"/>
      <c r="M871" s="129"/>
      <c r="N871" s="129"/>
      <c r="O871" s="129"/>
      <c r="P871" s="129"/>
      <c r="Q871" s="129"/>
      <c r="R871" s="129"/>
      <c r="S871" s="129"/>
      <c r="T871" s="129"/>
      <c r="U871" s="106"/>
      <c r="V871" s="106"/>
      <c r="W871" s="106"/>
      <c r="X871" s="106"/>
      <c r="Y871" s="106"/>
      <c r="Z871" s="129"/>
      <c r="AA871" s="129"/>
      <c r="AB871" s="129"/>
      <c r="AC871" s="129"/>
      <c r="AD871" s="129"/>
      <c r="AE871" s="129"/>
      <c r="AF871" s="129"/>
      <c r="AG871" s="117"/>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c r="BK871" s="124"/>
      <c r="BL871" s="124"/>
      <c r="BM871" s="124"/>
      <c r="BN871" s="124"/>
      <c r="BO871" s="124"/>
      <c r="BP871" s="124"/>
      <c r="BQ871" s="124"/>
      <c r="BR871" s="124"/>
      <c r="BS871" s="124"/>
      <c r="BT871" s="124"/>
      <c r="BU871" s="124"/>
      <c r="BV871" s="124"/>
      <c r="BW871" s="124"/>
      <c r="BX871" s="124"/>
      <c r="BY871" s="124"/>
      <c r="BZ871" s="124"/>
      <c r="CA871" s="124"/>
    </row>
    <row r="872">
      <c r="A872" s="141"/>
      <c r="B872" s="107"/>
      <c r="C872" s="107"/>
      <c r="D872" s="143"/>
      <c r="E872" s="129"/>
      <c r="F872" s="129"/>
      <c r="G872" s="129"/>
      <c r="H872" s="129"/>
      <c r="I872" s="129"/>
      <c r="J872" s="129"/>
      <c r="K872" s="129"/>
      <c r="L872" s="129"/>
      <c r="M872" s="129"/>
      <c r="N872" s="129"/>
      <c r="O872" s="129"/>
      <c r="P872" s="129"/>
      <c r="Q872" s="129"/>
      <c r="R872" s="129"/>
      <c r="S872" s="129"/>
      <c r="T872" s="129"/>
      <c r="U872" s="106"/>
      <c r="V872" s="106"/>
      <c r="W872" s="106"/>
      <c r="X872" s="106"/>
      <c r="Y872" s="106"/>
      <c r="Z872" s="129"/>
      <c r="AA872" s="129"/>
      <c r="AB872" s="129"/>
      <c r="AC872" s="129"/>
      <c r="AD872" s="129"/>
      <c r="AE872" s="129"/>
      <c r="AF872" s="129"/>
      <c r="AG872" s="117"/>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c r="BK872" s="124"/>
      <c r="BL872" s="124"/>
      <c r="BM872" s="124"/>
      <c r="BN872" s="124"/>
      <c r="BO872" s="124"/>
      <c r="BP872" s="124"/>
      <c r="BQ872" s="124"/>
      <c r="BR872" s="124"/>
      <c r="BS872" s="124"/>
      <c r="BT872" s="124"/>
      <c r="BU872" s="124"/>
      <c r="BV872" s="124"/>
      <c r="BW872" s="124"/>
      <c r="BX872" s="124"/>
      <c r="BY872" s="124"/>
      <c r="BZ872" s="124"/>
      <c r="CA872" s="124"/>
    </row>
    <row r="873">
      <c r="A873" s="141"/>
      <c r="B873" s="107"/>
      <c r="C873" s="107"/>
      <c r="D873" s="143"/>
      <c r="E873" s="129"/>
      <c r="F873" s="129"/>
      <c r="G873" s="129"/>
      <c r="H873" s="129"/>
      <c r="I873" s="129"/>
      <c r="J873" s="129"/>
      <c r="K873" s="129"/>
      <c r="L873" s="129"/>
      <c r="M873" s="129"/>
      <c r="N873" s="129"/>
      <c r="O873" s="129"/>
      <c r="P873" s="129"/>
      <c r="Q873" s="129"/>
      <c r="R873" s="129"/>
      <c r="S873" s="129"/>
      <c r="T873" s="129"/>
      <c r="U873" s="106"/>
      <c r="V873" s="106"/>
      <c r="W873" s="106"/>
      <c r="X873" s="106"/>
      <c r="Y873" s="106"/>
      <c r="Z873" s="129"/>
      <c r="AA873" s="129"/>
      <c r="AB873" s="129"/>
      <c r="AC873" s="129"/>
      <c r="AD873" s="129"/>
      <c r="AE873" s="129"/>
      <c r="AF873" s="129"/>
      <c r="AG873" s="117"/>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c r="BK873" s="124"/>
      <c r="BL873" s="124"/>
      <c r="BM873" s="124"/>
      <c r="BN873" s="124"/>
      <c r="BO873" s="124"/>
      <c r="BP873" s="124"/>
      <c r="BQ873" s="124"/>
      <c r="BR873" s="124"/>
      <c r="BS873" s="124"/>
      <c r="BT873" s="124"/>
      <c r="BU873" s="124"/>
      <c r="BV873" s="124"/>
      <c r="BW873" s="124"/>
      <c r="BX873" s="124"/>
      <c r="BY873" s="124"/>
      <c r="BZ873" s="124"/>
      <c r="CA873" s="124"/>
    </row>
    <row r="874">
      <c r="A874" s="141"/>
      <c r="B874" s="107"/>
      <c r="C874" s="107"/>
      <c r="D874" s="143"/>
      <c r="E874" s="129"/>
      <c r="F874" s="129"/>
      <c r="G874" s="129"/>
      <c r="H874" s="129"/>
      <c r="I874" s="129"/>
      <c r="J874" s="129"/>
      <c r="K874" s="129"/>
      <c r="L874" s="129"/>
      <c r="M874" s="129"/>
      <c r="N874" s="129"/>
      <c r="O874" s="129"/>
      <c r="P874" s="129"/>
      <c r="Q874" s="129"/>
      <c r="R874" s="129"/>
      <c r="S874" s="129"/>
      <c r="T874" s="129"/>
      <c r="U874" s="106"/>
      <c r="V874" s="106"/>
      <c r="W874" s="106"/>
      <c r="X874" s="106"/>
      <c r="Y874" s="106"/>
      <c r="Z874" s="129"/>
      <c r="AA874" s="129"/>
      <c r="AB874" s="129"/>
      <c r="AC874" s="129"/>
      <c r="AD874" s="129"/>
      <c r="AE874" s="129"/>
      <c r="AF874" s="129"/>
      <c r="AG874" s="117"/>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c r="BK874" s="124"/>
      <c r="BL874" s="124"/>
      <c r="BM874" s="124"/>
      <c r="BN874" s="124"/>
      <c r="BO874" s="124"/>
      <c r="BP874" s="124"/>
      <c r="BQ874" s="124"/>
      <c r="BR874" s="124"/>
      <c r="BS874" s="124"/>
      <c r="BT874" s="124"/>
      <c r="BU874" s="124"/>
      <c r="BV874" s="124"/>
      <c r="BW874" s="124"/>
      <c r="BX874" s="124"/>
      <c r="BY874" s="124"/>
      <c r="BZ874" s="124"/>
      <c r="CA874" s="124"/>
    </row>
    <row r="875">
      <c r="A875" s="141"/>
      <c r="B875" s="107"/>
      <c r="C875" s="107"/>
      <c r="D875" s="143"/>
      <c r="E875" s="129"/>
      <c r="F875" s="129"/>
      <c r="G875" s="129"/>
      <c r="H875" s="129"/>
      <c r="I875" s="129"/>
      <c r="J875" s="129"/>
      <c r="K875" s="129"/>
      <c r="L875" s="129"/>
      <c r="M875" s="129"/>
      <c r="N875" s="129"/>
      <c r="O875" s="129"/>
      <c r="P875" s="129"/>
      <c r="Q875" s="129"/>
      <c r="R875" s="129"/>
      <c r="S875" s="129"/>
      <c r="T875" s="129"/>
      <c r="U875" s="106"/>
      <c r="V875" s="106"/>
      <c r="W875" s="106"/>
      <c r="X875" s="106"/>
      <c r="Y875" s="106"/>
      <c r="Z875" s="129"/>
      <c r="AA875" s="129"/>
      <c r="AB875" s="129"/>
      <c r="AC875" s="129"/>
      <c r="AD875" s="129"/>
      <c r="AE875" s="129"/>
      <c r="AF875" s="129"/>
      <c r="AG875" s="117"/>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c r="BK875" s="124"/>
      <c r="BL875" s="124"/>
      <c r="BM875" s="124"/>
      <c r="BN875" s="124"/>
      <c r="BO875" s="124"/>
      <c r="BP875" s="124"/>
      <c r="BQ875" s="124"/>
      <c r="BR875" s="124"/>
      <c r="BS875" s="124"/>
      <c r="BT875" s="124"/>
      <c r="BU875" s="124"/>
      <c r="BV875" s="124"/>
      <c r="BW875" s="124"/>
      <c r="BX875" s="124"/>
      <c r="BY875" s="124"/>
      <c r="BZ875" s="124"/>
      <c r="CA875" s="124"/>
    </row>
    <row r="876">
      <c r="A876" s="141"/>
      <c r="B876" s="107"/>
      <c r="C876" s="107"/>
      <c r="D876" s="143"/>
      <c r="E876" s="129"/>
      <c r="F876" s="129"/>
      <c r="G876" s="129"/>
      <c r="H876" s="129"/>
      <c r="I876" s="129"/>
      <c r="J876" s="129"/>
      <c r="K876" s="129"/>
      <c r="L876" s="129"/>
      <c r="M876" s="129"/>
      <c r="N876" s="129"/>
      <c r="O876" s="129"/>
      <c r="P876" s="129"/>
      <c r="Q876" s="129"/>
      <c r="R876" s="129"/>
      <c r="S876" s="129"/>
      <c r="T876" s="129"/>
      <c r="U876" s="106"/>
      <c r="V876" s="106"/>
      <c r="W876" s="106"/>
      <c r="X876" s="106"/>
      <c r="Y876" s="106"/>
      <c r="Z876" s="129"/>
      <c r="AA876" s="129"/>
      <c r="AB876" s="129"/>
      <c r="AC876" s="129"/>
      <c r="AD876" s="129"/>
      <c r="AE876" s="129"/>
      <c r="AF876" s="129"/>
      <c r="AG876" s="117"/>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c r="BK876" s="124"/>
      <c r="BL876" s="124"/>
      <c r="BM876" s="124"/>
      <c r="BN876" s="124"/>
      <c r="BO876" s="124"/>
      <c r="BP876" s="124"/>
      <c r="BQ876" s="124"/>
      <c r="BR876" s="124"/>
      <c r="BS876" s="124"/>
      <c r="BT876" s="124"/>
      <c r="BU876" s="124"/>
      <c r="BV876" s="124"/>
      <c r="BW876" s="124"/>
      <c r="BX876" s="124"/>
      <c r="BY876" s="124"/>
      <c r="BZ876" s="124"/>
      <c r="CA876" s="124"/>
    </row>
    <row r="877">
      <c r="A877" s="141"/>
      <c r="B877" s="107"/>
      <c r="C877" s="107"/>
      <c r="D877" s="143"/>
      <c r="E877" s="129"/>
      <c r="F877" s="129"/>
      <c r="G877" s="129"/>
      <c r="H877" s="129"/>
      <c r="I877" s="129"/>
      <c r="J877" s="129"/>
      <c r="K877" s="129"/>
      <c r="L877" s="129"/>
      <c r="M877" s="129"/>
      <c r="N877" s="129"/>
      <c r="O877" s="129"/>
      <c r="P877" s="129"/>
      <c r="Q877" s="129"/>
      <c r="R877" s="129"/>
      <c r="S877" s="129"/>
      <c r="T877" s="129"/>
      <c r="U877" s="106"/>
      <c r="V877" s="106"/>
      <c r="W877" s="106"/>
      <c r="X877" s="106"/>
      <c r="Y877" s="106"/>
      <c r="Z877" s="129"/>
      <c r="AA877" s="129"/>
      <c r="AB877" s="129"/>
      <c r="AC877" s="129"/>
      <c r="AD877" s="129"/>
      <c r="AE877" s="129"/>
      <c r="AF877" s="129"/>
      <c r="AG877" s="117"/>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c r="BK877" s="124"/>
      <c r="BL877" s="124"/>
      <c r="BM877" s="124"/>
      <c r="BN877" s="124"/>
      <c r="BO877" s="124"/>
      <c r="BP877" s="124"/>
      <c r="BQ877" s="124"/>
      <c r="BR877" s="124"/>
      <c r="BS877" s="124"/>
      <c r="BT877" s="124"/>
      <c r="BU877" s="124"/>
      <c r="BV877" s="124"/>
      <c r="BW877" s="124"/>
      <c r="BX877" s="124"/>
      <c r="BY877" s="124"/>
      <c r="BZ877" s="124"/>
      <c r="CA877" s="124"/>
    </row>
    <row r="878">
      <c r="A878" s="141"/>
      <c r="B878" s="107"/>
      <c r="C878" s="107"/>
      <c r="D878" s="143"/>
      <c r="E878" s="129"/>
      <c r="F878" s="129"/>
      <c r="G878" s="129"/>
      <c r="H878" s="129"/>
      <c r="I878" s="129"/>
      <c r="J878" s="129"/>
      <c r="K878" s="129"/>
      <c r="L878" s="129"/>
      <c r="M878" s="129"/>
      <c r="N878" s="129"/>
      <c r="O878" s="129"/>
      <c r="P878" s="129"/>
      <c r="Q878" s="129"/>
      <c r="R878" s="129"/>
      <c r="S878" s="129"/>
      <c r="T878" s="129"/>
      <c r="U878" s="106"/>
      <c r="V878" s="106"/>
      <c r="W878" s="106"/>
      <c r="X878" s="106"/>
      <c r="Y878" s="106"/>
      <c r="Z878" s="129"/>
      <c r="AA878" s="129"/>
      <c r="AB878" s="129"/>
      <c r="AC878" s="129"/>
      <c r="AD878" s="129"/>
      <c r="AE878" s="129"/>
      <c r="AF878" s="129"/>
      <c r="AG878" s="117"/>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c r="BK878" s="124"/>
      <c r="BL878" s="124"/>
      <c r="BM878" s="124"/>
      <c r="BN878" s="124"/>
      <c r="BO878" s="124"/>
      <c r="BP878" s="124"/>
      <c r="BQ878" s="124"/>
      <c r="BR878" s="124"/>
      <c r="BS878" s="124"/>
      <c r="BT878" s="124"/>
      <c r="BU878" s="124"/>
      <c r="BV878" s="124"/>
      <c r="BW878" s="124"/>
      <c r="BX878" s="124"/>
      <c r="BY878" s="124"/>
      <c r="BZ878" s="124"/>
      <c r="CA878" s="124"/>
    </row>
    <row r="879">
      <c r="A879" s="141"/>
      <c r="B879" s="107"/>
      <c r="C879" s="107"/>
      <c r="D879" s="143"/>
      <c r="E879" s="129"/>
      <c r="F879" s="129"/>
      <c r="G879" s="129"/>
      <c r="H879" s="129"/>
      <c r="I879" s="129"/>
      <c r="J879" s="129"/>
      <c r="K879" s="129"/>
      <c r="L879" s="129"/>
      <c r="M879" s="129"/>
      <c r="N879" s="129"/>
      <c r="O879" s="129"/>
      <c r="P879" s="129"/>
      <c r="Q879" s="129"/>
      <c r="R879" s="129"/>
      <c r="S879" s="129"/>
      <c r="T879" s="129"/>
      <c r="U879" s="106"/>
      <c r="V879" s="106"/>
      <c r="W879" s="106"/>
      <c r="X879" s="106"/>
      <c r="Y879" s="106"/>
      <c r="Z879" s="129"/>
      <c r="AA879" s="129"/>
      <c r="AB879" s="129"/>
      <c r="AC879" s="129"/>
      <c r="AD879" s="129"/>
      <c r="AE879" s="129"/>
      <c r="AF879" s="129"/>
      <c r="AG879" s="117"/>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c r="BK879" s="124"/>
      <c r="BL879" s="124"/>
      <c r="BM879" s="124"/>
      <c r="BN879" s="124"/>
      <c r="BO879" s="124"/>
      <c r="BP879" s="124"/>
      <c r="BQ879" s="124"/>
      <c r="BR879" s="124"/>
      <c r="BS879" s="124"/>
      <c r="BT879" s="124"/>
      <c r="BU879" s="124"/>
      <c r="BV879" s="124"/>
      <c r="BW879" s="124"/>
      <c r="BX879" s="124"/>
      <c r="BY879" s="124"/>
      <c r="BZ879" s="124"/>
      <c r="CA879" s="124"/>
    </row>
    <row r="880">
      <c r="A880" s="141"/>
      <c r="B880" s="107"/>
      <c r="C880" s="107"/>
      <c r="D880" s="143"/>
      <c r="E880" s="129"/>
      <c r="F880" s="129"/>
      <c r="G880" s="129"/>
      <c r="H880" s="129"/>
      <c r="I880" s="129"/>
      <c r="J880" s="129"/>
      <c r="K880" s="129"/>
      <c r="L880" s="129"/>
      <c r="M880" s="129"/>
      <c r="N880" s="129"/>
      <c r="O880" s="129"/>
      <c r="P880" s="129"/>
      <c r="Q880" s="129"/>
      <c r="R880" s="129"/>
      <c r="S880" s="129"/>
      <c r="T880" s="129"/>
      <c r="U880" s="106"/>
      <c r="V880" s="106"/>
      <c r="W880" s="106"/>
      <c r="X880" s="106"/>
      <c r="Y880" s="106"/>
      <c r="Z880" s="129"/>
      <c r="AA880" s="129"/>
      <c r="AB880" s="129"/>
      <c r="AC880" s="129"/>
      <c r="AD880" s="129"/>
      <c r="AE880" s="129"/>
      <c r="AF880" s="129"/>
      <c r="AG880" s="117"/>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c r="BK880" s="124"/>
      <c r="BL880" s="124"/>
      <c r="BM880" s="124"/>
      <c r="BN880" s="124"/>
      <c r="BO880" s="124"/>
      <c r="BP880" s="124"/>
      <c r="BQ880" s="124"/>
      <c r="BR880" s="124"/>
      <c r="BS880" s="124"/>
      <c r="BT880" s="124"/>
      <c r="BU880" s="124"/>
      <c r="BV880" s="124"/>
      <c r="BW880" s="124"/>
      <c r="BX880" s="124"/>
      <c r="BY880" s="124"/>
      <c r="BZ880" s="124"/>
      <c r="CA880" s="124"/>
    </row>
    <row r="881">
      <c r="A881" s="141"/>
      <c r="B881" s="107"/>
      <c r="C881" s="107"/>
      <c r="D881" s="143"/>
      <c r="E881" s="129"/>
      <c r="F881" s="129"/>
      <c r="G881" s="129"/>
      <c r="H881" s="129"/>
      <c r="I881" s="129"/>
      <c r="J881" s="129"/>
      <c r="K881" s="129"/>
      <c r="L881" s="129"/>
      <c r="M881" s="129"/>
      <c r="N881" s="129"/>
      <c r="O881" s="129"/>
      <c r="P881" s="129"/>
      <c r="Q881" s="129"/>
      <c r="R881" s="129"/>
      <c r="S881" s="129"/>
      <c r="T881" s="129"/>
      <c r="U881" s="106"/>
      <c r="V881" s="106"/>
      <c r="W881" s="106"/>
      <c r="X881" s="106"/>
      <c r="Y881" s="106"/>
      <c r="Z881" s="129"/>
      <c r="AA881" s="129"/>
      <c r="AB881" s="129"/>
      <c r="AC881" s="129"/>
      <c r="AD881" s="129"/>
      <c r="AE881" s="129"/>
      <c r="AF881" s="129"/>
      <c r="AG881" s="117"/>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c r="BK881" s="124"/>
      <c r="BL881" s="124"/>
      <c r="BM881" s="124"/>
      <c r="BN881" s="124"/>
      <c r="BO881" s="124"/>
      <c r="BP881" s="124"/>
      <c r="BQ881" s="124"/>
      <c r="BR881" s="124"/>
      <c r="BS881" s="124"/>
      <c r="BT881" s="124"/>
      <c r="BU881" s="124"/>
      <c r="BV881" s="124"/>
      <c r="BW881" s="124"/>
      <c r="BX881" s="124"/>
      <c r="BY881" s="124"/>
      <c r="BZ881" s="124"/>
      <c r="CA881" s="124"/>
    </row>
    <row r="882">
      <c r="A882" s="141"/>
      <c r="B882" s="107"/>
      <c r="C882" s="107"/>
      <c r="D882" s="143"/>
      <c r="E882" s="129"/>
      <c r="F882" s="129"/>
      <c r="G882" s="129"/>
      <c r="H882" s="129"/>
      <c r="I882" s="129"/>
      <c r="J882" s="129"/>
      <c r="K882" s="129"/>
      <c r="L882" s="129"/>
      <c r="M882" s="129"/>
      <c r="N882" s="129"/>
      <c r="O882" s="129"/>
      <c r="P882" s="129"/>
      <c r="Q882" s="129"/>
      <c r="R882" s="129"/>
      <c r="S882" s="129"/>
      <c r="T882" s="129"/>
      <c r="U882" s="106"/>
      <c r="V882" s="106"/>
      <c r="W882" s="106"/>
      <c r="X882" s="106"/>
      <c r="Y882" s="106"/>
      <c r="Z882" s="129"/>
      <c r="AA882" s="129"/>
      <c r="AB882" s="129"/>
      <c r="AC882" s="129"/>
      <c r="AD882" s="129"/>
      <c r="AE882" s="129"/>
      <c r="AF882" s="129"/>
      <c r="AG882" s="117"/>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c r="BK882" s="124"/>
      <c r="BL882" s="124"/>
      <c r="BM882" s="124"/>
      <c r="BN882" s="124"/>
      <c r="BO882" s="124"/>
      <c r="BP882" s="124"/>
      <c r="BQ882" s="124"/>
      <c r="BR882" s="124"/>
      <c r="BS882" s="124"/>
      <c r="BT882" s="124"/>
      <c r="BU882" s="124"/>
      <c r="BV882" s="124"/>
      <c r="BW882" s="124"/>
      <c r="BX882" s="124"/>
      <c r="BY882" s="124"/>
      <c r="BZ882" s="124"/>
      <c r="CA882" s="124"/>
    </row>
    <row r="883">
      <c r="A883" s="141"/>
      <c r="B883" s="107"/>
      <c r="C883" s="107"/>
      <c r="D883" s="143"/>
      <c r="E883" s="129"/>
      <c r="F883" s="129"/>
      <c r="G883" s="129"/>
      <c r="H883" s="129"/>
      <c r="I883" s="129"/>
      <c r="J883" s="129"/>
      <c r="K883" s="129"/>
      <c r="L883" s="129"/>
      <c r="M883" s="129"/>
      <c r="N883" s="129"/>
      <c r="O883" s="129"/>
      <c r="P883" s="129"/>
      <c r="Q883" s="129"/>
      <c r="R883" s="129"/>
      <c r="S883" s="129"/>
      <c r="T883" s="129"/>
      <c r="U883" s="106"/>
      <c r="V883" s="106"/>
      <c r="W883" s="106"/>
      <c r="X883" s="106"/>
      <c r="Y883" s="106"/>
      <c r="Z883" s="129"/>
      <c r="AA883" s="129"/>
      <c r="AB883" s="129"/>
      <c r="AC883" s="129"/>
      <c r="AD883" s="129"/>
      <c r="AE883" s="129"/>
      <c r="AF883" s="129"/>
      <c r="AG883" s="117"/>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c r="BK883" s="124"/>
      <c r="BL883" s="124"/>
      <c r="BM883" s="124"/>
      <c r="BN883" s="124"/>
      <c r="BO883" s="124"/>
      <c r="BP883" s="124"/>
      <c r="BQ883" s="124"/>
      <c r="BR883" s="124"/>
      <c r="BS883" s="124"/>
      <c r="BT883" s="124"/>
      <c r="BU883" s="124"/>
      <c r="BV883" s="124"/>
      <c r="BW883" s="124"/>
      <c r="BX883" s="124"/>
      <c r="BY883" s="124"/>
      <c r="BZ883" s="124"/>
      <c r="CA883" s="124"/>
    </row>
    <row r="884">
      <c r="A884" s="141"/>
      <c r="B884" s="107"/>
      <c r="C884" s="107"/>
      <c r="D884" s="143"/>
      <c r="E884" s="129"/>
      <c r="F884" s="129"/>
      <c r="G884" s="129"/>
      <c r="H884" s="129"/>
      <c r="I884" s="129"/>
      <c r="J884" s="129"/>
      <c r="K884" s="129"/>
      <c r="L884" s="129"/>
      <c r="M884" s="129"/>
      <c r="N884" s="129"/>
      <c r="O884" s="129"/>
      <c r="P884" s="129"/>
      <c r="Q884" s="129"/>
      <c r="R884" s="129"/>
      <c r="S884" s="129"/>
      <c r="T884" s="129"/>
      <c r="U884" s="106"/>
      <c r="V884" s="106"/>
      <c r="W884" s="106"/>
      <c r="X884" s="106"/>
      <c r="Y884" s="106"/>
      <c r="Z884" s="129"/>
      <c r="AA884" s="129"/>
      <c r="AB884" s="129"/>
      <c r="AC884" s="129"/>
      <c r="AD884" s="129"/>
      <c r="AE884" s="129"/>
      <c r="AF884" s="129"/>
      <c r="AG884" s="117"/>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c r="BK884" s="124"/>
      <c r="BL884" s="124"/>
      <c r="BM884" s="124"/>
      <c r="BN884" s="124"/>
      <c r="BO884" s="124"/>
      <c r="BP884" s="124"/>
      <c r="BQ884" s="124"/>
      <c r="BR884" s="124"/>
      <c r="BS884" s="124"/>
      <c r="BT884" s="124"/>
      <c r="BU884" s="124"/>
      <c r="BV884" s="124"/>
      <c r="BW884" s="124"/>
      <c r="BX884" s="124"/>
      <c r="BY884" s="124"/>
      <c r="BZ884" s="124"/>
      <c r="CA884" s="124"/>
    </row>
    <row r="885">
      <c r="A885" s="141"/>
      <c r="B885" s="107"/>
      <c r="C885" s="107"/>
      <c r="D885" s="143"/>
      <c r="E885" s="129"/>
      <c r="F885" s="129"/>
      <c r="G885" s="129"/>
      <c r="H885" s="129"/>
      <c r="I885" s="129"/>
      <c r="J885" s="129"/>
      <c r="K885" s="129"/>
      <c r="L885" s="129"/>
      <c r="M885" s="129"/>
      <c r="N885" s="129"/>
      <c r="O885" s="129"/>
      <c r="P885" s="129"/>
      <c r="Q885" s="129"/>
      <c r="R885" s="129"/>
      <c r="S885" s="129"/>
      <c r="T885" s="129"/>
      <c r="U885" s="106"/>
      <c r="V885" s="106"/>
      <c r="W885" s="106"/>
      <c r="X885" s="106"/>
      <c r="Y885" s="106"/>
      <c r="Z885" s="129"/>
      <c r="AA885" s="129"/>
      <c r="AB885" s="129"/>
      <c r="AC885" s="129"/>
      <c r="AD885" s="129"/>
      <c r="AE885" s="129"/>
      <c r="AF885" s="129"/>
      <c r="AG885" s="117"/>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c r="BK885" s="124"/>
      <c r="BL885" s="124"/>
      <c r="BM885" s="124"/>
      <c r="BN885" s="124"/>
      <c r="BO885" s="124"/>
      <c r="BP885" s="124"/>
      <c r="BQ885" s="124"/>
      <c r="BR885" s="124"/>
      <c r="BS885" s="124"/>
      <c r="BT885" s="124"/>
      <c r="BU885" s="124"/>
      <c r="BV885" s="124"/>
      <c r="BW885" s="124"/>
      <c r="BX885" s="124"/>
      <c r="BY885" s="124"/>
      <c r="BZ885" s="124"/>
      <c r="CA885" s="124"/>
    </row>
    <row r="886">
      <c r="A886" s="141"/>
      <c r="B886" s="107"/>
      <c r="C886" s="107"/>
      <c r="D886" s="143"/>
      <c r="E886" s="129"/>
      <c r="F886" s="129"/>
      <c r="G886" s="129"/>
      <c r="H886" s="129"/>
      <c r="I886" s="129"/>
      <c r="J886" s="129"/>
      <c r="K886" s="129"/>
      <c r="L886" s="129"/>
      <c r="M886" s="129"/>
      <c r="N886" s="129"/>
      <c r="O886" s="129"/>
      <c r="P886" s="129"/>
      <c r="Q886" s="129"/>
      <c r="R886" s="129"/>
      <c r="S886" s="129"/>
      <c r="T886" s="129"/>
      <c r="U886" s="106"/>
      <c r="V886" s="106"/>
      <c r="W886" s="106"/>
      <c r="X886" s="106"/>
      <c r="Y886" s="106"/>
      <c r="Z886" s="129"/>
      <c r="AA886" s="129"/>
      <c r="AB886" s="129"/>
      <c r="AC886" s="129"/>
      <c r="AD886" s="129"/>
      <c r="AE886" s="129"/>
      <c r="AF886" s="129"/>
      <c r="AG886" s="117"/>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c r="BK886" s="124"/>
      <c r="BL886" s="124"/>
      <c r="BM886" s="124"/>
      <c r="BN886" s="124"/>
      <c r="BO886" s="124"/>
      <c r="BP886" s="124"/>
      <c r="BQ886" s="124"/>
      <c r="BR886" s="124"/>
      <c r="BS886" s="124"/>
      <c r="BT886" s="124"/>
      <c r="BU886" s="124"/>
      <c r="BV886" s="124"/>
      <c r="BW886" s="124"/>
      <c r="BX886" s="124"/>
      <c r="BY886" s="124"/>
      <c r="BZ886" s="124"/>
      <c r="CA886" s="124"/>
    </row>
    <row r="887">
      <c r="A887" s="141"/>
      <c r="B887" s="107"/>
      <c r="C887" s="107"/>
      <c r="D887" s="143"/>
      <c r="E887" s="129"/>
      <c r="F887" s="129"/>
      <c r="G887" s="129"/>
      <c r="H887" s="129"/>
      <c r="I887" s="129"/>
      <c r="J887" s="129"/>
      <c r="K887" s="129"/>
      <c r="L887" s="129"/>
      <c r="M887" s="129"/>
      <c r="N887" s="129"/>
      <c r="O887" s="129"/>
      <c r="P887" s="129"/>
      <c r="Q887" s="129"/>
      <c r="R887" s="129"/>
      <c r="S887" s="129"/>
      <c r="T887" s="129"/>
      <c r="U887" s="106"/>
      <c r="V887" s="106"/>
      <c r="W887" s="106"/>
      <c r="X887" s="106"/>
      <c r="Y887" s="106"/>
      <c r="Z887" s="129"/>
      <c r="AA887" s="129"/>
      <c r="AB887" s="129"/>
      <c r="AC887" s="129"/>
      <c r="AD887" s="129"/>
      <c r="AE887" s="129"/>
      <c r="AF887" s="129"/>
      <c r="AG887" s="117"/>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c r="BK887" s="124"/>
      <c r="BL887" s="124"/>
      <c r="BM887" s="124"/>
      <c r="BN887" s="124"/>
      <c r="BO887" s="124"/>
      <c r="BP887" s="124"/>
      <c r="BQ887" s="124"/>
      <c r="BR887" s="124"/>
      <c r="BS887" s="124"/>
      <c r="BT887" s="124"/>
      <c r="BU887" s="124"/>
      <c r="BV887" s="124"/>
      <c r="BW887" s="124"/>
      <c r="BX887" s="124"/>
      <c r="BY887" s="124"/>
      <c r="BZ887" s="124"/>
      <c r="CA887" s="124"/>
    </row>
    <row r="888">
      <c r="A888" s="141"/>
      <c r="B888" s="107"/>
      <c r="C888" s="107"/>
      <c r="D888" s="143"/>
      <c r="E888" s="129"/>
      <c r="F888" s="129"/>
      <c r="G888" s="129"/>
      <c r="H888" s="129"/>
      <c r="I888" s="129"/>
      <c r="J888" s="129"/>
      <c r="K888" s="129"/>
      <c r="L888" s="129"/>
      <c r="M888" s="129"/>
      <c r="N888" s="129"/>
      <c r="O888" s="129"/>
      <c r="P888" s="129"/>
      <c r="Q888" s="129"/>
      <c r="R888" s="129"/>
      <c r="S888" s="129"/>
      <c r="T888" s="129"/>
      <c r="U888" s="106"/>
      <c r="V888" s="106"/>
      <c r="W888" s="106"/>
      <c r="X888" s="106"/>
      <c r="Y888" s="106"/>
      <c r="Z888" s="129"/>
      <c r="AA888" s="129"/>
      <c r="AB888" s="129"/>
      <c r="AC888" s="129"/>
      <c r="AD888" s="129"/>
      <c r="AE888" s="129"/>
      <c r="AF888" s="129"/>
      <c r="AG888" s="117"/>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c r="BK888" s="124"/>
      <c r="BL888" s="124"/>
      <c r="BM888" s="124"/>
      <c r="BN888" s="124"/>
      <c r="BO888" s="124"/>
      <c r="BP888" s="124"/>
      <c r="BQ888" s="124"/>
      <c r="BR888" s="124"/>
      <c r="BS888" s="124"/>
      <c r="BT888" s="124"/>
      <c r="BU888" s="124"/>
      <c r="BV888" s="124"/>
      <c r="BW888" s="124"/>
      <c r="BX888" s="124"/>
      <c r="BY888" s="124"/>
      <c r="BZ888" s="124"/>
      <c r="CA888" s="124"/>
    </row>
    <row r="889">
      <c r="A889" s="141"/>
      <c r="B889" s="107"/>
      <c r="C889" s="107"/>
      <c r="D889" s="143"/>
      <c r="E889" s="129"/>
      <c r="F889" s="129"/>
      <c r="G889" s="129"/>
      <c r="H889" s="129"/>
      <c r="I889" s="129"/>
      <c r="J889" s="129"/>
      <c r="K889" s="129"/>
      <c r="L889" s="129"/>
      <c r="M889" s="129"/>
      <c r="N889" s="129"/>
      <c r="O889" s="129"/>
      <c r="P889" s="129"/>
      <c r="Q889" s="129"/>
      <c r="R889" s="129"/>
      <c r="S889" s="129"/>
      <c r="T889" s="129"/>
      <c r="U889" s="106"/>
      <c r="V889" s="106"/>
      <c r="W889" s="106"/>
      <c r="X889" s="106"/>
      <c r="Y889" s="106"/>
      <c r="Z889" s="129"/>
      <c r="AA889" s="129"/>
      <c r="AB889" s="129"/>
      <c r="AC889" s="129"/>
      <c r="AD889" s="129"/>
      <c r="AE889" s="129"/>
      <c r="AF889" s="129"/>
      <c r="AG889" s="117"/>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c r="BK889" s="124"/>
      <c r="BL889" s="124"/>
      <c r="BM889" s="124"/>
      <c r="BN889" s="124"/>
      <c r="BO889" s="124"/>
      <c r="BP889" s="124"/>
      <c r="BQ889" s="124"/>
      <c r="BR889" s="124"/>
      <c r="BS889" s="124"/>
      <c r="BT889" s="124"/>
      <c r="BU889" s="124"/>
      <c r="BV889" s="124"/>
      <c r="BW889" s="124"/>
      <c r="BX889" s="124"/>
      <c r="BY889" s="124"/>
      <c r="BZ889" s="124"/>
      <c r="CA889" s="124"/>
    </row>
    <row r="890">
      <c r="A890" s="141"/>
      <c r="B890" s="107"/>
      <c r="C890" s="107"/>
      <c r="D890" s="143"/>
      <c r="E890" s="129"/>
      <c r="F890" s="129"/>
      <c r="G890" s="129"/>
      <c r="H890" s="129"/>
      <c r="I890" s="129"/>
      <c r="J890" s="129"/>
      <c r="K890" s="129"/>
      <c r="L890" s="129"/>
      <c r="M890" s="129"/>
      <c r="N890" s="129"/>
      <c r="O890" s="129"/>
      <c r="P890" s="129"/>
      <c r="Q890" s="129"/>
      <c r="R890" s="129"/>
      <c r="S890" s="129"/>
      <c r="T890" s="129"/>
      <c r="U890" s="106"/>
      <c r="V890" s="106"/>
      <c r="W890" s="106"/>
      <c r="X890" s="106"/>
      <c r="Y890" s="106"/>
      <c r="Z890" s="129"/>
      <c r="AA890" s="129"/>
      <c r="AB890" s="129"/>
      <c r="AC890" s="129"/>
      <c r="AD890" s="129"/>
      <c r="AE890" s="129"/>
      <c r="AF890" s="129"/>
      <c r="AG890" s="117"/>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c r="BK890" s="124"/>
      <c r="BL890" s="124"/>
      <c r="BM890" s="124"/>
      <c r="BN890" s="124"/>
      <c r="BO890" s="124"/>
      <c r="BP890" s="124"/>
      <c r="BQ890" s="124"/>
      <c r="BR890" s="124"/>
      <c r="BS890" s="124"/>
      <c r="BT890" s="124"/>
      <c r="BU890" s="124"/>
      <c r="BV890" s="124"/>
      <c r="BW890" s="124"/>
      <c r="BX890" s="124"/>
      <c r="BY890" s="124"/>
      <c r="BZ890" s="124"/>
      <c r="CA890" s="124"/>
    </row>
    <row r="891">
      <c r="A891" s="141"/>
      <c r="B891" s="107"/>
      <c r="C891" s="107"/>
      <c r="D891" s="143"/>
      <c r="E891" s="129"/>
      <c r="F891" s="129"/>
      <c r="G891" s="129"/>
      <c r="H891" s="129"/>
      <c r="I891" s="129"/>
      <c r="J891" s="129"/>
      <c r="K891" s="129"/>
      <c r="L891" s="129"/>
      <c r="M891" s="129"/>
      <c r="N891" s="129"/>
      <c r="O891" s="129"/>
      <c r="P891" s="129"/>
      <c r="Q891" s="129"/>
      <c r="R891" s="129"/>
      <c r="S891" s="129"/>
      <c r="T891" s="129"/>
      <c r="U891" s="106"/>
      <c r="V891" s="106"/>
      <c r="W891" s="106"/>
      <c r="X891" s="106"/>
      <c r="Y891" s="106"/>
      <c r="Z891" s="129"/>
      <c r="AA891" s="129"/>
      <c r="AB891" s="129"/>
      <c r="AC891" s="129"/>
      <c r="AD891" s="129"/>
      <c r="AE891" s="129"/>
      <c r="AF891" s="129"/>
      <c r="AG891" s="117"/>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c r="BK891" s="124"/>
      <c r="BL891" s="124"/>
      <c r="BM891" s="124"/>
      <c r="BN891" s="124"/>
      <c r="BO891" s="124"/>
      <c r="BP891" s="124"/>
      <c r="BQ891" s="124"/>
      <c r="BR891" s="124"/>
      <c r="BS891" s="124"/>
      <c r="BT891" s="124"/>
      <c r="BU891" s="124"/>
      <c r="BV891" s="124"/>
      <c r="BW891" s="124"/>
      <c r="BX891" s="124"/>
      <c r="BY891" s="124"/>
      <c r="BZ891" s="124"/>
      <c r="CA891" s="124"/>
    </row>
    <row r="892">
      <c r="A892" s="141"/>
      <c r="B892" s="107"/>
      <c r="C892" s="107"/>
      <c r="D892" s="143"/>
      <c r="E892" s="129"/>
      <c r="F892" s="129"/>
      <c r="G892" s="129"/>
      <c r="H892" s="129"/>
      <c r="I892" s="129"/>
      <c r="J892" s="129"/>
      <c r="K892" s="129"/>
      <c r="L892" s="129"/>
      <c r="M892" s="129"/>
      <c r="N892" s="129"/>
      <c r="O892" s="129"/>
      <c r="P892" s="129"/>
      <c r="Q892" s="129"/>
      <c r="R892" s="129"/>
      <c r="S892" s="129"/>
      <c r="T892" s="129"/>
      <c r="U892" s="106"/>
      <c r="V892" s="106"/>
      <c r="W892" s="106"/>
      <c r="X892" s="106"/>
      <c r="Y892" s="106"/>
      <c r="Z892" s="129"/>
      <c r="AA892" s="129"/>
      <c r="AB892" s="129"/>
      <c r="AC892" s="129"/>
      <c r="AD892" s="129"/>
      <c r="AE892" s="129"/>
      <c r="AF892" s="129"/>
      <c r="AG892" s="117"/>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c r="BK892" s="124"/>
      <c r="BL892" s="124"/>
      <c r="BM892" s="124"/>
      <c r="BN892" s="124"/>
      <c r="BO892" s="124"/>
      <c r="BP892" s="124"/>
      <c r="BQ892" s="124"/>
      <c r="BR892" s="124"/>
      <c r="BS892" s="124"/>
      <c r="BT892" s="124"/>
      <c r="BU892" s="124"/>
      <c r="BV892" s="124"/>
      <c r="BW892" s="124"/>
      <c r="BX892" s="124"/>
      <c r="BY892" s="124"/>
      <c r="BZ892" s="124"/>
      <c r="CA892" s="124"/>
    </row>
    <row r="893">
      <c r="A893" s="141"/>
      <c r="B893" s="107"/>
      <c r="C893" s="107"/>
      <c r="D893" s="143"/>
      <c r="E893" s="129"/>
      <c r="F893" s="129"/>
      <c r="G893" s="129"/>
      <c r="H893" s="129"/>
      <c r="I893" s="129"/>
      <c r="J893" s="129"/>
      <c r="K893" s="129"/>
      <c r="L893" s="129"/>
      <c r="M893" s="129"/>
      <c r="N893" s="129"/>
      <c r="O893" s="129"/>
      <c r="P893" s="129"/>
      <c r="Q893" s="129"/>
      <c r="R893" s="129"/>
      <c r="S893" s="129"/>
      <c r="T893" s="129"/>
      <c r="U893" s="106"/>
      <c r="V893" s="106"/>
      <c r="W893" s="106"/>
      <c r="X893" s="106"/>
      <c r="Y893" s="106"/>
      <c r="Z893" s="129"/>
      <c r="AA893" s="129"/>
      <c r="AB893" s="129"/>
      <c r="AC893" s="129"/>
      <c r="AD893" s="129"/>
      <c r="AE893" s="129"/>
      <c r="AF893" s="129"/>
      <c r="AG893" s="117"/>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c r="BK893" s="124"/>
      <c r="BL893" s="124"/>
      <c r="BM893" s="124"/>
      <c r="BN893" s="124"/>
      <c r="BO893" s="124"/>
      <c r="BP893" s="124"/>
      <c r="BQ893" s="124"/>
      <c r="BR893" s="124"/>
      <c r="BS893" s="124"/>
      <c r="BT893" s="124"/>
      <c r="BU893" s="124"/>
      <c r="BV893" s="124"/>
      <c r="BW893" s="124"/>
      <c r="BX893" s="124"/>
      <c r="BY893" s="124"/>
      <c r="BZ893" s="124"/>
      <c r="CA893" s="124"/>
    </row>
    <row r="894">
      <c r="A894" s="141"/>
      <c r="B894" s="107"/>
      <c r="C894" s="107"/>
      <c r="D894" s="143"/>
      <c r="E894" s="129"/>
      <c r="F894" s="129"/>
      <c r="G894" s="129"/>
      <c r="H894" s="129"/>
      <c r="I894" s="129"/>
      <c r="J894" s="129"/>
      <c r="K894" s="129"/>
      <c r="L894" s="129"/>
      <c r="M894" s="129"/>
      <c r="N894" s="129"/>
      <c r="O894" s="129"/>
      <c r="P894" s="129"/>
      <c r="Q894" s="129"/>
      <c r="R894" s="129"/>
      <c r="S894" s="129"/>
      <c r="T894" s="129"/>
      <c r="U894" s="106"/>
      <c r="V894" s="106"/>
      <c r="W894" s="106"/>
      <c r="X894" s="106"/>
      <c r="Y894" s="106"/>
      <c r="Z894" s="129"/>
      <c r="AA894" s="129"/>
      <c r="AB894" s="129"/>
      <c r="AC894" s="129"/>
      <c r="AD894" s="129"/>
      <c r="AE894" s="129"/>
      <c r="AF894" s="129"/>
      <c r="AG894" s="117"/>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c r="BK894" s="124"/>
      <c r="BL894" s="124"/>
      <c r="BM894" s="124"/>
      <c r="BN894" s="124"/>
      <c r="BO894" s="124"/>
      <c r="BP894" s="124"/>
      <c r="BQ894" s="124"/>
      <c r="BR894" s="124"/>
      <c r="BS894" s="124"/>
      <c r="BT894" s="124"/>
      <c r="BU894" s="124"/>
      <c r="BV894" s="124"/>
      <c r="BW894" s="124"/>
      <c r="BX894" s="124"/>
      <c r="BY894" s="124"/>
      <c r="BZ894" s="124"/>
      <c r="CA894" s="124"/>
    </row>
    <row r="895">
      <c r="A895" s="141"/>
      <c r="B895" s="107"/>
      <c r="C895" s="107"/>
      <c r="D895" s="143"/>
      <c r="E895" s="129"/>
      <c r="F895" s="129"/>
      <c r="G895" s="129"/>
      <c r="H895" s="129"/>
      <c r="I895" s="129"/>
      <c r="J895" s="129"/>
      <c r="K895" s="129"/>
      <c r="L895" s="129"/>
      <c r="M895" s="129"/>
      <c r="N895" s="129"/>
      <c r="O895" s="129"/>
      <c r="P895" s="129"/>
      <c r="Q895" s="129"/>
      <c r="R895" s="129"/>
      <c r="S895" s="129"/>
      <c r="T895" s="129"/>
      <c r="U895" s="106"/>
      <c r="V895" s="106"/>
      <c r="W895" s="106"/>
      <c r="X895" s="106"/>
      <c r="Y895" s="106"/>
      <c r="Z895" s="129"/>
      <c r="AA895" s="129"/>
      <c r="AB895" s="129"/>
      <c r="AC895" s="129"/>
      <c r="AD895" s="129"/>
      <c r="AE895" s="129"/>
      <c r="AF895" s="129"/>
      <c r="AG895" s="117"/>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c r="BK895" s="124"/>
      <c r="BL895" s="124"/>
      <c r="BM895" s="124"/>
      <c r="BN895" s="124"/>
      <c r="BO895" s="124"/>
      <c r="BP895" s="124"/>
      <c r="BQ895" s="124"/>
      <c r="BR895" s="124"/>
      <c r="BS895" s="124"/>
      <c r="BT895" s="124"/>
      <c r="BU895" s="124"/>
      <c r="BV895" s="124"/>
      <c r="BW895" s="124"/>
      <c r="BX895" s="124"/>
      <c r="BY895" s="124"/>
      <c r="BZ895" s="124"/>
      <c r="CA895" s="124"/>
    </row>
    <row r="896">
      <c r="A896" s="141"/>
      <c r="B896" s="107"/>
      <c r="C896" s="107"/>
      <c r="D896" s="143"/>
      <c r="E896" s="129"/>
      <c r="F896" s="129"/>
      <c r="G896" s="129"/>
      <c r="H896" s="129"/>
      <c r="I896" s="129"/>
      <c r="J896" s="129"/>
      <c r="K896" s="129"/>
      <c r="L896" s="129"/>
      <c r="M896" s="129"/>
      <c r="N896" s="129"/>
      <c r="O896" s="129"/>
      <c r="P896" s="129"/>
      <c r="Q896" s="129"/>
      <c r="R896" s="129"/>
      <c r="S896" s="129"/>
      <c r="T896" s="129"/>
      <c r="U896" s="106"/>
      <c r="V896" s="106"/>
      <c r="W896" s="106"/>
      <c r="X896" s="106"/>
      <c r="Y896" s="106"/>
      <c r="Z896" s="129"/>
      <c r="AA896" s="129"/>
      <c r="AB896" s="129"/>
      <c r="AC896" s="129"/>
      <c r="AD896" s="129"/>
      <c r="AE896" s="129"/>
      <c r="AF896" s="129"/>
      <c r="AG896" s="117"/>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c r="BK896" s="124"/>
      <c r="BL896" s="124"/>
      <c r="BM896" s="124"/>
      <c r="BN896" s="124"/>
      <c r="BO896" s="124"/>
      <c r="BP896" s="124"/>
      <c r="BQ896" s="124"/>
      <c r="BR896" s="124"/>
      <c r="BS896" s="124"/>
      <c r="BT896" s="124"/>
      <c r="BU896" s="124"/>
      <c r="BV896" s="124"/>
      <c r="BW896" s="124"/>
      <c r="BX896" s="124"/>
      <c r="BY896" s="124"/>
      <c r="BZ896" s="124"/>
      <c r="CA896" s="124"/>
    </row>
    <row r="897">
      <c r="A897" s="141"/>
      <c r="B897" s="107"/>
      <c r="C897" s="107"/>
      <c r="D897" s="143"/>
      <c r="E897" s="129"/>
      <c r="F897" s="129"/>
      <c r="G897" s="129"/>
      <c r="H897" s="129"/>
      <c r="I897" s="129"/>
      <c r="J897" s="129"/>
      <c r="K897" s="129"/>
      <c r="L897" s="129"/>
      <c r="M897" s="129"/>
      <c r="N897" s="129"/>
      <c r="O897" s="129"/>
      <c r="P897" s="129"/>
      <c r="Q897" s="129"/>
      <c r="R897" s="129"/>
      <c r="S897" s="129"/>
      <c r="T897" s="129"/>
      <c r="U897" s="106"/>
      <c r="V897" s="106"/>
      <c r="W897" s="106"/>
      <c r="X897" s="106"/>
      <c r="Y897" s="106"/>
      <c r="Z897" s="129"/>
      <c r="AA897" s="129"/>
      <c r="AB897" s="129"/>
      <c r="AC897" s="129"/>
      <c r="AD897" s="129"/>
      <c r="AE897" s="129"/>
      <c r="AF897" s="129"/>
      <c r="AG897" s="117"/>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c r="BK897" s="124"/>
      <c r="BL897" s="124"/>
      <c r="BM897" s="124"/>
      <c r="BN897" s="124"/>
      <c r="BO897" s="124"/>
      <c r="BP897" s="124"/>
      <c r="BQ897" s="124"/>
      <c r="BR897" s="124"/>
      <c r="BS897" s="124"/>
      <c r="BT897" s="124"/>
      <c r="BU897" s="124"/>
      <c r="BV897" s="124"/>
      <c r="BW897" s="124"/>
      <c r="BX897" s="124"/>
      <c r="BY897" s="124"/>
      <c r="BZ897" s="124"/>
      <c r="CA897" s="124"/>
    </row>
    <row r="898">
      <c r="A898" s="141"/>
      <c r="B898" s="107"/>
      <c r="C898" s="107"/>
      <c r="D898" s="143"/>
      <c r="E898" s="129"/>
      <c r="F898" s="129"/>
      <c r="G898" s="129"/>
      <c r="H898" s="129"/>
      <c r="I898" s="129"/>
      <c r="J898" s="129"/>
      <c r="K898" s="129"/>
      <c r="L898" s="129"/>
      <c r="M898" s="129"/>
      <c r="N898" s="129"/>
      <c r="O898" s="129"/>
      <c r="P898" s="129"/>
      <c r="Q898" s="129"/>
      <c r="R898" s="129"/>
      <c r="S898" s="129"/>
      <c r="T898" s="129"/>
      <c r="U898" s="106"/>
      <c r="V898" s="106"/>
      <c r="W898" s="106"/>
      <c r="X898" s="106"/>
      <c r="Y898" s="106"/>
      <c r="Z898" s="129"/>
      <c r="AA898" s="129"/>
      <c r="AB898" s="129"/>
      <c r="AC898" s="129"/>
      <c r="AD898" s="129"/>
      <c r="AE898" s="129"/>
      <c r="AF898" s="129"/>
      <c r="AG898" s="117"/>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c r="BK898" s="124"/>
      <c r="BL898" s="124"/>
      <c r="BM898" s="124"/>
      <c r="BN898" s="124"/>
      <c r="BO898" s="124"/>
      <c r="BP898" s="124"/>
      <c r="BQ898" s="124"/>
      <c r="BR898" s="124"/>
      <c r="BS898" s="124"/>
      <c r="BT898" s="124"/>
      <c r="BU898" s="124"/>
      <c r="BV898" s="124"/>
      <c r="BW898" s="124"/>
      <c r="BX898" s="124"/>
      <c r="BY898" s="124"/>
      <c r="BZ898" s="124"/>
      <c r="CA898" s="124"/>
    </row>
    <row r="899">
      <c r="A899" s="141"/>
      <c r="B899" s="107"/>
      <c r="C899" s="107"/>
      <c r="D899" s="143"/>
      <c r="E899" s="129"/>
      <c r="F899" s="129"/>
      <c r="G899" s="129"/>
      <c r="H899" s="129"/>
      <c r="I899" s="129"/>
      <c r="J899" s="129"/>
      <c r="K899" s="129"/>
      <c r="L899" s="129"/>
      <c r="M899" s="129"/>
      <c r="N899" s="129"/>
      <c r="O899" s="129"/>
      <c r="P899" s="129"/>
      <c r="Q899" s="129"/>
      <c r="R899" s="129"/>
      <c r="S899" s="129"/>
      <c r="T899" s="129"/>
      <c r="U899" s="106"/>
      <c r="V899" s="106"/>
      <c r="W899" s="106"/>
      <c r="X899" s="106"/>
      <c r="Y899" s="106"/>
      <c r="Z899" s="129"/>
      <c r="AA899" s="129"/>
      <c r="AB899" s="129"/>
      <c r="AC899" s="129"/>
      <c r="AD899" s="129"/>
      <c r="AE899" s="129"/>
      <c r="AF899" s="129"/>
      <c r="AG899" s="117"/>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c r="BK899" s="124"/>
      <c r="BL899" s="124"/>
      <c r="BM899" s="124"/>
      <c r="BN899" s="124"/>
      <c r="BO899" s="124"/>
      <c r="BP899" s="124"/>
      <c r="BQ899" s="124"/>
      <c r="BR899" s="124"/>
      <c r="BS899" s="124"/>
      <c r="BT899" s="124"/>
      <c r="BU899" s="124"/>
      <c r="BV899" s="124"/>
      <c r="BW899" s="124"/>
      <c r="BX899" s="124"/>
      <c r="BY899" s="124"/>
      <c r="BZ899" s="124"/>
      <c r="CA899" s="124"/>
    </row>
    <row r="900">
      <c r="A900" s="141"/>
      <c r="B900" s="107"/>
      <c r="C900" s="107"/>
      <c r="D900" s="143"/>
      <c r="E900" s="129"/>
      <c r="F900" s="129"/>
      <c r="G900" s="129"/>
      <c r="H900" s="129"/>
      <c r="I900" s="129"/>
      <c r="J900" s="129"/>
      <c r="K900" s="129"/>
      <c r="L900" s="129"/>
      <c r="M900" s="129"/>
      <c r="N900" s="129"/>
      <c r="O900" s="129"/>
      <c r="P900" s="129"/>
      <c r="Q900" s="129"/>
      <c r="R900" s="129"/>
      <c r="S900" s="129"/>
      <c r="T900" s="129"/>
      <c r="U900" s="106"/>
      <c r="V900" s="106"/>
      <c r="W900" s="106"/>
      <c r="X900" s="106"/>
      <c r="Y900" s="106"/>
      <c r="Z900" s="129"/>
      <c r="AA900" s="129"/>
      <c r="AB900" s="129"/>
      <c r="AC900" s="129"/>
      <c r="AD900" s="129"/>
      <c r="AE900" s="129"/>
      <c r="AF900" s="129"/>
      <c r="AG900" s="117"/>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c r="BK900" s="124"/>
      <c r="BL900" s="124"/>
      <c r="BM900" s="124"/>
      <c r="BN900" s="124"/>
      <c r="BO900" s="124"/>
      <c r="BP900" s="124"/>
      <c r="BQ900" s="124"/>
      <c r="BR900" s="124"/>
      <c r="BS900" s="124"/>
      <c r="BT900" s="124"/>
      <c r="BU900" s="124"/>
      <c r="BV900" s="124"/>
      <c r="BW900" s="124"/>
      <c r="BX900" s="124"/>
      <c r="BY900" s="124"/>
      <c r="BZ900" s="124"/>
      <c r="CA900" s="124"/>
    </row>
    <row r="901">
      <c r="A901" s="141"/>
      <c r="B901" s="107"/>
      <c r="C901" s="107"/>
      <c r="D901" s="143"/>
      <c r="E901" s="129"/>
      <c r="F901" s="129"/>
      <c r="G901" s="129"/>
      <c r="H901" s="129"/>
      <c r="I901" s="129"/>
      <c r="J901" s="129"/>
      <c r="K901" s="129"/>
      <c r="L901" s="129"/>
      <c r="M901" s="129"/>
      <c r="N901" s="129"/>
      <c r="O901" s="129"/>
      <c r="P901" s="129"/>
      <c r="Q901" s="129"/>
      <c r="R901" s="129"/>
      <c r="S901" s="129"/>
      <c r="T901" s="129"/>
      <c r="U901" s="106"/>
      <c r="V901" s="106"/>
      <c r="W901" s="106"/>
      <c r="X901" s="106"/>
      <c r="Y901" s="106"/>
      <c r="Z901" s="129"/>
      <c r="AA901" s="129"/>
      <c r="AB901" s="129"/>
      <c r="AC901" s="129"/>
      <c r="AD901" s="129"/>
      <c r="AE901" s="129"/>
      <c r="AF901" s="129"/>
      <c r="AG901" s="117"/>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c r="BK901" s="124"/>
      <c r="BL901" s="124"/>
      <c r="BM901" s="124"/>
      <c r="BN901" s="124"/>
      <c r="BO901" s="124"/>
      <c r="BP901" s="124"/>
      <c r="BQ901" s="124"/>
      <c r="BR901" s="124"/>
      <c r="BS901" s="124"/>
      <c r="BT901" s="124"/>
      <c r="BU901" s="124"/>
      <c r="BV901" s="124"/>
      <c r="BW901" s="124"/>
      <c r="BX901" s="124"/>
      <c r="BY901" s="124"/>
      <c r="BZ901" s="124"/>
      <c r="CA901" s="124"/>
    </row>
    <row r="902">
      <c r="A902" s="141"/>
      <c r="B902" s="107"/>
      <c r="C902" s="107"/>
      <c r="D902" s="143"/>
      <c r="E902" s="129"/>
      <c r="F902" s="129"/>
      <c r="G902" s="129"/>
      <c r="H902" s="129"/>
      <c r="I902" s="129"/>
      <c r="J902" s="129"/>
      <c r="K902" s="129"/>
      <c r="L902" s="129"/>
      <c r="M902" s="129"/>
      <c r="N902" s="129"/>
      <c r="O902" s="129"/>
      <c r="P902" s="129"/>
      <c r="Q902" s="129"/>
      <c r="R902" s="129"/>
      <c r="S902" s="129"/>
      <c r="T902" s="129"/>
      <c r="U902" s="106"/>
      <c r="V902" s="106"/>
      <c r="W902" s="106"/>
      <c r="X902" s="106"/>
      <c r="Y902" s="106"/>
      <c r="Z902" s="129"/>
      <c r="AA902" s="129"/>
      <c r="AB902" s="129"/>
      <c r="AC902" s="129"/>
      <c r="AD902" s="129"/>
      <c r="AE902" s="129"/>
      <c r="AF902" s="129"/>
      <c r="AG902" s="117"/>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c r="BK902" s="124"/>
      <c r="BL902" s="124"/>
      <c r="BM902" s="124"/>
      <c r="BN902" s="124"/>
      <c r="BO902" s="124"/>
      <c r="BP902" s="124"/>
      <c r="BQ902" s="124"/>
      <c r="BR902" s="124"/>
      <c r="BS902" s="124"/>
      <c r="BT902" s="124"/>
      <c r="BU902" s="124"/>
      <c r="BV902" s="124"/>
      <c r="BW902" s="124"/>
      <c r="BX902" s="124"/>
      <c r="BY902" s="124"/>
      <c r="BZ902" s="124"/>
      <c r="CA902" s="124"/>
    </row>
    <row r="903">
      <c r="A903" s="141"/>
      <c r="B903" s="107"/>
      <c r="C903" s="107"/>
      <c r="D903" s="143"/>
      <c r="E903" s="129"/>
      <c r="F903" s="129"/>
      <c r="G903" s="129"/>
      <c r="H903" s="129"/>
      <c r="I903" s="129"/>
      <c r="J903" s="129"/>
      <c r="K903" s="129"/>
      <c r="L903" s="129"/>
      <c r="M903" s="129"/>
      <c r="N903" s="129"/>
      <c r="O903" s="129"/>
      <c r="P903" s="129"/>
      <c r="Q903" s="129"/>
      <c r="R903" s="129"/>
      <c r="S903" s="129"/>
      <c r="T903" s="129"/>
      <c r="U903" s="106"/>
      <c r="V903" s="106"/>
      <c r="W903" s="106"/>
      <c r="X903" s="106"/>
      <c r="Y903" s="106"/>
      <c r="Z903" s="129"/>
      <c r="AA903" s="129"/>
      <c r="AB903" s="129"/>
      <c r="AC903" s="129"/>
      <c r="AD903" s="129"/>
      <c r="AE903" s="129"/>
      <c r="AF903" s="129"/>
      <c r="AG903" s="117"/>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c r="BK903" s="124"/>
      <c r="BL903" s="124"/>
      <c r="BM903" s="124"/>
      <c r="BN903" s="124"/>
      <c r="BO903" s="124"/>
      <c r="BP903" s="124"/>
      <c r="BQ903" s="124"/>
      <c r="BR903" s="124"/>
      <c r="BS903" s="124"/>
      <c r="BT903" s="124"/>
      <c r="BU903" s="124"/>
      <c r="BV903" s="124"/>
      <c r="BW903" s="124"/>
      <c r="BX903" s="124"/>
      <c r="BY903" s="124"/>
      <c r="BZ903" s="124"/>
      <c r="CA903" s="124"/>
    </row>
    <row r="904">
      <c r="A904" s="141"/>
      <c r="B904" s="107"/>
      <c r="C904" s="107"/>
      <c r="D904" s="143"/>
      <c r="E904" s="129"/>
      <c r="F904" s="129"/>
      <c r="G904" s="129"/>
      <c r="H904" s="129"/>
      <c r="I904" s="129"/>
      <c r="J904" s="129"/>
      <c r="K904" s="129"/>
      <c r="L904" s="129"/>
      <c r="M904" s="129"/>
      <c r="N904" s="129"/>
      <c r="O904" s="129"/>
      <c r="P904" s="129"/>
      <c r="Q904" s="129"/>
      <c r="R904" s="129"/>
      <c r="S904" s="129"/>
      <c r="T904" s="129"/>
      <c r="U904" s="106"/>
      <c r="V904" s="106"/>
      <c r="W904" s="106"/>
      <c r="X904" s="106"/>
      <c r="Y904" s="106"/>
      <c r="Z904" s="129"/>
      <c r="AA904" s="129"/>
      <c r="AB904" s="129"/>
      <c r="AC904" s="129"/>
      <c r="AD904" s="129"/>
      <c r="AE904" s="129"/>
      <c r="AF904" s="129"/>
      <c r="AG904" s="117"/>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c r="BK904" s="124"/>
      <c r="BL904" s="124"/>
      <c r="BM904" s="124"/>
      <c r="BN904" s="124"/>
      <c r="BO904" s="124"/>
      <c r="BP904" s="124"/>
      <c r="BQ904" s="124"/>
      <c r="BR904" s="124"/>
      <c r="BS904" s="124"/>
      <c r="BT904" s="124"/>
      <c r="BU904" s="124"/>
      <c r="BV904" s="124"/>
      <c r="BW904" s="124"/>
      <c r="BX904" s="124"/>
      <c r="BY904" s="124"/>
      <c r="BZ904" s="124"/>
      <c r="CA904" s="124"/>
    </row>
    <row r="905">
      <c r="A905" s="141"/>
      <c r="B905" s="107"/>
      <c r="C905" s="107"/>
      <c r="D905" s="143"/>
      <c r="E905" s="129"/>
      <c r="F905" s="129"/>
      <c r="G905" s="129"/>
      <c r="H905" s="129"/>
      <c r="I905" s="129"/>
      <c r="J905" s="129"/>
      <c r="K905" s="129"/>
      <c r="L905" s="129"/>
      <c r="M905" s="129"/>
      <c r="N905" s="129"/>
      <c r="O905" s="129"/>
      <c r="P905" s="129"/>
      <c r="Q905" s="129"/>
      <c r="R905" s="129"/>
      <c r="S905" s="129"/>
      <c r="T905" s="129"/>
      <c r="U905" s="106"/>
      <c r="V905" s="106"/>
      <c r="W905" s="106"/>
      <c r="X905" s="106"/>
      <c r="Y905" s="106"/>
      <c r="Z905" s="129"/>
      <c r="AA905" s="129"/>
      <c r="AB905" s="129"/>
      <c r="AC905" s="129"/>
      <c r="AD905" s="129"/>
      <c r="AE905" s="129"/>
      <c r="AF905" s="129"/>
      <c r="AG905" s="117"/>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c r="BK905" s="124"/>
      <c r="BL905" s="124"/>
      <c r="BM905" s="124"/>
      <c r="BN905" s="124"/>
      <c r="BO905" s="124"/>
      <c r="BP905" s="124"/>
      <c r="BQ905" s="124"/>
      <c r="BR905" s="124"/>
      <c r="BS905" s="124"/>
      <c r="BT905" s="124"/>
      <c r="BU905" s="124"/>
      <c r="BV905" s="124"/>
      <c r="BW905" s="124"/>
      <c r="BX905" s="124"/>
      <c r="BY905" s="124"/>
      <c r="BZ905" s="124"/>
      <c r="CA905" s="124"/>
    </row>
    <row r="906">
      <c r="A906" s="141"/>
      <c r="B906" s="107"/>
      <c r="C906" s="107"/>
      <c r="D906" s="143"/>
      <c r="E906" s="129"/>
      <c r="F906" s="129"/>
      <c r="G906" s="129"/>
      <c r="H906" s="129"/>
      <c r="I906" s="129"/>
      <c r="J906" s="129"/>
      <c r="K906" s="129"/>
      <c r="L906" s="129"/>
      <c r="M906" s="129"/>
      <c r="N906" s="129"/>
      <c r="O906" s="129"/>
      <c r="P906" s="129"/>
      <c r="Q906" s="129"/>
      <c r="R906" s="129"/>
      <c r="S906" s="129"/>
      <c r="T906" s="129"/>
      <c r="U906" s="106"/>
      <c r="V906" s="106"/>
      <c r="W906" s="106"/>
      <c r="X906" s="106"/>
      <c r="Y906" s="106"/>
      <c r="Z906" s="129"/>
      <c r="AA906" s="129"/>
      <c r="AB906" s="129"/>
      <c r="AC906" s="129"/>
      <c r="AD906" s="129"/>
      <c r="AE906" s="129"/>
      <c r="AF906" s="129"/>
      <c r="AG906" s="117"/>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c r="BK906" s="124"/>
      <c r="BL906" s="124"/>
      <c r="BM906" s="124"/>
      <c r="BN906" s="124"/>
      <c r="BO906" s="124"/>
      <c r="BP906" s="124"/>
      <c r="BQ906" s="124"/>
      <c r="BR906" s="124"/>
      <c r="BS906" s="124"/>
      <c r="BT906" s="124"/>
      <c r="BU906" s="124"/>
      <c r="BV906" s="124"/>
      <c r="BW906" s="124"/>
      <c r="BX906" s="124"/>
      <c r="BY906" s="124"/>
      <c r="BZ906" s="124"/>
      <c r="CA906" s="124"/>
    </row>
    <row r="907">
      <c r="A907" s="141"/>
      <c r="B907" s="107"/>
      <c r="C907" s="107"/>
      <c r="D907" s="143"/>
      <c r="E907" s="129"/>
      <c r="F907" s="129"/>
      <c r="G907" s="129"/>
      <c r="H907" s="129"/>
      <c r="I907" s="129"/>
      <c r="J907" s="129"/>
      <c r="K907" s="129"/>
      <c r="L907" s="129"/>
      <c r="M907" s="129"/>
      <c r="N907" s="129"/>
      <c r="O907" s="129"/>
      <c r="P907" s="129"/>
      <c r="Q907" s="129"/>
      <c r="R907" s="129"/>
      <c r="S907" s="129"/>
      <c r="T907" s="129"/>
      <c r="U907" s="106"/>
      <c r="V907" s="106"/>
      <c r="W907" s="106"/>
      <c r="X907" s="106"/>
      <c r="Y907" s="106"/>
      <c r="Z907" s="129"/>
      <c r="AA907" s="129"/>
      <c r="AB907" s="129"/>
      <c r="AC907" s="129"/>
      <c r="AD907" s="129"/>
      <c r="AE907" s="129"/>
      <c r="AF907" s="129"/>
      <c r="AG907" s="117"/>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c r="BK907" s="124"/>
      <c r="BL907" s="124"/>
      <c r="BM907" s="124"/>
      <c r="BN907" s="124"/>
      <c r="BO907" s="124"/>
      <c r="BP907" s="124"/>
      <c r="BQ907" s="124"/>
      <c r="BR907" s="124"/>
      <c r="BS907" s="124"/>
      <c r="BT907" s="124"/>
      <c r="BU907" s="124"/>
      <c r="BV907" s="124"/>
      <c r="BW907" s="124"/>
      <c r="BX907" s="124"/>
      <c r="BY907" s="124"/>
      <c r="BZ907" s="124"/>
      <c r="CA907" s="124"/>
    </row>
    <row r="908">
      <c r="A908" s="141"/>
      <c r="B908" s="107"/>
      <c r="C908" s="107"/>
      <c r="D908" s="143"/>
      <c r="E908" s="129"/>
      <c r="F908" s="129"/>
      <c r="G908" s="129"/>
      <c r="H908" s="129"/>
      <c r="I908" s="129"/>
      <c r="J908" s="129"/>
      <c r="K908" s="129"/>
      <c r="L908" s="129"/>
      <c r="M908" s="129"/>
      <c r="N908" s="129"/>
      <c r="O908" s="129"/>
      <c r="P908" s="129"/>
      <c r="Q908" s="129"/>
      <c r="R908" s="129"/>
      <c r="S908" s="129"/>
      <c r="T908" s="129"/>
      <c r="U908" s="106"/>
      <c r="V908" s="106"/>
      <c r="W908" s="106"/>
      <c r="X908" s="106"/>
      <c r="Y908" s="106"/>
      <c r="Z908" s="129"/>
      <c r="AA908" s="129"/>
      <c r="AB908" s="129"/>
      <c r="AC908" s="129"/>
      <c r="AD908" s="129"/>
      <c r="AE908" s="129"/>
      <c r="AF908" s="129"/>
      <c r="AG908" s="117"/>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c r="BK908" s="124"/>
      <c r="BL908" s="124"/>
      <c r="BM908" s="124"/>
      <c r="BN908" s="124"/>
      <c r="BO908" s="124"/>
      <c r="BP908" s="124"/>
      <c r="BQ908" s="124"/>
      <c r="BR908" s="124"/>
      <c r="BS908" s="124"/>
      <c r="BT908" s="124"/>
      <c r="BU908" s="124"/>
      <c r="BV908" s="124"/>
      <c r="BW908" s="124"/>
      <c r="BX908" s="124"/>
      <c r="BY908" s="124"/>
      <c r="BZ908" s="124"/>
      <c r="CA908" s="124"/>
    </row>
    <row r="909">
      <c r="A909" s="141"/>
      <c r="B909" s="107"/>
      <c r="C909" s="107"/>
      <c r="D909" s="143"/>
      <c r="E909" s="129"/>
      <c r="F909" s="129"/>
      <c r="G909" s="129"/>
      <c r="H909" s="129"/>
      <c r="I909" s="129"/>
      <c r="J909" s="129"/>
      <c r="K909" s="129"/>
      <c r="L909" s="129"/>
      <c r="M909" s="129"/>
      <c r="N909" s="129"/>
      <c r="O909" s="129"/>
      <c r="P909" s="129"/>
      <c r="Q909" s="129"/>
      <c r="R909" s="129"/>
      <c r="S909" s="129"/>
      <c r="T909" s="129"/>
      <c r="U909" s="106"/>
      <c r="V909" s="106"/>
      <c r="W909" s="106"/>
      <c r="X909" s="106"/>
      <c r="Y909" s="106"/>
      <c r="Z909" s="129"/>
      <c r="AA909" s="129"/>
      <c r="AB909" s="129"/>
      <c r="AC909" s="129"/>
      <c r="AD909" s="129"/>
      <c r="AE909" s="129"/>
      <c r="AF909" s="129"/>
      <c r="AG909" s="117"/>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c r="BK909" s="124"/>
      <c r="BL909" s="124"/>
      <c r="BM909" s="124"/>
      <c r="BN909" s="124"/>
      <c r="BO909" s="124"/>
      <c r="BP909" s="124"/>
      <c r="BQ909" s="124"/>
      <c r="BR909" s="124"/>
      <c r="BS909" s="124"/>
      <c r="BT909" s="124"/>
      <c r="BU909" s="124"/>
      <c r="BV909" s="124"/>
      <c r="BW909" s="124"/>
      <c r="BX909" s="124"/>
      <c r="BY909" s="124"/>
      <c r="BZ909" s="124"/>
      <c r="CA909" s="124"/>
    </row>
    <row r="910">
      <c r="A910" s="141"/>
      <c r="B910" s="107"/>
      <c r="C910" s="107"/>
      <c r="D910" s="143"/>
      <c r="E910" s="129"/>
      <c r="F910" s="129"/>
      <c r="G910" s="129"/>
      <c r="H910" s="129"/>
      <c r="I910" s="129"/>
      <c r="J910" s="129"/>
      <c r="K910" s="129"/>
      <c r="L910" s="129"/>
      <c r="M910" s="129"/>
      <c r="N910" s="129"/>
      <c r="O910" s="129"/>
      <c r="P910" s="129"/>
      <c r="Q910" s="129"/>
      <c r="R910" s="129"/>
      <c r="S910" s="129"/>
      <c r="T910" s="129"/>
      <c r="U910" s="106"/>
      <c r="V910" s="106"/>
      <c r="W910" s="106"/>
      <c r="X910" s="106"/>
      <c r="Y910" s="106"/>
      <c r="Z910" s="129"/>
      <c r="AA910" s="129"/>
      <c r="AB910" s="129"/>
      <c r="AC910" s="129"/>
      <c r="AD910" s="129"/>
      <c r="AE910" s="129"/>
      <c r="AF910" s="129"/>
      <c r="AG910" s="117"/>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c r="BK910" s="124"/>
      <c r="BL910" s="124"/>
      <c r="BM910" s="124"/>
      <c r="BN910" s="124"/>
      <c r="BO910" s="124"/>
      <c r="BP910" s="124"/>
      <c r="BQ910" s="124"/>
      <c r="BR910" s="124"/>
      <c r="BS910" s="124"/>
      <c r="BT910" s="124"/>
      <c r="BU910" s="124"/>
      <c r="BV910" s="124"/>
      <c r="BW910" s="124"/>
      <c r="BX910" s="124"/>
      <c r="BY910" s="124"/>
      <c r="BZ910" s="124"/>
      <c r="CA910" s="124"/>
    </row>
    <row r="911">
      <c r="A911" s="141"/>
      <c r="B911" s="107"/>
      <c r="C911" s="107"/>
      <c r="D911" s="143"/>
      <c r="E911" s="129"/>
      <c r="F911" s="129"/>
      <c r="G911" s="129"/>
      <c r="H911" s="129"/>
      <c r="I911" s="129"/>
      <c r="J911" s="129"/>
      <c r="K911" s="129"/>
      <c r="L911" s="129"/>
      <c r="M911" s="129"/>
      <c r="N911" s="129"/>
      <c r="O911" s="129"/>
      <c r="P911" s="129"/>
      <c r="Q911" s="129"/>
      <c r="R911" s="129"/>
      <c r="S911" s="129"/>
      <c r="T911" s="129"/>
      <c r="U911" s="106"/>
      <c r="V911" s="106"/>
      <c r="W911" s="106"/>
      <c r="X911" s="106"/>
      <c r="Y911" s="106"/>
      <c r="Z911" s="129"/>
      <c r="AA911" s="129"/>
      <c r="AB911" s="129"/>
      <c r="AC911" s="129"/>
      <c r="AD911" s="129"/>
      <c r="AE911" s="129"/>
      <c r="AF911" s="129"/>
      <c r="AG911" s="117"/>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c r="BK911" s="124"/>
      <c r="BL911" s="124"/>
      <c r="BM911" s="124"/>
      <c r="BN911" s="124"/>
      <c r="BO911" s="124"/>
      <c r="BP911" s="124"/>
      <c r="BQ911" s="124"/>
      <c r="BR911" s="124"/>
      <c r="BS911" s="124"/>
      <c r="BT911" s="124"/>
      <c r="BU911" s="124"/>
      <c r="BV911" s="124"/>
      <c r="BW911" s="124"/>
      <c r="BX911" s="124"/>
      <c r="BY911" s="124"/>
      <c r="BZ911" s="124"/>
      <c r="CA911" s="124"/>
    </row>
    <row r="912">
      <c r="A912" s="141"/>
      <c r="B912" s="107"/>
      <c r="C912" s="107"/>
      <c r="D912" s="143"/>
      <c r="E912" s="129"/>
      <c r="F912" s="129"/>
      <c r="G912" s="129"/>
      <c r="H912" s="129"/>
      <c r="I912" s="129"/>
      <c r="J912" s="129"/>
      <c r="K912" s="129"/>
      <c r="L912" s="129"/>
      <c r="M912" s="129"/>
      <c r="N912" s="129"/>
      <c r="O912" s="129"/>
      <c r="P912" s="129"/>
      <c r="Q912" s="129"/>
      <c r="R912" s="129"/>
      <c r="S912" s="129"/>
      <c r="T912" s="129"/>
      <c r="U912" s="106"/>
      <c r="V912" s="106"/>
      <c r="W912" s="106"/>
      <c r="X912" s="106"/>
      <c r="Y912" s="106"/>
      <c r="Z912" s="129"/>
      <c r="AA912" s="129"/>
      <c r="AB912" s="129"/>
      <c r="AC912" s="129"/>
      <c r="AD912" s="129"/>
      <c r="AE912" s="129"/>
      <c r="AF912" s="129"/>
      <c r="AG912" s="117"/>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c r="BK912" s="124"/>
      <c r="BL912" s="124"/>
      <c r="BM912" s="124"/>
      <c r="BN912" s="124"/>
      <c r="BO912" s="124"/>
      <c r="BP912" s="124"/>
      <c r="BQ912" s="124"/>
      <c r="BR912" s="124"/>
      <c r="BS912" s="124"/>
      <c r="BT912" s="124"/>
      <c r="BU912" s="124"/>
      <c r="BV912" s="124"/>
      <c r="BW912" s="124"/>
      <c r="BX912" s="124"/>
      <c r="BY912" s="124"/>
      <c r="BZ912" s="124"/>
      <c r="CA912" s="124"/>
    </row>
    <row r="913">
      <c r="A913" s="141"/>
      <c r="B913" s="107"/>
      <c r="C913" s="107"/>
      <c r="D913" s="143"/>
      <c r="E913" s="129"/>
      <c r="F913" s="129"/>
      <c r="G913" s="129"/>
      <c r="H913" s="129"/>
      <c r="I913" s="129"/>
      <c r="J913" s="129"/>
      <c r="K913" s="129"/>
      <c r="L913" s="129"/>
      <c r="M913" s="129"/>
      <c r="N913" s="129"/>
      <c r="O913" s="129"/>
      <c r="P913" s="129"/>
      <c r="Q913" s="129"/>
      <c r="R913" s="129"/>
      <c r="S913" s="129"/>
      <c r="T913" s="129"/>
      <c r="U913" s="106"/>
      <c r="V913" s="106"/>
      <c r="W913" s="106"/>
      <c r="X913" s="106"/>
      <c r="Y913" s="106"/>
      <c r="Z913" s="129"/>
      <c r="AA913" s="129"/>
      <c r="AB913" s="129"/>
      <c r="AC913" s="129"/>
      <c r="AD913" s="129"/>
      <c r="AE913" s="129"/>
      <c r="AF913" s="129"/>
      <c r="AG913" s="117"/>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c r="BK913" s="124"/>
      <c r="BL913" s="124"/>
      <c r="BM913" s="124"/>
      <c r="BN913" s="124"/>
      <c r="BO913" s="124"/>
      <c r="BP913" s="124"/>
      <c r="BQ913" s="124"/>
      <c r="BR913" s="124"/>
      <c r="BS913" s="124"/>
      <c r="BT913" s="124"/>
      <c r="BU913" s="124"/>
      <c r="BV913" s="124"/>
      <c r="BW913" s="124"/>
      <c r="BX913" s="124"/>
      <c r="BY913" s="124"/>
      <c r="BZ913" s="124"/>
      <c r="CA913" s="124"/>
    </row>
    <row r="914">
      <c r="A914" s="141"/>
      <c r="B914" s="107"/>
      <c r="C914" s="107"/>
      <c r="D914" s="143"/>
      <c r="E914" s="129"/>
      <c r="F914" s="129"/>
      <c r="G914" s="129"/>
      <c r="H914" s="129"/>
      <c r="I914" s="129"/>
      <c r="J914" s="129"/>
      <c r="K914" s="129"/>
      <c r="L914" s="129"/>
      <c r="M914" s="129"/>
      <c r="N914" s="129"/>
      <c r="O914" s="129"/>
      <c r="P914" s="129"/>
      <c r="Q914" s="129"/>
      <c r="R914" s="129"/>
      <c r="S914" s="129"/>
      <c r="T914" s="129"/>
      <c r="U914" s="106"/>
      <c r="V914" s="106"/>
      <c r="W914" s="106"/>
      <c r="X914" s="106"/>
      <c r="Y914" s="106"/>
      <c r="Z914" s="129"/>
      <c r="AA914" s="129"/>
      <c r="AB914" s="129"/>
      <c r="AC914" s="129"/>
      <c r="AD914" s="129"/>
      <c r="AE914" s="129"/>
      <c r="AF914" s="129"/>
      <c r="AG914" s="117"/>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c r="BK914" s="124"/>
      <c r="BL914" s="124"/>
      <c r="BM914" s="124"/>
      <c r="BN914" s="124"/>
      <c r="BO914" s="124"/>
      <c r="BP914" s="124"/>
      <c r="BQ914" s="124"/>
      <c r="BR914" s="124"/>
      <c r="BS914" s="124"/>
      <c r="BT914" s="124"/>
      <c r="BU914" s="124"/>
      <c r="BV914" s="124"/>
      <c r="BW914" s="124"/>
      <c r="BX914" s="124"/>
      <c r="BY914" s="124"/>
      <c r="BZ914" s="124"/>
      <c r="CA914" s="124"/>
    </row>
    <row r="915">
      <c r="A915" s="141"/>
      <c r="B915" s="107"/>
      <c r="C915" s="107"/>
      <c r="D915" s="143"/>
      <c r="E915" s="129"/>
      <c r="F915" s="129"/>
      <c r="G915" s="129"/>
      <c r="H915" s="129"/>
      <c r="I915" s="129"/>
      <c r="J915" s="129"/>
      <c r="K915" s="129"/>
      <c r="L915" s="129"/>
      <c r="M915" s="129"/>
      <c r="N915" s="129"/>
      <c r="O915" s="129"/>
      <c r="P915" s="129"/>
      <c r="Q915" s="129"/>
      <c r="R915" s="129"/>
      <c r="S915" s="129"/>
      <c r="T915" s="129"/>
      <c r="U915" s="106"/>
      <c r="V915" s="106"/>
      <c r="W915" s="106"/>
      <c r="X915" s="106"/>
      <c r="Y915" s="106"/>
      <c r="Z915" s="129"/>
      <c r="AA915" s="129"/>
      <c r="AB915" s="129"/>
      <c r="AC915" s="129"/>
      <c r="AD915" s="129"/>
      <c r="AE915" s="129"/>
      <c r="AF915" s="129"/>
      <c r="AG915" s="117"/>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c r="BK915" s="124"/>
      <c r="BL915" s="124"/>
      <c r="BM915" s="124"/>
      <c r="BN915" s="124"/>
      <c r="BO915" s="124"/>
      <c r="BP915" s="124"/>
      <c r="BQ915" s="124"/>
      <c r="BR915" s="124"/>
      <c r="BS915" s="124"/>
      <c r="BT915" s="124"/>
      <c r="BU915" s="124"/>
      <c r="BV915" s="124"/>
      <c r="BW915" s="124"/>
      <c r="BX915" s="124"/>
      <c r="BY915" s="124"/>
      <c r="BZ915" s="124"/>
      <c r="CA915" s="124"/>
    </row>
    <row r="916">
      <c r="A916" s="141"/>
      <c r="B916" s="107"/>
      <c r="C916" s="107"/>
      <c r="D916" s="143"/>
      <c r="E916" s="129"/>
      <c r="F916" s="129"/>
      <c r="G916" s="129"/>
      <c r="H916" s="129"/>
      <c r="I916" s="129"/>
      <c r="J916" s="129"/>
      <c r="K916" s="129"/>
      <c r="L916" s="129"/>
      <c r="M916" s="129"/>
      <c r="N916" s="129"/>
      <c r="O916" s="129"/>
      <c r="P916" s="129"/>
      <c r="Q916" s="129"/>
      <c r="R916" s="129"/>
      <c r="S916" s="129"/>
      <c r="T916" s="129"/>
      <c r="U916" s="106"/>
      <c r="V916" s="106"/>
      <c r="W916" s="106"/>
      <c r="X916" s="106"/>
      <c r="Y916" s="106"/>
      <c r="Z916" s="129"/>
      <c r="AA916" s="129"/>
      <c r="AB916" s="129"/>
      <c r="AC916" s="129"/>
      <c r="AD916" s="129"/>
      <c r="AE916" s="129"/>
      <c r="AF916" s="129"/>
      <c r="AG916" s="117"/>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c r="BK916" s="124"/>
      <c r="BL916" s="124"/>
      <c r="BM916" s="124"/>
      <c r="BN916" s="124"/>
      <c r="BO916" s="124"/>
      <c r="BP916" s="124"/>
      <c r="BQ916" s="124"/>
      <c r="BR916" s="124"/>
      <c r="BS916" s="124"/>
      <c r="BT916" s="124"/>
      <c r="BU916" s="124"/>
      <c r="BV916" s="124"/>
      <c r="BW916" s="124"/>
      <c r="BX916" s="124"/>
      <c r="BY916" s="124"/>
      <c r="BZ916" s="124"/>
      <c r="CA916" s="124"/>
    </row>
    <row r="917">
      <c r="A917" s="141"/>
      <c r="B917" s="107"/>
      <c r="C917" s="107"/>
      <c r="D917" s="143"/>
      <c r="E917" s="129"/>
      <c r="F917" s="129"/>
      <c r="G917" s="129"/>
      <c r="H917" s="129"/>
      <c r="I917" s="129"/>
      <c r="J917" s="129"/>
      <c r="K917" s="129"/>
      <c r="L917" s="129"/>
      <c r="M917" s="129"/>
      <c r="N917" s="129"/>
      <c r="O917" s="129"/>
      <c r="P917" s="129"/>
      <c r="Q917" s="129"/>
      <c r="R917" s="129"/>
      <c r="S917" s="129"/>
      <c r="T917" s="129"/>
      <c r="U917" s="106"/>
      <c r="V917" s="106"/>
      <c r="W917" s="106"/>
      <c r="X917" s="106"/>
      <c r="Y917" s="106"/>
      <c r="Z917" s="129"/>
      <c r="AA917" s="129"/>
      <c r="AB917" s="129"/>
      <c r="AC917" s="129"/>
      <c r="AD917" s="129"/>
      <c r="AE917" s="129"/>
      <c r="AF917" s="129"/>
      <c r="AG917" s="117"/>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c r="BK917" s="124"/>
      <c r="BL917" s="124"/>
      <c r="BM917" s="124"/>
      <c r="BN917" s="124"/>
      <c r="BO917" s="124"/>
      <c r="BP917" s="124"/>
      <c r="BQ917" s="124"/>
      <c r="BR917" s="124"/>
      <c r="BS917" s="124"/>
      <c r="BT917" s="124"/>
      <c r="BU917" s="124"/>
      <c r="BV917" s="124"/>
      <c r="BW917" s="124"/>
      <c r="BX917" s="124"/>
      <c r="BY917" s="124"/>
      <c r="BZ917" s="124"/>
      <c r="CA917" s="124"/>
    </row>
    <row r="918">
      <c r="A918" s="141"/>
      <c r="B918" s="107"/>
      <c r="C918" s="107"/>
      <c r="D918" s="143"/>
      <c r="E918" s="129"/>
      <c r="F918" s="129"/>
      <c r="G918" s="129"/>
      <c r="H918" s="129"/>
      <c r="I918" s="129"/>
      <c r="J918" s="129"/>
      <c r="K918" s="129"/>
      <c r="L918" s="129"/>
      <c r="M918" s="129"/>
      <c r="N918" s="129"/>
      <c r="O918" s="129"/>
      <c r="P918" s="129"/>
      <c r="Q918" s="129"/>
      <c r="R918" s="129"/>
      <c r="S918" s="129"/>
      <c r="T918" s="129"/>
      <c r="U918" s="106"/>
      <c r="V918" s="106"/>
      <c r="W918" s="106"/>
      <c r="X918" s="106"/>
      <c r="Y918" s="106"/>
      <c r="Z918" s="129"/>
      <c r="AA918" s="129"/>
      <c r="AB918" s="129"/>
      <c r="AC918" s="129"/>
      <c r="AD918" s="129"/>
      <c r="AE918" s="129"/>
      <c r="AF918" s="129"/>
      <c r="AG918" s="117"/>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c r="BK918" s="124"/>
      <c r="BL918" s="124"/>
      <c r="BM918" s="124"/>
      <c r="BN918" s="124"/>
      <c r="BO918" s="124"/>
      <c r="BP918" s="124"/>
      <c r="BQ918" s="124"/>
      <c r="BR918" s="124"/>
      <c r="BS918" s="124"/>
      <c r="BT918" s="124"/>
      <c r="BU918" s="124"/>
      <c r="BV918" s="124"/>
      <c r="BW918" s="124"/>
      <c r="BX918" s="124"/>
      <c r="BY918" s="124"/>
      <c r="BZ918" s="124"/>
      <c r="CA918" s="124"/>
    </row>
    <row r="919">
      <c r="A919" s="141"/>
      <c r="B919" s="107"/>
      <c r="C919" s="107"/>
      <c r="D919" s="143"/>
      <c r="E919" s="129"/>
      <c r="F919" s="129"/>
      <c r="G919" s="129"/>
      <c r="H919" s="129"/>
      <c r="I919" s="129"/>
      <c r="J919" s="129"/>
      <c r="K919" s="129"/>
      <c r="L919" s="129"/>
      <c r="M919" s="129"/>
      <c r="N919" s="129"/>
      <c r="O919" s="129"/>
      <c r="P919" s="129"/>
      <c r="Q919" s="129"/>
      <c r="R919" s="129"/>
      <c r="S919" s="129"/>
      <c r="T919" s="129"/>
      <c r="U919" s="106"/>
      <c r="V919" s="106"/>
      <c r="W919" s="106"/>
      <c r="X919" s="106"/>
      <c r="Y919" s="106"/>
      <c r="Z919" s="129"/>
      <c r="AA919" s="129"/>
      <c r="AB919" s="129"/>
      <c r="AC919" s="129"/>
      <c r="AD919" s="129"/>
      <c r="AE919" s="129"/>
      <c r="AF919" s="129"/>
      <c r="AG919" s="117"/>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c r="BK919" s="124"/>
      <c r="BL919" s="124"/>
      <c r="BM919" s="124"/>
      <c r="BN919" s="124"/>
      <c r="BO919" s="124"/>
      <c r="BP919" s="124"/>
      <c r="BQ919" s="124"/>
      <c r="BR919" s="124"/>
      <c r="BS919" s="124"/>
      <c r="BT919" s="124"/>
      <c r="BU919" s="124"/>
      <c r="BV919" s="124"/>
      <c r="BW919" s="124"/>
      <c r="BX919" s="124"/>
      <c r="BY919" s="124"/>
      <c r="BZ919" s="124"/>
      <c r="CA919" s="124"/>
    </row>
    <row r="920">
      <c r="A920" s="141"/>
      <c r="B920" s="107"/>
      <c r="C920" s="107"/>
      <c r="D920" s="143"/>
      <c r="E920" s="129"/>
      <c r="F920" s="129"/>
      <c r="G920" s="129"/>
      <c r="H920" s="129"/>
      <c r="I920" s="129"/>
      <c r="J920" s="129"/>
      <c r="K920" s="129"/>
      <c r="L920" s="129"/>
      <c r="M920" s="129"/>
      <c r="N920" s="129"/>
      <c r="O920" s="129"/>
      <c r="P920" s="129"/>
      <c r="Q920" s="129"/>
      <c r="R920" s="129"/>
      <c r="S920" s="129"/>
      <c r="T920" s="129"/>
      <c r="U920" s="106"/>
      <c r="V920" s="106"/>
      <c r="W920" s="106"/>
      <c r="X920" s="106"/>
      <c r="Y920" s="106"/>
      <c r="Z920" s="129"/>
      <c r="AA920" s="129"/>
      <c r="AB920" s="129"/>
      <c r="AC920" s="129"/>
      <c r="AD920" s="129"/>
      <c r="AE920" s="129"/>
      <c r="AF920" s="129"/>
      <c r="AG920" s="117"/>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c r="BK920" s="124"/>
      <c r="BL920" s="124"/>
      <c r="BM920" s="124"/>
      <c r="BN920" s="124"/>
      <c r="BO920" s="124"/>
      <c r="BP920" s="124"/>
      <c r="BQ920" s="124"/>
      <c r="BR920" s="124"/>
      <c r="BS920" s="124"/>
      <c r="BT920" s="124"/>
      <c r="BU920" s="124"/>
      <c r="BV920" s="124"/>
      <c r="BW920" s="124"/>
      <c r="BX920" s="124"/>
      <c r="BY920" s="124"/>
      <c r="BZ920" s="124"/>
      <c r="CA920" s="124"/>
    </row>
    <row r="921">
      <c r="A921" s="141"/>
      <c r="B921" s="107"/>
      <c r="C921" s="107"/>
      <c r="D921" s="143"/>
      <c r="E921" s="129"/>
      <c r="F921" s="129"/>
      <c r="G921" s="129"/>
      <c r="H921" s="129"/>
      <c r="I921" s="129"/>
      <c r="J921" s="129"/>
      <c r="K921" s="129"/>
      <c r="L921" s="129"/>
      <c r="M921" s="129"/>
      <c r="N921" s="129"/>
      <c r="O921" s="129"/>
      <c r="P921" s="129"/>
      <c r="Q921" s="129"/>
      <c r="R921" s="129"/>
      <c r="S921" s="129"/>
      <c r="T921" s="129"/>
      <c r="U921" s="106"/>
      <c r="V921" s="106"/>
      <c r="W921" s="106"/>
      <c r="X921" s="106"/>
      <c r="Y921" s="106"/>
      <c r="Z921" s="129"/>
      <c r="AA921" s="129"/>
      <c r="AB921" s="129"/>
      <c r="AC921" s="129"/>
      <c r="AD921" s="129"/>
      <c r="AE921" s="129"/>
      <c r="AF921" s="129"/>
      <c r="AG921" s="117"/>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c r="BK921" s="124"/>
      <c r="BL921" s="124"/>
      <c r="BM921" s="124"/>
      <c r="BN921" s="124"/>
      <c r="BO921" s="124"/>
      <c r="BP921" s="124"/>
      <c r="BQ921" s="124"/>
      <c r="BR921" s="124"/>
      <c r="BS921" s="124"/>
      <c r="BT921" s="124"/>
      <c r="BU921" s="124"/>
      <c r="BV921" s="124"/>
      <c r="BW921" s="124"/>
      <c r="BX921" s="124"/>
      <c r="BY921" s="124"/>
      <c r="BZ921" s="124"/>
      <c r="CA921" s="124"/>
    </row>
    <row r="922">
      <c r="A922" s="141"/>
      <c r="B922" s="107"/>
      <c r="C922" s="107"/>
      <c r="D922" s="143"/>
      <c r="E922" s="129"/>
      <c r="F922" s="129"/>
      <c r="G922" s="129"/>
      <c r="H922" s="129"/>
      <c r="I922" s="129"/>
      <c r="J922" s="129"/>
      <c r="K922" s="129"/>
      <c r="L922" s="129"/>
      <c r="M922" s="129"/>
      <c r="N922" s="129"/>
      <c r="O922" s="129"/>
      <c r="P922" s="129"/>
      <c r="Q922" s="129"/>
      <c r="R922" s="129"/>
      <c r="S922" s="129"/>
      <c r="T922" s="129"/>
      <c r="U922" s="106"/>
      <c r="V922" s="106"/>
      <c r="W922" s="106"/>
      <c r="X922" s="106"/>
      <c r="Y922" s="106"/>
      <c r="Z922" s="129"/>
      <c r="AA922" s="129"/>
      <c r="AB922" s="129"/>
      <c r="AC922" s="129"/>
      <c r="AD922" s="129"/>
      <c r="AE922" s="129"/>
      <c r="AF922" s="129"/>
      <c r="AG922" s="117"/>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c r="BK922" s="124"/>
      <c r="BL922" s="124"/>
      <c r="BM922" s="124"/>
      <c r="BN922" s="124"/>
      <c r="BO922" s="124"/>
      <c r="BP922" s="124"/>
      <c r="BQ922" s="124"/>
      <c r="BR922" s="124"/>
      <c r="BS922" s="124"/>
      <c r="BT922" s="124"/>
      <c r="BU922" s="124"/>
      <c r="BV922" s="124"/>
      <c r="BW922" s="124"/>
      <c r="BX922" s="124"/>
      <c r="BY922" s="124"/>
      <c r="BZ922" s="124"/>
      <c r="CA922" s="124"/>
    </row>
    <row r="923">
      <c r="A923" s="141"/>
      <c r="B923" s="107"/>
      <c r="C923" s="107"/>
      <c r="D923" s="143"/>
      <c r="E923" s="129"/>
      <c r="F923" s="129"/>
      <c r="G923" s="129"/>
      <c r="H923" s="129"/>
      <c r="I923" s="129"/>
      <c r="J923" s="129"/>
      <c r="K923" s="129"/>
      <c r="L923" s="129"/>
      <c r="M923" s="129"/>
      <c r="N923" s="129"/>
      <c r="O923" s="129"/>
      <c r="P923" s="129"/>
      <c r="Q923" s="129"/>
      <c r="R923" s="129"/>
      <c r="S923" s="129"/>
      <c r="T923" s="129"/>
      <c r="U923" s="106"/>
      <c r="V923" s="106"/>
      <c r="W923" s="106"/>
      <c r="X923" s="106"/>
      <c r="Y923" s="106"/>
      <c r="Z923" s="129"/>
      <c r="AA923" s="129"/>
      <c r="AB923" s="129"/>
      <c r="AC923" s="129"/>
      <c r="AD923" s="129"/>
      <c r="AE923" s="129"/>
      <c r="AF923" s="129"/>
      <c r="AG923" s="117"/>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c r="BK923" s="124"/>
      <c r="BL923" s="124"/>
      <c r="BM923" s="124"/>
      <c r="BN923" s="124"/>
      <c r="BO923" s="124"/>
      <c r="BP923" s="124"/>
      <c r="BQ923" s="124"/>
      <c r="BR923" s="124"/>
      <c r="BS923" s="124"/>
      <c r="BT923" s="124"/>
      <c r="BU923" s="124"/>
      <c r="BV923" s="124"/>
      <c r="BW923" s="124"/>
      <c r="BX923" s="124"/>
      <c r="BY923" s="124"/>
      <c r="BZ923" s="124"/>
      <c r="CA923" s="124"/>
    </row>
    <row r="924">
      <c r="A924" s="141"/>
      <c r="B924" s="107"/>
      <c r="C924" s="107"/>
      <c r="D924" s="143"/>
      <c r="E924" s="129"/>
      <c r="F924" s="129"/>
      <c r="G924" s="129"/>
      <c r="H924" s="129"/>
      <c r="I924" s="129"/>
      <c r="J924" s="129"/>
      <c r="K924" s="129"/>
      <c r="L924" s="129"/>
      <c r="M924" s="129"/>
      <c r="N924" s="129"/>
      <c r="O924" s="129"/>
      <c r="P924" s="129"/>
      <c r="Q924" s="129"/>
      <c r="R924" s="129"/>
      <c r="S924" s="129"/>
      <c r="T924" s="129"/>
      <c r="U924" s="106"/>
      <c r="V924" s="106"/>
      <c r="W924" s="106"/>
      <c r="X924" s="106"/>
      <c r="Y924" s="106"/>
      <c r="Z924" s="129"/>
      <c r="AA924" s="129"/>
      <c r="AB924" s="129"/>
      <c r="AC924" s="129"/>
      <c r="AD924" s="129"/>
      <c r="AE924" s="129"/>
      <c r="AF924" s="129"/>
      <c r="AG924" s="117"/>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c r="BK924" s="124"/>
      <c r="BL924" s="124"/>
      <c r="BM924" s="124"/>
      <c r="BN924" s="124"/>
      <c r="BO924" s="124"/>
      <c r="BP924" s="124"/>
      <c r="BQ924" s="124"/>
      <c r="BR924" s="124"/>
      <c r="BS924" s="124"/>
      <c r="BT924" s="124"/>
      <c r="BU924" s="124"/>
      <c r="BV924" s="124"/>
      <c r="BW924" s="124"/>
      <c r="BX924" s="124"/>
      <c r="BY924" s="124"/>
      <c r="BZ924" s="124"/>
      <c r="CA924" s="124"/>
    </row>
    <row r="925">
      <c r="A925" s="141"/>
      <c r="B925" s="107"/>
      <c r="C925" s="107"/>
      <c r="D925" s="143"/>
      <c r="E925" s="129"/>
      <c r="F925" s="129"/>
      <c r="G925" s="129"/>
      <c r="H925" s="129"/>
      <c r="I925" s="129"/>
      <c r="J925" s="129"/>
      <c r="K925" s="129"/>
      <c r="L925" s="129"/>
      <c r="M925" s="129"/>
      <c r="N925" s="129"/>
      <c r="O925" s="129"/>
      <c r="P925" s="129"/>
      <c r="Q925" s="129"/>
      <c r="R925" s="129"/>
      <c r="S925" s="129"/>
      <c r="T925" s="129"/>
      <c r="U925" s="106"/>
      <c r="V925" s="106"/>
      <c r="W925" s="106"/>
      <c r="X925" s="106"/>
      <c r="Y925" s="106"/>
      <c r="Z925" s="129"/>
      <c r="AA925" s="129"/>
      <c r="AB925" s="129"/>
      <c r="AC925" s="129"/>
      <c r="AD925" s="129"/>
      <c r="AE925" s="129"/>
      <c r="AF925" s="129"/>
      <c r="AG925" s="117"/>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c r="BK925" s="124"/>
      <c r="BL925" s="124"/>
      <c r="BM925" s="124"/>
      <c r="BN925" s="124"/>
      <c r="BO925" s="124"/>
      <c r="BP925" s="124"/>
      <c r="BQ925" s="124"/>
      <c r="BR925" s="124"/>
      <c r="BS925" s="124"/>
      <c r="BT925" s="124"/>
      <c r="BU925" s="124"/>
      <c r="BV925" s="124"/>
      <c r="BW925" s="124"/>
      <c r="BX925" s="124"/>
      <c r="BY925" s="124"/>
      <c r="BZ925" s="124"/>
      <c r="CA925" s="124"/>
    </row>
    <row r="926">
      <c r="A926" s="141"/>
      <c r="B926" s="107"/>
      <c r="C926" s="107"/>
      <c r="D926" s="143"/>
      <c r="E926" s="129"/>
      <c r="F926" s="129"/>
      <c r="G926" s="129"/>
      <c r="H926" s="129"/>
      <c r="I926" s="129"/>
      <c r="J926" s="129"/>
      <c r="K926" s="129"/>
      <c r="L926" s="129"/>
      <c r="M926" s="129"/>
      <c r="N926" s="129"/>
      <c r="O926" s="129"/>
      <c r="P926" s="129"/>
      <c r="Q926" s="129"/>
      <c r="R926" s="129"/>
      <c r="S926" s="129"/>
      <c r="T926" s="129"/>
      <c r="U926" s="106"/>
      <c r="V926" s="106"/>
      <c r="W926" s="106"/>
      <c r="X926" s="106"/>
      <c r="Y926" s="106"/>
      <c r="Z926" s="129"/>
      <c r="AA926" s="129"/>
      <c r="AB926" s="129"/>
      <c r="AC926" s="129"/>
      <c r="AD926" s="129"/>
      <c r="AE926" s="129"/>
      <c r="AF926" s="129"/>
      <c r="AG926" s="117"/>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c r="BK926" s="124"/>
      <c r="BL926" s="124"/>
      <c r="BM926" s="124"/>
      <c r="BN926" s="124"/>
      <c r="BO926" s="124"/>
      <c r="BP926" s="124"/>
      <c r="BQ926" s="124"/>
      <c r="BR926" s="124"/>
      <c r="BS926" s="124"/>
      <c r="BT926" s="124"/>
      <c r="BU926" s="124"/>
      <c r="BV926" s="124"/>
      <c r="BW926" s="124"/>
      <c r="BX926" s="124"/>
      <c r="BY926" s="124"/>
      <c r="BZ926" s="124"/>
      <c r="CA926" s="124"/>
    </row>
    <row r="927">
      <c r="A927" s="141"/>
      <c r="B927" s="107"/>
      <c r="C927" s="107"/>
      <c r="D927" s="143"/>
      <c r="E927" s="129"/>
      <c r="F927" s="129"/>
      <c r="G927" s="129"/>
      <c r="H927" s="129"/>
      <c r="I927" s="129"/>
      <c r="J927" s="129"/>
      <c r="K927" s="129"/>
      <c r="L927" s="129"/>
      <c r="M927" s="129"/>
      <c r="N927" s="129"/>
      <c r="O927" s="129"/>
      <c r="P927" s="129"/>
      <c r="Q927" s="129"/>
      <c r="R927" s="129"/>
      <c r="S927" s="129"/>
      <c r="T927" s="129"/>
      <c r="U927" s="106"/>
      <c r="V927" s="106"/>
      <c r="W927" s="106"/>
      <c r="X927" s="106"/>
      <c r="Y927" s="106"/>
      <c r="Z927" s="129"/>
      <c r="AA927" s="129"/>
      <c r="AB927" s="129"/>
      <c r="AC927" s="129"/>
      <c r="AD927" s="129"/>
      <c r="AE927" s="129"/>
      <c r="AF927" s="129"/>
      <c r="AG927" s="117"/>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c r="BK927" s="124"/>
      <c r="BL927" s="124"/>
      <c r="BM927" s="124"/>
      <c r="BN927" s="124"/>
      <c r="BO927" s="124"/>
      <c r="BP927" s="124"/>
      <c r="BQ927" s="124"/>
      <c r="BR927" s="124"/>
      <c r="BS927" s="124"/>
      <c r="BT927" s="124"/>
      <c r="BU927" s="124"/>
      <c r="BV927" s="124"/>
      <c r="BW927" s="124"/>
      <c r="BX927" s="124"/>
      <c r="BY927" s="124"/>
      <c r="BZ927" s="124"/>
      <c r="CA927" s="124"/>
    </row>
    <row r="928">
      <c r="A928" s="141"/>
      <c r="B928" s="107"/>
      <c r="C928" s="107"/>
      <c r="D928" s="143"/>
      <c r="E928" s="129"/>
      <c r="F928" s="129"/>
      <c r="G928" s="129"/>
      <c r="H928" s="129"/>
      <c r="I928" s="129"/>
      <c r="J928" s="129"/>
      <c r="K928" s="129"/>
      <c r="L928" s="129"/>
      <c r="M928" s="129"/>
      <c r="N928" s="129"/>
      <c r="O928" s="129"/>
      <c r="P928" s="129"/>
      <c r="Q928" s="129"/>
      <c r="R928" s="129"/>
      <c r="S928" s="129"/>
      <c r="T928" s="129"/>
      <c r="U928" s="106"/>
      <c r="V928" s="106"/>
      <c r="W928" s="106"/>
      <c r="X928" s="106"/>
      <c r="Y928" s="106"/>
      <c r="Z928" s="129"/>
      <c r="AA928" s="129"/>
      <c r="AB928" s="129"/>
      <c r="AC928" s="129"/>
      <c r="AD928" s="129"/>
      <c r="AE928" s="129"/>
      <c r="AF928" s="129"/>
      <c r="AG928" s="117"/>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c r="BK928" s="124"/>
      <c r="BL928" s="124"/>
      <c r="BM928" s="124"/>
      <c r="BN928" s="124"/>
      <c r="BO928" s="124"/>
      <c r="BP928" s="124"/>
      <c r="BQ928" s="124"/>
      <c r="BR928" s="124"/>
      <c r="BS928" s="124"/>
      <c r="BT928" s="124"/>
      <c r="BU928" s="124"/>
      <c r="BV928" s="124"/>
      <c r="BW928" s="124"/>
      <c r="BX928" s="124"/>
      <c r="BY928" s="124"/>
      <c r="BZ928" s="124"/>
      <c r="CA928" s="124"/>
    </row>
    <row r="929">
      <c r="A929" s="141"/>
      <c r="B929" s="107"/>
      <c r="C929" s="107"/>
      <c r="D929" s="143"/>
      <c r="E929" s="129"/>
      <c r="F929" s="129"/>
      <c r="G929" s="129"/>
      <c r="H929" s="129"/>
      <c r="I929" s="129"/>
      <c r="J929" s="129"/>
      <c r="K929" s="129"/>
      <c r="L929" s="129"/>
      <c r="M929" s="129"/>
      <c r="N929" s="129"/>
      <c r="O929" s="129"/>
      <c r="P929" s="129"/>
      <c r="Q929" s="129"/>
      <c r="R929" s="129"/>
      <c r="S929" s="129"/>
      <c r="T929" s="129"/>
      <c r="U929" s="106"/>
      <c r="V929" s="106"/>
      <c r="W929" s="106"/>
      <c r="X929" s="106"/>
      <c r="Y929" s="106"/>
      <c r="Z929" s="129"/>
      <c r="AA929" s="129"/>
      <c r="AB929" s="129"/>
      <c r="AC929" s="129"/>
      <c r="AD929" s="129"/>
      <c r="AE929" s="129"/>
      <c r="AF929" s="129"/>
      <c r="AG929" s="117"/>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c r="BK929" s="124"/>
      <c r="BL929" s="124"/>
      <c r="BM929" s="124"/>
      <c r="BN929" s="124"/>
      <c r="BO929" s="124"/>
      <c r="BP929" s="124"/>
      <c r="BQ929" s="124"/>
      <c r="BR929" s="124"/>
      <c r="BS929" s="124"/>
      <c r="BT929" s="124"/>
      <c r="BU929" s="124"/>
      <c r="BV929" s="124"/>
      <c r="BW929" s="124"/>
      <c r="BX929" s="124"/>
      <c r="BY929" s="124"/>
      <c r="BZ929" s="124"/>
      <c r="CA929" s="124"/>
    </row>
    <row r="930">
      <c r="A930" s="141"/>
      <c r="B930" s="107"/>
      <c r="C930" s="107"/>
      <c r="D930" s="143"/>
      <c r="E930" s="129"/>
      <c r="F930" s="129"/>
      <c r="G930" s="129"/>
      <c r="H930" s="129"/>
      <c r="I930" s="129"/>
      <c r="J930" s="129"/>
      <c r="K930" s="129"/>
      <c r="L930" s="129"/>
      <c r="M930" s="129"/>
      <c r="N930" s="129"/>
      <c r="O930" s="129"/>
      <c r="P930" s="129"/>
      <c r="Q930" s="129"/>
      <c r="R930" s="129"/>
      <c r="S930" s="129"/>
      <c r="T930" s="129"/>
      <c r="U930" s="106"/>
      <c r="V930" s="106"/>
      <c r="W930" s="106"/>
      <c r="X930" s="106"/>
      <c r="Y930" s="106"/>
      <c r="Z930" s="129"/>
      <c r="AA930" s="129"/>
      <c r="AB930" s="129"/>
      <c r="AC930" s="129"/>
      <c r="AD930" s="129"/>
      <c r="AE930" s="129"/>
      <c r="AF930" s="129"/>
      <c r="AG930" s="117"/>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c r="BK930" s="124"/>
      <c r="BL930" s="124"/>
      <c r="BM930" s="124"/>
      <c r="BN930" s="124"/>
      <c r="BO930" s="124"/>
      <c r="BP930" s="124"/>
      <c r="BQ930" s="124"/>
      <c r="BR930" s="124"/>
      <c r="BS930" s="124"/>
      <c r="BT930" s="124"/>
      <c r="BU930" s="124"/>
      <c r="BV930" s="124"/>
      <c r="BW930" s="124"/>
      <c r="BX930" s="124"/>
      <c r="BY930" s="124"/>
      <c r="BZ930" s="124"/>
      <c r="CA930" s="124"/>
    </row>
    <row r="931">
      <c r="A931" s="141"/>
      <c r="B931" s="107"/>
      <c r="C931" s="107"/>
      <c r="D931" s="143"/>
      <c r="E931" s="129"/>
      <c r="F931" s="129"/>
      <c r="G931" s="129"/>
      <c r="H931" s="129"/>
      <c r="I931" s="129"/>
      <c r="J931" s="129"/>
      <c r="K931" s="129"/>
      <c r="L931" s="129"/>
      <c r="M931" s="129"/>
      <c r="N931" s="129"/>
      <c r="O931" s="129"/>
      <c r="P931" s="129"/>
      <c r="Q931" s="129"/>
      <c r="R931" s="129"/>
      <c r="S931" s="129"/>
      <c r="T931" s="129"/>
      <c r="U931" s="106"/>
      <c r="V931" s="106"/>
      <c r="W931" s="106"/>
      <c r="X931" s="106"/>
      <c r="Y931" s="106"/>
      <c r="Z931" s="129"/>
      <c r="AA931" s="129"/>
      <c r="AB931" s="129"/>
      <c r="AC931" s="129"/>
      <c r="AD931" s="129"/>
      <c r="AE931" s="129"/>
      <c r="AF931" s="129"/>
      <c r="AG931" s="117"/>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c r="BK931" s="124"/>
      <c r="BL931" s="124"/>
      <c r="BM931" s="124"/>
      <c r="BN931" s="124"/>
      <c r="BO931" s="124"/>
      <c r="BP931" s="124"/>
      <c r="BQ931" s="124"/>
      <c r="BR931" s="124"/>
      <c r="BS931" s="124"/>
      <c r="BT931" s="124"/>
      <c r="BU931" s="124"/>
      <c r="BV931" s="124"/>
      <c r="BW931" s="124"/>
      <c r="BX931" s="124"/>
      <c r="BY931" s="124"/>
      <c r="BZ931" s="124"/>
      <c r="CA931" s="124"/>
    </row>
    <row r="932">
      <c r="A932" s="141"/>
      <c r="B932" s="107"/>
      <c r="C932" s="107"/>
      <c r="D932" s="143"/>
      <c r="E932" s="129"/>
      <c r="F932" s="129"/>
      <c r="G932" s="129"/>
      <c r="H932" s="129"/>
      <c r="I932" s="129"/>
      <c r="J932" s="129"/>
      <c r="K932" s="129"/>
      <c r="L932" s="129"/>
      <c r="M932" s="129"/>
      <c r="N932" s="129"/>
      <c r="O932" s="129"/>
      <c r="P932" s="129"/>
      <c r="Q932" s="129"/>
      <c r="R932" s="129"/>
      <c r="S932" s="129"/>
      <c r="T932" s="129"/>
      <c r="U932" s="106"/>
      <c r="V932" s="106"/>
      <c r="W932" s="106"/>
      <c r="X932" s="106"/>
      <c r="Y932" s="106"/>
      <c r="Z932" s="129"/>
      <c r="AA932" s="129"/>
      <c r="AB932" s="129"/>
      <c r="AC932" s="129"/>
      <c r="AD932" s="129"/>
      <c r="AE932" s="129"/>
      <c r="AF932" s="129"/>
      <c r="AG932" s="117"/>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c r="BK932" s="124"/>
      <c r="BL932" s="124"/>
      <c r="BM932" s="124"/>
      <c r="BN932" s="124"/>
      <c r="BO932" s="124"/>
      <c r="BP932" s="124"/>
      <c r="BQ932" s="124"/>
      <c r="BR932" s="124"/>
      <c r="BS932" s="124"/>
      <c r="BT932" s="124"/>
      <c r="BU932" s="124"/>
      <c r="BV932" s="124"/>
      <c r="BW932" s="124"/>
      <c r="BX932" s="124"/>
      <c r="BY932" s="124"/>
      <c r="BZ932" s="124"/>
      <c r="CA932" s="124"/>
    </row>
    <row r="933">
      <c r="A933" s="141"/>
      <c r="B933" s="107"/>
      <c r="C933" s="107"/>
      <c r="D933" s="143"/>
      <c r="E933" s="129"/>
      <c r="F933" s="129"/>
      <c r="G933" s="129"/>
      <c r="H933" s="129"/>
      <c r="I933" s="129"/>
      <c r="J933" s="129"/>
      <c r="K933" s="129"/>
      <c r="L933" s="129"/>
      <c r="M933" s="129"/>
      <c r="N933" s="129"/>
      <c r="O933" s="129"/>
      <c r="P933" s="129"/>
      <c r="Q933" s="129"/>
      <c r="R933" s="129"/>
      <c r="S933" s="129"/>
      <c r="T933" s="129"/>
      <c r="U933" s="106"/>
      <c r="V933" s="106"/>
      <c r="W933" s="106"/>
      <c r="X933" s="106"/>
      <c r="Y933" s="106"/>
      <c r="Z933" s="129"/>
      <c r="AA933" s="129"/>
      <c r="AB933" s="129"/>
      <c r="AC933" s="129"/>
      <c r="AD933" s="129"/>
      <c r="AE933" s="129"/>
      <c r="AF933" s="129"/>
      <c r="AG933" s="117"/>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c r="BK933" s="124"/>
      <c r="BL933" s="124"/>
      <c r="BM933" s="124"/>
      <c r="BN933" s="124"/>
      <c r="BO933" s="124"/>
      <c r="BP933" s="124"/>
      <c r="BQ933" s="124"/>
      <c r="BR933" s="124"/>
      <c r="BS933" s="124"/>
      <c r="BT933" s="124"/>
      <c r="BU933" s="124"/>
      <c r="BV933" s="124"/>
      <c r="BW933" s="124"/>
      <c r="BX933" s="124"/>
      <c r="BY933" s="124"/>
      <c r="BZ933" s="124"/>
      <c r="CA933" s="124"/>
    </row>
    <row r="934">
      <c r="A934" s="141"/>
      <c r="B934" s="107"/>
      <c r="C934" s="107"/>
      <c r="D934" s="143"/>
      <c r="E934" s="129"/>
      <c r="F934" s="129"/>
      <c r="G934" s="129"/>
      <c r="H934" s="129"/>
      <c r="I934" s="129"/>
      <c r="J934" s="129"/>
      <c r="K934" s="129"/>
      <c r="L934" s="129"/>
      <c r="M934" s="129"/>
      <c r="N934" s="129"/>
      <c r="O934" s="129"/>
      <c r="P934" s="129"/>
      <c r="Q934" s="129"/>
      <c r="R934" s="129"/>
      <c r="S934" s="129"/>
      <c r="T934" s="129"/>
      <c r="U934" s="106"/>
      <c r="V934" s="106"/>
      <c r="W934" s="106"/>
      <c r="X934" s="106"/>
      <c r="Y934" s="106"/>
      <c r="Z934" s="129"/>
      <c r="AA934" s="129"/>
      <c r="AB934" s="129"/>
      <c r="AC934" s="129"/>
      <c r="AD934" s="129"/>
      <c r="AE934" s="129"/>
      <c r="AF934" s="129"/>
      <c r="AG934" s="117"/>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c r="BK934" s="124"/>
      <c r="BL934" s="124"/>
      <c r="BM934" s="124"/>
      <c r="BN934" s="124"/>
      <c r="BO934" s="124"/>
      <c r="BP934" s="124"/>
      <c r="BQ934" s="124"/>
      <c r="BR934" s="124"/>
      <c r="BS934" s="124"/>
      <c r="BT934" s="124"/>
      <c r="BU934" s="124"/>
      <c r="BV934" s="124"/>
      <c r="BW934" s="124"/>
      <c r="BX934" s="124"/>
      <c r="BY934" s="124"/>
      <c r="BZ934" s="124"/>
      <c r="CA934" s="124"/>
    </row>
    <row r="935">
      <c r="A935" s="141"/>
      <c r="B935" s="107"/>
      <c r="C935" s="107"/>
      <c r="D935" s="143"/>
      <c r="E935" s="129"/>
      <c r="F935" s="129"/>
      <c r="G935" s="129"/>
      <c r="H935" s="129"/>
      <c r="I935" s="129"/>
      <c r="J935" s="129"/>
      <c r="K935" s="129"/>
      <c r="L935" s="129"/>
      <c r="M935" s="129"/>
      <c r="N935" s="129"/>
      <c r="O935" s="129"/>
      <c r="P935" s="129"/>
      <c r="Q935" s="129"/>
      <c r="R935" s="129"/>
      <c r="S935" s="129"/>
      <c r="T935" s="129"/>
      <c r="U935" s="106"/>
      <c r="V935" s="106"/>
      <c r="W935" s="106"/>
      <c r="X935" s="106"/>
      <c r="Y935" s="106"/>
      <c r="Z935" s="129"/>
      <c r="AA935" s="129"/>
      <c r="AB935" s="129"/>
      <c r="AC935" s="129"/>
      <c r="AD935" s="129"/>
      <c r="AE935" s="129"/>
      <c r="AF935" s="129"/>
      <c r="AG935" s="117"/>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c r="BK935" s="124"/>
      <c r="BL935" s="124"/>
      <c r="BM935" s="124"/>
      <c r="BN935" s="124"/>
      <c r="BO935" s="124"/>
      <c r="BP935" s="124"/>
      <c r="BQ935" s="124"/>
      <c r="BR935" s="124"/>
      <c r="BS935" s="124"/>
      <c r="BT935" s="124"/>
      <c r="BU935" s="124"/>
      <c r="BV935" s="124"/>
      <c r="BW935" s="124"/>
      <c r="BX935" s="124"/>
      <c r="BY935" s="124"/>
      <c r="BZ935" s="124"/>
      <c r="CA935" s="124"/>
    </row>
    <row r="936">
      <c r="A936" s="141"/>
      <c r="B936" s="107"/>
      <c r="C936" s="107"/>
      <c r="D936" s="143"/>
      <c r="E936" s="129"/>
      <c r="F936" s="129"/>
      <c r="G936" s="129"/>
      <c r="H936" s="129"/>
      <c r="I936" s="129"/>
      <c r="J936" s="129"/>
      <c r="K936" s="129"/>
      <c r="L936" s="129"/>
      <c r="M936" s="129"/>
      <c r="N936" s="129"/>
      <c r="O936" s="129"/>
      <c r="P936" s="129"/>
      <c r="Q936" s="129"/>
      <c r="R936" s="129"/>
      <c r="S936" s="129"/>
      <c r="T936" s="129"/>
      <c r="U936" s="106"/>
      <c r="V936" s="106"/>
      <c r="W936" s="106"/>
      <c r="X936" s="106"/>
      <c r="Y936" s="106"/>
      <c r="Z936" s="129"/>
      <c r="AA936" s="129"/>
      <c r="AB936" s="129"/>
      <c r="AC936" s="129"/>
      <c r="AD936" s="129"/>
      <c r="AE936" s="129"/>
      <c r="AF936" s="129"/>
      <c r="AG936" s="117"/>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c r="BK936" s="124"/>
      <c r="BL936" s="124"/>
      <c r="BM936" s="124"/>
      <c r="BN936" s="124"/>
      <c r="BO936" s="124"/>
      <c r="BP936" s="124"/>
      <c r="BQ936" s="124"/>
      <c r="BR936" s="124"/>
      <c r="BS936" s="124"/>
      <c r="BT936" s="124"/>
      <c r="BU936" s="124"/>
      <c r="BV936" s="124"/>
      <c r="BW936" s="124"/>
      <c r="BX936" s="124"/>
      <c r="BY936" s="124"/>
      <c r="BZ936" s="124"/>
      <c r="CA936" s="124"/>
    </row>
    <row r="937">
      <c r="A937" s="141"/>
      <c r="B937" s="107"/>
      <c r="C937" s="107"/>
      <c r="D937" s="143"/>
      <c r="E937" s="129"/>
      <c r="F937" s="129"/>
      <c r="G937" s="129"/>
      <c r="H937" s="129"/>
      <c r="I937" s="129"/>
      <c r="J937" s="129"/>
      <c r="K937" s="129"/>
      <c r="L937" s="129"/>
      <c r="M937" s="129"/>
      <c r="N937" s="129"/>
      <c r="O937" s="129"/>
      <c r="P937" s="129"/>
      <c r="Q937" s="129"/>
      <c r="R937" s="129"/>
      <c r="S937" s="129"/>
      <c r="T937" s="129"/>
      <c r="U937" s="106"/>
      <c r="V937" s="106"/>
      <c r="W937" s="106"/>
      <c r="X937" s="106"/>
      <c r="Y937" s="106"/>
      <c r="Z937" s="129"/>
      <c r="AA937" s="129"/>
      <c r="AB937" s="129"/>
      <c r="AC937" s="129"/>
      <c r="AD937" s="129"/>
      <c r="AE937" s="129"/>
      <c r="AF937" s="129"/>
      <c r="AG937" s="117"/>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c r="BK937" s="124"/>
      <c r="BL937" s="124"/>
      <c r="BM937" s="124"/>
      <c r="BN937" s="124"/>
      <c r="BO937" s="124"/>
      <c r="BP937" s="124"/>
      <c r="BQ937" s="124"/>
      <c r="BR937" s="124"/>
      <c r="BS937" s="124"/>
      <c r="BT937" s="124"/>
      <c r="BU937" s="124"/>
      <c r="BV937" s="124"/>
      <c r="BW937" s="124"/>
      <c r="BX937" s="124"/>
      <c r="BY937" s="124"/>
      <c r="BZ937" s="124"/>
      <c r="CA937" s="124"/>
    </row>
    <row r="938">
      <c r="A938" s="141"/>
      <c r="B938" s="107"/>
      <c r="C938" s="107"/>
      <c r="D938" s="143"/>
      <c r="E938" s="129"/>
      <c r="F938" s="129"/>
      <c r="G938" s="129"/>
      <c r="H938" s="129"/>
      <c r="I938" s="129"/>
      <c r="J938" s="129"/>
      <c r="K938" s="129"/>
      <c r="L938" s="129"/>
      <c r="M938" s="129"/>
      <c r="N938" s="129"/>
      <c r="O938" s="129"/>
      <c r="P938" s="129"/>
      <c r="Q938" s="129"/>
      <c r="R938" s="129"/>
      <c r="S938" s="129"/>
      <c r="T938" s="129"/>
      <c r="U938" s="106"/>
      <c r="V938" s="106"/>
      <c r="W938" s="106"/>
      <c r="X938" s="106"/>
      <c r="Y938" s="106"/>
      <c r="Z938" s="129"/>
      <c r="AA938" s="129"/>
      <c r="AB938" s="129"/>
      <c r="AC938" s="129"/>
      <c r="AD938" s="129"/>
      <c r="AE938" s="129"/>
      <c r="AF938" s="129"/>
      <c r="AG938" s="117"/>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c r="BK938" s="124"/>
      <c r="BL938" s="124"/>
      <c r="BM938" s="124"/>
      <c r="BN938" s="124"/>
      <c r="BO938" s="124"/>
      <c r="BP938" s="124"/>
      <c r="BQ938" s="124"/>
      <c r="BR938" s="124"/>
      <c r="BS938" s="124"/>
      <c r="BT938" s="124"/>
      <c r="BU938" s="124"/>
      <c r="BV938" s="124"/>
      <c r="BW938" s="124"/>
      <c r="BX938" s="124"/>
      <c r="BY938" s="124"/>
      <c r="BZ938" s="124"/>
      <c r="CA938" s="124"/>
    </row>
    <row r="939">
      <c r="A939" s="141"/>
      <c r="B939" s="107"/>
      <c r="C939" s="107"/>
      <c r="D939" s="143"/>
      <c r="E939" s="129"/>
      <c r="F939" s="129"/>
      <c r="G939" s="129"/>
      <c r="H939" s="129"/>
      <c r="I939" s="129"/>
      <c r="J939" s="129"/>
      <c r="K939" s="129"/>
      <c r="L939" s="129"/>
      <c r="M939" s="129"/>
      <c r="N939" s="129"/>
      <c r="O939" s="129"/>
      <c r="P939" s="129"/>
      <c r="Q939" s="129"/>
      <c r="R939" s="129"/>
      <c r="S939" s="129"/>
      <c r="T939" s="129"/>
      <c r="U939" s="106"/>
      <c r="V939" s="106"/>
      <c r="W939" s="106"/>
      <c r="X939" s="106"/>
      <c r="Y939" s="106"/>
      <c r="Z939" s="129"/>
      <c r="AA939" s="129"/>
      <c r="AB939" s="129"/>
      <c r="AC939" s="129"/>
      <c r="AD939" s="129"/>
      <c r="AE939" s="129"/>
      <c r="AF939" s="129"/>
      <c r="AG939" s="117"/>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c r="BK939" s="124"/>
      <c r="BL939" s="124"/>
      <c r="BM939" s="124"/>
      <c r="BN939" s="124"/>
      <c r="BO939" s="124"/>
      <c r="BP939" s="124"/>
      <c r="BQ939" s="124"/>
      <c r="BR939" s="124"/>
      <c r="BS939" s="124"/>
      <c r="BT939" s="124"/>
      <c r="BU939" s="124"/>
      <c r="BV939" s="124"/>
      <c r="BW939" s="124"/>
      <c r="BX939" s="124"/>
      <c r="BY939" s="124"/>
      <c r="BZ939" s="124"/>
      <c r="CA939" s="124"/>
    </row>
    <row r="940">
      <c r="A940" s="141"/>
      <c r="B940" s="107"/>
      <c r="C940" s="107"/>
      <c r="D940" s="143"/>
      <c r="E940" s="129"/>
      <c r="F940" s="129"/>
      <c r="G940" s="129"/>
      <c r="H940" s="129"/>
      <c r="I940" s="129"/>
      <c r="J940" s="129"/>
      <c r="K940" s="129"/>
      <c r="L940" s="129"/>
      <c r="M940" s="129"/>
      <c r="N940" s="129"/>
      <c r="O940" s="129"/>
      <c r="P940" s="129"/>
      <c r="Q940" s="129"/>
      <c r="R940" s="129"/>
      <c r="S940" s="129"/>
      <c r="T940" s="129"/>
      <c r="U940" s="106"/>
      <c r="V940" s="106"/>
      <c r="W940" s="106"/>
      <c r="X940" s="106"/>
      <c r="Y940" s="106"/>
      <c r="Z940" s="129"/>
      <c r="AA940" s="129"/>
      <c r="AB940" s="129"/>
      <c r="AC940" s="129"/>
      <c r="AD940" s="129"/>
      <c r="AE940" s="129"/>
      <c r="AF940" s="129"/>
      <c r="AG940" s="117"/>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c r="BK940" s="124"/>
      <c r="BL940" s="124"/>
      <c r="BM940" s="124"/>
      <c r="BN940" s="124"/>
      <c r="BO940" s="124"/>
      <c r="BP940" s="124"/>
      <c r="BQ940" s="124"/>
      <c r="BR940" s="124"/>
      <c r="BS940" s="124"/>
      <c r="BT940" s="124"/>
      <c r="BU940" s="124"/>
      <c r="BV940" s="124"/>
      <c r="BW940" s="124"/>
      <c r="BX940" s="124"/>
      <c r="BY940" s="124"/>
      <c r="BZ940" s="124"/>
      <c r="CA940" s="124"/>
    </row>
    <row r="941">
      <c r="A941" s="141"/>
      <c r="B941" s="107"/>
      <c r="C941" s="107"/>
      <c r="D941" s="143"/>
      <c r="E941" s="129"/>
      <c r="F941" s="129"/>
      <c r="G941" s="129"/>
      <c r="H941" s="129"/>
      <c r="I941" s="129"/>
      <c r="J941" s="129"/>
      <c r="K941" s="129"/>
      <c r="L941" s="129"/>
      <c r="M941" s="129"/>
      <c r="N941" s="129"/>
      <c r="O941" s="129"/>
      <c r="P941" s="129"/>
      <c r="Q941" s="129"/>
      <c r="R941" s="129"/>
      <c r="S941" s="129"/>
      <c r="T941" s="129"/>
      <c r="U941" s="106"/>
      <c r="V941" s="106"/>
      <c r="W941" s="106"/>
      <c r="X941" s="106"/>
      <c r="Y941" s="106"/>
      <c r="Z941" s="129"/>
      <c r="AA941" s="129"/>
      <c r="AB941" s="129"/>
      <c r="AC941" s="129"/>
      <c r="AD941" s="129"/>
      <c r="AE941" s="129"/>
      <c r="AF941" s="129"/>
      <c r="AG941" s="117"/>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c r="BK941" s="124"/>
      <c r="BL941" s="124"/>
      <c r="BM941" s="124"/>
      <c r="BN941" s="124"/>
      <c r="BO941" s="124"/>
      <c r="BP941" s="124"/>
      <c r="BQ941" s="124"/>
      <c r="BR941" s="124"/>
      <c r="BS941" s="124"/>
      <c r="BT941" s="124"/>
      <c r="BU941" s="124"/>
      <c r="BV941" s="124"/>
      <c r="BW941" s="124"/>
      <c r="BX941" s="124"/>
      <c r="BY941" s="124"/>
      <c r="BZ941" s="124"/>
      <c r="CA941" s="124"/>
    </row>
    <row r="942">
      <c r="A942" s="141"/>
      <c r="B942" s="107"/>
      <c r="C942" s="107"/>
      <c r="D942" s="143"/>
      <c r="E942" s="129"/>
      <c r="F942" s="129"/>
      <c r="G942" s="129"/>
      <c r="H942" s="129"/>
      <c r="I942" s="129"/>
      <c r="J942" s="129"/>
      <c r="K942" s="129"/>
      <c r="L942" s="129"/>
      <c r="M942" s="129"/>
      <c r="N942" s="129"/>
      <c r="O942" s="129"/>
      <c r="P942" s="129"/>
      <c r="Q942" s="129"/>
      <c r="R942" s="129"/>
      <c r="S942" s="129"/>
      <c r="T942" s="129"/>
      <c r="U942" s="106"/>
      <c r="V942" s="106"/>
      <c r="W942" s="106"/>
      <c r="X942" s="106"/>
      <c r="Y942" s="106"/>
      <c r="Z942" s="129"/>
      <c r="AA942" s="129"/>
      <c r="AB942" s="129"/>
      <c r="AC942" s="129"/>
      <c r="AD942" s="129"/>
      <c r="AE942" s="129"/>
      <c r="AF942" s="129"/>
      <c r="AG942" s="117"/>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c r="BK942" s="124"/>
      <c r="BL942" s="124"/>
      <c r="BM942" s="124"/>
      <c r="BN942" s="124"/>
      <c r="BO942" s="124"/>
      <c r="BP942" s="124"/>
      <c r="BQ942" s="124"/>
      <c r="BR942" s="124"/>
      <c r="BS942" s="124"/>
      <c r="BT942" s="124"/>
      <c r="BU942" s="124"/>
      <c r="BV942" s="124"/>
      <c r="BW942" s="124"/>
      <c r="BX942" s="124"/>
      <c r="BY942" s="124"/>
      <c r="BZ942" s="124"/>
      <c r="CA942" s="124"/>
    </row>
    <row r="943">
      <c r="A943" s="141"/>
      <c r="B943" s="107"/>
      <c r="C943" s="107"/>
      <c r="D943" s="143"/>
      <c r="E943" s="129"/>
      <c r="F943" s="129"/>
      <c r="G943" s="129"/>
      <c r="H943" s="129"/>
      <c r="I943" s="129"/>
      <c r="J943" s="129"/>
      <c r="K943" s="129"/>
      <c r="L943" s="129"/>
      <c r="M943" s="129"/>
      <c r="N943" s="129"/>
      <c r="O943" s="129"/>
      <c r="P943" s="129"/>
      <c r="Q943" s="129"/>
      <c r="R943" s="129"/>
      <c r="S943" s="129"/>
      <c r="T943" s="129"/>
      <c r="U943" s="106"/>
      <c r="V943" s="106"/>
      <c r="W943" s="106"/>
      <c r="X943" s="106"/>
      <c r="Y943" s="106"/>
      <c r="Z943" s="129"/>
      <c r="AA943" s="129"/>
      <c r="AB943" s="129"/>
      <c r="AC943" s="129"/>
      <c r="AD943" s="129"/>
      <c r="AE943" s="129"/>
      <c r="AF943" s="129"/>
      <c r="AG943" s="117"/>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c r="BK943" s="124"/>
      <c r="BL943" s="124"/>
      <c r="BM943" s="124"/>
      <c r="BN943" s="124"/>
      <c r="BO943" s="124"/>
      <c r="BP943" s="124"/>
      <c r="BQ943" s="124"/>
      <c r="BR943" s="124"/>
      <c r="BS943" s="124"/>
      <c r="BT943" s="124"/>
      <c r="BU943" s="124"/>
      <c r="BV943" s="124"/>
      <c r="BW943" s="124"/>
      <c r="BX943" s="124"/>
      <c r="BY943" s="124"/>
      <c r="BZ943" s="124"/>
      <c r="CA943" s="124"/>
    </row>
    <row r="944">
      <c r="A944" s="141"/>
      <c r="B944" s="107"/>
      <c r="C944" s="107"/>
      <c r="D944" s="143"/>
      <c r="E944" s="129"/>
      <c r="F944" s="129"/>
      <c r="G944" s="129"/>
      <c r="H944" s="129"/>
      <c r="I944" s="129"/>
      <c r="J944" s="129"/>
      <c r="K944" s="129"/>
      <c r="L944" s="129"/>
      <c r="M944" s="129"/>
      <c r="N944" s="129"/>
      <c r="O944" s="129"/>
      <c r="P944" s="129"/>
      <c r="Q944" s="129"/>
      <c r="R944" s="129"/>
      <c r="S944" s="129"/>
      <c r="T944" s="129"/>
      <c r="U944" s="106"/>
      <c r="V944" s="106"/>
      <c r="W944" s="106"/>
      <c r="X944" s="106"/>
      <c r="Y944" s="106"/>
      <c r="Z944" s="129"/>
      <c r="AA944" s="129"/>
      <c r="AB944" s="129"/>
      <c r="AC944" s="129"/>
      <c r="AD944" s="129"/>
      <c r="AE944" s="129"/>
      <c r="AF944" s="129"/>
      <c r="AG944" s="117"/>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c r="BK944" s="124"/>
      <c r="BL944" s="124"/>
      <c r="BM944" s="124"/>
      <c r="BN944" s="124"/>
      <c r="BO944" s="124"/>
      <c r="BP944" s="124"/>
      <c r="BQ944" s="124"/>
      <c r="BR944" s="124"/>
      <c r="BS944" s="124"/>
      <c r="BT944" s="124"/>
      <c r="BU944" s="124"/>
      <c r="BV944" s="124"/>
      <c r="BW944" s="124"/>
      <c r="BX944" s="124"/>
      <c r="BY944" s="124"/>
      <c r="BZ944" s="124"/>
      <c r="CA944" s="124"/>
    </row>
    <row r="945">
      <c r="A945" s="141"/>
      <c r="B945" s="107"/>
      <c r="C945" s="107"/>
      <c r="D945" s="143"/>
      <c r="E945" s="129"/>
      <c r="F945" s="129"/>
      <c r="G945" s="129"/>
      <c r="H945" s="129"/>
      <c r="I945" s="129"/>
      <c r="J945" s="129"/>
      <c r="K945" s="129"/>
      <c r="L945" s="129"/>
      <c r="M945" s="129"/>
      <c r="N945" s="129"/>
      <c r="O945" s="129"/>
      <c r="P945" s="129"/>
      <c r="Q945" s="129"/>
      <c r="R945" s="129"/>
      <c r="S945" s="129"/>
      <c r="T945" s="129"/>
      <c r="U945" s="106"/>
      <c r="V945" s="106"/>
      <c r="W945" s="106"/>
      <c r="X945" s="106"/>
      <c r="Y945" s="106"/>
      <c r="Z945" s="129"/>
      <c r="AA945" s="129"/>
      <c r="AB945" s="129"/>
      <c r="AC945" s="129"/>
      <c r="AD945" s="129"/>
      <c r="AE945" s="129"/>
      <c r="AF945" s="129"/>
      <c r="AG945" s="117"/>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c r="BK945" s="124"/>
      <c r="BL945" s="124"/>
      <c r="BM945" s="124"/>
      <c r="BN945" s="124"/>
      <c r="BO945" s="124"/>
      <c r="BP945" s="124"/>
      <c r="BQ945" s="124"/>
      <c r="BR945" s="124"/>
      <c r="BS945" s="124"/>
      <c r="BT945" s="124"/>
      <c r="BU945" s="124"/>
      <c r="BV945" s="124"/>
      <c r="BW945" s="124"/>
      <c r="BX945" s="124"/>
      <c r="BY945" s="124"/>
      <c r="BZ945" s="124"/>
      <c r="CA945" s="124"/>
    </row>
    <row r="946">
      <c r="A946" s="141"/>
      <c r="B946" s="107"/>
      <c r="C946" s="107"/>
      <c r="D946" s="143"/>
      <c r="E946" s="129"/>
      <c r="F946" s="129"/>
      <c r="G946" s="129"/>
      <c r="H946" s="129"/>
      <c r="I946" s="129"/>
      <c r="J946" s="129"/>
      <c r="K946" s="129"/>
      <c r="L946" s="129"/>
      <c r="M946" s="129"/>
      <c r="N946" s="129"/>
      <c r="O946" s="129"/>
      <c r="P946" s="129"/>
      <c r="Q946" s="129"/>
      <c r="R946" s="129"/>
      <c r="S946" s="129"/>
      <c r="T946" s="129"/>
      <c r="U946" s="106"/>
      <c r="V946" s="106"/>
      <c r="W946" s="106"/>
      <c r="X946" s="106"/>
      <c r="Y946" s="106"/>
      <c r="Z946" s="129"/>
      <c r="AA946" s="129"/>
      <c r="AB946" s="129"/>
      <c r="AC946" s="129"/>
      <c r="AD946" s="129"/>
      <c r="AE946" s="129"/>
      <c r="AF946" s="129"/>
      <c r="AG946" s="117"/>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c r="BK946" s="124"/>
      <c r="BL946" s="124"/>
      <c r="BM946" s="124"/>
      <c r="BN946" s="124"/>
      <c r="BO946" s="124"/>
      <c r="BP946" s="124"/>
      <c r="BQ946" s="124"/>
      <c r="BR946" s="124"/>
      <c r="BS946" s="124"/>
      <c r="BT946" s="124"/>
      <c r="BU946" s="124"/>
      <c r="BV946" s="124"/>
      <c r="BW946" s="124"/>
      <c r="BX946" s="124"/>
      <c r="BY946" s="124"/>
      <c r="BZ946" s="124"/>
      <c r="CA946" s="124"/>
    </row>
    <row r="947">
      <c r="A947" s="141"/>
      <c r="B947" s="107"/>
      <c r="C947" s="107"/>
      <c r="D947" s="143"/>
      <c r="E947" s="129"/>
      <c r="F947" s="129"/>
      <c r="G947" s="129"/>
      <c r="H947" s="129"/>
      <c r="I947" s="129"/>
      <c r="J947" s="129"/>
      <c r="K947" s="129"/>
      <c r="L947" s="129"/>
      <c r="M947" s="129"/>
      <c r="N947" s="129"/>
      <c r="O947" s="129"/>
      <c r="P947" s="129"/>
      <c r="Q947" s="129"/>
      <c r="R947" s="129"/>
      <c r="S947" s="129"/>
      <c r="T947" s="129"/>
      <c r="U947" s="106"/>
      <c r="V947" s="106"/>
      <c r="W947" s="106"/>
      <c r="X947" s="106"/>
      <c r="Y947" s="106"/>
      <c r="Z947" s="129"/>
      <c r="AA947" s="129"/>
      <c r="AB947" s="129"/>
      <c r="AC947" s="129"/>
      <c r="AD947" s="129"/>
      <c r="AE947" s="129"/>
      <c r="AF947" s="129"/>
      <c r="AG947" s="117"/>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c r="BK947" s="124"/>
      <c r="BL947" s="124"/>
      <c r="BM947" s="124"/>
      <c r="BN947" s="124"/>
      <c r="BO947" s="124"/>
      <c r="BP947" s="124"/>
      <c r="BQ947" s="124"/>
      <c r="BR947" s="124"/>
      <c r="BS947" s="124"/>
      <c r="BT947" s="124"/>
      <c r="BU947" s="124"/>
      <c r="BV947" s="124"/>
      <c r="BW947" s="124"/>
      <c r="BX947" s="124"/>
      <c r="BY947" s="124"/>
      <c r="BZ947" s="124"/>
      <c r="CA947" s="124"/>
    </row>
    <row r="948">
      <c r="A948" s="141"/>
      <c r="B948" s="107"/>
      <c r="C948" s="107"/>
      <c r="D948" s="143"/>
      <c r="E948" s="129"/>
      <c r="F948" s="129"/>
      <c r="G948" s="129"/>
      <c r="H948" s="129"/>
      <c r="I948" s="129"/>
      <c r="J948" s="129"/>
      <c r="K948" s="129"/>
      <c r="L948" s="129"/>
      <c r="M948" s="129"/>
      <c r="N948" s="129"/>
      <c r="O948" s="129"/>
      <c r="P948" s="129"/>
      <c r="Q948" s="129"/>
      <c r="R948" s="129"/>
      <c r="S948" s="129"/>
      <c r="T948" s="129"/>
      <c r="U948" s="106"/>
      <c r="V948" s="106"/>
      <c r="W948" s="106"/>
      <c r="X948" s="106"/>
      <c r="Y948" s="106"/>
      <c r="Z948" s="129"/>
      <c r="AA948" s="129"/>
      <c r="AB948" s="129"/>
      <c r="AC948" s="129"/>
      <c r="AD948" s="129"/>
      <c r="AE948" s="129"/>
      <c r="AF948" s="129"/>
      <c r="AG948" s="117"/>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c r="BK948" s="124"/>
      <c r="BL948" s="124"/>
      <c r="BM948" s="124"/>
      <c r="BN948" s="124"/>
      <c r="BO948" s="124"/>
      <c r="BP948" s="124"/>
      <c r="BQ948" s="124"/>
      <c r="BR948" s="124"/>
      <c r="BS948" s="124"/>
      <c r="BT948" s="124"/>
      <c r="BU948" s="124"/>
      <c r="BV948" s="124"/>
      <c r="BW948" s="124"/>
      <c r="BX948" s="124"/>
      <c r="BY948" s="124"/>
      <c r="BZ948" s="124"/>
      <c r="CA948" s="124"/>
    </row>
    <row r="949">
      <c r="A949" s="141"/>
      <c r="B949" s="107"/>
      <c r="C949" s="107"/>
      <c r="D949" s="143"/>
      <c r="E949" s="129"/>
      <c r="F949" s="129"/>
      <c r="G949" s="129"/>
      <c r="H949" s="129"/>
      <c r="I949" s="129"/>
      <c r="J949" s="129"/>
      <c r="K949" s="129"/>
      <c r="L949" s="129"/>
      <c r="M949" s="129"/>
      <c r="N949" s="129"/>
      <c r="O949" s="129"/>
      <c r="P949" s="129"/>
      <c r="Q949" s="129"/>
      <c r="R949" s="129"/>
      <c r="S949" s="129"/>
      <c r="T949" s="129"/>
      <c r="U949" s="106"/>
      <c r="V949" s="106"/>
      <c r="W949" s="106"/>
      <c r="X949" s="106"/>
      <c r="Y949" s="106"/>
      <c r="Z949" s="129"/>
      <c r="AA949" s="129"/>
      <c r="AB949" s="129"/>
      <c r="AC949" s="129"/>
      <c r="AD949" s="129"/>
      <c r="AE949" s="129"/>
      <c r="AF949" s="129"/>
      <c r="AG949" s="117"/>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c r="BK949" s="124"/>
      <c r="BL949" s="124"/>
      <c r="BM949" s="124"/>
      <c r="BN949" s="124"/>
      <c r="BO949" s="124"/>
      <c r="BP949" s="124"/>
      <c r="BQ949" s="124"/>
      <c r="BR949" s="124"/>
      <c r="BS949" s="124"/>
      <c r="BT949" s="124"/>
      <c r="BU949" s="124"/>
      <c r="BV949" s="124"/>
      <c r="BW949" s="124"/>
      <c r="BX949" s="124"/>
      <c r="BY949" s="124"/>
      <c r="BZ949" s="124"/>
      <c r="CA949" s="124"/>
    </row>
    <row r="950">
      <c r="A950" s="141"/>
      <c r="B950" s="107"/>
      <c r="C950" s="107"/>
      <c r="D950" s="143"/>
      <c r="E950" s="129"/>
      <c r="F950" s="129"/>
      <c r="G950" s="129"/>
      <c r="H950" s="129"/>
      <c r="I950" s="129"/>
      <c r="J950" s="129"/>
      <c r="K950" s="129"/>
      <c r="L950" s="129"/>
      <c r="M950" s="129"/>
      <c r="N950" s="129"/>
      <c r="O950" s="129"/>
      <c r="P950" s="129"/>
      <c r="Q950" s="129"/>
      <c r="R950" s="129"/>
      <c r="S950" s="129"/>
      <c r="T950" s="129"/>
      <c r="U950" s="106"/>
      <c r="V950" s="106"/>
      <c r="W950" s="106"/>
      <c r="X950" s="106"/>
      <c r="Y950" s="106"/>
      <c r="Z950" s="129"/>
      <c r="AA950" s="129"/>
      <c r="AB950" s="129"/>
      <c r="AC950" s="129"/>
      <c r="AD950" s="129"/>
      <c r="AE950" s="129"/>
      <c r="AF950" s="129"/>
      <c r="AG950" s="117"/>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c r="BK950" s="124"/>
      <c r="BL950" s="124"/>
      <c r="BM950" s="124"/>
      <c r="BN950" s="124"/>
      <c r="BO950" s="124"/>
      <c r="BP950" s="124"/>
      <c r="BQ950" s="124"/>
      <c r="BR950" s="124"/>
      <c r="BS950" s="124"/>
      <c r="BT950" s="124"/>
      <c r="BU950" s="124"/>
      <c r="BV950" s="124"/>
      <c r="BW950" s="124"/>
      <c r="BX950" s="124"/>
      <c r="BY950" s="124"/>
      <c r="BZ950" s="124"/>
      <c r="CA950" s="124"/>
    </row>
    <row r="951">
      <c r="A951" s="141"/>
      <c r="B951" s="107"/>
      <c r="C951" s="107"/>
      <c r="D951" s="143"/>
      <c r="E951" s="129"/>
      <c r="F951" s="129"/>
      <c r="G951" s="129"/>
      <c r="H951" s="129"/>
      <c r="I951" s="129"/>
      <c r="J951" s="129"/>
      <c r="K951" s="129"/>
      <c r="L951" s="129"/>
      <c r="M951" s="129"/>
      <c r="N951" s="129"/>
      <c r="O951" s="129"/>
      <c r="P951" s="129"/>
      <c r="Q951" s="129"/>
      <c r="R951" s="129"/>
      <c r="S951" s="129"/>
      <c r="T951" s="129"/>
      <c r="U951" s="106"/>
      <c r="V951" s="106"/>
      <c r="W951" s="106"/>
      <c r="X951" s="106"/>
      <c r="Y951" s="106"/>
      <c r="Z951" s="129"/>
      <c r="AA951" s="129"/>
      <c r="AB951" s="129"/>
      <c r="AC951" s="129"/>
      <c r="AD951" s="129"/>
      <c r="AE951" s="129"/>
      <c r="AF951" s="129"/>
      <c r="AG951" s="117"/>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c r="BK951" s="124"/>
      <c r="BL951" s="124"/>
      <c r="BM951" s="124"/>
      <c r="BN951" s="124"/>
      <c r="BO951" s="124"/>
      <c r="BP951" s="124"/>
      <c r="BQ951" s="124"/>
      <c r="BR951" s="124"/>
      <c r="BS951" s="124"/>
      <c r="BT951" s="124"/>
      <c r="BU951" s="124"/>
      <c r="BV951" s="124"/>
      <c r="BW951" s="124"/>
      <c r="BX951" s="124"/>
      <c r="BY951" s="124"/>
      <c r="BZ951" s="124"/>
      <c r="CA951" s="124"/>
    </row>
    <row r="952">
      <c r="A952" s="141"/>
      <c r="B952" s="107"/>
      <c r="C952" s="107"/>
      <c r="D952" s="143"/>
      <c r="E952" s="129"/>
      <c r="F952" s="129"/>
      <c r="G952" s="129"/>
      <c r="H952" s="129"/>
      <c r="I952" s="129"/>
      <c r="J952" s="129"/>
      <c r="K952" s="129"/>
      <c r="L952" s="129"/>
      <c r="M952" s="129"/>
      <c r="N952" s="129"/>
      <c r="O952" s="129"/>
      <c r="P952" s="129"/>
      <c r="Q952" s="129"/>
      <c r="R952" s="129"/>
      <c r="S952" s="129"/>
      <c r="T952" s="129"/>
      <c r="U952" s="106"/>
      <c r="V952" s="106"/>
      <c r="W952" s="106"/>
      <c r="X952" s="106"/>
      <c r="Y952" s="106"/>
      <c r="Z952" s="129"/>
      <c r="AA952" s="129"/>
      <c r="AB952" s="129"/>
      <c r="AC952" s="129"/>
      <c r="AD952" s="129"/>
      <c r="AE952" s="129"/>
      <c r="AF952" s="129"/>
      <c r="AG952" s="117"/>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c r="BK952" s="124"/>
      <c r="BL952" s="124"/>
      <c r="BM952" s="124"/>
      <c r="BN952" s="124"/>
      <c r="BO952" s="124"/>
      <c r="BP952" s="124"/>
      <c r="BQ952" s="124"/>
      <c r="BR952" s="124"/>
      <c r="BS952" s="124"/>
      <c r="BT952" s="124"/>
      <c r="BU952" s="124"/>
      <c r="BV952" s="124"/>
      <c r="BW952" s="124"/>
      <c r="BX952" s="124"/>
      <c r="BY952" s="124"/>
      <c r="BZ952" s="124"/>
      <c r="CA952" s="124"/>
    </row>
    <row r="953">
      <c r="A953" s="141"/>
      <c r="B953" s="107"/>
      <c r="C953" s="107"/>
      <c r="D953" s="143"/>
      <c r="E953" s="129"/>
      <c r="F953" s="129"/>
      <c r="G953" s="129"/>
      <c r="H953" s="129"/>
      <c r="I953" s="129"/>
      <c r="J953" s="129"/>
      <c r="K953" s="129"/>
      <c r="L953" s="129"/>
      <c r="M953" s="129"/>
      <c r="N953" s="129"/>
      <c r="O953" s="129"/>
      <c r="P953" s="129"/>
      <c r="Q953" s="129"/>
      <c r="R953" s="129"/>
      <c r="S953" s="129"/>
      <c r="T953" s="129"/>
      <c r="U953" s="106"/>
      <c r="V953" s="106"/>
      <c r="W953" s="106"/>
      <c r="X953" s="106"/>
      <c r="Y953" s="106"/>
      <c r="Z953" s="129"/>
      <c r="AA953" s="129"/>
      <c r="AB953" s="129"/>
      <c r="AC953" s="129"/>
      <c r="AD953" s="129"/>
      <c r="AE953" s="129"/>
      <c r="AF953" s="129"/>
      <c r="AG953" s="117"/>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c r="BK953" s="124"/>
      <c r="BL953" s="124"/>
      <c r="BM953" s="124"/>
      <c r="BN953" s="124"/>
      <c r="BO953" s="124"/>
      <c r="BP953" s="124"/>
      <c r="BQ953" s="124"/>
      <c r="BR953" s="124"/>
      <c r="BS953" s="124"/>
      <c r="BT953" s="124"/>
      <c r="BU953" s="124"/>
      <c r="BV953" s="124"/>
      <c r="BW953" s="124"/>
      <c r="BX953" s="124"/>
      <c r="BY953" s="124"/>
      <c r="BZ953" s="124"/>
      <c r="CA953" s="124"/>
    </row>
    <row r="954">
      <c r="A954" s="141"/>
      <c r="B954" s="107"/>
      <c r="C954" s="107"/>
      <c r="D954" s="143"/>
      <c r="E954" s="129"/>
      <c r="F954" s="129"/>
      <c r="G954" s="129"/>
      <c r="H954" s="129"/>
      <c r="I954" s="129"/>
      <c r="J954" s="129"/>
      <c r="K954" s="129"/>
      <c r="L954" s="129"/>
      <c r="M954" s="129"/>
      <c r="N954" s="129"/>
      <c r="O954" s="129"/>
      <c r="P954" s="129"/>
      <c r="Q954" s="129"/>
      <c r="R954" s="129"/>
      <c r="S954" s="129"/>
      <c r="T954" s="129"/>
      <c r="U954" s="106"/>
      <c r="V954" s="106"/>
      <c r="W954" s="106"/>
      <c r="X954" s="106"/>
      <c r="Y954" s="106"/>
      <c r="Z954" s="129"/>
      <c r="AA954" s="129"/>
      <c r="AB954" s="129"/>
      <c r="AC954" s="129"/>
      <c r="AD954" s="129"/>
      <c r="AE954" s="129"/>
      <c r="AF954" s="129"/>
      <c r="AG954" s="117"/>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c r="BK954" s="124"/>
      <c r="BL954" s="124"/>
      <c r="BM954" s="124"/>
      <c r="BN954" s="124"/>
      <c r="BO954" s="124"/>
      <c r="BP954" s="124"/>
      <c r="BQ954" s="124"/>
      <c r="BR954" s="124"/>
      <c r="BS954" s="124"/>
      <c r="BT954" s="124"/>
      <c r="BU954" s="124"/>
      <c r="BV954" s="124"/>
      <c r="BW954" s="124"/>
      <c r="BX954" s="124"/>
      <c r="BY954" s="124"/>
      <c r="BZ954" s="124"/>
      <c r="CA954" s="124"/>
    </row>
    <row r="955">
      <c r="A955" s="141"/>
      <c r="B955" s="107"/>
      <c r="C955" s="107"/>
      <c r="D955" s="143"/>
      <c r="E955" s="129"/>
      <c r="F955" s="129"/>
      <c r="G955" s="129"/>
      <c r="H955" s="129"/>
      <c r="I955" s="129"/>
      <c r="J955" s="129"/>
      <c r="K955" s="129"/>
      <c r="L955" s="129"/>
      <c r="M955" s="129"/>
      <c r="N955" s="129"/>
      <c r="O955" s="129"/>
      <c r="P955" s="129"/>
      <c r="Q955" s="129"/>
      <c r="R955" s="129"/>
      <c r="S955" s="129"/>
      <c r="T955" s="129"/>
      <c r="U955" s="106"/>
      <c r="V955" s="106"/>
      <c r="W955" s="106"/>
      <c r="X955" s="106"/>
      <c r="Y955" s="106"/>
      <c r="Z955" s="129"/>
      <c r="AA955" s="129"/>
      <c r="AB955" s="129"/>
      <c r="AC955" s="129"/>
      <c r="AD955" s="129"/>
      <c r="AE955" s="129"/>
      <c r="AF955" s="129"/>
      <c r="AG955" s="117"/>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c r="BK955" s="124"/>
      <c r="BL955" s="124"/>
      <c r="BM955" s="124"/>
      <c r="BN955" s="124"/>
      <c r="BO955" s="124"/>
      <c r="BP955" s="124"/>
      <c r="BQ955" s="124"/>
      <c r="BR955" s="124"/>
      <c r="BS955" s="124"/>
      <c r="BT955" s="124"/>
      <c r="BU955" s="124"/>
      <c r="BV955" s="124"/>
      <c r="BW955" s="124"/>
      <c r="BX955" s="124"/>
      <c r="BY955" s="124"/>
      <c r="BZ955" s="124"/>
      <c r="CA955" s="124"/>
    </row>
    <row r="956">
      <c r="A956" s="141"/>
      <c r="B956" s="107"/>
      <c r="C956" s="107"/>
      <c r="D956" s="143"/>
      <c r="E956" s="129"/>
      <c r="F956" s="129"/>
      <c r="G956" s="129"/>
      <c r="H956" s="129"/>
      <c r="I956" s="129"/>
      <c r="J956" s="129"/>
      <c r="K956" s="129"/>
      <c r="L956" s="129"/>
      <c r="M956" s="129"/>
      <c r="N956" s="129"/>
      <c r="O956" s="129"/>
      <c r="P956" s="129"/>
      <c r="Q956" s="129"/>
      <c r="R956" s="129"/>
      <c r="S956" s="129"/>
      <c r="T956" s="129"/>
      <c r="U956" s="106"/>
      <c r="V956" s="106"/>
      <c r="W956" s="106"/>
      <c r="X956" s="106"/>
      <c r="Y956" s="106"/>
      <c r="Z956" s="129"/>
      <c r="AA956" s="129"/>
      <c r="AB956" s="129"/>
      <c r="AC956" s="129"/>
      <c r="AD956" s="129"/>
      <c r="AE956" s="129"/>
      <c r="AF956" s="129"/>
      <c r="AG956" s="117"/>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c r="BK956" s="124"/>
      <c r="BL956" s="124"/>
      <c r="BM956" s="124"/>
      <c r="BN956" s="124"/>
      <c r="BO956" s="124"/>
      <c r="BP956" s="124"/>
      <c r="BQ956" s="124"/>
      <c r="BR956" s="124"/>
      <c r="BS956" s="124"/>
      <c r="BT956" s="124"/>
      <c r="BU956" s="124"/>
      <c r="BV956" s="124"/>
      <c r="BW956" s="124"/>
      <c r="BX956" s="124"/>
      <c r="BY956" s="124"/>
      <c r="BZ956" s="124"/>
      <c r="CA956" s="124"/>
    </row>
    <row r="957">
      <c r="A957" s="141"/>
      <c r="B957" s="107"/>
      <c r="C957" s="107"/>
      <c r="D957" s="143"/>
      <c r="E957" s="129"/>
      <c r="F957" s="129"/>
      <c r="G957" s="129"/>
      <c r="H957" s="129"/>
      <c r="I957" s="129"/>
      <c r="J957" s="129"/>
      <c r="K957" s="129"/>
      <c r="L957" s="129"/>
      <c r="M957" s="129"/>
      <c r="N957" s="129"/>
      <c r="O957" s="129"/>
      <c r="P957" s="129"/>
      <c r="Q957" s="129"/>
      <c r="R957" s="129"/>
      <c r="S957" s="129"/>
      <c r="T957" s="129"/>
      <c r="U957" s="106"/>
      <c r="V957" s="106"/>
      <c r="W957" s="106"/>
      <c r="X957" s="106"/>
      <c r="Y957" s="106"/>
      <c r="Z957" s="129"/>
      <c r="AA957" s="129"/>
      <c r="AB957" s="129"/>
      <c r="AC957" s="129"/>
      <c r="AD957" s="129"/>
      <c r="AE957" s="129"/>
      <c r="AF957" s="129"/>
      <c r="AG957" s="117"/>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c r="BK957" s="124"/>
      <c r="BL957" s="124"/>
      <c r="BM957" s="124"/>
      <c r="BN957" s="124"/>
      <c r="BO957" s="124"/>
      <c r="BP957" s="124"/>
      <c r="BQ957" s="124"/>
      <c r="BR957" s="124"/>
      <c r="BS957" s="124"/>
      <c r="BT957" s="124"/>
      <c r="BU957" s="124"/>
      <c r="BV957" s="124"/>
      <c r="BW957" s="124"/>
      <c r="BX957" s="124"/>
      <c r="BY957" s="124"/>
      <c r="BZ957" s="124"/>
      <c r="CA957" s="124"/>
    </row>
    <row r="958">
      <c r="A958" s="141"/>
      <c r="B958" s="107"/>
      <c r="C958" s="107"/>
      <c r="D958" s="143"/>
      <c r="E958" s="129"/>
      <c r="F958" s="129"/>
      <c r="G958" s="129"/>
      <c r="H958" s="129"/>
      <c r="I958" s="129"/>
      <c r="J958" s="129"/>
      <c r="K958" s="129"/>
      <c r="L958" s="129"/>
      <c r="M958" s="129"/>
      <c r="N958" s="129"/>
      <c r="O958" s="129"/>
      <c r="P958" s="129"/>
      <c r="Q958" s="129"/>
      <c r="R958" s="129"/>
      <c r="S958" s="129"/>
      <c r="T958" s="129"/>
      <c r="U958" s="106"/>
      <c r="V958" s="106"/>
      <c r="W958" s="106"/>
      <c r="X958" s="106"/>
      <c r="Y958" s="106"/>
      <c r="Z958" s="129"/>
      <c r="AA958" s="129"/>
      <c r="AB958" s="129"/>
      <c r="AC958" s="129"/>
      <c r="AD958" s="129"/>
      <c r="AE958" s="129"/>
      <c r="AF958" s="129"/>
      <c r="AG958" s="117"/>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c r="BK958" s="124"/>
      <c r="BL958" s="124"/>
      <c r="BM958" s="124"/>
      <c r="BN958" s="124"/>
      <c r="BO958" s="124"/>
      <c r="BP958" s="124"/>
      <c r="BQ958" s="124"/>
      <c r="BR958" s="124"/>
      <c r="BS958" s="124"/>
      <c r="BT958" s="124"/>
      <c r="BU958" s="124"/>
      <c r="BV958" s="124"/>
      <c r="BW958" s="124"/>
      <c r="BX958" s="124"/>
      <c r="BY958" s="124"/>
      <c r="BZ958" s="124"/>
      <c r="CA958" s="124"/>
    </row>
    <row r="959">
      <c r="A959" s="141"/>
      <c r="B959" s="107"/>
      <c r="C959" s="107"/>
      <c r="D959" s="143"/>
      <c r="E959" s="129"/>
      <c r="F959" s="129"/>
      <c r="G959" s="129"/>
      <c r="H959" s="129"/>
      <c r="I959" s="129"/>
      <c r="J959" s="129"/>
      <c r="K959" s="129"/>
      <c r="L959" s="129"/>
      <c r="M959" s="129"/>
      <c r="N959" s="129"/>
      <c r="O959" s="129"/>
      <c r="P959" s="129"/>
      <c r="Q959" s="129"/>
      <c r="R959" s="129"/>
      <c r="S959" s="129"/>
      <c r="T959" s="129"/>
      <c r="U959" s="106"/>
      <c r="V959" s="106"/>
      <c r="W959" s="106"/>
      <c r="X959" s="106"/>
      <c r="Y959" s="106"/>
      <c r="Z959" s="129"/>
      <c r="AA959" s="129"/>
      <c r="AB959" s="129"/>
      <c r="AC959" s="129"/>
      <c r="AD959" s="129"/>
      <c r="AE959" s="129"/>
      <c r="AF959" s="129"/>
      <c r="AG959" s="117"/>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c r="BK959" s="124"/>
      <c r="BL959" s="124"/>
      <c r="BM959" s="124"/>
      <c r="BN959" s="124"/>
      <c r="BO959" s="124"/>
      <c r="BP959" s="124"/>
      <c r="BQ959" s="124"/>
      <c r="BR959" s="124"/>
      <c r="BS959" s="124"/>
      <c r="BT959" s="124"/>
      <c r="BU959" s="124"/>
      <c r="BV959" s="124"/>
      <c r="BW959" s="124"/>
      <c r="BX959" s="124"/>
      <c r="BY959" s="124"/>
      <c r="BZ959" s="124"/>
      <c r="CA959" s="124"/>
    </row>
    <row r="960">
      <c r="A960" s="141"/>
      <c r="B960" s="107"/>
      <c r="C960" s="107"/>
      <c r="D960" s="143"/>
      <c r="E960" s="129"/>
      <c r="F960" s="129"/>
      <c r="G960" s="129"/>
      <c r="H960" s="129"/>
      <c r="I960" s="129"/>
      <c r="J960" s="129"/>
      <c r="K960" s="129"/>
      <c r="L960" s="129"/>
      <c r="M960" s="129"/>
      <c r="N960" s="129"/>
      <c r="O960" s="129"/>
      <c r="P960" s="129"/>
      <c r="Q960" s="129"/>
      <c r="R960" s="129"/>
      <c r="S960" s="129"/>
      <c r="T960" s="129"/>
      <c r="U960" s="106"/>
      <c r="V960" s="106"/>
      <c r="W960" s="106"/>
      <c r="X960" s="106"/>
      <c r="Y960" s="106"/>
      <c r="Z960" s="129"/>
      <c r="AA960" s="129"/>
      <c r="AB960" s="129"/>
      <c r="AC960" s="129"/>
      <c r="AD960" s="129"/>
      <c r="AE960" s="129"/>
      <c r="AF960" s="129"/>
      <c r="AG960" s="117"/>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c r="BK960" s="124"/>
      <c r="BL960" s="124"/>
      <c r="BM960" s="124"/>
      <c r="BN960" s="124"/>
      <c r="BO960" s="124"/>
      <c r="BP960" s="124"/>
      <c r="BQ960" s="124"/>
      <c r="BR960" s="124"/>
      <c r="BS960" s="124"/>
      <c r="BT960" s="124"/>
      <c r="BU960" s="124"/>
      <c r="BV960" s="124"/>
      <c r="BW960" s="124"/>
      <c r="BX960" s="124"/>
      <c r="BY960" s="124"/>
      <c r="BZ960" s="124"/>
      <c r="CA960" s="124"/>
    </row>
    <row r="961">
      <c r="A961" s="141"/>
      <c r="B961" s="107"/>
      <c r="C961" s="107"/>
      <c r="D961" s="143"/>
      <c r="E961" s="129"/>
      <c r="F961" s="129"/>
      <c r="G961" s="129"/>
      <c r="H961" s="129"/>
      <c r="I961" s="129"/>
      <c r="J961" s="129"/>
      <c r="K961" s="129"/>
      <c r="L961" s="129"/>
      <c r="M961" s="129"/>
      <c r="N961" s="129"/>
      <c r="O961" s="129"/>
      <c r="P961" s="129"/>
      <c r="Q961" s="129"/>
      <c r="R961" s="129"/>
      <c r="S961" s="129"/>
      <c r="T961" s="129"/>
      <c r="U961" s="106"/>
      <c r="V961" s="106"/>
      <c r="W961" s="106"/>
      <c r="X961" s="106"/>
      <c r="Y961" s="106"/>
      <c r="Z961" s="129"/>
      <c r="AA961" s="129"/>
      <c r="AB961" s="129"/>
      <c r="AC961" s="129"/>
      <c r="AD961" s="129"/>
      <c r="AE961" s="129"/>
      <c r="AF961" s="129"/>
      <c r="AG961" s="117"/>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c r="BK961" s="124"/>
      <c r="BL961" s="124"/>
      <c r="BM961" s="124"/>
      <c r="BN961" s="124"/>
      <c r="BO961" s="124"/>
      <c r="BP961" s="124"/>
      <c r="BQ961" s="124"/>
      <c r="BR961" s="124"/>
      <c r="BS961" s="124"/>
      <c r="BT961" s="124"/>
      <c r="BU961" s="124"/>
      <c r="BV961" s="124"/>
      <c r="BW961" s="124"/>
      <c r="BX961" s="124"/>
      <c r="BY961" s="124"/>
      <c r="BZ961" s="124"/>
      <c r="CA961" s="124"/>
    </row>
    <row r="962">
      <c r="A962" s="141"/>
      <c r="B962" s="107"/>
      <c r="C962" s="107"/>
      <c r="D962" s="143"/>
      <c r="E962" s="129"/>
      <c r="F962" s="129"/>
      <c r="G962" s="129"/>
      <c r="H962" s="129"/>
      <c r="I962" s="129"/>
      <c r="J962" s="129"/>
      <c r="K962" s="129"/>
      <c r="L962" s="129"/>
      <c r="M962" s="129"/>
      <c r="N962" s="129"/>
      <c r="O962" s="129"/>
      <c r="P962" s="129"/>
      <c r="Q962" s="129"/>
      <c r="R962" s="129"/>
      <c r="S962" s="129"/>
      <c r="T962" s="129"/>
      <c r="U962" s="106"/>
      <c r="V962" s="106"/>
      <c r="W962" s="106"/>
      <c r="X962" s="106"/>
      <c r="Y962" s="106"/>
      <c r="Z962" s="129"/>
      <c r="AA962" s="129"/>
      <c r="AB962" s="129"/>
      <c r="AC962" s="129"/>
      <c r="AD962" s="129"/>
      <c r="AE962" s="129"/>
      <c r="AF962" s="129"/>
      <c r="AG962" s="117"/>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c r="BK962" s="124"/>
      <c r="BL962" s="124"/>
      <c r="BM962" s="124"/>
      <c r="BN962" s="124"/>
      <c r="BO962" s="124"/>
      <c r="BP962" s="124"/>
      <c r="BQ962" s="124"/>
      <c r="BR962" s="124"/>
      <c r="BS962" s="124"/>
      <c r="BT962" s="124"/>
      <c r="BU962" s="124"/>
      <c r="BV962" s="124"/>
      <c r="BW962" s="124"/>
      <c r="BX962" s="124"/>
      <c r="BY962" s="124"/>
      <c r="BZ962" s="124"/>
      <c r="CA962" s="124"/>
    </row>
    <row r="963">
      <c r="A963" s="141"/>
      <c r="B963" s="107"/>
      <c r="C963" s="107"/>
      <c r="D963" s="143"/>
      <c r="E963" s="129"/>
      <c r="F963" s="129"/>
      <c r="G963" s="129"/>
      <c r="H963" s="129"/>
      <c r="I963" s="129"/>
      <c r="J963" s="129"/>
      <c r="K963" s="129"/>
      <c r="L963" s="129"/>
      <c r="M963" s="129"/>
      <c r="N963" s="129"/>
      <c r="O963" s="129"/>
      <c r="P963" s="129"/>
      <c r="Q963" s="129"/>
      <c r="R963" s="129"/>
      <c r="S963" s="129"/>
      <c r="T963" s="129"/>
      <c r="U963" s="106"/>
      <c r="V963" s="106"/>
      <c r="W963" s="106"/>
      <c r="X963" s="106"/>
      <c r="Y963" s="106"/>
      <c r="Z963" s="129"/>
      <c r="AA963" s="129"/>
      <c r="AB963" s="129"/>
      <c r="AC963" s="129"/>
      <c r="AD963" s="129"/>
      <c r="AE963" s="129"/>
      <c r="AF963" s="129"/>
      <c r="AG963" s="117"/>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c r="BK963" s="124"/>
      <c r="BL963" s="124"/>
      <c r="BM963" s="124"/>
      <c r="BN963" s="124"/>
      <c r="BO963" s="124"/>
      <c r="BP963" s="124"/>
      <c r="BQ963" s="124"/>
      <c r="BR963" s="124"/>
      <c r="BS963" s="124"/>
      <c r="BT963" s="124"/>
      <c r="BU963" s="124"/>
      <c r="BV963" s="124"/>
      <c r="BW963" s="124"/>
      <c r="BX963" s="124"/>
      <c r="BY963" s="124"/>
      <c r="BZ963" s="124"/>
      <c r="CA963" s="124"/>
    </row>
    <row r="964">
      <c r="A964" s="141"/>
      <c r="B964" s="107"/>
      <c r="C964" s="107"/>
      <c r="D964" s="143"/>
      <c r="E964" s="129"/>
      <c r="F964" s="129"/>
      <c r="G964" s="129"/>
      <c r="H964" s="129"/>
      <c r="I964" s="129"/>
      <c r="J964" s="129"/>
      <c r="K964" s="129"/>
      <c r="L964" s="129"/>
      <c r="M964" s="129"/>
      <c r="N964" s="129"/>
      <c r="O964" s="129"/>
      <c r="P964" s="129"/>
      <c r="Q964" s="129"/>
      <c r="R964" s="129"/>
      <c r="S964" s="129"/>
      <c r="T964" s="129"/>
      <c r="U964" s="106"/>
      <c r="V964" s="106"/>
      <c r="W964" s="106"/>
      <c r="X964" s="106"/>
      <c r="Y964" s="106"/>
      <c r="Z964" s="129"/>
      <c r="AA964" s="129"/>
      <c r="AB964" s="129"/>
      <c r="AC964" s="129"/>
      <c r="AD964" s="129"/>
      <c r="AE964" s="129"/>
      <c r="AF964" s="129"/>
      <c r="AG964" s="117"/>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c r="BK964" s="124"/>
      <c r="BL964" s="124"/>
      <c r="BM964" s="124"/>
      <c r="BN964" s="124"/>
      <c r="BO964" s="124"/>
      <c r="BP964" s="124"/>
      <c r="BQ964" s="124"/>
      <c r="BR964" s="124"/>
      <c r="BS964" s="124"/>
      <c r="BT964" s="124"/>
      <c r="BU964" s="124"/>
      <c r="BV964" s="124"/>
      <c r="BW964" s="124"/>
      <c r="BX964" s="124"/>
      <c r="BY964" s="124"/>
      <c r="BZ964" s="124"/>
      <c r="CA964" s="124"/>
    </row>
    <row r="965">
      <c r="A965" s="141"/>
      <c r="B965" s="107"/>
      <c r="C965" s="107"/>
      <c r="D965" s="143"/>
      <c r="E965" s="129"/>
      <c r="F965" s="129"/>
      <c r="G965" s="129"/>
      <c r="H965" s="129"/>
      <c r="I965" s="129"/>
      <c r="J965" s="129"/>
      <c r="K965" s="129"/>
      <c r="L965" s="129"/>
      <c r="M965" s="129"/>
      <c r="N965" s="129"/>
      <c r="O965" s="129"/>
      <c r="P965" s="129"/>
      <c r="Q965" s="129"/>
      <c r="R965" s="129"/>
      <c r="S965" s="129"/>
      <c r="T965" s="129"/>
      <c r="U965" s="106"/>
      <c r="V965" s="106"/>
      <c r="W965" s="106"/>
      <c r="X965" s="106"/>
      <c r="Y965" s="106"/>
      <c r="Z965" s="129"/>
      <c r="AA965" s="129"/>
      <c r="AB965" s="129"/>
      <c r="AC965" s="129"/>
      <c r="AD965" s="129"/>
      <c r="AE965" s="129"/>
      <c r="AF965" s="129"/>
      <c r="AG965" s="117"/>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c r="BK965" s="124"/>
      <c r="BL965" s="124"/>
      <c r="BM965" s="124"/>
      <c r="BN965" s="124"/>
      <c r="BO965" s="124"/>
      <c r="BP965" s="124"/>
      <c r="BQ965" s="124"/>
      <c r="BR965" s="124"/>
      <c r="BS965" s="124"/>
      <c r="BT965" s="124"/>
      <c r="BU965" s="124"/>
      <c r="BV965" s="124"/>
      <c r="BW965" s="124"/>
      <c r="BX965" s="124"/>
      <c r="BY965" s="124"/>
      <c r="BZ965" s="124"/>
      <c r="CA965" s="124"/>
    </row>
    <row r="966">
      <c r="A966" s="141"/>
      <c r="B966" s="107"/>
      <c r="C966" s="107"/>
      <c r="D966" s="143"/>
      <c r="E966" s="129"/>
      <c r="F966" s="129"/>
      <c r="G966" s="129"/>
      <c r="H966" s="129"/>
      <c r="I966" s="129"/>
      <c r="J966" s="129"/>
      <c r="K966" s="129"/>
      <c r="L966" s="129"/>
      <c r="M966" s="129"/>
      <c r="N966" s="129"/>
      <c r="O966" s="129"/>
      <c r="P966" s="129"/>
      <c r="Q966" s="129"/>
      <c r="R966" s="129"/>
      <c r="S966" s="129"/>
      <c r="T966" s="129"/>
      <c r="U966" s="106"/>
      <c r="V966" s="106"/>
      <c r="W966" s="106"/>
      <c r="X966" s="106"/>
      <c r="Y966" s="106"/>
      <c r="Z966" s="129"/>
      <c r="AA966" s="129"/>
      <c r="AB966" s="129"/>
      <c r="AC966" s="129"/>
      <c r="AD966" s="129"/>
      <c r="AE966" s="129"/>
      <c r="AF966" s="129"/>
      <c r="AG966" s="117"/>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c r="BK966" s="124"/>
      <c r="BL966" s="124"/>
      <c r="BM966" s="124"/>
      <c r="BN966" s="124"/>
      <c r="BO966" s="124"/>
      <c r="BP966" s="124"/>
      <c r="BQ966" s="124"/>
      <c r="BR966" s="124"/>
      <c r="BS966" s="124"/>
      <c r="BT966" s="124"/>
      <c r="BU966" s="124"/>
      <c r="BV966" s="124"/>
      <c r="BW966" s="124"/>
      <c r="BX966" s="124"/>
      <c r="BY966" s="124"/>
      <c r="BZ966" s="124"/>
      <c r="CA966" s="124"/>
    </row>
    <row r="967">
      <c r="A967" s="141"/>
      <c r="B967" s="107"/>
      <c r="C967" s="107"/>
      <c r="D967" s="143"/>
      <c r="E967" s="129"/>
      <c r="F967" s="129"/>
      <c r="G967" s="129"/>
      <c r="H967" s="129"/>
      <c r="I967" s="129"/>
      <c r="J967" s="129"/>
      <c r="K967" s="129"/>
      <c r="L967" s="129"/>
      <c r="M967" s="129"/>
      <c r="N967" s="129"/>
      <c r="O967" s="129"/>
      <c r="P967" s="129"/>
      <c r="Q967" s="129"/>
      <c r="R967" s="129"/>
      <c r="S967" s="129"/>
      <c r="T967" s="129"/>
      <c r="U967" s="106"/>
      <c r="V967" s="106"/>
      <c r="W967" s="106"/>
      <c r="X967" s="106"/>
      <c r="Y967" s="106"/>
      <c r="Z967" s="129"/>
      <c r="AA967" s="129"/>
      <c r="AB967" s="129"/>
      <c r="AC967" s="129"/>
      <c r="AD967" s="129"/>
      <c r="AE967" s="129"/>
      <c r="AF967" s="129"/>
      <c r="AG967" s="117"/>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c r="BK967" s="124"/>
      <c r="BL967" s="124"/>
      <c r="BM967" s="124"/>
      <c r="BN967" s="124"/>
      <c r="BO967" s="124"/>
      <c r="BP967" s="124"/>
      <c r="BQ967" s="124"/>
      <c r="BR967" s="124"/>
      <c r="BS967" s="124"/>
      <c r="BT967" s="124"/>
      <c r="BU967" s="124"/>
      <c r="BV967" s="124"/>
      <c r="BW967" s="124"/>
      <c r="BX967" s="124"/>
      <c r="BY967" s="124"/>
      <c r="BZ967" s="124"/>
      <c r="CA967" s="124"/>
    </row>
    <row r="968">
      <c r="A968" s="141"/>
      <c r="B968" s="107"/>
      <c r="C968" s="107"/>
      <c r="D968" s="143"/>
      <c r="E968" s="129"/>
      <c r="F968" s="129"/>
      <c r="G968" s="129"/>
      <c r="H968" s="129"/>
      <c r="I968" s="129"/>
      <c r="J968" s="129"/>
      <c r="K968" s="129"/>
      <c r="L968" s="129"/>
      <c r="M968" s="129"/>
      <c r="N968" s="129"/>
      <c r="O968" s="129"/>
      <c r="P968" s="129"/>
      <c r="Q968" s="129"/>
      <c r="R968" s="129"/>
      <c r="S968" s="129"/>
      <c r="T968" s="129"/>
      <c r="U968" s="106"/>
      <c r="V968" s="106"/>
      <c r="W968" s="106"/>
      <c r="X968" s="106"/>
      <c r="Y968" s="106"/>
      <c r="Z968" s="129"/>
      <c r="AA968" s="129"/>
      <c r="AB968" s="129"/>
      <c r="AC968" s="129"/>
      <c r="AD968" s="129"/>
      <c r="AE968" s="129"/>
      <c r="AF968" s="129"/>
      <c r="AG968" s="117"/>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c r="BK968" s="124"/>
      <c r="BL968" s="124"/>
      <c r="BM968" s="124"/>
      <c r="BN968" s="124"/>
      <c r="BO968" s="124"/>
      <c r="BP968" s="124"/>
      <c r="BQ968" s="124"/>
      <c r="BR968" s="124"/>
      <c r="BS968" s="124"/>
      <c r="BT968" s="124"/>
      <c r="BU968" s="124"/>
      <c r="BV968" s="124"/>
      <c r="BW968" s="124"/>
      <c r="BX968" s="124"/>
      <c r="BY968" s="124"/>
      <c r="BZ968" s="124"/>
      <c r="CA968" s="124"/>
    </row>
    <row r="969">
      <c r="A969" s="141"/>
      <c r="B969" s="107"/>
      <c r="C969" s="107"/>
      <c r="D969" s="143"/>
      <c r="E969" s="129"/>
      <c r="F969" s="129"/>
      <c r="G969" s="129"/>
      <c r="H969" s="129"/>
      <c r="I969" s="129"/>
      <c r="J969" s="129"/>
      <c r="K969" s="129"/>
      <c r="L969" s="129"/>
      <c r="M969" s="129"/>
      <c r="N969" s="129"/>
      <c r="O969" s="129"/>
      <c r="P969" s="129"/>
      <c r="Q969" s="129"/>
      <c r="R969" s="129"/>
      <c r="S969" s="129"/>
      <c r="T969" s="129"/>
      <c r="U969" s="106"/>
      <c r="V969" s="106"/>
      <c r="W969" s="106"/>
      <c r="X969" s="106"/>
      <c r="Y969" s="106"/>
      <c r="Z969" s="129"/>
      <c r="AA969" s="129"/>
      <c r="AB969" s="129"/>
      <c r="AC969" s="129"/>
      <c r="AD969" s="129"/>
      <c r="AE969" s="129"/>
      <c r="AF969" s="129"/>
      <c r="AG969" s="117"/>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c r="BK969" s="124"/>
      <c r="BL969" s="124"/>
      <c r="BM969" s="124"/>
      <c r="BN969" s="124"/>
      <c r="BO969" s="124"/>
      <c r="BP969" s="124"/>
      <c r="BQ969" s="124"/>
      <c r="BR969" s="124"/>
      <c r="BS969" s="124"/>
      <c r="BT969" s="124"/>
      <c r="BU969" s="124"/>
      <c r="BV969" s="124"/>
      <c r="BW969" s="124"/>
      <c r="BX969" s="124"/>
      <c r="BY969" s="124"/>
      <c r="BZ969" s="124"/>
      <c r="CA969" s="124"/>
    </row>
    <row r="970">
      <c r="A970" s="141"/>
      <c r="B970" s="107"/>
      <c r="C970" s="107"/>
      <c r="D970" s="143"/>
      <c r="E970" s="129"/>
      <c r="F970" s="129"/>
      <c r="G970" s="129"/>
      <c r="H970" s="129"/>
      <c r="I970" s="129"/>
      <c r="J970" s="129"/>
      <c r="K970" s="129"/>
      <c r="L970" s="129"/>
      <c r="M970" s="129"/>
      <c r="N970" s="129"/>
      <c r="O970" s="129"/>
      <c r="P970" s="129"/>
      <c r="Q970" s="129"/>
      <c r="R970" s="129"/>
      <c r="S970" s="129"/>
      <c r="T970" s="129"/>
      <c r="U970" s="106"/>
      <c r="V970" s="106"/>
      <c r="W970" s="106"/>
      <c r="X970" s="106"/>
      <c r="Y970" s="106"/>
      <c r="Z970" s="129"/>
      <c r="AA970" s="129"/>
      <c r="AB970" s="129"/>
      <c r="AC970" s="129"/>
      <c r="AD970" s="129"/>
      <c r="AE970" s="129"/>
      <c r="AF970" s="129"/>
      <c r="AG970" s="117"/>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c r="BK970" s="124"/>
      <c r="BL970" s="124"/>
      <c r="BM970" s="124"/>
      <c r="BN970" s="124"/>
      <c r="BO970" s="124"/>
      <c r="BP970" s="124"/>
      <c r="BQ970" s="124"/>
      <c r="BR970" s="124"/>
      <c r="BS970" s="124"/>
      <c r="BT970" s="124"/>
      <c r="BU970" s="124"/>
      <c r="BV970" s="124"/>
      <c r="BW970" s="124"/>
      <c r="BX970" s="124"/>
      <c r="BY970" s="124"/>
      <c r="BZ970" s="124"/>
      <c r="CA970" s="124"/>
    </row>
    <row r="971">
      <c r="A971" s="141"/>
      <c r="B971" s="107"/>
      <c r="C971" s="107"/>
      <c r="D971" s="143"/>
      <c r="E971" s="129"/>
      <c r="F971" s="129"/>
      <c r="G971" s="129"/>
      <c r="H971" s="129"/>
      <c r="I971" s="129"/>
      <c r="J971" s="129"/>
      <c r="K971" s="129"/>
      <c r="L971" s="129"/>
      <c r="M971" s="129"/>
      <c r="N971" s="129"/>
      <c r="O971" s="129"/>
      <c r="P971" s="129"/>
      <c r="Q971" s="129"/>
      <c r="R971" s="129"/>
      <c r="S971" s="129"/>
      <c r="T971" s="129"/>
      <c r="U971" s="106"/>
      <c r="V971" s="106"/>
      <c r="W971" s="106"/>
      <c r="X971" s="106"/>
      <c r="Y971" s="106"/>
      <c r="Z971" s="129"/>
      <c r="AA971" s="129"/>
      <c r="AB971" s="129"/>
      <c r="AC971" s="129"/>
      <c r="AD971" s="129"/>
      <c r="AE971" s="129"/>
      <c r="AF971" s="129"/>
      <c r="AG971" s="117"/>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c r="BK971" s="124"/>
      <c r="BL971" s="124"/>
      <c r="BM971" s="124"/>
      <c r="BN971" s="124"/>
      <c r="BO971" s="124"/>
      <c r="BP971" s="124"/>
      <c r="BQ971" s="124"/>
      <c r="BR971" s="124"/>
      <c r="BS971" s="124"/>
      <c r="BT971" s="124"/>
      <c r="BU971" s="124"/>
      <c r="BV971" s="124"/>
      <c r="BW971" s="124"/>
      <c r="BX971" s="124"/>
      <c r="BY971" s="124"/>
      <c r="BZ971" s="124"/>
      <c r="CA971" s="124"/>
    </row>
    <row r="972">
      <c r="A972" s="141"/>
      <c r="B972" s="107"/>
      <c r="C972" s="107"/>
      <c r="D972" s="143"/>
      <c r="E972" s="129"/>
      <c r="F972" s="129"/>
      <c r="G972" s="129"/>
      <c r="H972" s="129"/>
      <c r="I972" s="129"/>
      <c r="J972" s="129"/>
      <c r="K972" s="129"/>
      <c r="L972" s="129"/>
      <c r="M972" s="129"/>
      <c r="N972" s="129"/>
      <c r="O972" s="129"/>
      <c r="P972" s="129"/>
      <c r="Q972" s="129"/>
      <c r="R972" s="129"/>
      <c r="S972" s="129"/>
      <c r="T972" s="129"/>
      <c r="U972" s="106"/>
      <c r="V972" s="106"/>
      <c r="W972" s="106"/>
      <c r="X972" s="106"/>
      <c r="Y972" s="106"/>
      <c r="Z972" s="129"/>
      <c r="AA972" s="129"/>
      <c r="AB972" s="129"/>
      <c r="AC972" s="129"/>
      <c r="AD972" s="129"/>
      <c r="AE972" s="129"/>
      <c r="AF972" s="129"/>
      <c r="AG972" s="117"/>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c r="BK972" s="124"/>
      <c r="BL972" s="124"/>
      <c r="BM972" s="124"/>
      <c r="BN972" s="124"/>
      <c r="BO972" s="124"/>
      <c r="BP972" s="124"/>
      <c r="BQ972" s="124"/>
      <c r="BR972" s="124"/>
      <c r="BS972" s="124"/>
      <c r="BT972" s="124"/>
      <c r="BU972" s="124"/>
      <c r="BV972" s="124"/>
      <c r="BW972" s="124"/>
      <c r="BX972" s="124"/>
      <c r="BY972" s="124"/>
      <c r="BZ972" s="124"/>
      <c r="CA972" s="124"/>
    </row>
    <row r="973">
      <c r="A973" s="141"/>
      <c r="B973" s="107"/>
      <c r="C973" s="107"/>
      <c r="D973" s="143"/>
      <c r="E973" s="129"/>
      <c r="F973" s="129"/>
      <c r="G973" s="129"/>
      <c r="H973" s="129"/>
      <c r="I973" s="129"/>
      <c r="J973" s="129"/>
      <c r="K973" s="129"/>
      <c r="L973" s="129"/>
      <c r="M973" s="129"/>
      <c r="N973" s="129"/>
      <c r="O973" s="129"/>
      <c r="P973" s="129"/>
      <c r="Q973" s="129"/>
      <c r="R973" s="129"/>
      <c r="S973" s="129"/>
      <c r="T973" s="129"/>
      <c r="U973" s="106"/>
      <c r="V973" s="106"/>
      <c r="W973" s="106"/>
      <c r="X973" s="106"/>
      <c r="Y973" s="106"/>
      <c r="Z973" s="129"/>
      <c r="AA973" s="129"/>
      <c r="AB973" s="129"/>
      <c r="AC973" s="129"/>
      <c r="AD973" s="129"/>
      <c r="AE973" s="129"/>
      <c r="AF973" s="129"/>
      <c r="AG973" s="117"/>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c r="BK973" s="124"/>
      <c r="BL973" s="124"/>
      <c r="BM973" s="124"/>
      <c r="BN973" s="124"/>
      <c r="BO973" s="124"/>
      <c r="BP973" s="124"/>
      <c r="BQ973" s="124"/>
      <c r="BR973" s="124"/>
      <c r="BS973" s="124"/>
      <c r="BT973" s="124"/>
      <c r="BU973" s="124"/>
      <c r="BV973" s="124"/>
      <c r="BW973" s="124"/>
      <c r="BX973" s="124"/>
      <c r="BY973" s="124"/>
      <c r="BZ973" s="124"/>
      <c r="CA973" s="124"/>
    </row>
    <row r="974">
      <c r="A974" s="141"/>
      <c r="B974" s="107"/>
      <c r="C974" s="107"/>
      <c r="D974" s="143"/>
      <c r="E974" s="129"/>
      <c r="F974" s="129"/>
      <c r="G974" s="129"/>
      <c r="H974" s="129"/>
      <c r="I974" s="129"/>
      <c r="J974" s="129"/>
      <c r="K974" s="129"/>
      <c r="L974" s="129"/>
      <c r="M974" s="129"/>
      <c r="N974" s="129"/>
      <c r="O974" s="129"/>
      <c r="P974" s="129"/>
      <c r="Q974" s="129"/>
      <c r="R974" s="129"/>
      <c r="S974" s="129"/>
      <c r="T974" s="129"/>
      <c r="U974" s="106"/>
      <c r="V974" s="106"/>
      <c r="W974" s="106"/>
      <c r="X974" s="106"/>
      <c r="Y974" s="106"/>
      <c r="Z974" s="129"/>
      <c r="AA974" s="129"/>
      <c r="AB974" s="129"/>
      <c r="AC974" s="129"/>
      <c r="AD974" s="129"/>
      <c r="AE974" s="129"/>
      <c r="AF974" s="129"/>
      <c r="AG974" s="117"/>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c r="BK974" s="124"/>
      <c r="BL974" s="124"/>
      <c r="BM974" s="124"/>
      <c r="BN974" s="124"/>
      <c r="BO974" s="124"/>
      <c r="BP974" s="124"/>
      <c r="BQ974" s="124"/>
      <c r="BR974" s="124"/>
      <c r="BS974" s="124"/>
      <c r="BT974" s="124"/>
      <c r="BU974" s="124"/>
      <c r="BV974" s="124"/>
      <c r="BW974" s="124"/>
      <c r="BX974" s="124"/>
      <c r="BY974" s="124"/>
      <c r="BZ974" s="124"/>
      <c r="CA974" s="124"/>
    </row>
    <row r="975">
      <c r="A975" s="141"/>
      <c r="B975" s="107"/>
      <c r="C975" s="107"/>
      <c r="D975" s="143"/>
      <c r="E975" s="129"/>
      <c r="F975" s="129"/>
      <c r="G975" s="129"/>
      <c r="H975" s="129"/>
      <c r="I975" s="129"/>
      <c r="J975" s="129"/>
      <c r="K975" s="129"/>
      <c r="L975" s="129"/>
      <c r="M975" s="129"/>
      <c r="N975" s="129"/>
      <c r="O975" s="129"/>
      <c r="P975" s="129"/>
      <c r="Q975" s="129"/>
      <c r="R975" s="129"/>
      <c r="S975" s="129"/>
      <c r="T975" s="129"/>
      <c r="U975" s="106"/>
      <c r="V975" s="106"/>
      <c r="W975" s="106"/>
      <c r="X975" s="106"/>
      <c r="Y975" s="106"/>
      <c r="Z975" s="129"/>
      <c r="AA975" s="129"/>
      <c r="AB975" s="129"/>
      <c r="AC975" s="129"/>
      <c r="AD975" s="129"/>
      <c r="AE975" s="129"/>
      <c r="AF975" s="129"/>
      <c r="AG975" s="117"/>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c r="BK975" s="124"/>
      <c r="BL975" s="124"/>
      <c r="BM975" s="124"/>
      <c r="BN975" s="124"/>
      <c r="BO975" s="124"/>
      <c r="BP975" s="124"/>
      <c r="BQ975" s="124"/>
      <c r="BR975" s="124"/>
      <c r="BS975" s="124"/>
      <c r="BT975" s="124"/>
      <c r="BU975" s="124"/>
      <c r="BV975" s="124"/>
      <c r="BW975" s="124"/>
      <c r="BX975" s="124"/>
      <c r="BY975" s="124"/>
      <c r="BZ975" s="124"/>
      <c r="CA975" s="124"/>
    </row>
    <row r="976">
      <c r="A976" s="141"/>
      <c r="B976" s="107"/>
      <c r="C976" s="107"/>
      <c r="D976" s="143"/>
      <c r="E976" s="129"/>
      <c r="F976" s="129"/>
      <c r="G976" s="129"/>
      <c r="H976" s="129"/>
      <c r="I976" s="129"/>
      <c r="J976" s="129"/>
      <c r="K976" s="129"/>
      <c r="L976" s="129"/>
      <c r="M976" s="129"/>
      <c r="N976" s="129"/>
      <c r="O976" s="129"/>
      <c r="P976" s="129"/>
      <c r="Q976" s="129"/>
      <c r="R976" s="129"/>
      <c r="S976" s="129"/>
      <c r="T976" s="129"/>
      <c r="U976" s="106"/>
      <c r="V976" s="106"/>
      <c r="W976" s="106"/>
      <c r="X976" s="106"/>
      <c r="Y976" s="106"/>
      <c r="Z976" s="129"/>
      <c r="AA976" s="129"/>
      <c r="AB976" s="129"/>
      <c r="AC976" s="129"/>
      <c r="AD976" s="129"/>
      <c r="AE976" s="129"/>
      <c r="AF976" s="129"/>
      <c r="AG976" s="117"/>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c r="BK976" s="124"/>
      <c r="BL976" s="124"/>
      <c r="BM976" s="124"/>
      <c r="BN976" s="124"/>
      <c r="BO976" s="124"/>
      <c r="BP976" s="124"/>
      <c r="BQ976" s="124"/>
      <c r="BR976" s="124"/>
      <c r="BS976" s="124"/>
      <c r="BT976" s="124"/>
      <c r="BU976" s="124"/>
      <c r="BV976" s="124"/>
      <c r="BW976" s="124"/>
      <c r="BX976" s="124"/>
      <c r="BY976" s="124"/>
      <c r="BZ976" s="124"/>
      <c r="CA976" s="124"/>
    </row>
    <row r="977">
      <c r="A977" s="141"/>
      <c r="B977" s="107"/>
      <c r="C977" s="107"/>
      <c r="D977" s="143"/>
      <c r="E977" s="129"/>
      <c r="F977" s="129"/>
      <c r="G977" s="129"/>
      <c r="H977" s="129"/>
      <c r="I977" s="129"/>
      <c r="J977" s="129"/>
      <c r="K977" s="129"/>
      <c r="L977" s="129"/>
      <c r="M977" s="129"/>
      <c r="N977" s="129"/>
      <c r="O977" s="129"/>
      <c r="P977" s="129"/>
      <c r="Q977" s="129"/>
      <c r="R977" s="129"/>
      <c r="S977" s="129"/>
      <c r="T977" s="129"/>
      <c r="U977" s="106"/>
      <c r="V977" s="106"/>
      <c r="W977" s="106"/>
      <c r="X977" s="106"/>
      <c r="Y977" s="106"/>
      <c r="Z977" s="129"/>
      <c r="AA977" s="129"/>
      <c r="AB977" s="129"/>
      <c r="AC977" s="129"/>
      <c r="AD977" s="129"/>
      <c r="AE977" s="129"/>
      <c r="AF977" s="129"/>
      <c r="AG977" s="117"/>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c r="BK977" s="124"/>
      <c r="BL977" s="124"/>
      <c r="BM977" s="124"/>
      <c r="BN977" s="124"/>
      <c r="BO977" s="124"/>
      <c r="BP977" s="124"/>
      <c r="BQ977" s="124"/>
      <c r="BR977" s="124"/>
      <c r="BS977" s="124"/>
      <c r="BT977" s="124"/>
      <c r="BU977" s="124"/>
      <c r="BV977" s="124"/>
      <c r="BW977" s="124"/>
      <c r="BX977" s="124"/>
      <c r="BY977" s="124"/>
      <c r="BZ977" s="124"/>
      <c r="CA977" s="124"/>
    </row>
    <row r="978">
      <c r="A978" s="141"/>
      <c r="B978" s="107"/>
      <c r="C978" s="107"/>
      <c r="D978" s="143"/>
      <c r="E978" s="129"/>
      <c r="F978" s="129"/>
      <c r="G978" s="129"/>
      <c r="H978" s="129"/>
      <c r="I978" s="129"/>
      <c r="J978" s="129"/>
      <c r="K978" s="129"/>
      <c r="L978" s="129"/>
      <c r="M978" s="129"/>
      <c r="N978" s="129"/>
      <c r="O978" s="129"/>
      <c r="P978" s="129"/>
      <c r="Q978" s="129"/>
      <c r="R978" s="129"/>
      <c r="S978" s="129"/>
      <c r="T978" s="129"/>
      <c r="U978" s="106"/>
      <c r="V978" s="106"/>
      <c r="W978" s="106"/>
      <c r="X978" s="106"/>
      <c r="Y978" s="106"/>
      <c r="Z978" s="129"/>
      <c r="AA978" s="129"/>
      <c r="AB978" s="129"/>
      <c r="AC978" s="129"/>
      <c r="AD978" s="129"/>
      <c r="AE978" s="129"/>
      <c r="AF978" s="129"/>
      <c r="AG978" s="117"/>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c r="BK978" s="124"/>
      <c r="BL978" s="124"/>
      <c r="BM978" s="124"/>
      <c r="BN978" s="124"/>
      <c r="BO978" s="124"/>
      <c r="BP978" s="124"/>
      <c r="BQ978" s="124"/>
      <c r="BR978" s="124"/>
      <c r="BS978" s="124"/>
      <c r="BT978" s="124"/>
      <c r="BU978" s="124"/>
      <c r="BV978" s="124"/>
      <c r="BW978" s="124"/>
      <c r="BX978" s="124"/>
      <c r="BY978" s="124"/>
      <c r="BZ978" s="124"/>
      <c r="CA978" s="124"/>
    </row>
    <row r="979">
      <c r="A979" s="141"/>
      <c r="B979" s="107"/>
      <c r="C979" s="107"/>
      <c r="D979" s="143"/>
      <c r="E979" s="129"/>
      <c r="F979" s="129"/>
      <c r="G979" s="129"/>
      <c r="H979" s="129"/>
      <c r="I979" s="129"/>
      <c r="J979" s="129"/>
      <c r="K979" s="129"/>
      <c r="L979" s="129"/>
      <c r="M979" s="129"/>
      <c r="N979" s="129"/>
      <c r="O979" s="129"/>
      <c r="P979" s="129"/>
      <c r="Q979" s="129"/>
      <c r="R979" s="129"/>
      <c r="S979" s="129"/>
      <c r="T979" s="129"/>
      <c r="U979" s="106"/>
      <c r="V979" s="106"/>
      <c r="W979" s="106"/>
      <c r="X979" s="106"/>
      <c r="Y979" s="106"/>
      <c r="Z979" s="129"/>
      <c r="AA979" s="129"/>
      <c r="AB979" s="129"/>
      <c r="AC979" s="129"/>
      <c r="AD979" s="129"/>
      <c r="AE979" s="129"/>
      <c r="AF979" s="129"/>
      <c r="AG979" s="117"/>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c r="BK979" s="124"/>
      <c r="BL979" s="124"/>
      <c r="BM979" s="124"/>
      <c r="BN979" s="124"/>
      <c r="BO979" s="124"/>
      <c r="BP979" s="124"/>
      <c r="BQ979" s="124"/>
      <c r="BR979" s="124"/>
      <c r="BS979" s="124"/>
      <c r="BT979" s="124"/>
      <c r="BU979" s="124"/>
      <c r="BV979" s="124"/>
      <c r="BW979" s="124"/>
      <c r="BX979" s="124"/>
      <c r="BY979" s="124"/>
      <c r="BZ979" s="124"/>
      <c r="CA979" s="124"/>
    </row>
    <row r="980">
      <c r="A980" s="141"/>
      <c r="B980" s="107"/>
      <c r="C980" s="107"/>
      <c r="D980" s="143"/>
      <c r="E980" s="129"/>
      <c r="F980" s="129"/>
      <c r="G980" s="129"/>
      <c r="H980" s="129"/>
      <c r="I980" s="129"/>
      <c r="J980" s="129"/>
      <c r="K980" s="129"/>
      <c r="L980" s="129"/>
      <c r="M980" s="129"/>
      <c r="N980" s="129"/>
      <c r="O980" s="129"/>
      <c r="P980" s="129"/>
      <c r="Q980" s="129"/>
      <c r="R980" s="129"/>
      <c r="S980" s="129"/>
      <c r="T980" s="129"/>
      <c r="U980" s="106"/>
      <c r="V980" s="106"/>
      <c r="W980" s="106"/>
      <c r="X980" s="106"/>
      <c r="Y980" s="106"/>
      <c r="Z980" s="129"/>
      <c r="AA980" s="129"/>
      <c r="AB980" s="129"/>
      <c r="AC980" s="129"/>
      <c r="AD980" s="129"/>
      <c r="AE980" s="129"/>
      <c r="AF980" s="129"/>
      <c r="AG980" s="117"/>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c r="BK980" s="124"/>
      <c r="BL980" s="124"/>
      <c r="BM980" s="124"/>
      <c r="BN980" s="124"/>
      <c r="BO980" s="124"/>
      <c r="BP980" s="124"/>
      <c r="BQ980" s="124"/>
      <c r="BR980" s="124"/>
      <c r="BS980" s="124"/>
      <c r="BT980" s="124"/>
      <c r="BU980" s="124"/>
      <c r="BV980" s="124"/>
      <c r="BW980" s="124"/>
      <c r="BX980" s="124"/>
      <c r="BY980" s="124"/>
      <c r="BZ980" s="124"/>
      <c r="CA980" s="124"/>
    </row>
    <row r="981">
      <c r="A981" s="141"/>
      <c r="B981" s="107"/>
      <c r="C981" s="107"/>
      <c r="D981" s="143"/>
      <c r="E981" s="129"/>
      <c r="F981" s="129"/>
      <c r="G981" s="129"/>
      <c r="H981" s="129"/>
      <c r="I981" s="129"/>
      <c r="J981" s="129"/>
      <c r="K981" s="129"/>
      <c r="L981" s="129"/>
      <c r="M981" s="129"/>
      <c r="N981" s="129"/>
      <c r="O981" s="129"/>
      <c r="P981" s="129"/>
      <c r="Q981" s="129"/>
      <c r="R981" s="129"/>
      <c r="S981" s="129"/>
      <c r="T981" s="129"/>
      <c r="U981" s="106"/>
      <c r="V981" s="106"/>
      <c r="W981" s="106"/>
      <c r="X981" s="106"/>
      <c r="Y981" s="106"/>
      <c r="Z981" s="129"/>
      <c r="AA981" s="129"/>
      <c r="AB981" s="129"/>
      <c r="AC981" s="129"/>
      <c r="AD981" s="129"/>
      <c r="AE981" s="129"/>
      <c r="AF981" s="129"/>
      <c r="AG981" s="117"/>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c r="BK981" s="124"/>
      <c r="BL981" s="124"/>
      <c r="BM981" s="124"/>
      <c r="BN981" s="124"/>
      <c r="BO981" s="124"/>
      <c r="BP981" s="124"/>
      <c r="BQ981" s="124"/>
      <c r="BR981" s="124"/>
      <c r="BS981" s="124"/>
      <c r="BT981" s="124"/>
      <c r="BU981" s="124"/>
      <c r="BV981" s="124"/>
      <c r="BW981" s="124"/>
      <c r="BX981" s="124"/>
      <c r="BY981" s="124"/>
      <c r="BZ981" s="124"/>
      <c r="CA981" s="124"/>
    </row>
    <row r="982">
      <c r="A982" s="141"/>
      <c r="B982" s="107"/>
      <c r="C982" s="107"/>
      <c r="D982" s="143"/>
      <c r="E982" s="129"/>
      <c r="F982" s="129"/>
      <c r="G982" s="129"/>
      <c r="H982" s="129"/>
      <c r="I982" s="129"/>
      <c r="J982" s="129"/>
      <c r="K982" s="129"/>
      <c r="L982" s="129"/>
      <c r="M982" s="129"/>
      <c r="N982" s="129"/>
      <c r="O982" s="129"/>
      <c r="P982" s="129"/>
      <c r="Q982" s="129"/>
      <c r="R982" s="129"/>
      <c r="S982" s="129"/>
      <c r="T982" s="129"/>
      <c r="U982" s="106"/>
      <c r="V982" s="106"/>
      <c r="W982" s="106"/>
      <c r="X982" s="106"/>
      <c r="Y982" s="106"/>
      <c r="Z982" s="129"/>
      <c r="AA982" s="129"/>
      <c r="AB982" s="129"/>
      <c r="AC982" s="129"/>
      <c r="AD982" s="129"/>
      <c r="AE982" s="129"/>
      <c r="AF982" s="129"/>
      <c r="AG982" s="117"/>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c r="BK982" s="124"/>
      <c r="BL982" s="124"/>
      <c r="BM982" s="124"/>
      <c r="BN982" s="124"/>
      <c r="BO982" s="124"/>
      <c r="BP982" s="124"/>
      <c r="BQ982" s="124"/>
      <c r="BR982" s="124"/>
      <c r="BS982" s="124"/>
      <c r="BT982" s="124"/>
      <c r="BU982" s="124"/>
      <c r="BV982" s="124"/>
      <c r="BW982" s="124"/>
      <c r="BX982" s="124"/>
      <c r="BY982" s="124"/>
      <c r="BZ982" s="124"/>
      <c r="CA982" s="124"/>
    </row>
    <row r="983">
      <c r="A983" s="141"/>
      <c r="B983" s="107"/>
      <c r="C983" s="107"/>
      <c r="D983" s="143"/>
      <c r="E983" s="129"/>
      <c r="F983" s="129"/>
      <c r="G983" s="129"/>
      <c r="H983" s="129"/>
      <c r="I983" s="129"/>
      <c r="J983" s="129"/>
      <c r="K983" s="129"/>
      <c r="L983" s="129"/>
      <c r="M983" s="129"/>
      <c r="N983" s="129"/>
      <c r="O983" s="129"/>
      <c r="P983" s="129"/>
      <c r="Q983" s="129"/>
      <c r="R983" s="129"/>
      <c r="S983" s="129"/>
      <c r="T983" s="129"/>
      <c r="U983" s="106"/>
      <c r="V983" s="106"/>
      <c r="W983" s="106"/>
      <c r="X983" s="106"/>
      <c r="Y983" s="106"/>
      <c r="Z983" s="129"/>
      <c r="AA983" s="129"/>
      <c r="AB983" s="129"/>
      <c r="AC983" s="129"/>
      <c r="AD983" s="129"/>
      <c r="AE983" s="129"/>
      <c r="AF983" s="129"/>
      <c r="AG983" s="117"/>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c r="BK983" s="124"/>
      <c r="BL983" s="124"/>
      <c r="BM983" s="124"/>
      <c r="BN983" s="124"/>
      <c r="BO983" s="124"/>
      <c r="BP983" s="124"/>
      <c r="BQ983" s="124"/>
      <c r="BR983" s="124"/>
      <c r="BS983" s="124"/>
      <c r="BT983" s="124"/>
      <c r="BU983" s="124"/>
      <c r="BV983" s="124"/>
      <c r="BW983" s="124"/>
      <c r="BX983" s="124"/>
      <c r="BY983" s="124"/>
      <c r="BZ983" s="124"/>
      <c r="CA983" s="124"/>
    </row>
    <row r="984">
      <c r="A984" s="141"/>
      <c r="B984" s="107"/>
      <c r="C984" s="107"/>
      <c r="D984" s="143"/>
      <c r="E984" s="129"/>
      <c r="F984" s="129"/>
      <c r="G984" s="129"/>
      <c r="H984" s="129"/>
      <c r="I984" s="129"/>
      <c r="J984" s="129"/>
      <c r="K984" s="129"/>
      <c r="L984" s="129"/>
      <c r="M984" s="129"/>
      <c r="N984" s="129"/>
      <c r="O984" s="129"/>
      <c r="P984" s="129"/>
      <c r="Q984" s="129"/>
      <c r="R984" s="129"/>
      <c r="S984" s="129"/>
      <c r="T984" s="129"/>
      <c r="U984" s="106"/>
      <c r="V984" s="106"/>
      <c r="W984" s="106"/>
      <c r="X984" s="106"/>
      <c r="Y984" s="106"/>
      <c r="Z984" s="129"/>
      <c r="AA984" s="129"/>
      <c r="AB984" s="129"/>
      <c r="AC984" s="129"/>
      <c r="AD984" s="129"/>
      <c r="AE984" s="129"/>
      <c r="AF984" s="129"/>
      <c r="AG984" s="117"/>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c r="BK984" s="124"/>
      <c r="BL984" s="124"/>
      <c r="BM984" s="124"/>
      <c r="BN984" s="124"/>
      <c r="BO984" s="124"/>
      <c r="BP984" s="124"/>
      <c r="BQ984" s="124"/>
      <c r="BR984" s="124"/>
      <c r="BS984" s="124"/>
      <c r="BT984" s="124"/>
      <c r="BU984" s="124"/>
      <c r="BV984" s="124"/>
      <c r="BW984" s="124"/>
      <c r="BX984" s="124"/>
      <c r="BY984" s="124"/>
      <c r="BZ984" s="124"/>
      <c r="CA984" s="124"/>
    </row>
    <row r="985">
      <c r="A985" s="141"/>
      <c r="B985" s="107"/>
      <c r="C985" s="107"/>
      <c r="D985" s="143"/>
      <c r="E985" s="129"/>
      <c r="F985" s="129"/>
      <c r="G985" s="129"/>
      <c r="H985" s="129"/>
      <c r="I985" s="129"/>
      <c r="J985" s="129"/>
      <c r="K985" s="129"/>
      <c r="L985" s="129"/>
      <c r="M985" s="129"/>
      <c r="N985" s="129"/>
      <c r="O985" s="129"/>
      <c r="P985" s="129"/>
      <c r="Q985" s="129"/>
      <c r="R985" s="129"/>
      <c r="S985" s="129"/>
      <c r="T985" s="129"/>
      <c r="U985" s="106"/>
      <c r="V985" s="106"/>
      <c r="W985" s="106"/>
      <c r="X985" s="106"/>
      <c r="Y985" s="106"/>
      <c r="Z985" s="129"/>
      <c r="AA985" s="129"/>
      <c r="AB985" s="129"/>
      <c r="AC985" s="129"/>
      <c r="AD985" s="129"/>
      <c r="AE985" s="129"/>
      <c r="AF985" s="129"/>
      <c r="AG985" s="117"/>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c r="BK985" s="124"/>
      <c r="BL985" s="124"/>
      <c r="BM985" s="124"/>
      <c r="BN985" s="124"/>
      <c r="BO985" s="124"/>
      <c r="BP985" s="124"/>
      <c r="BQ985" s="124"/>
      <c r="BR985" s="124"/>
      <c r="BS985" s="124"/>
      <c r="BT985" s="124"/>
      <c r="BU985" s="124"/>
      <c r="BV985" s="124"/>
      <c r="BW985" s="124"/>
      <c r="BX985" s="124"/>
      <c r="BY985" s="124"/>
      <c r="BZ985" s="124"/>
      <c r="CA985" s="124"/>
    </row>
    <row r="986">
      <c r="A986" s="141"/>
      <c r="B986" s="107"/>
      <c r="C986" s="107"/>
      <c r="D986" s="143"/>
      <c r="E986" s="129"/>
      <c r="F986" s="129"/>
      <c r="G986" s="129"/>
      <c r="H986" s="129"/>
      <c r="I986" s="129"/>
      <c r="J986" s="129"/>
      <c r="K986" s="129"/>
      <c r="L986" s="129"/>
      <c r="M986" s="129"/>
      <c r="N986" s="129"/>
      <c r="O986" s="129"/>
      <c r="P986" s="129"/>
      <c r="Q986" s="129"/>
      <c r="R986" s="129"/>
      <c r="S986" s="129"/>
      <c r="T986" s="129"/>
      <c r="U986" s="106"/>
      <c r="V986" s="106"/>
      <c r="W986" s="106"/>
      <c r="X986" s="106"/>
      <c r="Y986" s="106"/>
      <c r="Z986" s="129"/>
      <c r="AA986" s="129"/>
      <c r="AB986" s="129"/>
      <c r="AC986" s="129"/>
      <c r="AD986" s="129"/>
      <c r="AE986" s="129"/>
      <c r="AF986" s="129"/>
      <c r="AG986" s="117"/>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c r="BK986" s="124"/>
      <c r="BL986" s="124"/>
      <c r="BM986" s="124"/>
      <c r="BN986" s="124"/>
      <c r="BO986" s="124"/>
      <c r="BP986" s="124"/>
      <c r="BQ986" s="124"/>
      <c r="BR986" s="124"/>
      <c r="BS986" s="124"/>
      <c r="BT986" s="124"/>
      <c r="BU986" s="124"/>
      <c r="BV986" s="124"/>
      <c r="BW986" s="124"/>
      <c r="BX986" s="124"/>
      <c r="BY986" s="124"/>
      <c r="BZ986" s="124"/>
      <c r="CA986" s="124"/>
    </row>
    <row r="987">
      <c r="A987" s="141"/>
      <c r="B987" s="107"/>
      <c r="C987" s="107"/>
      <c r="D987" s="143"/>
      <c r="E987" s="129"/>
      <c r="F987" s="129"/>
      <c r="G987" s="129"/>
      <c r="H987" s="129"/>
      <c r="I987" s="129"/>
      <c r="J987" s="129"/>
      <c r="K987" s="129"/>
      <c r="L987" s="129"/>
      <c r="M987" s="129"/>
      <c r="N987" s="129"/>
      <c r="O987" s="129"/>
      <c r="P987" s="129"/>
      <c r="Q987" s="129"/>
      <c r="R987" s="129"/>
      <c r="S987" s="129"/>
      <c r="T987" s="129"/>
      <c r="U987" s="106"/>
      <c r="V987" s="106"/>
      <c r="W987" s="106"/>
      <c r="X987" s="106"/>
      <c r="Y987" s="106"/>
      <c r="Z987" s="129"/>
      <c r="AA987" s="129"/>
      <c r="AB987" s="129"/>
      <c r="AC987" s="129"/>
      <c r="AD987" s="129"/>
      <c r="AE987" s="129"/>
      <c r="AF987" s="129"/>
      <c r="AG987" s="117"/>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c r="BK987" s="124"/>
      <c r="BL987" s="124"/>
      <c r="BM987" s="124"/>
      <c r="BN987" s="124"/>
      <c r="BO987" s="124"/>
      <c r="BP987" s="124"/>
      <c r="BQ987" s="124"/>
      <c r="BR987" s="124"/>
      <c r="BS987" s="124"/>
      <c r="BT987" s="124"/>
      <c r="BU987" s="124"/>
      <c r="BV987" s="124"/>
      <c r="BW987" s="124"/>
      <c r="BX987" s="124"/>
      <c r="BY987" s="124"/>
      <c r="BZ987" s="124"/>
      <c r="CA987" s="124"/>
    </row>
    <row r="988">
      <c r="A988" s="141"/>
      <c r="B988" s="107"/>
      <c r="C988" s="107"/>
      <c r="D988" s="143"/>
      <c r="E988" s="129"/>
      <c r="F988" s="129"/>
      <c r="G988" s="129"/>
      <c r="H988" s="129"/>
      <c r="I988" s="129"/>
      <c r="J988" s="129"/>
      <c r="K988" s="129"/>
      <c r="L988" s="129"/>
      <c r="M988" s="129"/>
      <c r="N988" s="129"/>
      <c r="O988" s="129"/>
      <c r="P988" s="129"/>
      <c r="Q988" s="129"/>
      <c r="R988" s="129"/>
      <c r="S988" s="129"/>
      <c r="T988" s="129"/>
      <c r="U988" s="106"/>
      <c r="V988" s="106"/>
      <c r="W988" s="106"/>
      <c r="X988" s="106"/>
      <c r="Y988" s="106"/>
      <c r="Z988" s="129"/>
      <c r="AA988" s="129"/>
      <c r="AB988" s="129"/>
      <c r="AC988" s="129"/>
      <c r="AD988" s="129"/>
      <c r="AE988" s="129"/>
      <c r="AF988" s="129"/>
      <c r="AG988" s="117"/>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c r="BK988" s="124"/>
      <c r="BL988" s="124"/>
      <c r="BM988" s="124"/>
      <c r="BN988" s="124"/>
      <c r="BO988" s="124"/>
      <c r="BP988" s="124"/>
      <c r="BQ988" s="124"/>
      <c r="BR988" s="124"/>
      <c r="BS988" s="124"/>
      <c r="BT988" s="124"/>
      <c r="BU988" s="124"/>
      <c r="BV988" s="124"/>
      <c r="BW988" s="124"/>
      <c r="BX988" s="124"/>
      <c r="BY988" s="124"/>
      <c r="BZ988" s="124"/>
      <c r="CA988" s="124"/>
    </row>
    <row r="989">
      <c r="A989" s="141"/>
      <c r="B989" s="107"/>
      <c r="C989" s="107"/>
      <c r="D989" s="143"/>
      <c r="E989" s="129"/>
      <c r="F989" s="129"/>
      <c r="G989" s="129"/>
      <c r="H989" s="129"/>
      <c r="I989" s="129"/>
      <c r="J989" s="129"/>
      <c r="K989" s="129"/>
      <c r="L989" s="129"/>
      <c r="M989" s="129"/>
      <c r="N989" s="129"/>
      <c r="O989" s="129"/>
      <c r="P989" s="129"/>
      <c r="Q989" s="129"/>
      <c r="R989" s="129"/>
      <c r="S989" s="129"/>
      <c r="T989" s="129"/>
      <c r="U989" s="106"/>
      <c r="V989" s="106"/>
      <c r="W989" s="106"/>
      <c r="X989" s="106"/>
      <c r="Y989" s="106"/>
      <c r="Z989" s="129"/>
      <c r="AA989" s="129"/>
      <c r="AB989" s="129"/>
      <c r="AC989" s="129"/>
      <c r="AD989" s="129"/>
      <c r="AE989" s="129"/>
      <c r="AF989" s="129"/>
      <c r="AG989" s="117"/>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c r="BK989" s="124"/>
      <c r="BL989" s="124"/>
      <c r="BM989" s="124"/>
      <c r="BN989" s="124"/>
      <c r="BO989" s="124"/>
      <c r="BP989" s="124"/>
      <c r="BQ989" s="124"/>
      <c r="BR989" s="124"/>
      <c r="BS989" s="124"/>
      <c r="BT989" s="124"/>
      <c r="BU989" s="124"/>
      <c r="BV989" s="124"/>
      <c r="BW989" s="124"/>
      <c r="BX989" s="124"/>
      <c r="BY989" s="124"/>
      <c r="BZ989" s="124"/>
      <c r="CA989" s="124"/>
    </row>
    <row r="990">
      <c r="A990" s="141"/>
      <c r="B990" s="107"/>
      <c r="C990" s="107"/>
      <c r="D990" s="143"/>
      <c r="E990" s="129"/>
      <c r="F990" s="129"/>
      <c r="G990" s="129"/>
      <c r="H990" s="129"/>
      <c r="I990" s="129"/>
      <c r="J990" s="129"/>
      <c r="K990" s="129"/>
      <c r="L990" s="129"/>
      <c r="M990" s="129"/>
      <c r="N990" s="129"/>
      <c r="O990" s="129"/>
      <c r="P990" s="129"/>
      <c r="Q990" s="129"/>
      <c r="R990" s="129"/>
      <c r="S990" s="129"/>
      <c r="T990" s="129"/>
      <c r="U990" s="106"/>
      <c r="V990" s="106"/>
      <c r="W990" s="106"/>
      <c r="X990" s="106"/>
      <c r="Y990" s="106"/>
      <c r="Z990" s="129"/>
      <c r="AA990" s="129"/>
      <c r="AB990" s="129"/>
      <c r="AC990" s="129"/>
      <c r="AD990" s="129"/>
      <c r="AE990" s="129"/>
      <c r="AF990" s="129"/>
      <c r="AG990" s="117"/>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c r="BK990" s="124"/>
      <c r="BL990" s="124"/>
      <c r="BM990" s="124"/>
      <c r="BN990" s="124"/>
      <c r="BO990" s="124"/>
      <c r="BP990" s="124"/>
      <c r="BQ990" s="124"/>
      <c r="BR990" s="124"/>
      <c r="BS990" s="124"/>
      <c r="BT990" s="124"/>
      <c r="BU990" s="124"/>
      <c r="BV990" s="124"/>
      <c r="BW990" s="124"/>
      <c r="BX990" s="124"/>
      <c r="BY990" s="124"/>
      <c r="BZ990" s="124"/>
      <c r="CA990" s="124"/>
    </row>
    <row r="991">
      <c r="A991" s="141"/>
      <c r="B991" s="107"/>
      <c r="C991" s="107"/>
      <c r="D991" s="143"/>
      <c r="E991" s="129"/>
      <c r="F991" s="129"/>
      <c r="G991" s="129"/>
      <c r="H991" s="129"/>
      <c r="I991" s="129"/>
      <c r="J991" s="129"/>
      <c r="K991" s="129"/>
      <c r="L991" s="129"/>
      <c r="M991" s="129"/>
      <c r="N991" s="129"/>
      <c r="O991" s="129"/>
      <c r="P991" s="129"/>
      <c r="Q991" s="129"/>
      <c r="R991" s="129"/>
      <c r="S991" s="129"/>
      <c r="T991" s="129"/>
      <c r="U991" s="106"/>
      <c r="V991" s="106"/>
      <c r="W991" s="106"/>
      <c r="X991" s="106"/>
      <c r="Y991" s="106"/>
      <c r="Z991" s="129"/>
      <c r="AA991" s="129"/>
      <c r="AB991" s="129"/>
      <c r="AC991" s="129"/>
      <c r="AD991" s="129"/>
      <c r="AE991" s="129"/>
      <c r="AF991" s="129"/>
      <c r="AG991" s="117"/>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c r="BK991" s="124"/>
      <c r="BL991" s="124"/>
      <c r="BM991" s="124"/>
      <c r="BN991" s="124"/>
      <c r="BO991" s="124"/>
      <c r="BP991" s="124"/>
      <c r="BQ991" s="124"/>
      <c r="BR991" s="124"/>
      <c r="BS991" s="124"/>
      <c r="BT991" s="124"/>
      <c r="BU991" s="124"/>
      <c r="BV991" s="124"/>
      <c r="BW991" s="124"/>
      <c r="BX991" s="124"/>
      <c r="BY991" s="124"/>
      <c r="BZ991" s="124"/>
      <c r="CA991" s="124"/>
    </row>
    <row r="992">
      <c r="A992" s="141"/>
      <c r="B992" s="107"/>
      <c r="C992" s="107"/>
      <c r="D992" s="143"/>
      <c r="E992" s="129"/>
      <c r="F992" s="129"/>
      <c r="G992" s="129"/>
      <c r="H992" s="129"/>
      <c r="I992" s="129"/>
      <c r="J992" s="129"/>
      <c r="K992" s="129"/>
      <c r="L992" s="129"/>
      <c r="M992" s="129"/>
      <c r="N992" s="129"/>
      <c r="O992" s="129"/>
      <c r="P992" s="129"/>
      <c r="Q992" s="129"/>
      <c r="R992" s="129"/>
      <c r="S992" s="129"/>
      <c r="T992" s="129"/>
      <c r="U992" s="106"/>
      <c r="V992" s="106"/>
      <c r="W992" s="106"/>
      <c r="X992" s="106"/>
      <c r="Y992" s="106"/>
      <c r="Z992" s="129"/>
      <c r="AA992" s="129"/>
      <c r="AB992" s="129"/>
      <c r="AC992" s="129"/>
      <c r="AD992" s="129"/>
      <c r="AE992" s="129"/>
      <c r="AF992" s="129"/>
      <c r="AG992" s="117"/>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c r="BK992" s="124"/>
      <c r="BL992" s="124"/>
      <c r="BM992" s="124"/>
      <c r="BN992" s="124"/>
      <c r="BO992" s="124"/>
      <c r="BP992" s="124"/>
      <c r="BQ992" s="124"/>
      <c r="BR992" s="124"/>
      <c r="BS992" s="124"/>
      <c r="BT992" s="124"/>
      <c r="BU992" s="124"/>
      <c r="BV992" s="124"/>
      <c r="BW992" s="124"/>
      <c r="BX992" s="124"/>
      <c r="BY992" s="124"/>
      <c r="BZ992" s="124"/>
      <c r="CA992" s="124"/>
    </row>
    <row r="993">
      <c r="A993" s="141"/>
      <c r="B993" s="107"/>
      <c r="C993" s="107"/>
      <c r="D993" s="143"/>
      <c r="E993" s="129"/>
      <c r="F993" s="129"/>
      <c r="G993" s="129"/>
      <c r="H993" s="129"/>
      <c r="I993" s="129"/>
      <c r="J993" s="129"/>
      <c r="K993" s="129"/>
      <c r="L993" s="129"/>
      <c r="M993" s="129"/>
      <c r="N993" s="129"/>
      <c r="O993" s="129"/>
      <c r="P993" s="129"/>
      <c r="Q993" s="129"/>
      <c r="R993" s="129"/>
      <c r="S993" s="129"/>
      <c r="T993" s="129"/>
      <c r="U993" s="106"/>
      <c r="V993" s="106"/>
      <c r="W993" s="106"/>
      <c r="X993" s="106"/>
      <c r="Y993" s="106"/>
      <c r="Z993" s="129"/>
      <c r="AA993" s="129"/>
      <c r="AB993" s="129"/>
      <c r="AC993" s="129"/>
      <c r="AD993" s="129"/>
      <c r="AE993" s="129"/>
      <c r="AF993" s="129"/>
      <c r="AG993" s="117"/>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c r="BK993" s="124"/>
      <c r="BL993" s="124"/>
      <c r="BM993" s="124"/>
      <c r="BN993" s="124"/>
      <c r="BO993" s="124"/>
      <c r="BP993" s="124"/>
      <c r="BQ993" s="124"/>
      <c r="BR993" s="124"/>
      <c r="BS993" s="124"/>
      <c r="BT993" s="124"/>
      <c r="BU993" s="124"/>
      <c r="BV993" s="124"/>
      <c r="BW993" s="124"/>
      <c r="BX993" s="124"/>
      <c r="BY993" s="124"/>
      <c r="BZ993" s="124"/>
      <c r="CA993" s="124"/>
    </row>
    <row r="994">
      <c r="A994" s="141"/>
      <c r="B994" s="107"/>
      <c r="C994" s="107"/>
      <c r="D994" s="143"/>
      <c r="E994" s="129"/>
      <c r="F994" s="129"/>
      <c r="G994" s="129"/>
      <c r="H994" s="129"/>
      <c r="I994" s="129"/>
      <c r="J994" s="129"/>
      <c r="K994" s="129"/>
      <c r="L994" s="129"/>
      <c r="M994" s="129"/>
      <c r="N994" s="129"/>
      <c r="O994" s="129"/>
      <c r="P994" s="129"/>
      <c r="Q994" s="129"/>
      <c r="R994" s="129"/>
      <c r="S994" s="129"/>
      <c r="T994" s="129"/>
      <c r="U994" s="106"/>
      <c r="V994" s="106"/>
      <c r="W994" s="106"/>
      <c r="X994" s="106"/>
      <c r="Y994" s="106"/>
      <c r="Z994" s="129"/>
      <c r="AA994" s="129"/>
      <c r="AB994" s="129"/>
      <c r="AC994" s="129"/>
      <c r="AD994" s="129"/>
      <c r="AE994" s="129"/>
      <c r="AF994" s="129"/>
      <c r="AG994" s="117"/>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c r="BK994" s="124"/>
      <c r="BL994" s="124"/>
      <c r="BM994" s="124"/>
      <c r="BN994" s="124"/>
      <c r="BO994" s="124"/>
      <c r="BP994" s="124"/>
      <c r="BQ994" s="124"/>
      <c r="BR994" s="124"/>
      <c r="BS994" s="124"/>
      <c r="BT994" s="124"/>
      <c r="BU994" s="124"/>
      <c r="BV994" s="124"/>
      <c r="BW994" s="124"/>
      <c r="BX994" s="124"/>
      <c r="BY994" s="124"/>
      <c r="BZ994" s="124"/>
      <c r="CA994" s="124"/>
    </row>
    <row r="995">
      <c r="A995" s="141"/>
      <c r="B995" s="107"/>
      <c r="C995" s="107"/>
      <c r="D995" s="143"/>
      <c r="E995" s="129"/>
      <c r="F995" s="129"/>
      <c r="G995" s="129"/>
      <c r="H995" s="129"/>
      <c r="I995" s="129"/>
      <c r="J995" s="129"/>
      <c r="K995" s="129"/>
      <c r="L995" s="129"/>
      <c r="M995" s="129"/>
      <c r="N995" s="129"/>
      <c r="O995" s="129"/>
      <c r="P995" s="129"/>
      <c r="Q995" s="129"/>
      <c r="R995" s="129"/>
      <c r="S995" s="129"/>
      <c r="T995" s="129"/>
      <c r="U995" s="106"/>
      <c r="V995" s="106"/>
      <c r="W995" s="106"/>
      <c r="X995" s="106"/>
      <c r="Y995" s="106"/>
      <c r="Z995" s="129"/>
      <c r="AA995" s="129"/>
      <c r="AB995" s="129"/>
      <c r="AC995" s="129"/>
      <c r="AD995" s="129"/>
      <c r="AE995" s="129"/>
      <c r="AF995" s="129"/>
      <c r="AG995" s="117"/>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c r="BK995" s="124"/>
      <c r="BL995" s="124"/>
      <c r="BM995" s="124"/>
      <c r="BN995" s="124"/>
      <c r="BO995" s="124"/>
      <c r="BP995" s="124"/>
      <c r="BQ995" s="124"/>
      <c r="BR995" s="124"/>
      <c r="BS995" s="124"/>
      <c r="BT995" s="124"/>
      <c r="BU995" s="124"/>
      <c r="BV995" s="124"/>
      <c r="BW995" s="124"/>
      <c r="BX995" s="124"/>
      <c r="BY995" s="124"/>
      <c r="BZ995" s="124"/>
      <c r="CA995" s="124"/>
    </row>
    <row r="996">
      <c r="A996" s="141"/>
      <c r="B996" s="107"/>
      <c r="C996" s="107"/>
      <c r="D996" s="143"/>
      <c r="E996" s="129"/>
      <c r="F996" s="129"/>
      <c r="G996" s="129"/>
      <c r="H996" s="129"/>
      <c r="I996" s="129"/>
      <c r="J996" s="129"/>
      <c r="K996" s="129"/>
      <c r="L996" s="129"/>
      <c r="M996" s="129"/>
      <c r="N996" s="129"/>
      <c r="O996" s="129"/>
      <c r="P996" s="129"/>
      <c r="Q996" s="129"/>
      <c r="R996" s="129"/>
      <c r="S996" s="129"/>
      <c r="T996" s="129"/>
      <c r="U996" s="106"/>
      <c r="V996" s="106"/>
      <c r="W996" s="106"/>
      <c r="X996" s="106"/>
      <c r="Y996" s="106"/>
      <c r="Z996" s="129"/>
      <c r="AA996" s="129"/>
      <c r="AB996" s="129"/>
      <c r="AC996" s="129"/>
      <c r="AD996" s="129"/>
      <c r="AE996" s="129"/>
      <c r="AF996" s="129"/>
      <c r="AG996" s="117"/>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c r="BK996" s="124"/>
      <c r="BL996" s="124"/>
      <c r="BM996" s="124"/>
      <c r="BN996" s="124"/>
      <c r="BO996" s="124"/>
      <c r="BP996" s="124"/>
      <c r="BQ996" s="124"/>
      <c r="BR996" s="124"/>
      <c r="BS996" s="124"/>
      <c r="BT996" s="124"/>
      <c r="BU996" s="124"/>
      <c r="BV996" s="124"/>
      <c r="BW996" s="124"/>
      <c r="BX996" s="124"/>
      <c r="BY996" s="124"/>
      <c r="BZ996" s="124"/>
      <c r="CA996" s="124"/>
    </row>
    <row r="997">
      <c r="A997" s="141"/>
      <c r="B997" s="107"/>
      <c r="C997" s="107"/>
      <c r="D997" s="143"/>
      <c r="E997" s="129"/>
      <c r="F997" s="129"/>
      <c r="G997" s="129"/>
      <c r="H997" s="129"/>
      <c r="I997" s="129"/>
      <c r="J997" s="129"/>
      <c r="K997" s="129"/>
      <c r="L997" s="129"/>
      <c r="M997" s="129"/>
      <c r="N997" s="129"/>
      <c r="O997" s="129"/>
      <c r="P997" s="129"/>
      <c r="Q997" s="129"/>
      <c r="R997" s="129"/>
      <c r="S997" s="129"/>
      <c r="T997" s="129"/>
      <c r="U997" s="106"/>
      <c r="V997" s="106"/>
      <c r="W997" s="106"/>
      <c r="X997" s="106"/>
      <c r="Y997" s="106"/>
      <c r="Z997" s="129"/>
      <c r="AA997" s="129"/>
      <c r="AB997" s="129"/>
      <c r="AC997" s="129"/>
      <c r="AD997" s="129"/>
      <c r="AE997" s="129"/>
      <c r="AF997" s="129"/>
      <c r="AG997" s="117"/>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c r="BK997" s="124"/>
      <c r="BL997" s="124"/>
      <c r="BM997" s="124"/>
      <c r="BN997" s="124"/>
      <c r="BO997" s="124"/>
      <c r="BP997" s="124"/>
      <c r="BQ997" s="124"/>
      <c r="BR997" s="124"/>
      <c r="BS997" s="124"/>
      <c r="BT997" s="124"/>
      <c r="BU997" s="124"/>
      <c r="BV997" s="124"/>
      <c r="BW997" s="124"/>
      <c r="BX997" s="124"/>
      <c r="BY997" s="124"/>
      <c r="BZ997" s="124"/>
      <c r="CA997" s="124"/>
    </row>
    <row r="998">
      <c r="A998" s="141"/>
      <c r="B998" s="107"/>
      <c r="C998" s="107"/>
      <c r="D998" s="143"/>
      <c r="E998" s="129"/>
      <c r="F998" s="129"/>
      <c r="G998" s="129"/>
      <c r="H998" s="129"/>
      <c r="I998" s="129"/>
      <c r="J998" s="129"/>
      <c r="K998" s="129"/>
      <c r="L998" s="129"/>
      <c r="M998" s="129"/>
      <c r="N998" s="129"/>
      <c r="O998" s="129"/>
      <c r="P998" s="129"/>
      <c r="Q998" s="129"/>
      <c r="R998" s="129"/>
      <c r="S998" s="129"/>
      <c r="T998" s="129"/>
      <c r="U998" s="106"/>
      <c r="V998" s="106"/>
      <c r="W998" s="106"/>
      <c r="X998" s="106"/>
      <c r="Y998" s="106"/>
      <c r="Z998" s="129"/>
      <c r="AA998" s="129"/>
      <c r="AB998" s="129"/>
      <c r="AC998" s="129"/>
      <c r="AD998" s="129"/>
      <c r="AE998" s="129"/>
      <c r="AF998" s="129"/>
      <c r="AG998" s="117"/>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c r="BK998" s="124"/>
      <c r="BL998" s="124"/>
      <c r="BM998" s="124"/>
      <c r="BN998" s="124"/>
      <c r="BO998" s="124"/>
      <c r="BP998" s="124"/>
      <c r="BQ998" s="124"/>
      <c r="BR998" s="124"/>
      <c r="BS998" s="124"/>
      <c r="BT998" s="124"/>
      <c r="BU998" s="124"/>
      <c r="BV998" s="124"/>
      <c r="BW998" s="124"/>
      <c r="BX998" s="124"/>
      <c r="BY998" s="124"/>
      <c r="BZ998" s="124"/>
      <c r="CA998" s="124"/>
    </row>
    <row r="999">
      <c r="A999" s="141"/>
      <c r="B999" s="107"/>
      <c r="C999" s="107"/>
      <c r="D999" s="143"/>
      <c r="E999" s="129"/>
      <c r="F999" s="129"/>
      <c r="G999" s="129"/>
      <c r="H999" s="129"/>
      <c r="I999" s="129"/>
      <c r="J999" s="129"/>
      <c r="K999" s="129"/>
      <c r="L999" s="129"/>
      <c r="M999" s="129"/>
      <c r="N999" s="129"/>
      <c r="O999" s="129"/>
      <c r="P999" s="129"/>
      <c r="Q999" s="129"/>
      <c r="R999" s="129"/>
      <c r="S999" s="129"/>
      <c r="T999" s="129"/>
      <c r="U999" s="106"/>
      <c r="V999" s="106"/>
      <c r="W999" s="106"/>
      <c r="X999" s="106"/>
      <c r="Y999" s="106"/>
      <c r="Z999" s="129"/>
      <c r="AA999" s="129"/>
      <c r="AB999" s="129"/>
      <c r="AC999" s="129"/>
      <c r="AD999" s="129"/>
      <c r="AE999" s="129"/>
      <c r="AF999" s="129"/>
      <c r="AG999" s="117"/>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c r="BK999" s="124"/>
      <c r="BL999" s="124"/>
      <c r="BM999" s="124"/>
      <c r="BN999" s="124"/>
      <c r="BO999" s="124"/>
      <c r="BP999" s="124"/>
      <c r="BQ999" s="124"/>
      <c r="BR999" s="124"/>
      <c r="BS999" s="124"/>
      <c r="BT999" s="124"/>
      <c r="BU999" s="124"/>
      <c r="BV999" s="124"/>
      <c r="BW999" s="124"/>
      <c r="BX999" s="124"/>
      <c r="BY999" s="124"/>
      <c r="BZ999" s="124"/>
      <c r="CA999" s="124"/>
    </row>
    <row r="1000">
      <c r="A1000" s="141"/>
      <c r="B1000" s="107"/>
      <c r="C1000" s="107"/>
      <c r="D1000" s="143"/>
      <c r="E1000" s="129"/>
      <c r="F1000" s="129"/>
      <c r="G1000" s="129"/>
      <c r="H1000" s="129"/>
      <c r="I1000" s="129"/>
      <c r="J1000" s="129"/>
      <c r="K1000" s="129"/>
      <c r="L1000" s="129"/>
      <c r="M1000" s="129"/>
      <c r="N1000" s="129"/>
      <c r="O1000" s="129"/>
      <c r="P1000" s="129"/>
      <c r="Q1000" s="129"/>
      <c r="R1000" s="129"/>
      <c r="S1000" s="129"/>
      <c r="T1000" s="129"/>
      <c r="U1000" s="106"/>
      <c r="V1000" s="106"/>
      <c r="W1000" s="106"/>
      <c r="X1000" s="106"/>
      <c r="Y1000" s="106"/>
      <c r="Z1000" s="129"/>
      <c r="AA1000" s="129"/>
      <c r="AB1000" s="129"/>
      <c r="AC1000" s="129"/>
      <c r="AD1000" s="129"/>
      <c r="AE1000" s="129"/>
      <c r="AF1000" s="129"/>
      <c r="AG1000" s="117"/>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c r="BK1000" s="124"/>
      <c r="BL1000" s="124"/>
      <c r="BM1000" s="124"/>
      <c r="BN1000" s="124"/>
      <c r="BO1000" s="124"/>
      <c r="BP1000" s="124"/>
      <c r="BQ1000" s="124"/>
      <c r="BR1000" s="124"/>
      <c r="BS1000" s="124"/>
      <c r="BT1000" s="124"/>
      <c r="BU1000" s="124"/>
      <c r="BV1000" s="124"/>
      <c r="BW1000" s="124"/>
      <c r="BX1000" s="124"/>
      <c r="BY1000" s="124"/>
      <c r="BZ1000" s="124"/>
      <c r="CA1000" s="124"/>
    </row>
    <row r="1001">
      <c r="A1001" s="141"/>
      <c r="B1001" s="107"/>
      <c r="C1001" s="107"/>
      <c r="D1001" s="143"/>
      <c r="E1001" s="129"/>
      <c r="F1001" s="129"/>
      <c r="G1001" s="129"/>
      <c r="H1001" s="129"/>
      <c r="I1001" s="129"/>
      <c r="J1001" s="129"/>
      <c r="K1001" s="129"/>
      <c r="L1001" s="129"/>
      <c r="M1001" s="129"/>
      <c r="N1001" s="129"/>
      <c r="O1001" s="129"/>
      <c r="P1001" s="129"/>
      <c r="Q1001" s="129"/>
      <c r="R1001" s="129"/>
      <c r="S1001" s="129"/>
      <c r="T1001" s="129"/>
      <c r="U1001" s="106"/>
      <c r="V1001" s="106"/>
      <c r="W1001" s="106"/>
      <c r="X1001" s="106"/>
      <c r="Y1001" s="106"/>
      <c r="Z1001" s="129"/>
      <c r="AA1001" s="129"/>
      <c r="AB1001" s="129"/>
      <c r="AC1001" s="129"/>
      <c r="AD1001" s="129"/>
      <c r="AE1001" s="129"/>
      <c r="AF1001" s="129"/>
      <c r="AG1001" s="117"/>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c r="BK1001" s="124"/>
      <c r="BL1001" s="124"/>
      <c r="BM1001" s="124"/>
      <c r="BN1001" s="124"/>
      <c r="BO1001" s="124"/>
      <c r="BP1001" s="124"/>
      <c r="BQ1001" s="124"/>
      <c r="BR1001" s="124"/>
      <c r="BS1001" s="124"/>
      <c r="BT1001" s="124"/>
      <c r="BU1001" s="124"/>
      <c r="BV1001" s="124"/>
      <c r="BW1001" s="124"/>
      <c r="BX1001" s="124"/>
      <c r="BY1001" s="124"/>
      <c r="BZ1001" s="124"/>
      <c r="CA1001" s="124"/>
    </row>
  </sheetData>
  <mergeCells count="18">
    <mergeCell ref="A1:B1"/>
    <mergeCell ref="C1:D1"/>
    <mergeCell ref="F1:T1"/>
    <mergeCell ref="U1:Y1"/>
    <mergeCell ref="Z1:AA1"/>
    <mergeCell ref="AB1:AF1"/>
    <mergeCell ref="AH1:AH2"/>
    <mergeCell ref="A59:B59"/>
    <mergeCell ref="BN1:BP1"/>
    <mergeCell ref="BR1:BV1"/>
    <mergeCell ref="BW1:CA1"/>
    <mergeCell ref="AI1:AL1"/>
    <mergeCell ref="AM1:AP1"/>
    <mergeCell ref="AQ1:AS1"/>
    <mergeCell ref="AT1:BB1"/>
    <mergeCell ref="BD1:BF1"/>
    <mergeCell ref="BG1:BH1"/>
    <mergeCell ref="BI1:BM1"/>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2.14"/>
    <col customWidth="1" min="2" max="2" width="52.14"/>
    <col customWidth="1" min="3" max="3" width="29.0"/>
    <col customWidth="1" min="4" max="4" width="7.86"/>
    <col customWidth="1" min="5" max="5" width="9.43"/>
    <col customWidth="1" min="6" max="20" width="7.57"/>
    <col customWidth="1" min="21" max="23" width="22.71"/>
    <col customWidth="1" min="24" max="25" width="33.29"/>
    <col customWidth="1" min="26" max="26" width="4.57"/>
    <col customWidth="1" min="27" max="27" width="3.0"/>
    <col customWidth="1" min="28" max="28" width="7.14"/>
    <col customWidth="1" min="29" max="31" width="5.0"/>
    <col customWidth="1" min="32" max="32" width="4.0"/>
    <col customWidth="1" min="33" max="33" width="43.43"/>
    <col customWidth="1" min="34" max="35" width="4.0"/>
    <col customWidth="1" min="36" max="37" width="4.29"/>
    <col customWidth="1" min="38" max="68" width="4.43"/>
    <col customWidth="1" min="69" max="69" width="2.0"/>
    <col customWidth="1" min="70" max="79" width="4.43"/>
  </cols>
  <sheetData>
    <row r="1">
      <c r="A1" s="144" t="s">
        <v>0</v>
      </c>
      <c r="C1" s="145" t="s">
        <v>1</v>
      </c>
      <c r="E1" s="4"/>
      <c r="F1" s="146" t="s">
        <v>2</v>
      </c>
      <c r="U1" s="23" t="s">
        <v>3</v>
      </c>
      <c r="Z1" s="147" t="s">
        <v>4</v>
      </c>
      <c r="AB1" s="148" t="s">
        <v>5</v>
      </c>
      <c r="AG1" s="149"/>
      <c r="AH1" s="10" t="s">
        <v>6</v>
      </c>
      <c r="AI1" s="11" t="s">
        <v>7</v>
      </c>
      <c r="AM1" s="12" t="s">
        <v>8</v>
      </c>
      <c r="AQ1" s="13" t="s">
        <v>9</v>
      </c>
      <c r="AT1" s="14" t="s">
        <v>10</v>
      </c>
      <c r="BC1" s="15"/>
      <c r="BD1" s="16" t="s">
        <v>11</v>
      </c>
      <c r="BG1" s="17" t="s">
        <v>4348</v>
      </c>
      <c r="BI1" s="18" t="s">
        <v>12</v>
      </c>
      <c r="BN1" s="19" t="s">
        <v>13</v>
      </c>
      <c r="BQ1" s="21"/>
      <c r="BR1" s="22" t="s">
        <v>14</v>
      </c>
      <c r="BW1" s="23" t="s">
        <v>15</v>
      </c>
    </row>
    <row r="2" ht="24.0" customHeight="1">
      <c r="A2" s="25" t="s">
        <v>17</v>
      </c>
      <c r="B2" s="26" t="s">
        <v>18</v>
      </c>
      <c r="C2" s="27" t="s">
        <v>19</v>
      </c>
      <c r="D2" s="28" t="s">
        <v>20</v>
      </c>
      <c r="E2" s="4" t="s">
        <v>21</v>
      </c>
      <c r="F2" s="15" t="s">
        <v>22</v>
      </c>
      <c r="G2" s="15" t="s">
        <v>23</v>
      </c>
      <c r="H2" s="15" t="s">
        <v>24</v>
      </c>
      <c r="I2" s="15" t="s">
        <v>25</v>
      </c>
      <c r="J2" s="15" t="s">
        <v>26</v>
      </c>
      <c r="K2" s="15" t="s">
        <v>27</v>
      </c>
      <c r="L2" s="15" t="s">
        <v>28</v>
      </c>
      <c r="M2" s="15" t="s">
        <v>29</v>
      </c>
      <c r="N2" s="15" t="s">
        <v>30</v>
      </c>
      <c r="O2" s="15" t="s">
        <v>31</v>
      </c>
      <c r="P2" s="15" t="s">
        <v>32</v>
      </c>
      <c r="Q2" s="15" t="s">
        <v>33</v>
      </c>
      <c r="R2" s="15" t="s">
        <v>34</v>
      </c>
      <c r="S2" s="15" t="s">
        <v>35</v>
      </c>
      <c r="T2" s="15" t="s">
        <v>36</v>
      </c>
      <c r="U2" s="150" t="s">
        <v>37</v>
      </c>
      <c r="V2" s="150" t="s">
        <v>38</v>
      </c>
      <c r="W2" s="150" t="s">
        <v>39</v>
      </c>
      <c r="X2" s="150" t="s">
        <v>40</v>
      </c>
      <c r="Y2" s="150" t="s">
        <v>41</v>
      </c>
      <c r="Z2" s="31" t="s">
        <v>42</v>
      </c>
      <c r="AA2" s="31" t="s">
        <v>43</v>
      </c>
      <c r="AB2" s="32" t="s">
        <v>44</v>
      </c>
      <c r="AC2" s="32" t="s">
        <v>45</v>
      </c>
      <c r="AD2" s="32" t="s">
        <v>46</v>
      </c>
      <c r="AE2" s="32" t="s">
        <v>47</v>
      </c>
      <c r="AF2" s="32" t="s">
        <v>48</v>
      </c>
      <c r="AG2" s="9" t="s">
        <v>49</v>
      </c>
      <c r="AI2" s="33" t="s">
        <v>7</v>
      </c>
      <c r="AJ2" s="33" t="s">
        <v>50</v>
      </c>
      <c r="AK2" s="33" t="s">
        <v>51</v>
      </c>
      <c r="AL2" s="33" t="s">
        <v>52</v>
      </c>
      <c r="AM2" s="34" t="s">
        <v>8</v>
      </c>
      <c r="AN2" s="34" t="s">
        <v>53</v>
      </c>
      <c r="AO2" s="34" t="s">
        <v>54</v>
      </c>
      <c r="AP2" s="34" t="s">
        <v>55</v>
      </c>
      <c r="AQ2" s="35" t="s">
        <v>9</v>
      </c>
      <c r="AR2" s="35" t="s">
        <v>56</v>
      </c>
      <c r="AS2" s="35" t="s">
        <v>57</v>
      </c>
      <c r="AT2" s="36" t="s">
        <v>10</v>
      </c>
      <c r="AU2" s="36" t="s">
        <v>58</v>
      </c>
      <c r="AV2" s="36" t="s">
        <v>59</v>
      </c>
      <c r="AW2" s="36" t="s">
        <v>60</v>
      </c>
      <c r="AX2" s="36" t="s">
        <v>61</v>
      </c>
      <c r="AY2" s="36" t="s">
        <v>62</v>
      </c>
      <c r="AZ2" s="36" t="s">
        <v>63</v>
      </c>
      <c r="BA2" s="36" t="s">
        <v>64</v>
      </c>
      <c r="BB2" s="36" t="s">
        <v>65</v>
      </c>
      <c r="BC2" s="37" t="s">
        <v>66</v>
      </c>
      <c r="BD2" s="38" t="s">
        <v>67</v>
      </c>
      <c r="BE2" s="38" t="s">
        <v>68</v>
      </c>
      <c r="BF2" s="38" t="s">
        <v>69</v>
      </c>
      <c r="BG2" s="39" t="s">
        <v>4348</v>
      </c>
      <c r="BH2" s="39" t="s">
        <v>70</v>
      </c>
      <c r="BI2" s="40" t="s">
        <v>71</v>
      </c>
      <c r="BJ2" s="40" t="s">
        <v>72</v>
      </c>
      <c r="BK2" s="40" t="s">
        <v>73</v>
      </c>
      <c r="BL2" s="40" t="s">
        <v>74</v>
      </c>
      <c r="BM2" s="40" t="s">
        <v>75</v>
      </c>
      <c r="BN2" s="41" t="s">
        <v>76</v>
      </c>
      <c r="BO2" s="41" t="s">
        <v>4349</v>
      </c>
      <c r="BP2" s="41" t="s">
        <v>4350</v>
      </c>
      <c r="BQ2" s="43"/>
      <c r="BR2" s="44" t="s">
        <v>78</v>
      </c>
      <c r="BS2" s="44" t="s">
        <v>79</v>
      </c>
      <c r="BT2" s="44" t="s">
        <v>80</v>
      </c>
      <c r="BU2" s="44" t="s">
        <v>81</v>
      </c>
      <c r="BV2" s="44" t="s">
        <v>82</v>
      </c>
      <c r="BW2" s="45" t="s">
        <v>83</v>
      </c>
      <c r="BX2" s="45" t="s">
        <v>84</v>
      </c>
      <c r="BY2" s="45" t="s">
        <v>85</v>
      </c>
      <c r="BZ2" s="45" t="s">
        <v>86</v>
      </c>
      <c r="CA2" s="45" t="s">
        <v>87</v>
      </c>
    </row>
    <row r="3">
      <c r="A3" s="108" t="str">
        <f>HYPERLINK("https://drive.google.com/open?id=0B00cIHsghs6UTnNuWGNVSE92ZlU","Mohani2014")</f>
        <v>Mohani2014</v>
      </c>
      <c r="B3" s="151" t="s">
        <v>756</v>
      </c>
      <c r="C3" s="151" t="s">
        <v>757</v>
      </c>
      <c r="D3" s="110">
        <v>2014.0</v>
      </c>
      <c r="E3" s="111"/>
      <c r="F3" s="111">
        <v>1.0</v>
      </c>
      <c r="G3" s="111">
        <v>1.0</v>
      </c>
      <c r="H3" s="112"/>
      <c r="I3" s="112"/>
      <c r="J3" s="112"/>
      <c r="K3" s="112"/>
      <c r="L3" s="112"/>
      <c r="M3" s="112"/>
      <c r="N3" s="111"/>
      <c r="O3" s="112"/>
      <c r="P3" s="112"/>
      <c r="Q3" s="112"/>
      <c r="R3" s="112"/>
      <c r="S3" s="112"/>
      <c r="T3" s="112"/>
      <c r="U3" s="115" t="s">
        <v>758</v>
      </c>
      <c r="V3" s="115" t="s">
        <v>359</v>
      </c>
      <c r="W3" s="115" t="s">
        <v>759</v>
      </c>
      <c r="X3" s="115" t="s">
        <v>760</v>
      </c>
      <c r="Y3" s="115" t="s">
        <v>761</v>
      </c>
      <c r="Z3" s="111">
        <v>1.0</v>
      </c>
      <c r="AA3" s="112"/>
      <c r="AB3" s="112"/>
      <c r="AC3" s="111">
        <v>1.0</v>
      </c>
      <c r="AD3" s="112"/>
      <c r="AE3" s="112"/>
      <c r="AF3" s="112"/>
      <c r="AG3" s="115" t="s">
        <v>762</v>
      </c>
      <c r="AH3" s="115">
        <v>1.0</v>
      </c>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v>1.0</v>
      </c>
      <c r="BI3" s="115"/>
      <c r="BJ3" s="115"/>
      <c r="BK3" s="115"/>
      <c r="BL3" s="115"/>
      <c r="BM3" s="115"/>
      <c r="BN3" s="115"/>
      <c r="BO3" s="115"/>
      <c r="BP3" s="115"/>
      <c r="BQ3" s="115"/>
      <c r="BR3" s="115"/>
      <c r="BS3" s="115"/>
      <c r="BT3" s="115"/>
      <c r="BU3" s="115"/>
      <c r="BV3" s="115"/>
      <c r="BW3" s="115"/>
      <c r="BX3" s="115"/>
      <c r="BY3" s="115"/>
      <c r="BZ3" s="115">
        <v>1.0</v>
      </c>
      <c r="CA3" s="115"/>
    </row>
    <row r="4">
      <c r="A4" s="152" t="str">
        <f>HYPERLINK("https://drive.google.com/open?id=0B00cIHsghs6UT1VJTWwwSTZlcjQ","Kjærgaard2007")</f>
        <v>Kjærgaard2007</v>
      </c>
      <c r="B4" s="153" t="s">
        <v>632</v>
      </c>
      <c r="C4" s="153" t="s">
        <v>633</v>
      </c>
      <c r="D4" s="110">
        <v>2007.0</v>
      </c>
      <c r="E4" s="111"/>
      <c r="F4" s="112"/>
      <c r="G4" s="112"/>
      <c r="H4" s="112"/>
      <c r="I4" s="112"/>
      <c r="J4" s="112"/>
      <c r="K4" s="112"/>
      <c r="L4" s="111">
        <v>1.0</v>
      </c>
      <c r="M4" s="112"/>
      <c r="N4" s="112"/>
      <c r="O4" s="112"/>
      <c r="P4" s="112"/>
      <c r="Q4" s="112"/>
      <c r="R4" s="112"/>
      <c r="S4" s="112"/>
      <c r="T4" s="112"/>
      <c r="U4" s="115"/>
      <c r="V4" s="115" t="s">
        <v>634</v>
      </c>
      <c r="W4" s="115" t="s">
        <v>92</v>
      </c>
      <c r="X4" s="115" t="s">
        <v>92</v>
      </c>
      <c r="Y4" s="115" t="s">
        <v>635</v>
      </c>
      <c r="Z4" s="112"/>
      <c r="AA4" s="111">
        <v>1.0</v>
      </c>
      <c r="AB4" s="112"/>
      <c r="AC4" s="111">
        <v>1.0</v>
      </c>
      <c r="AD4" s="112"/>
      <c r="AE4" s="112"/>
      <c r="AF4" s="112"/>
      <c r="AG4" s="115" t="s">
        <v>636</v>
      </c>
      <c r="AH4" s="115">
        <v>1.0</v>
      </c>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v>1.0</v>
      </c>
      <c r="BJ4" s="115"/>
      <c r="BK4" s="115"/>
      <c r="BL4" s="115"/>
      <c r="BM4" s="115"/>
      <c r="BN4" s="115"/>
      <c r="BO4" s="115"/>
      <c r="BP4" s="115"/>
      <c r="BQ4" s="115"/>
      <c r="BR4" s="115"/>
      <c r="BS4" s="115"/>
      <c r="BT4" s="115"/>
      <c r="BU4" s="115"/>
      <c r="BV4" s="115"/>
      <c r="BW4" s="115"/>
      <c r="BX4" s="115"/>
      <c r="BY4" s="115"/>
      <c r="BZ4" s="115"/>
      <c r="CA4" s="115"/>
    </row>
    <row r="5">
      <c r="A5" s="154" t="str">
        <f>HYPERLINK("https://drive.google.com/open?id=0B-nn5iJ29NJaWXpmaTZHbVlUM28","Sonnentag1994")</f>
        <v>Sonnentag1994</v>
      </c>
      <c r="B5" s="153" t="s">
        <v>1057</v>
      </c>
      <c r="C5" s="153" t="s">
        <v>1058</v>
      </c>
      <c r="D5" s="110">
        <v>1994.0</v>
      </c>
      <c r="E5" s="111"/>
      <c r="F5" s="111">
        <v>1.0</v>
      </c>
      <c r="G5" s="111">
        <v>1.0</v>
      </c>
      <c r="H5" s="111">
        <v>1.0</v>
      </c>
      <c r="I5" s="111">
        <v>1.0</v>
      </c>
      <c r="J5" s="111">
        <v>1.0</v>
      </c>
      <c r="K5" s="112"/>
      <c r="L5" s="111">
        <v>1.0</v>
      </c>
      <c r="M5" s="112"/>
      <c r="N5" s="112"/>
      <c r="O5" s="112"/>
      <c r="P5" s="112"/>
      <c r="Q5" s="112"/>
      <c r="R5" s="112"/>
      <c r="S5" s="112"/>
      <c r="T5" s="112"/>
      <c r="U5" s="115"/>
      <c r="V5" s="115" t="s">
        <v>1059</v>
      </c>
      <c r="W5" s="115" t="s">
        <v>1060</v>
      </c>
      <c r="X5" s="115" t="s">
        <v>372</v>
      </c>
      <c r="Y5" s="115" t="s">
        <v>1061</v>
      </c>
      <c r="Z5" s="112"/>
      <c r="AA5" s="111">
        <v>1.0</v>
      </c>
      <c r="AB5" s="112"/>
      <c r="AC5" s="111">
        <v>1.0</v>
      </c>
      <c r="AD5" s="112"/>
      <c r="AE5" s="112"/>
      <c r="AF5" s="112"/>
      <c r="AG5" s="115" t="s">
        <v>1062</v>
      </c>
      <c r="AH5" s="115">
        <v>1.0</v>
      </c>
      <c r="AI5" s="115"/>
      <c r="AJ5" s="115"/>
      <c r="AK5" s="115"/>
      <c r="AL5" s="115"/>
      <c r="AM5" s="115"/>
      <c r="AN5" s="115"/>
      <c r="AO5" s="115"/>
      <c r="AP5" s="115"/>
      <c r="AQ5" s="115"/>
      <c r="AR5" s="115"/>
      <c r="AS5" s="115"/>
      <c r="AT5" s="115"/>
      <c r="AU5" s="115"/>
      <c r="AV5" s="115"/>
      <c r="AW5" s="115"/>
      <c r="AX5" s="115">
        <v>1.0</v>
      </c>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v>1.0</v>
      </c>
      <c r="CA5" s="115"/>
    </row>
    <row r="6">
      <c r="A6" s="154" t="str">
        <f>HYPERLINK("https://drive.google.com/open?id=0B-nn5iJ29NJaTWtVZGpyd0d4eDA","Shaft2006")</f>
        <v>Shaft2006</v>
      </c>
      <c r="B6" s="153" t="s">
        <v>908</v>
      </c>
      <c r="C6" s="153" t="s">
        <v>909</v>
      </c>
      <c r="D6" s="110">
        <v>2006.0</v>
      </c>
      <c r="E6" s="111"/>
      <c r="F6" s="112"/>
      <c r="G6" s="112"/>
      <c r="H6" s="112"/>
      <c r="I6" s="112"/>
      <c r="J6" s="111">
        <v>1.0</v>
      </c>
      <c r="K6" s="112"/>
      <c r="L6" s="112"/>
      <c r="M6" s="112"/>
      <c r="N6" s="112"/>
      <c r="O6" s="112"/>
      <c r="P6" s="112"/>
      <c r="Q6" s="112"/>
      <c r="R6" s="112"/>
      <c r="S6" s="112"/>
      <c r="T6" s="112"/>
      <c r="U6" s="115" t="s">
        <v>910</v>
      </c>
      <c r="V6" s="115" t="s">
        <v>911</v>
      </c>
      <c r="W6" s="115" t="s">
        <v>912</v>
      </c>
      <c r="X6" s="115" t="s">
        <v>913</v>
      </c>
      <c r="Y6" s="115" t="s">
        <v>914</v>
      </c>
      <c r="Z6" s="111"/>
      <c r="AA6" s="111">
        <v>1.0</v>
      </c>
      <c r="AB6" s="112"/>
      <c r="AC6" s="111">
        <v>1.0</v>
      </c>
      <c r="AD6" s="112"/>
      <c r="AE6" s="112"/>
      <c r="AF6" s="112"/>
      <c r="AG6" s="115" t="s">
        <v>915</v>
      </c>
      <c r="AH6" s="115">
        <v>1.0</v>
      </c>
      <c r="AI6" s="115"/>
      <c r="AJ6" s="115"/>
      <c r="AK6" s="115"/>
      <c r="AL6" s="115"/>
      <c r="AM6" s="115"/>
      <c r="AN6" s="115"/>
      <c r="AO6" s="115"/>
      <c r="AP6" s="115"/>
      <c r="AQ6" s="115"/>
      <c r="AR6" s="115"/>
      <c r="AS6" s="115"/>
      <c r="AT6" s="115"/>
      <c r="AU6" s="115"/>
      <c r="AV6" s="115"/>
      <c r="AW6" s="115"/>
      <c r="AX6" s="115"/>
      <c r="AY6" s="115"/>
      <c r="AZ6" s="115"/>
      <c r="BA6" s="115"/>
      <c r="BB6" s="115"/>
      <c r="BC6" s="115"/>
      <c r="BD6" s="115">
        <v>1.0</v>
      </c>
      <c r="BE6" s="115"/>
      <c r="BF6" s="115"/>
      <c r="BG6" s="115"/>
      <c r="BH6" s="115"/>
      <c r="BI6" s="115"/>
      <c r="BJ6" s="115"/>
      <c r="BK6" s="115"/>
      <c r="BL6" s="115"/>
      <c r="BM6" s="115"/>
      <c r="BN6" s="115"/>
      <c r="BO6" s="115"/>
      <c r="BP6" s="115"/>
      <c r="BQ6" s="115"/>
      <c r="BR6" s="115"/>
      <c r="BS6" s="115"/>
      <c r="BT6" s="115"/>
      <c r="BU6" s="115"/>
      <c r="BV6" s="115"/>
      <c r="BW6" s="115"/>
      <c r="BX6" s="115">
        <v>1.0</v>
      </c>
      <c r="BY6" s="115"/>
      <c r="BZ6" s="115">
        <v>1.0</v>
      </c>
      <c r="CA6" s="115"/>
    </row>
    <row r="7">
      <c r="A7" s="155" t="str">
        <f>HYPERLINK("https://drive.google.com/open?id=0B00cIHsghs6USGI2S0FZQXluQnc","Hofman2011")</f>
        <v>Hofman2011</v>
      </c>
      <c r="B7" s="156" t="s">
        <v>580</v>
      </c>
      <c r="C7" s="153" t="s">
        <v>268</v>
      </c>
      <c r="D7" s="110">
        <v>2011.0</v>
      </c>
      <c r="E7" s="111"/>
      <c r="F7" s="112"/>
      <c r="G7" s="112"/>
      <c r="H7" s="112"/>
      <c r="I7" s="112"/>
      <c r="J7" s="112"/>
      <c r="K7" s="112"/>
      <c r="L7" s="112"/>
      <c r="M7" s="112"/>
      <c r="N7" s="112"/>
      <c r="O7" s="111">
        <v>1.0</v>
      </c>
      <c r="P7" s="112"/>
      <c r="Q7" s="112"/>
      <c r="R7" s="112"/>
      <c r="S7" s="112"/>
      <c r="T7" s="112"/>
      <c r="U7" s="115"/>
      <c r="V7" s="115" t="s">
        <v>359</v>
      </c>
      <c r="W7" s="115" t="s">
        <v>4413</v>
      </c>
      <c r="X7" s="115" t="s">
        <v>336</v>
      </c>
      <c r="Y7" s="115" t="s">
        <v>4414</v>
      </c>
      <c r="Z7" s="112"/>
      <c r="AA7" s="111">
        <v>1.0</v>
      </c>
      <c r="AB7" s="112"/>
      <c r="AC7" s="111">
        <v>1.0</v>
      </c>
      <c r="AD7" s="112"/>
      <c r="AE7" s="112"/>
      <c r="AF7" s="112"/>
      <c r="AG7" s="115" t="s">
        <v>4415</v>
      </c>
      <c r="AH7" s="115">
        <v>1.0</v>
      </c>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v>1.0</v>
      </c>
      <c r="BI7" s="115"/>
      <c r="BJ7" s="115"/>
      <c r="BK7" s="115"/>
      <c r="BL7" s="115"/>
      <c r="BM7" s="115"/>
      <c r="BN7" s="115"/>
      <c r="BO7" s="115"/>
      <c r="BP7" s="115"/>
      <c r="BQ7" s="115"/>
      <c r="BR7" s="115"/>
      <c r="BS7" s="115"/>
      <c r="BT7" s="115"/>
      <c r="BU7" s="115"/>
      <c r="BV7" s="115"/>
      <c r="BW7" s="115"/>
      <c r="BX7" s="115"/>
      <c r="BY7" s="115"/>
      <c r="BZ7" s="115">
        <v>1.0</v>
      </c>
      <c r="CA7" s="115"/>
    </row>
    <row r="8">
      <c r="A8" s="154" t="str">
        <f>HYPERLINK("https://drive.google.com/open?id=0B00cIHsghs6URUFSU3lCLVZYOG8","DeAlwis2007")</f>
        <v>DeAlwis2007</v>
      </c>
      <c r="B8" s="153" t="s">
        <v>402</v>
      </c>
      <c r="C8" s="153" t="s">
        <v>403</v>
      </c>
      <c r="D8" s="110">
        <v>2007.0</v>
      </c>
      <c r="E8" s="111"/>
      <c r="F8" s="112"/>
      <c r="G8" s="112"/>
      <c r="H8" s="111">
        <v>1.0</v>
      </c>
      <c r="I8" s="112"/>
      <c r="J8" s="111"/>
      <c r="K8" s="112"/>
      <c r="L8" s="112"/>
      <c r="M8" s="112"/>
      <c r="N8" s="112"/>
      <c r="O8" s="112"/>
      <c r="P8" s="112"/>
      <c r="Q8" s="112"/>
      <c r="R8" s="112"/>
      <c r="S8" s="112"/>
      <c r="T8" s="112"/>
      <c r="U8" s="124"/>
      <c r="V8" s="115" t="s">
        <v>404</v>
      </c>
      <c r="W8" s="115" t="s">
        <v>405</v>
      </c>
      <c r="X8" s="115" t="s">
        <v>406</v>
      </c>
      <c r="Y8" s="115" t="s">
        <v>100</v>
      </c>
      <c r="Z8" s="111"/>
      <c r="AA8" s="111">
        <v>1.0</v>
      </c>
      <c r="AB8" s="112"/>
      <c r="AC8" s="111">
        <v>1.0</v>
      </c>
      <c r="AD8" s="112"/>
      <c r="AE8" s="112"/>
      <c r="AF8" s="112"/>
      <c r="AG8" s="115" t="s">
        <v>407</v>
      </c>
      <c r="AH8" s="115">
        <v>1.0</v>
      </c>
      <c r="AI8" s="115" t="s">
        <v>1240</v>
      </c>
      <c r="AJ8" s="115"/>
      <c r="AK8" s="115"/>
      <c r="AL8" s="115"/>
      <c r="AM8" s="115"/>
      <c r="AN8" s="115"/>
      <c r="AO8" s="115"/>
      <c r="AP8" s="115"/>
      <c r="AQ8" s="115">
        <v>1.0</v>
      </c>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v>1.0</v>
      </c>
      <c r="CA8" s="115"/>
    </row>
    <row r="9" ht="25.5" customHeight="1">
      <c r="A9" s="154" t="str">
        <f>HYPERLINK("https://drive.google.com/open?id=0B00cIHsghs6UbFFuRXowQWplMXM","Chiew2002")</f>
        <v>Chiew2002</v>
      </c>
      <c r="B9" s="153" t="s">
        <v>2348</v>
      </c>
      <c r="C9" s="153" t="s">
        <v>648</v>
      </c>
      <c r="D9" s="110">
        <v>2002.0</v>
      </c>
      <c r="E9" s="111">
        <v>1.0</v>
      </c>
      <c r="F9" s="112"/>
      <c r="G9" s="112"/>
      <c r="H9" s="112"/>
      <c r="I9" s="112"/>
      <c r="J9" s="112"/>
      <c r="K9" s="112"/>
      <c r="L9" s="112"/>
      <c r="M9" s="112"/>
      <c r="N9" s="112"/>
      <c r="O9" s="112"/>
      <c r="P9" s="112"/>
      <c r="Q9" s="112"/>
      <c r="R9" s="112"/>
      <c r="S9" s="112"/>
      <c r="T9" s="112"/>
      <c r="U9" s="124"/>
      <c r="V9" s="115"/>
      <c r="W9" s="115"/>
      <c r="X9" s="115"/>
      <c r="Y9" s="115"/>
      <c r="Z9" s="112"/>
      <c r="AA9" s="112"/>
      <c r="AB9" s="112"/>
      <c r="AC9" s="112"/>
      <c r="AD9" s="112"/>
      <c r="AE9" s="111"/>
      <c r="AF9" s="112"/>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row>
    <row r="10">
      <c r="A10" s="154" t="str">
        <f>HYPERLINK("https://drive.google.com/open?id=0B00cIHsghs6UY01jQzRhN1dUM00","Gulden2016")</f>
        <v>Gulden2016</v>
      </c>
      <c r="B10" s="153" t="s">
        <v>2171</v>
      </c>
      <c r="C10" s="153" t="s">
        <v>2172</v>
      </c>
      <c r="D10" s="110">
        <v>2016.0</v>
      </c>
      <c r="E10" s="111">
        <v>1.0</v>
      </c>
      <c r="F10" s="112"/>
      <c r="G10" s="112"/>
      <c r="H10" s="112"/>
      <c r="I10" s="112"/>
      <c r="J10" s="112"/>
      <c r="K10" s="112"/>
      <c r="L10" s="112"/>
      <c r="M10" s="112"/>
      <c r="N10" s="112"/>
      <c r="O10" s="112"/>
      <c r="P10" s="112"/>
      <c r="Q10" s="112"/>
      <c r="R10" s="112"/>
      <c r="S10" s="112"/>
      <c r="T10" s="112"/>
      <c r="U10" s="124"/>
      <c r="V10" s="157" t="s">
        <v>9</v>
      </c>
      <c r="W10" s="157" t="s">
        <v>92</v>
      </c>
      <c r="X10" s="157" t="s">
        <v>92</v>
      </c>
      <c r="Y10" s="157" t="s">
        <v>4416</v>
      </c>
      <c r="Z10" s="112"/>
      <c r="AA10" s="112"/>
      <c r="AB10" s="112"/>
      <c r="AC10" s="112"/>
      <c r="AD10" s="112"/>
      <c r="AE10" s="111">
        <v>1.0</v>
      </c>
      <c r="AF10" s="112"/>
      <c r="AG10" s="124"/>
      <c r="AH10" s="115">
        <v>1.0</v>
      </c>
      <c r="AI10" s="124"/>
      <c r="AJ10" s="124"/>
      <c r="AK10" s="124"/>
      <c r="AL10" s="124"/>
      <c r="AM10" s="124"/>
      <c r="AN10" s="124"/>
      <c r="AO10" s="124"/>
      <c r="AP10" s="124"/>
      <c r="AQ10" s="115">
        <v>1.0</v>
      </c>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row>
    <row r="11">
      <c r="A11" s="154" t="str">
        <f>HYPERLINK("https://drive.google.com/open?id=0B00cIHsghs6UbHpZbkZ4T2h4cWs","Gauvin2004")</f>
        <v>Gauvin2004</v>
      </c>
      <c r="B11" s="153" t="s">
        <v>489</v>
      </c>
      <c r="C11" s="153" t="s">
        <v>490</v>
      </c>
      <c r="D11" s="110">
        <v>2004.0</v>
      </c>
      <c r="E11" s="112"/>
      <c r="F11" s="112"/>
      <c r="G11" s="112"/>
      <c r="H11" s="111">
        <v>1.0</v>
      </c>
      <c r="I11" s="112"/>
      <c r="J11" s="112"/>
      <c r="K11" s="112"/>
      <c r="L11" s="112"/>
      <c r="M11" s="112"/>
      <c r="N11" s="112"/>
      <c r="O11" s="112"/>
      <c r="P11" s="112"/>
      <c r="Q11" s="112"/>
      <c r="R11" s="112"/>
      <c r="S11" s="112"/>
      <c r="T11" s="112"/>
      <c r="U11" s="124"/>
      <c r="V11" s="115" t="s">
        <v>491</v>
      </c>
      <c r="W11" s="115" t="s">
        <v>84</v>
      </c>
      <c r="X11" s="115" t="s">
        <v>492</v>
      </c>
      <c r="Y11" s="115" t="s">
        <v>100</v>
      </c>
      <c r="Z11" s="111">
        <v>1.0</v>
      </c>
      <c r="AA11" s="112"/>
      <c r="AB11" s="111">
        <v>1.0</v>
      </c>
      <c r="AC11" s="111">
        <v>1.0</v>
      </c>
      <c r="AD11" s="112"/>
      <c r="AE11" s="112"/>
      <c r="AF11" s="112"/>
      <c r="AG11" s="115" t="s">
        <v>493</v>
      </c>
      <c r="AH11" s="115">
        <v>1.0</v>
      </c>
      <c r="AI11" s="115">
        <v>1.0</v>
      </c>
      <c r="AJ11" s="115"/>
      <c r="AK11" s="115"/>
      <c r="AL11" s="115"/>
      <c r="AM11" s="115">
        <v>1.0</v>
      </c>
      <c r="AN11" s="115"/>
      <c r="AO11" s="115"/>
      <c r="AP11" s="115"/>
      <c r="AQ11" s="115">
        <v>1.0</v>
      </c>
      <c r="AR11" s="115"/>
      <c r="AS11" s="115"/>
      <c r="AT11" s="115"/>
      <c r="AU11" s="115"/>
      <c r="AV11" s="115"/>
      <c r="AW11" s="115"/>
      <c r="AX11" s="115"/>
      <c r="AY11" s="115"/>
      <c r="AZ11" s="115"/>
      <c r="BA11" s="115"/>
      <c r="BB11" s="115"/>
      <c r="BC11" s="115">
        <v>1.0</v>
      </c>
      <c r="BD11" s="115"/>
      <c r="BE11" s="115"/>
      <c r="BF11" s="115"/>
      <c r="BG11" s="115"/>
      <c r="BH11" s="115"/>
      <c r="BI11" s="115"/>
      <c r="BJ11" s="115"/>
      <c r="BK11" s="115"/>
      <c r="BL11" s="115"/>
      <c r="BM11" s="115"/>
      <c r="BN11" s="115"/>
      <c r="BO11" s="115"/>
      <c r="BP11" s="115"/>
      <c r="BQ11" s="115"/>
      <c r="BR11" s="115"/>
      <c r="BS11" s="115"/>
      <c r="BT11" s="115"/>
      <c r="BU11" s="115">
        <v>1.0</v>
      </c>
      <c r="BV11" s="115"/>
      <c r="BW11" s="115"/>
      <c r="BX11" s="115">
        <v>1.0</v>
      </c>
      <c r="BY11" s="115"/>
      <c r="BZ11" s="115"/>
      <c r="CA11" s="115"/>
    </row>
    <row r="12">
      <c r="A12" s="154" t="str">
        <f>HYPERLINK("https://drive.google.com/open?id=0B00cIHsghs6UNzRka1l5V29fRlE","Zayour2001")</f>
        <v>Zayour2001</v>
      </c>
      <c r="B12" s="153" t="s">
        <v>1275</v>
      </c>
      <c r="C12" s="153" t="s">
        <v>1276</v>
      </c>
      <c r="D12" s="110">
        <v>2001.0</v>
      </c>
      <c r="E12" s="112"/>
      <c r="F12" s="112"/>
      <c r="G12" s="112"/>
      <c r="H12" s="112"/>
      <c r="I12" s="112"/>
      <c r="J12" s="111">
        <v>1.0</v>
      </c>
      <c r="K12" s="112"/>
      <c r="L12" s="112"/>
      <c r="M12" s="112"/>
      <c r="N12" s="112"/>
      <c r="O12" s="112"/>
      <c r="P12" s="112"/>
      <c r="Q12" s="112"/>
      <c r="R12" s="112"/>
      <c r="S12" s="112"/>
      <c r="T12" s="112"/>
      <c r="U12" s="124"/>
      <c r="V12" s="115" t="s">
        <v>1277</v>
      </c>
      <c r="W12" s="115" t="s">
        <v>92</v>
      </c>
      <c r="X12" s="115" t="s">
        <v>92</v>
      </c>
      <c r="Y12" s="115" t="s">
        <v>100</v>
      </c>
      <c r="Z12" s="111"/>
      <c r="AA12" s="111">
        <v>1.0</v>
      </c>
      <c r="AB12" s="111">
        <v>1.0</v>
      </c>
      <c r="AC12" s="112"/>
      <c r="AD12" s="112"/>
      <c r="AE12" s="112"/>
      <c r="AF12" s="112"/>
      <c r="AG12" s="115" t="s">
        <v>1278</v>
      </c>
      <c r="AH12" s="115">
        <v>1.0</v>
      </c>
      <c r="AI12" s="115"/>
      <c r="AJ12" s="115"/>
      <c r="AK12" s="115"/>
      <c r="AL12" s="115"/>
      <c r="AM12" s="115"/>
      <c r="AN12" s="115">
        <v>1.0</v>
      </c>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c r="A13" s="158" t="str">
        <f>HYPERLINK("https://drive.google.com/open?id=0B00cIHsghs6UTU5GSzlmQzlCQUk","Yang1996")</f>
        <v>Yang1996</v>
      </c>
      <c r="B13" s="153" t="s">
        <v>1265</v>
      </c>
      <c r="C13" s="153" t="s">
        <v>1266</v>
      </c>
      <c r="D13" s="110">
        <v>1996.0</v>
      </c>
      <c r="E13" s="112"/>
      <c r="F13" s="112"/>
      <c r="G13" s="112"/>
      <c r="H13" s="111">
        <v>1.0</v>
      </c>
      <c r="I13" s="112"/>
      <c r="J13" s="112"/>
      <c r="K13" s="112"/>
      <c r="L13" s="112"/>
      <c r="M13" s="112"/>
      <c r="N13" s="112"/>
      <c r="O13" s="112"/>
      <c r="P13" s="112"/>
      <c r="Q13" s="112"/>
      <c r="R13" s="112"/>
      <c r="S13" s="112"/>
      <c r="T13" s="112"/>
      <c r="U13" s="124"/>
      <c r="V13" s="115" t="s">
        <v>1267</v>
      </c>
      <c r="W13" s="115" t="s">
        <v>1268</v>
      </c>
      <c r="X13" s="115" t="s">
        <v>92</v>
      </c>
      <c r="Y13" s="115" t="s">
        <v>100</v>
      </c>
      <c r="Z13" s="111">
        <v>1.0</v>
      </c>
      <c r="AA13" s="111">
        <v>1.0</v>
      </c>
      <c r="AB13" s="112"/>
      <c r="AC13" s="112"/>
      <c r="AD13" s="112"/>
      <c r="AE13" s="111">
        <v>1.0</v>
      </c>
      <c r="AF13" s="112"/>
      <c r="AG13" s="115" t="s">
        <v>1269</v>
      </c>
      <c r="AH13" s="115" t="s">
        <v>1240</v>
      </c>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c r="A14" s="154" t="str">
        <f>HYPERLINK("https://drive.google.com/open?id=0B00cIHsghs6UMzBmYVVTYmh5NEE","Zugal2012")</f>
        <v>Zugal2012</v>
      </c>
      <c r="B14" s="153" t="s">
        <v>1303</v>
      </c>
      <c r="C14" s="153" t="s">
        <v>588</v>
      </c>
      <c r="D14" s="110">
        <v>2012.0</v>
      </c>
      <c r="E14" s="112"/>
      <c r="F14" s="112"/>
      <c r="G14" s="111">
        <v>1.0</v>
      </c>
      <c r="H14" s="112"/>
      <c r="I14" s="112"/>
      <c r="J14" s="112"/>
      <c r="K14" s="112"/>
      <c r="L14" s="112"/>
      <c r="M14" s="112"/>
      <c r="N14" s="112"/>
      <c r="O14" s="112"/>
      <c r="P14" s="112"/>
      <c r="Q14" s="112"/>
      <c r="R14" s="112"/>
      <c r="S14" s="112"/>
      <c r="T14" s="112"/>
      <c r="U14" s="115" t="s">
        <v>353</v>
      </c>
      <c r="V14" s="115" t="s">
        <v>1304</v>
      </c>
      <c r="W14" s="115" t="s">
        <v>1305</v>
      </c>
      <c r="X14" s="115" t="s">
        <v>1306</v>
      </c>
      <c r="Y14" s="115" t="s">
        <v>100</v>
      </c>
      <c r="Z14" s="112"/>
      <c r="AA14" s="112"/>
      <c r="AB14" s="112"/>
      <c r="AC14" s="112"/>
      <c r="AD14" s="112"/>
      <c r="AE14" s="111">
        <v>1.0</v>
      </c>
      <c r="AF14" s="112"/>
      <c r="AG14" s="115" t="s">
        <v>1307</v>
      </c>
      <c r="AH14" s="115">
        <v>1.0</v>
      </c>
      <c r="AI14" s="115"/>
      <c r="AJ14" s="115"/>
      <c r="AK14" s="115">
        <v>1.0</v>
      </c>
      <c r="AL14" s="115"/>
      <c r="AM14" s="115"/>
      <c r="AN14" s="115">
        <v>1.0</v>
      </c>
      <c r="AO14" s="115"/>
      <c r="AP14" s="115"/>
      <c r="AQ14" s="115">
        <v>1.0</v>
      </c>
      <c r="AR14" s="115"/>
      <c r="AS14" s="115"/>
      <c r="AT14" s="115"/>
      <c r="AU14" s="115"/>
      <c r="AV14" s="115"/>
      <c r="AW14" s="115"/>
      <c r="AX14" s="115"/>
      <c r="AY14" s="115"/>
      <c r="AZ14" s="115"/>
      <c r="BA14" s="115"/>
      <c r="BB14" s="115"/>
      <c r="BC14" s="115"/>
      <c r="BD14" s="115">
        <v>1.0</v>
      </c>
      <c r="BE14" s="115"/>
      <c r="BF14" s="115"/>
      <c r="BG14" s="115"/>
      <c r="BH14" s="115"/>
      <c r="BI14" s="115"/>
      <c r="BJ14" s="115"/>
      <c r="BK14" s="115"/>
      <c r="BL14" s="115"/>
      <c r="BM14" s="115"/>
      <c r="BN14" s="115"/>
      <c r="BO14" s="115"/>
      <c r="BP14" s="115"/>
      <c r="BQ14" s="115"/>
      <c r="BR14" s="115"/>
      <c r="BS14" s="115"/>
      <c r="BT14" s="115"/>
      <c r="BU14" s="115"/>
      <c r="BV14" s="115"/>
      <c r="BW14" s="115"/>
      <c r="BX14" s="115">
        <v>1.0</v>
      </c>
      <c r="BY14" s="115"/>
      <c r="BZ14" s="115"/>
      <c r="CA14" s="115"/>
    </row>
    <row r="15">
      <c r="A15" s="158" t="str">
        <f>HYPERLINK("https://drive.google.com/open?id=0B00cIHsghs6UVzRza2FWS3RmcWc","Aranda2010")</f>
        <v>Aranda2010</v>
      </c>
      <c r="B15" s="153" t="s">
        <v>165</v>
      </c>
      <c r="C15" s="153" t="s">
        <v>166</v>
      </c>
      <c r="D15" s="110">
        <v>2010.0</v>
      </c>
      <c r="E15" s="112"/>
      <c r="F15" s="111">
        <v>1.0</v>
      </c>
      <c r="G15" s="112"/>
      <c r="H15" s="112"/>
      <c r="I15" s="112"/>
      <c r="J15" s="112"/>
      <c r="K15" s="112"/>
      <c r="L15" s="112"/>
      <c r="M15" s="112"/>
      <c r="N15" s="112"/>
      <c r="O15" s="112"/>
      <c r="P15" s="111">
        <v>1.0</v>
      </c>
      <c r="Q15" s="112"/>
      <c r="R15" s="112"/>
      <c r="S15" s="112"/>
      <c r="T15" s="112"/>
      <c r="U15" s="115" t="s">
        <v>167</v>
      </c>
      <c r="V15" s="115" t="s">
        <v>168</v>
      </c>
      <c r="W15" s="115" t="s">
        <v>169</v>
      </c>
      <c r="X15" s="115" t="s">
        <v>170</v>
      </c>
      <c r="Y15" s="115" t="s">
        <v>100</v>
      </c>
      <c r="Z15" s="111">
        <v>1.0</v>
      </c>
      <c r="AA15" s="112"/>
      <c r="AB15" s="112"/>
      <c r="AC15" s="111">
        <v>1.0</v>
      </c>
      <c r="AD15" s="112"/>
      <c r="AE15" s="112"/>
      <c r="AF15" s="112"/>
      <c r="AG15" s="115" t="s">
        <v>171</v>
      </c>
      <c r="AH15" s="115" t="s">
        <v>1240</v>
      </c>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v>1.0</v>
      </c>
      <c r="CA15" s="115"/>
    </row>
    <row r="16">
      <c r="A16" s="154" t="str">
        <f>HYPERLINK("https://drive.google.com/open?id=0B00cIHsghs6UUjlHem9FWDZOZm8","Zhou2010")</f>
        <v>Zhou2010</v>
      </c>
      <c r="B16" s="153" t="s">
        <v>1288</v>
      </c>
      <c r="C16" s="153" t="s">
        <v>1289</v>
      </c>
      <c r="D16" s="110">
        <v>2010.0</v>
      </c>
      <c r="E16" s="112"/>
      <c r="F16" s="112"/>
      <c r="G16" s="112"/>
      <c r="H16" s="112"/>
      <c r="I16" s="112"/>
      <c r="J16" s="112"/>
      <c r="K16" s="112"/>
      <c r="L16" s="111">
        <v>1.0</v>
      </c>
      <c r="M16" s="112"/>
      <c r="N16" s="112"/>
      <c r="O16" s="112"/>
      <c r="P16" s="112"/>
      <c r="Q16" s="112"/>
      <c r="R16" s="112"/>
      <c r="S16" s="112"/>
      <c r="T16" s="112"/>
      <c r="U16" s="124"/>
      <c r="V16" s="115" t="s">
        <v>1290</v>
      </c>
      <c r="W16" s="115" t="s">
        <v>1291</v>
      </c>
      <c r="X16" s="115" t="s">
        <v>1292</v>
      </c>
      <c r="Y16" s="115" t="s">
        <v>1293</v>
      </c>
      <c r="Z16" s="112"/>
      <c r="AA16" s="111">
        <v>1.0</v>
      </c>
      <c r="AB16" s="112"/>
      <c r="AC16" s="111">
        <v>1.0</v>
      </c>
      <c r="AD16" s="112"/>
      <c r="AE16" s="112"/>
      <c r="AF16" s="112"/>
      <c r="AG16" s="115" t="s">
        <v>1294</v>
      </c>
      <c r="AH16" s="115">
        <v>1.0</v>
      </c>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v>1.0</v>
      </c>
      <c r="BM16" s="115"/>
      <c r="BN16" s="115"/>
      <c r="BO16" s="115"/>
      <c r="BP16" s="115"/>
      <c r="BQ16" s="115"/>
      <c r="BR16" s="115"/>
      <c r="BS16" s="115"/>
      <c r="BT16" s="115"/>
      <c r="BU16" s="115"/>
      <c r="BV16" s="115"/>
      <c r="BW16" s="115"/>
      <c r="BX16" s="115">
        <v>1.0</v>
      </c>
      <c r="BY16" s="115"/>
      <c r="BZ16" s="115"/>
      <c r="CA16" s="115"/>
    </row>
    <row r="17">
      <c r="A17" s="154" t="str">
        <f>HYPERLINK("https://drive.google.com/open?id=0B00cIHsghs6USUNMRXIwMWdLaHc","Mustafa2010")</f>
        <v>Mustafa2010</v>
      </c>
      <c r="B17" s="153" t="s">
        <v>800</v>
      </c>
      <c r="C17" s="153" t="s">
        <v>801</v>
      </c>
      <c r="D17" s="110">
        <v>2010.0</v>
      </c>
      <c r="E17" s="112"/>
      <c r="F17" s="111">
        <v>1.0</v>
      </c>
      <c r="G17" s="111"/>
      <c r="H17" s="112"/>
      <c r="I17" s="112"/>
      <c r="J17" s="112"/>
      <c r="K17" s="112"/>
      <c r="L17" s="112"/>
      <c r="M17" s="112"/>
      <c r="N17" s="112"/>
      <c r="O17" s="112"/>
      <c r="P17" s="112"/>
      <c r="Q17" s="112"/>
      <c r="R17" s="112"/>
      <c r="S17" s="112"/>
      <c r="T17" s="112"/>
      <c r="U17" s="115" t="s">
        <v>802</v>
      </c>
      <c r="V17" s="115" t="s">
        <v>803</v>
      </c>
      <c r="W17" s="115" t="s">
        <v>804</v>
      </c>
      <c r="X17" s="115" t="s">
        <v>805</v>
      </c>
      <c r="Y17" s="115" t="s">
        <v>100</v>
      </c>
      <c r="Z17" s="111">
        <v>1.0</v>
      </c>
      <c r="AA17" s="112"/>
      <c r="AB17" s="112"/>
      <c r="AC17" s="111">
        <v>1.0</v>
      </c>
      <c r="AD17" s="112"/>
      <c r="AE17" s="112"/>
      <c r="AF17" s="112"/>
      <c r="AG17" s="115" t="s">
        <v>806</v>
      </c>
      <c r="AH17" s="115">
        <v>1.0</v>
      </c>
      <c r="AI17" s="115"/>
      <c r="AJ17" s="115"/>
      <c r="AK17" s="115"/>
      <c r="AL17" s="115"/>
      <c r="AM17" s="115"/>
      <c r="AN17" s="115">
        <v>1.0</v>
      </c>
      <c r="AO17" s="115"/>
      <c r="AP17" s="115"/>
      <c r="AQ17" s="115"/>
      <c r="AR17" s="115">
        <v>1.0</v>
      </c>
      <c r="AS17" s="115">
        <v>1.0</v>
      </c>
      <c r="AT17" s="115"/>
      <c r="AU17" s="115"/>
      <c r="AV17" s="115"/>
      <c r="AW17" s="115"/>
      <c r="AX17" s="115"/>
      <c r="AY17" s="115"/>
      <c r="AZ17" s="115"/>
      <c r="BA17" s="115"/>
      <c r="BB17" s="115"/>
      <c r="BC17" s="115"/>
      <c r="BD17" s="115"/>
      <c r="BE17" s="115"/>
      <c r="BF17" s="115"/>
      <c r="BG17" s="115"/>
      <c r="BH17" s="115"/>
      <c r="BI17" s="115">
        <v>1.0</v>
      </c>
      <c r="BJ17" s="115"/>
      <c r="BK17" s="115"/>
      <c r="BL17" s="115"/>
      <c r="BM17" s="115"/>
      <c r="BN17" s="115"/>
      <c r="BO17" s="115"/>
      <c r="BP17" s="115"/>
      <c r="BQ17" s="115"/>
      <c r="BR17" s="115"/>
      <c r="BS17" s="115"/>
      <c r="BT17" s="115"/>
      <c r="BU17" s="115"/>
      <c r="BV17" s="115"/>
      <c r="BW17" s="115"/>
      <c r="BX17" s="115">
        <v>1.0</v>
      </c>
      <c r="BY17" s="115"/>
      <c r="BZ17" s="115"/>
      <c r="CA17" s="115"/>
    </row>
    <row r="18">
      <c r="A18" s="154" t="str">
        <f>HYPERLINK("https://drive.google.com/open?id=0B00cIHsghs6UbXdvMmsxY0RMY0E","Potts1999")</f>
        <v>Potts1999</v>
      </c>
      <c r="B18" s="159" t="s">
        <v>868</v>
      </c>
      <c r="C18" s="153" t="s">
        <v>688</v>
      </c>
      <c r="D18" s="110">
        <v>1999.0</v>
      </c>
      <c r="E18" s="111">
        <v>1.0</v>
      </c>
      <c r="F18" s="112"/>
      <c r="G18" s="112"/>
      <c r="H18" s="112"/>
      <c r="I18" s="112"/>
      <c r="J18" s="112"/>
      <c r="K18" s="112"/>
      <c r="L18" s="112"/>
      <c r="M18" s="112"/>
      <c r="N18" s="112"/>
      <c r="O18" s="112"/>
      <c r="P18" s="112"/>
      <c r="Q18" s="112"/>
      <c r="R18" s="112"/>
      <c r="S18" s="112"/>
      <c r="T18" s="112"/>
      <c r="U18" s="124"/>
      <c r="V18" s="124"/>
      <c r="W18" s="124"/>
      <c r="X18" s="124"/>
      <c r="Y18" s="124"/>
      <c r="Z18" s="112"/>
      <c r="AA18" s="111"/>
      <c r="AB18" s="112"/>
      <c r="AC18" s="111">
        <v>1.0</v>
      </c>
      <c r="AD18" s="112"/>
      <c r="AE18" s="112"/>
      <c r="AF18" s="112"/>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row>
    <row r="19">
      <c r="A19" s="158" t="str">
        <f>HYPERLINK("https://drive.google.com/open?id=0B00cIHsghs6UYVVPRThpQk5GSjQ","Morris2015")</f>
        <v>Morris2015</v>
      </c>
      <c r="B19" s="153" t="s">
        <v>789</v>
      </c>
      <c r="C19" s="153" t="s">
        <v>790</v>
      </c>
      <c r="D19" s="110">
        <v>2015.0</v>
      </c>
      <c r="E19" s="112"/>
      <c r="F19" s="112"/>
      <c r="G19" s="112"/>
      <c r="H19" s="112"/>
      <c r="I19" s="112"/>
      <c r="J19" s="112"/>
      <c r="K19" s="112"/>
      <c r="L19" s="111">
        <v>1.0</v>
      </c>
      <c r="M19" s="112"/>
      <c r="N19" s="112"/>
      <c r="O19" s="112"/>
      <c r="P19" s="111">
        <v>1.0</v>
      </c>
      <c r="Q19" s="112"/>
      <c r="R19" s="112"/>
      <c r="S19" s="112"/>
      <c r="T19" s="112"/>
      <c r="U19" s="115"/>
      <c r="V19" s="115" t="s">
        <v>791</v>
      </c>
      <c r="W19" s="115" t="s">
        <v>792</v>
      </c>
      <c r="X19" s="115" t="s">
        <v>4417</v>
      </c>
      <c r="Y19" s="115" t="s">
        <v>100</v>
      </c>
      <c r="Z19" s="112"/>
      <c r="AA19" s="111">
        <v>1.0</v>
      </c>
      <c r="AB19" s="112"/>
      <c r="AC19" s="111">
        <v>1.0</v>
      </c>
      <c r="AD19" s="112"/>
      <c r="AE19" s="112"/>
      <c r="AF19" s="112"/>
      <c r="AG19" s="115" t="s">
        <v>794</v>
      </c>
      <c r="AH19" s="115">
        <v>1.0</v>
      </c>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c r="A20" s="154" t="str">
        <f>HYPERLINK("https://drive.google.com/open?id=0B00cIHsghs6UT01OdkJ2a0RSckk","Hill1985")</f>
        <v>Hill1985</v>
      </c>
      <c r="B20" s="153" t="s">
        <v>4418</v>
      </c>
      <c r="C20" s="153" t="s">
        <v>4419</v>
      </c>
      <c r="D20" s="110">
        <v>1985.0</v>
      </c>
      <c r="E20" s="111">
        <v>1.0</v>
      </c>
      <c r="F20" s="112"/>
      <c r="G20" s="112"/>
      <c r="H20" s="112"/>
      <c r="I20" s="112"/>
      <c r="J20" s="112"/>
      <c r="K20" s="112"/>
      <c r="L20" s="112"/>
      <c r="M20" s="112"/>
      <c r="N20" s="112"/>
      <c r="O20" s="112"/>
      <c r="P20" s="112"/>
      <c r="Q20" s="112"/>
      <c r="R20" s="112"/>
      <c r="S20" s="112"/>
      <c r="T20" s="112"/>
      <c r="U20" s="124"/>
      <c r="V20" s="124"/>
      <c r="W20" s="124"/>
      <c r="X20" s="124"/>
      <c r="Y20" s="124"/>
      <c r="Z20" s="112"/>
      <c r="AA20" s="112"/>
      <c r="AB20" s="112"/>
      <c r="AC20" s="112"/>
      <c r="AD20" s="112"/>
      <c r="AE20" s="112"/>
      <c r="AF20" s="112"/>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row>
    <row r="21">
      <c r="A21" s="154" t="str">
        <f>HYPERLINK("https://drive.google.com/open?id=0B00cIHsghs6USDdWM3pha0ROWkU","Xu2013")</f>
        <v>Xu2013</v>
      </c>
      <c r="B21" s="153" t="s">
        <v>2753</v>
      </c>
      <c r="C21" s="153" t="s">
        <v>4420</v>
      </c>
      <c r="D21" s="110">
        <v>2013.0</v>
      </c>
      <c r="E21" s="111">
        <v>1.0</v>
      </c>
      <c r="F21" s="112"/>
      <c r="G21" s="112"/>
      <c r="H21" s="112"/>
      <c r="I21" s="112"/>
      <c r="J21" s="112"/>
      <c r="K21" s="112"/>
      <c r="L21" s="112"/>
      <c r="M21" s="112"/>
      <c r="N21" s="112"/>
      <c r="O21" s="112"/>
      <c r="P21" s="112"/>
      <c r="Q21" s="112"/>
      <c r="R21" s="112"/>
      <c r="S21" s="112"/>
      <c r="T21" s="112"/>
      <c r="U21" s="124"/>
      <c r="V21" s="124"/>
      <c r="W21" s="124"/>
      <c r="X21" s="124"/>
      <c r="Y21" s="124"/>
      <c r="Z21" s="112"/>
      <c r="AA21" s="112"/>
      <c r="AB21" s="112"/>
      <c r="AC21" s="112"/>
      <c r="AD21" s="112"/>
      <c r="AE21" s="112"/>
      <c r="AF21" s="112"/>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row>
    <row r="22">
      <c r="A22" s="154" t="str">
        <f>HYPERLINK("https://drive.google.com/open?id=0B00cIHsghs6UOWE2cmpsUzhVc2c","Klemola2002")</f>
        <v>Klemola2002</v>
      </c>
      <c r="B22" s="153" t="s">
        <v>647</v>
      </c>
      <c r="C22" s="153" t="s">
        <v>648</v>
      </c>
      <c r="D22" s="110">
        <v>2002.0</v>
      </c>
      <c r="E22" s="112"/>
      <c r="F22" s="111">
        <v>1.0</v>
      </c>
      <c r="G22" s="111">
        <v>1.0</v>
      </c>
      <c r="H22" s="111">
        <v>1.0</v>
      </c>
      <c r="I22" s="111">
        <v>1.0</v>
      </c>
      <c r="J22" s="111">
        <v>1.0</v>
      </c>
      <c r="K22" s="112"/>
      <c r="L22" s="112"/>
      <c r="M22" s="112"/>
      <c r="N22" s="112"/>
      <c r="O22" s="112"/>
      <c r="P22" s="112"/>
      <c r="Q22" s="112"/>
      <c r="R22" s="112"/>
      <c r="S22" s="112"/>
      <c r="T22" s="112"/>
      <c r="U22" s="115" t="s">
        <v>649</v>
      </c>
      <c r="V22" s="115" t="s">
        <v>650</v>
      </c>
      <c r="W22" s="115" t="s">
        <v>651</v>
      </c>
      <c r="X22" s="115" t="s">
        <v>92</v>
      </c>
      <c r="Y22" s="115" t="s">
        <v>137</v>
      </c>
      <c r="Z22" s="112"/>
      <c r="AA22" s="112"/>
      <c r="AB22" s="112"/>
      <c r="AC22" s="112"/>
      <c r="AD22" s="112"/>
      <c r="AE22" s="111">
        <v>1.0</v>
      </c>
      <c r="AF22" s="112"/>
      <c r="AG22" s="115" t="s">
        <v>652</v>
      </c>
      <c r="AH22" s="115">
        <v>1.0</v>
      </c>
      <c r="AI22" s="115"/>
      <c r="AJ22" s="115"/>
      <c r="AK22" s="115"/>
      <c r="AL22" s="115"/>
      <c r="AM22" s="115"/>
      <c r="AN22" s="115"/>
      <c r="AO22" s="115">
        <v>1.0</v>
      </c>
      <c r="AP22" s="115">
        <v>1.0</v>
      </c>
      <c r="AQ22" s="115"/>
      <c r="AR22" s="115"/>
      <c r="AS22" s="115"/>
      <c r="AT22" s="115"/>
      <c r="AU22" s="115"/>
      <c r="AV22" s="115"/>
      <c r="AW22" s="115"/>
      <c r="AX22" s="115"/>
      <c r="AY22" s="115"/>
      <c r="AZ22" s="115"/>
      <c r="BA22" s="115"/>
      <c r="BB22" s="115"/>
      <c r="BC22" s="115"/>
      <c r="BD22" s="115"/>
      <c r="BE22" s="115"/>
      <c r="BF22" s="115"/>
      <c r="BG22" s="115"/>
      <c r="BH22" s="115"/>
      <c r="BI22" s="115">
        <v>1.0</v>
      </c>
      <c r="BJ22" s="115"/>
      <c r="BK22" s="115"/>
      <c r="BL22" s="115"/>
      <c r="BM22" s="115"/>
      <c r="BN22" s="115"/>
      <c r="BO22" s="115"/>
      <c r="BP22" s="115"/>
      <c r="BQ22" s="115"/>
      <c r="BR22" s="115"/>
      <c r="BS22" s="115"/>
      <c r="BT22" s="115"/>
      <c r="BU22" s="115"/>
      <c r="BV22" s="115"/>
      <c r="BW22" s="115"/>
      <c r="BX22" s="115"/>
      <c r="BY22" s="115"/>
      <c r="BZ22" s="115"/>
      <c r="CA22" s="115"/>
    </row>
    <row r="23">
      <c r="A23" s="154" t="str">
        <f>HYPERLINK("https://drive.google.com/open?id=0B00cIHsghs6UVW5QRUdaamluRTA","Venable2008")</f>
        <v>Venable2008</v>
      </c>
      <c r="B23" s="153" t="s">
        <v>4421</v>
      </c>
      <c r="C23" s="153" t="s">
        <v>4422</v>
      </c>
      <c r="D23" s="110">
        <v>2008.0</v>
      </c>
      <c r="E23" s="160">
        <v>1.0</v>
      </c>
      <c r="F23" s="112"/>
      <c r="G23" s="112"/>
      <c r="H23" s="112"/>
      <c r="I23" s="112"/>
      <c r="J23" s="112"/>
      <c r="K23" s="112"/>
      <c r="L23" s="112"/>
      <c r="M23" s="112"/>
      <c r="N23" s="112"/>
      <c r="O23" s="112"/>
      <c r="P23" s="112"/>
      <c r="Q23" s="112"/>
      <c r="R23" s="112"/>
      <c r="S23" s="112"/>
      <c r="T23" s="112"/>
      <c r="U23" s="124"/>
      <c r="V23" s="124"/>
      <c r="W23" s="124"/>
      <c r="X23" s="124"/>
      <c r="Y23" s="124"/>
      <c r="Z23" s="112"/>
      <c r="AA23" s="112"/>
      <c r="AB23" s="112"/>
      <c r="AC23" s="112"/>
      <c r="AD23" s="112"/>
      <c r="AE23" s="112"/>
      <c r="AF23" s="112"/>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row>
    <row r="24">
      <c r="A24" s="154" t="str">
        <f>HYPERLINK("https://drive.google.com/open?id=0B00cIHsghs6UczhKWTJMNGNPaE0","Holland1994")</f>
        <v>Holland1994</v>
      </c>
      <c r="B24" s="153" t="s">
        <v>4423</v>
      </c>
      <c r="C24" s="153" t="s">
        <v>4424</v>
      </c>
      <c r="D24" s="110">
        <v>1994.0</v>
      </c>
      <c r="E24" s="160">
        <v>1.0</v>
      </c>
      <c r="F24" s="112"/>
      <c r="G24" s="112"/>
      <c r="H24" s="112"/>
      <c r="I24" s="112"/>
      <c r="J24" s="112"/>
      <c r="K24" s="112"/>
      <c r="L24" s="112"/>
      <c r="M24" s="112"/>
      <c r="N24" s="112"/>
      <c r="O24" s="112"/>
      <c r="P24" s="112"/>
      <c r="Q24" s="112"/>
      <c r="R24" s="112"/>
      <c r="S24" s="112"/>
      <c r="T24" s="112"/>
      <c r="U24" s="124"/>
      <c r="V24" s="124"/>
      <c r="W24" s="124"/>
      <c r="X24" s="124"/>
      <c r="Y24" s="124"/>
      <c r="Z24" s="112"/>
      <c r="AA24" s="112"/>
      <c r="AB24" s="112"/>
      <c r="AC24" s="112"/>
      <c r="AD24" s="112"/>
      <c r="AE24" s="112"/>
      <c r="AF24" s="112"/>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row>
    <row r="25">
      <c r="A25" s="158" t="str">
        <f>HYPERLINK("https://drive.google.com/open?id=0B00cIHsghs6UTjBseVl1MVZyTGs","Kamthan2006")</f>
        <v>Kamthan2006</v>
      </c>
      <c r="B25" s="153" t="s">
        <v>612</v>
      </c>
      <c r="C25" s="153" t="s">
        <v>613</v>
      </c>
      <c r="D25" s="110">
        <v>2006.0</v>
      </c>
      <c r="E25" s="112"/>
      <c r="F25" s="111">
        <v>1.0</v>
      </c>
      <c r="G25" s="112"/>
      <c r="H25" s="112"/>
      <c r="I25" s="112"/>
      <c r="J25" s="112"/>
      <c r="K25" s="112"/>
      <c r="L25" s="112"/>
      <c r="M25" s="112"/>
      <c r="N25" s="112"/>
      <c r="O25" s="112"/>
      <c r="P25" s="112"/>
      <c r="Q25" s="112"/>
      <c r="R25" s="112"/>
      <c r="S25" s="112"/>
      <c r="T25" s="112"/>
      <c r="U25" s="124"/>
      <c r="V25" s="115" t="s">
        <v>614</v>
      </c>
      <c r="W25" s="115" t="s">
        <v>92</v>
      </c>
      <c r="X25" s="115" t="s">
        <v>92</v>
      </c>
      <c r="Y25" s="115" t="s">
        <v>137</v>
      </c>
      <c r="Z25" s="112"/>
      <c r="AA25" s="112"/>
      <c r="AB25" s="112"/>
      <c r="AC25" s="112"/>
      <c r="AD25" s="112"/>
      <c r="AE25" s="111">
        <v>1.0</v>
      </c>
      <c r="AF25" s="112"/>
      <c r="AG25" s="115" t="s">
        <v>615</v>
      </c>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c r="A26" s="154" t="str">
        <f>HYPERLINK("https://drive.google.com/open?id=0B00cIHsghs6USldlS2JpV0tMQzQ","Gluck1995")</f>
        <v>Gluck1995</v>
      </c>
      <c r="B26" s="153" t="s">
        <v>4425</v>
      </c>
      <c r="C26" s="159" t="s">
        <v>4426</v>
      </c>
      <c r="D26" s="110">
        <v>1995.0</v>
      </c>
      <c r="E26" s="111">
        <v>1.0</v>
      </c>
      <c r="F26" s="112"/>
      <c r="G26" s="112"/>
      <c r="H26" s="112"/>
      <c r="I26" s="112"/>
      <c r="J26" s="112"/>
      <c r="K26" s="112"/>
      <c r="L26" s="112"/>
      <c r="M26" s="112"/>
      <c r="N26" s="112"/>
      <c r="O26" s="112"/>
      <c r="P26" s="112"/>
      <c r="Q26" s="112"/>
      <c r="R26" s="112"/>
      <c r="S26" s="112"/>
      <c r="T26" s="112"/>
      <c r="U26" s="124"/>
      <c r="V26" s="124"/>
      <c r="W26" s="124"/>
      <c r="X26" s="124"/>
      <c r="Y26" s="124"/>
      <c r="Z26" s="112"/>
      <c r="AA26" s="112"/>
      <c r="AB26" s="112"/>
      <c r="AC26" s="112"/>
      <c r="AD26" s="112"/>
      <c r="AE26" s="112"/>
      <c r="AF26" s="112"/>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row>
    <row r="27">
      <c r="A27" s="154" t="str">
        <f>HYPERLINK("https://drive.google.com/open?id=0B00cIHsghs6UckpJWlhwNmhGbkE","Tudoreanu2003")</f>
        <v>Tudoreanu2003</v>
      </c>
      <c r="B27" s="153" t="s">
        <v>1133</v>
      </c>
      <c r="C27" s="153" t="s">
        <v>1134</v>
      </c>
      <c r="D27" s="110">
        <v>2003.0</v>
      </c>
      <c r="E27" s="112"/>
      <c r="F27" s="112"/>
      <c r="G27" s="112"/>
      <c r="H27" s="112"/>
      <c r="I27" s="111">
        <v>1.0</v>
      </c>
      <c r="J27" s="112"/>
      <c r="K27" s="112"/>
      <c r="L27" s="112"/>
      <c r="M27" s="112"/>
      <c r="N27" s="112"/>
      <c r="O27" s="112"/>
      <c r="P27" s="112"/>
      <c r="Q27" s="112"/>
      <c r="R27" s="112"/>
      <c r="S27" s="112"/>
      <c r="T27" s="112"/>
      <c r="U27" s="124"/>
      <c r="V27" s="115" t="s">
        <v>1135</v>
      </c>
      <c r="W27" s="115" t="s">
        <v>92</v>
      </c>
      <c r="X27" s="115" t="s">
        <v>1136</v>
      </c>
      <c r="Y27" s="115" t="s">
        <v>137</v>
      </c>
      <c r="Z27" s="112"/>
      <c r="AA27" s="112"/>
      <c r="AB27" s="111">
        <v>1.0</v>
      </c>
      <c r="AC27" s="112"/>
      <c r="AD27" s="112"/>
      <c r="AE27" s="112"/>
      <c r="AF27" s="112"/>
      <c r="AG27" s="115" t="s">
        <v>1137</v>
      </c>
      <c r="AH27" s="115">
        <v>1.0</v>
      </c>
      <c r="AI27" s="115"/>
      <c r="AJ27" s="115"/>
      <c r="AK27" s="115"/>
      <c r="AL27" s="115"/>
      <c r="AM27" s="115"/>
      <c r="AN27" s="115"/>
      <c r="AO27" s="115"/>
      <c r="AP27" s="115"/>
      <c r="AQ27" s="115">
        <v>1.0</v>
      </c>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v>1.0</v>
      </c>
      <c r="BY27" s="115"/>
      <c r="BZ27" s="115"/>
      <c r="CA27" s="115"/>
    </row>
    <row r="28">
      <c r="A28" s="154" t="str">
        <f>HYPERLINK("https://drive.google.com/open?id=0B00cIHsghs6UaWxrdnFmc3hRZkk","Carey2007")</f>
        <v>Carey2007</v>
      </c>
      <c r="B28" s="153" t="s">
        <v>4427</v>
      </c>
      <c r="C28" s="153" t="s">
        <v>403</v>
      </c>
      <c r="D28" s="110">
        <v>2007.0</v>
      </c>
      <c r="E28" s="111">
        <v>1.0</v>
      </c>
      <c r="F28" s="112"/>
      <c r="G28" s="112"/>
      <c r="H28" s="112"/>
      <c r="I28" s="112"/>
      <c r="J28" s="112"/>
      <c r="K28" s="112"/>
      <c r="L28" s="112"/>
      <c r="M28" s="112"/>
      <c r="N28" s="112"/>
      <c r="O28" s="112"/>
      <c r="P28" s="112"/>
      <c r="Q28" s="112"/>
      <c r="R28" s="112"/>
      <c r="S28" s="112"/>
      <c r="T28" s="112"/>
      <c r="U28" s="124"/>
      <c r="V28" s="124"/>
      <c r="W28" s="124"/>
      <c r="X28" s="124"/>
      <c r="Y28" s="124"/>
      <c r="Z28" s="112"/>
      <c r="AA28" s="112"/>
      <c r="AB28" s="112"/>
      <c r="AC28" s="112"/>
      <c r="AD28" s="112"/>
      <c r="AE28" s="112"/>
      <c r="AF28" s="112"/>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row>
    <row r="29">
      <c r="A29" s="154" t="str">
        <f>HYPERLINK("https://drive.google.com/open?id=0B00cIHsghs6UX1J0NVBWZnNDY28","Siddiqi1988")</f>
        <v>Siddiqi1988</v>
      </c>
      <c r="B29" s="153" t="s">
        <v>998</v>
      </c>
      <c r="C29" s="153" t="s">
        <v>999</v>
      </c>
      <c r="D29" s="110">
        <v>1988.0</v>
      </c>
      <c r="E29" s="112"/>
      <c r="F29" s="112"/>
      <c r="G29" s="112"/>
      <c r="H29" s="111">
        <v>1.0</v>
      </c>
      <c r="I29" s="112"/>
      <c r="J29" s="112"/>
      <c r="K29" s="112"/>
      <c r="L29" s="112"/>
      <c r="M29" s="112"/>
      <c r="N29" s="112"/>
      <c r="O29" s="112"/>
      <c r="P29" s="112"/>
      <c r="Q29" s="112"/>
      <c r="R29" s="112"/>
      <c r="S29" s="112"/>
      <c r="T29" s="112"/>
      <c r="U29" s="115" t="s">
        <v>1000</v>
      </c>
      <c r="V29" s="115" t="s">
        <v>1001</v>
      </c>
      <c r="W29" s="115" t="s">
        <v>1002</v>
      </c>
      <c r="X29" s="115" t="s">
        <v>92</v>
      </c>
      <c r="Y29" s="115" t="s">
        <v>137</v>
      </c>
      <c r="Z29" s="111">
        <v>1.0</v>
      </c>
      <c r="AA29" s="112"/>
      <c r="AB29" s="112"/>
      <c r="AC29" s="111">
        <v>1.0</v>
      </c>
      <c r="AD29" s="112"/>
      <c r="AE29" s="112"/>
      <c r="AF29" s="112"/>
      <c r="AG29" s="124"/>
      <c r="AH29" s="115">
        <v>1.0</v>
      </c>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15">
        <v>1.0</v>
      </c>
      <c r="BE29" s="124"/>
      <c r="BF29" s="124"/>
      <c r="BG29" s="124"/>
      <c r="BH29" s="124"/>
      <c r="BI29" s="124"/>
      <c r="BJ29" s="124"/>
      <c r="BK29" s="124"/>
      <c r="BL29" s="124"/>
      <c r="BM29" s="124"/>
      <c r="BN29" s="124"/>
      <c r="BO29" s="124"/>
      <c r="BP29" s="124"/>
      <c r="BQ29" s="124"/>
      <c r="BR29" s="124"/>
      <c r="BS29" s="124"/>
      <c r="BT29" s="124"/>
      <c r="BU29" s="115">
        <v>1.0</v>
      </c>
      <c r="BV29" s="124"/>
      <c r="BW29" s="124"/>
      <c r="BX29" s="124"/>
      <c r="BY29" s="124"/>
      <c r="BZ29" s="124"/>
      <c r="CA29" s="124"/>
    </row>
    <row r="30">
      <c r="A30" s="154" t="str">
        <f>HYPERLINK("https://drive.google.com/open?id=0B00cIHsghs6UUm9ZQ3pqZVE4M28","VanderMeij2000")</f>
        <v>VanderMeij2000</v>
      </c>
      <c r="B30" s="159" t="s">
        <v>4428</v>
      </c>
      <c r="C30" s="153" t="s">
        <v>4429</v>
      </c>
      <c r="D30" s="110">
        <v>2000.0</v>
      </c>
      <c r="E30" s="111">
        <v>1.0</v>
      </c>
      <c r="F30" s="112"/>
      <c r="G30" s="112"/>
      <c r="H30" s="112"/>
      <c r="I30" s="112"/>
      <c r="J30" s="112"/>
      <c r="K30" s="112"/>
      <c r="L30" s="112"/>
      <c r="M30" s="112"/>
      <c r="N30" s="112"/>
      <c r="O30" s="112"/>
      <c r="P30" s="112"/>
      <c r="Q30" s="112"/>
      <c r="R30" s="112"/>
      <c r="S30" s="112"/>
      <c r="T30" s="112"/>
      <c r="U30" s="124"/>
      <c r="V30" s="124"/>
      <c r="W30" s="124"/>
      <c r="X30" s="124"/>
      <c r="Y30" s="124"/>
      <c r="Z30" s="112"/>
      <c r="AA30" s="112"/>
      <c r="AB30" s="112"/>
      <c r="AC30" s="112"/>
      <c r="AD30" s="112"/>
      <c r="AE30" s="112"/>
      <c r="AF30" s="112"/>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row>
    <row r="31">
      <c r="A31" s="154" t="str">
        <f>HYPERLINK("https://drive.google.com/open?id=0B00cIHsghs6UWFhfRld0WjFjczQ","Chung1994")</f>
        <v>Chung1994</v>
      </c>
      <c r="B31" s="153" t="s">
        <v>2705</v>
      </c>
      <c r="C31" s="153" t="s">
        <v>4430</v>
      </c>
      <c r="D31" s="110">
        <v>1994.0</v>
      </c>
      <c r="E31" s="111">
        <v>1.0</v>
      </c>
      <c r="F31" s="112"/>
      <c r="G31" s="112"/>
      <c r="H31" s="112"/>
      <c r="I31" s="112"/>
      <c r="J31" s="112"/>
      <c r="K31" s="112"/>
      <c r="L31" s="112"/>
      <c r="M31" s="112"/>
      <c r="N31" s="112"/>
      <c r="O31" s="112"/>
      <c r="P31" s="112"/>
      <c r="Q31" s="112"/>
      <c r="R31" s="112"/>
      <c r="S31" s="112"/>
      <c r="T31" s="112"/>
      <c r="U31" s="124"/>
      <c r="V31" s="124"/>
      <c r="W31" s="124"/>
      <c r="X31" s="124"/>
      <c r="Y31" s="124"/>
      <c r="Z31" s="112"/>
      <c r="AA31" s="112"/>
      <c r="AB31" s="112"/>
      <c r="AC31" s="112"/>
      <c r="AD31" s="112"/>
      <c r="AE31" s="112"/>
      <c r="AF31" s="112"/>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row>
    <row r="32">
      <c r="A32" s="154" t="str">
        <f>HYPERLINK("https://drive.google.com/open?id=0B00cIHsghs6US0hPVC04N1ZSdUk","Briggs2002")</f>
        <v>Briggs2002</v>
      </c>
      <c r="B32" s="153" t="s">
        <v>251</v>
      </c>
      <c r="C32" s="153" t="s">
        <v>252</v>
      </c>
      <c r="D32" s="110">
        <v>2002.0</v>
      </c>
      <c r="E32" s="111"/>
      <c r="F32" s="111">
        <v>1.0</v>
      </c>
      <c r="G32" s="112"/>
      <c r="H32" s="112"/>
      <c r="I32" s="112"/>
      <c r="J32" s="112"/>
      <c r="K32" s="112"/>
      <c r="L32" s="112"/>
      <c r="M32" s="112"/>
      <c r="N32" s="112"/>
      <c r="O32" s="112"/>
      <c r="P32" s="112"/>
      <c r="Q32" s="112"/>
      <c r="R32" s="112"/>
      <c r="S32" s="112"/>
      <c r="T32" s="112"/>
      <c r="U32" s="115" t="s">
        <v>253</v>
      </c>
      <c r="V32" s="115" t="s">
        <v>9</v>
      </c>
      <c r="W32" s="115" t="s">
        <v>92</v>
      </c>
      <c r="X32" s="115" t="s">
        <v>92</v>
      </c>
      <c r="Y32" s="115" t="s">
        <v>254</v>
      </c>
      <c r="Z32" s="112"/>
      <c r="AA32" s="112"/>
      <c r="AB32" s="111">
        <v>1.0</v>
      </c>
      <c r="AC32" s="112"/>
      <c r="AD32" s="112"/>
      <c r="AE32" s="112"/>
      <c r="AF32" s="112"/>
      <c r="AG32" s="115" t="s">
        <v>255</v>
      </c>
      <c r="AH32" s="115">
        <v>1.0</v>
      </c>
      <c r="AI32" s="115"/>
      <c r="AJ32" s="115"/>
      <c r="AK32" s="115"/>
      <c r="AL32" s="115"/>
      <c r="AM32" s="115"/>
      <c r="AN32" s="115"/>
      <c r="AO32" s="115"/>
      <c r="AP32" s="115"/>
      <c r="AQ32" s="115">
        <v>1.0</v>
      </c>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c r="A33" s="158" t="str">
        <f>HYPERLINK("https://drive.google.com/open?id=0B00cIHsghs6UamxiYTNDOGh4Mms","Dey2015")</f>
        <v>Dey2015</v>
      </c>
      <c r="B33" s="153" t="s">
        <v>419</v>
      </c>
      <c r="C33" s="159" t="s">
        <v>420</v>
      </c>
      <c r="D33" s="110">
        <v>2015.0</v>
      </c>
      <c r="E33" s="111"/>
      <c r="F33" s="111">
        <v>1.0</v>
      </c>
      <c r="G33" s="112"/>
      <c r="H33" s="112"/>
      <c r="I33" s="112"/>
      <c r="J33" s="112"/>
      <c r="K33" s="112"/>
      <c r="L33" s="112"/>
      <c r="M33" s="112"/>
      <c r="N33" s="112"/>
      <c r="O33" s="112"/>
      <c r="P33" s="112"/>
      <c r="Q33" s="112"/>
      <c r="R33" s="112"/>
      <c r="S33" s="112"/>
      <c r="T33" s="112"/>
      <c r="U33" s="115" t="s">
        <v>421</v>
      </c>
      <c r="V33" s="115" t="s">
        <v>422</v>
      </c>
      <c r="W33" s="115" t="s">
        <v>92</v>
      </c>
      <c r="X33" s="115" t="s">
        <v>92</v>
      </c>
      <c r="Y33" s="115" t="s">
        <v>254</v>
      </c>
      <c r="Z33" s="112"/>
      <c r="AA33" s="112"/>
      <c r="AB33" s="111">
        <v>1.0</v>
      </c>
      <c r="AC33" s="112"/>
      <c r="AD33" s="112"/>
      <c r="AE33" s="111"/>
      <c r="AF33" s="112"/>
      <c r="AG33" s="115" t="s">
        <v>423</v>
      </c>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c r="A34" s="154" t="str">
        <f>HYPERLINK("https://drive.google.com/open?id=0B00cIHsghs6UaXhwRXYzemh3SEk","Peng2011")</f>
        <v>Peng2011</v>
      </c>
      <c r="B34" s="161" t="s">
        <v>840</v>
      </c>
      <c r="C34" s="162" t="s">
        <v>841</v>
      </c>
      <c r="D34" s="110">
        <v>2011.0</v>
      </c>
      <c r="E34" s="160"/>
      <c r="F34" s="112"/>
      <c r="G34" s="111">
        <v>1.0</v>
      </c>
      <c r="H34" s="111">
        <v>1.0</v>
      </c>
      <c r="I34" s="112"/>
      <c r="J34" s="112"/>
      <c r="K34" s="112"/>
      <c r="L34" s="111">
        <v>1.0</v>
      </c>
      <c r="M34" s="112"/>
      <c r="N34" s="112"/>
      <c r="O34" s="112"/>
      <c r="P34" s="112"/>
      <c r="Q34" s="112"/>
      <c r="R34" s="112"/>
      <c r="S34" s="112"/>
      <c r="T34" s="112"/>
      <c r="U34" s="124"/>
      <c r="V34" s="115" t="s">
        <v>842</v>
      </c>
      <c r="W34" s="115" t="s">
        <v>842</v>
      </c>
      <c r="X34" s="115" t="s">
        <v>843</v>
      </c>
      <c r="Y34" s="115" t="s">
        <v>844</v>
      </c>
      <c r="Z34" s="112"/>
      <c r="AA34" s="112"/>
      <c r="AB34" s="112"/>
      <c r="AC34" s="111">
        <v>1.0</v>
      </c>
      <c r="AD34" s="112"/>
      <c r="AE34" s="112"/>
      <c r="AF34" s="112"/>
      <c r="AG34" s="115" t="s">
        <v>845</v>
      </c>
      <c r="AH34" s="115">
        <v>1.0</v>
      </c>
      <c r="AI34" s="115"/>
      <c r="AJ34" s="115"/>
      <c r="AK34" s="115"/>
      <c r="AL34" s="115"/>
      <c r="AM34" s="115"/>
      <c r="AN34" s="115"/>
      <c r="AO34" s="115"/>
      <c r="AP34" s="115"/>
      <c r="AQ34" s="115">
        <v>1.0</v>
      </c>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v>1.0</v>
      </c>
      <c r="BX34" s="115"/>
      <c r="BY34" s="115"/>
      <c r="BZ34" s="115"/>
      <c r="CA34" s="115"/>
    </row>
    <row r="35">
      <c r="A35" s="154" t="str">
        <f>HYPERLINK("https://drive.google.com/open?id=0B00cIHsghs6UVHljWmNPMkF6WVE","Siegmund2014")</f>
        <v>Siegmund2014</v>
      </c>
      <c r="B35" s="153" t="s">
        <v>1009</v>
      </c>
      <c r="C35" s="153" t="s">
        <v>196</v>
      </c>
      <c r="D35" s="110">
        <v>2014.0</v>
      </c>
      <c r="E35" s="112"/>
      <c r="F35" s="112"/>
      <c r="G35" s="112"/>
      <c r="H35" s="111"/>
      <c r="I35" s="112"/>
      <c r="J35" s="111">
        <v>1.0</v>
      </c>
      <c r="K35" s="112"/>
      <c r="L35" s="112"/>
      <c r="M35" s="112"/>
      <c r="N35" s="112"/>
      <c r="O35" s="112"/>
      <c r="P35" s="112"/>
      <c r="Q35" s="112"/>
      <c r="R35" s="112"/>
      <c r="S35" s="112"/>
      <c r="T35" s="112"/>
      <c r="U35" s="124"/>
      <c r="V35" s="115" t="s">
        <v>1010</v>
      </c>
      <c r="W35" s="115" t="s">
        <v>239</v>
      </c>
      <c r="X35" s="115" t="s">
        <v>1011</v>
      </c>
      <c r="Y35" s="115" t="s">
        <v>137</v>
      </c>
      <c r="Z35" s="111">
        <v>1.0</v>
      </c>
      <c r="AA35" s="112"/>
      <c r="AB35" s="112"/>
      <c r="AC35" s="111">
        <v>1.0</v>
      </c>
      <c r="AD35" s="112"/>
      <c r="AE35" s="112"/>
      <c r="AF35" s="112"/>
      <c r="AG35" s="115" t="s">
        <v>1012</v>
      </c>
      <c r="AH35" s="115">
        <v>1.0</v>
      </c>
      <c r="AI35" s="115">
        <v>1.0</v>
      </c>
      <c r="AJ35" s="115"/>
      <c r="AK35" s="115"/>
      <c r="AL35" s="115"/>
      <c r="AM35" s="115"/>
      <c r="AN35" s="115">
        <v>1.0</v>
      </c>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v>1.0</v>
      </c>
      <c r="BZ35" s="115"/>
      <c r="CA35" s="115"/>
    </row>
    <row r="36">
      <c r="A36" s="154" t="str">
        <f>HYPERLINK("https://drive.google.com/open?id=0B00cIHsghs6URnByanBXeWRuc1E","Calikli2013")</f>
        <v>Calikli2013</v>
      </c>
      <c r="B36" s="153" t="s">
        <v>4431</v>
      </c>
      <c r="C36" s="153" t="s">
        <v>3011</v>
      </c>
      <c r="D36" s="110">
        <v>2013.0</v>
      </c>
      <c r="E36" s="112"/>
      <c r="F36" s="112"/>
      <c r="G36" s="112"/>
      <c r="H36" s="112"/>
      <c r="I36" s="111">
        <v>1.0</v>
      </c>
      <c r="J36" s="112"/>
      <c r="K36" s="112"/>
      <c r="L36" s="112"/>
      <c r="M36" s="112"/>
      <c r="N36" s="112"/>
      <c r="O36" s="112"/>
      <c r="P36" s="112"/>
      <c r="Q36" s="112"/>
      <c r="R36" s="112"/>
      <c r="S36" s="112"/>
      <c r="T36" s="112"/>
      <c r="U36" s="124"/>
      <c r="V36" s="115" t="s">
        <v>279</v>
      </c>
      <c r="W36" s="115" t="s">
        <v>4432</v>
      </c>
      <c r="X36" s="115" t="s">
        <v>281</v>
      </c>
      <c r="Y36" s="115" t="s">
        <v>137</v>
      </c>
      <c r="Z36" s="112"/>
      <c r="AA36" s="111">
        <v>1.0</v>
      </c>
      <c r="AB36" s="112"/>
      <c r="AC36" s="111">
        <v>1.0</v>
      </c>
      <c r="AD36" s="112"/>
      <c r="AE36" s="112"/>
      <c r="AF36" s="112"/>
      <c r="AG36" s="115" t="s">
        <v>4433</v>
      </c>
      <c r="AH36" s="115">
        <v>1.0</v>
      </c>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v>1.0</v>
      </c>
      <c r="BI36" s="115"/>
      <c r="BJ36" s="115"/>
      <c r="BK36" s="115"/>
      <c r="BL36" s="115"/>
      <c r="BM36" s="115"/>
      <c r="BN36" s="115"/>
      <c r="BO36" s="115"/>
      <c r="BP36" s="115"/>
      <c r="BQ36" s="115"/>
      <c r="BR36" s="115"/>
      <c r="BS36" s="115"/>
      <c r="BT36" s="115"/>
      <c r="BU36" s="115"/>
      <c r="BV36" s="115"/>
      <c r="BW36" s="115"/>
      <c r="BX36" s="115">
        <v>1.0</v>
      </c>
      <c r="BY36" s="115"/>
      <c r="BZ36" s="115"/>
      <c r="CA36" s="115"/>
    </row>
    <row r="37">
      <c r="A37" s="153" t="s">
        <v>4434</v>
      </c>
      <c r="B37" s="153" t="s">
        <v>4435</v>
      </c>
      <c r="C37" s="153" t="s">
        <v>4436</v>
      </c>
      <c r="D37" s="110">
        <v>2007.0</v>
      </c>
      <c r="E37" s="112"/>
      <c r="F37" s="112"/>
      <c r="G37" s="112"/>
      <c r="H37" s="112"/>
      <c r="I37" s="112"/>
      <c r="J37" s="112"/>
      <c r="K37" s="112"/>
      <c r="L37" s="112"/>
      <c r="M37" s="112"/>
      <c r="N37" s="112"/>
      <c r="O37" s="112"/>
      <c r="P37" s="112"/>
      <c r="Q37" s="112"/>
      <c r="R37" s="112"/>
      <c r="S37" s="112"/>
      <c r="T37" s="112"/>
      <c r="U37" s="124"/>
      <c r="V37" s="124"/>
      <c r="W37" s="124"/>
      <c r="X37" s="115"/>
      <c r="Y37" s="124"/>
      <c r="Z37" s="112"/>
      <c r="AA37" s="112"/>
      <c r="AB37" s="112"/>
      <c r="AC37" s="112"/>
      <c r="AD37" s="112"/>
      <c r="AE37" s="112"/>
      <c r="AF37" s="112"/>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row>
    <row r="38">
      <c r="A38" s="154" t="str">
        <f>HYPERLINK("https://drive.google.com/open?id=0B00cIHsghs6US29kUUxuaGVXS1k","Calikli2010")</f>
        <v>Calikli2010</v>
      </c>
      <c r="B38" s="153" t="s">
        <v>277</v>
      </c>
      <c r="C38" s="153" t="s">
        <v>278</v>
      </c>
      <c r="D38" s="110">
        <v>2010.0</v>
      </c>
      <c r="E38" s="131"/>
      <c r="F38" s="112"/>
      <c r="G38" s="112"/>
      <c r="H38" s="112"/>
      <c r="I38" s="111">
        <v>1.0</v>
      </c>
      <c r="J38" s="112"/>
      <c r="K38" s="112"/>
      <c r="L38" s="112"/>
      <c r="M38" s="112"/>
      <c r="N38" s="112"/>
      <c r="O38" s="112"/>
      <c r="P38" s="112"/>
      <c r="Q38" s="112"/>
      <c r="R38" s="112"/>
      <c r="S38" s="112"/>
      <c r="T38" s="112"/>
      <c r="U38" s="124"/>
      <c r="V38" s="115" t="s">
        <v>279</v>
      </c>
      <c r="W38" s="115" t="s">
        <v>280</v>
      </c>
      <c r="X38" s="115" t="s">
        <v>281</v>
      </c>
      <c r="Y38" s="115" t="s">
        <v>137</v>
      </c>
      <c r="Z38" s="111">
        <v>1.0</v>
      </c>
      <c r="AA38" s="111">
        <v>1.0</v>
      </c>
      <c r="AB38" s="112"/>
      <c r="AC38" s="111">
        <v>1.0</v>
      </c>
      <c r="AD38" s="112"/>
      <c r="AE38" s="112"/>
      <c r="AF38" s="112"/>
      <c r="AG38" s="115" t="s">
        <v>282</v>
      </c>
      <c r="AH38" s="115">
        <v>1.0</v>
      </c>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v>1.0</v>
      </c>
      <c r="BI38" s="115"/>
      <c r="BJ38" s="115"/>
      <c r="BK38" s="115"/>
      <c r="BL38" s="115"/>
      <c r="BM38" s="115"/>
      <c r="BN38" s="115"/>
      <c r="BO38" s="115"/>
      <c r="BP38" s="115"/>
      <c r="BQ38" s="115"/>
      <c r="BR38" s="115"/>
      <c r="BS38" s="115"/>
      <c r="BT38" s="115"/>
      <c r="BU38" s="115"/>
      <c r="BV38" s="115"/>
      <c r="BW38" s="115"/>
      <c r="BX38" s="115">
        <v>1.0</v>
      </c>
      <c r="BY38" s="115"/>
      <c r="BZ38" s="115"/>
      <c r="CA38" s="115"/>
    </row>
    <row r="39">
      <c r="A39" s="154" t="str">
        <f>HYPERLINK("https://drive.google.com/open?id=0B00cIHsghs6UM1FBdzFnS0R4d2c","Aranda2005")</f>
        <v>Aranda2005</v>
      </c>
      <c r="B39" s="153" t="s">
        <v>132</v>
      </c>
      <c r="C39" s="153" t="s">
        <v>133</v>
      </c>
      <c r="D39" s="110">
        <v>2005.0</v>
      </c>
      <c r="F39" s="112"/>
      <c r="G39" s="112"/>
      <c r="H39" s="112"/>
      <c r="I39" s="112"/>
      <c r="J39" s="112"/>
      <c r="K39" s="112"/>
      <c r="L39" s="111">
        <v>1.0</v>
      </c>
      <c r="M39" s="112"/>
      <c r="N39" s="112"/>
      <c r="O39" s="112"/>
      <c r="P39" s="112"/>
      <c r="Q39" s="112"/>
      <c r="R39" s="112"/>
      <c r="S39" s="112"/>
      <c r="T39" s="112"/>
      <c r="U39" s="124"/>
      <c r="V39" s="115" t="s">
        <v>134</v>
      </c>
      <c r="W39" s="115" t="s">
        <v>135</v>
      </c>
      <c r="X39" s="115" t="s">
        <v>136</v>
      </c>
      <c r="Y39" s="115" t="s">
        <v>137</v>
      </c>
      <c r="Z39" s="111">
        <v>1.0</v>
      </c>
      <c r="AA39" s="111">
        <v>1.0</v>
      </c>
      <c r="AB39" s="112"/>
      <c r="AC39" s="111">
        <v>1.0</v>
      </c>
      <c r="AD39" s="112"/>
      <c r="AE39" s="112"/>
      <c r="AF39" s="112"/>
      <c r="AG39" s="124"/>
      <c r="AH39" s="115">
        <v>1.0</v>
      </c>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15">
        <v>1.0</v>
      </c>
      <c r="BI39" s="124"/>
      <c r="BJ39" s="124"/>
      <c r="BK39" s="124"/>
      <c r="BL39" s="124"/>
      <c r="BM39" s="124"/>
      <c r="BN39" s="124"/>
      <c r="BO39" s="124"/>
      <c r="BP39" s="124"/>
      <c r="BQ39" s="124"/>
      <c r="BR39" s="124"/>
      <c r="BS39" s="124"/>
      <c r="BT39" s="124"/>
      <c r="BU39" s="124"/>
      <c r="BV39" s="124"/>
      <c r="BW39" s="124"/>
      <c r="BX39" s="115">
        <v>1.0</v>
      </c>
      <c r="BY39" s="124"/>
      <c r="BZ39" s="124"/>
      <c r="CA39" s="124"/>
    </row>
    <row r="40">
      <c r="A40" s="154" t="str">
        <f>HYPERLINK("https://drive.google.com/open?id=0B00cIHsghs6UZXlpOEhZTTM0em8","Simons2014")</f>
        <v>Simons2014</v>
      </c>
      <c r="B40" s="153" t="s">
        <v>4437</v>
      </c>
      <c r="C40" s="153" t="s">
        <v>4438</v>
      </c>
      <c r="D40" s="110">
        <v>2014.0</v>
      </c>
      <c r="E40" s="111">
        <v>1.0</v>
      </c>
      <c r="F40" s="112"/>
      <c r="G40" s="112"/>
      <c r="H40" s="112"/>
      <c r="I40" s="112"/>
      <c r="J40" s="112"/>
      <c r="K40" s="112"/>
      <c r="L40" s="112"/>
      <c r="M40" s="112"/>
      <c r="N40" s="112"/>
      <c r="O40" s="112"/>
      <c r="P40" s="112"/>
      <c r="Q40" s="112"/>
      <c r="R40" s="112"/>
      <c r="S40" s="112"/>
      <c r="T40" s="112"/>
      <c r="U40" s="124"/>
      <c r="V40" s="124"/>
      <c r="W40" s="124"/>
      <c r="X40" s="124"/>
      <c r="Y40" s="124"/>
      <c r="Z40" s="112"/>
      <c r="AA40" s="112"/>
      <c r="AB40" s="112"/>
      <c r="AC40" s="112"/>
      <c r="AD40" s="112"/>
      <c r="AE40" s="112"/>
      <c r="AF40" s="112"/>
      <c r="AG40" s="124"/>
      <c r="AH40" s="124"/>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row>
    <row r="41">
      <c r="A41" s="154" t="str">
        <f>HYPERLINK("https://drive.google.com/open?id=0B00cIHsghs6UWlFNeGhHTS1ibm8","Moonen2016")</f>
        <v>Moonen2016</v>
      </c>
      <c r="B41" s="153" t="s">
        <v>2079</v>
      </c>
      <c r="C41" s="153" t="s">
        <v>310</v>
      </c>
      <c r="D41" s="110">
        <v>2016.0</v>
      </c>
      <c r="E41" s="111">
        <v>1.0</v>
      </c>
      <c r="F41" s="112"/>
      <c r="G41" s="112"/>
      <c r="H41" s="112"/>
      <c r="I41" s="112"/>
      <c r="J41" s="112"/>
      <c r="K41" s="112"/>
      <c r="L41" s="112"/>
      <c r="M41" s="112"/>
      <c r="N41" s="112"/>
      <c r="O41" s="112"/>
      <c r="P41" s="112"/>
      <c r="Q41" s="112"/>
      <c r="R41" s="112"/>
      <c r="S41" s="112"/>
      <c r="T41" s="112"/>
      <c r="U41" s="124"/>
      <c r="V41" s="124"/>
      <c r="W41" s="124"/>
      <c r="X41" s="124"/>
      <c r="Y41" s="124"/>
      <c r="Z41" s="112"/>
      <c r="AA41" s="112"/>
      <c r="AB41" s="112"/>
      <c r="AC41" s="112"/>
      <c r="AD41" s="112"/>
      <c r="AE41" s="112"/>
      <c r="AF41" s="112"/>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row>
    <row r="42">
      <c r="A42" s="154" t="str">
        <f>HYPERLINK("https://drive.google.com/open?id=0B00cIHsghs6UNDBNdEQ2VHdNanc","VonMayrhauser1997")</f>
        <v>VonMayrhauser1997</v>
      </c>
      <c r="B42" s="153" t="s">
        <v>1178</v>
      </c>
      <c r="C42" s="153" t="s">
        <v>1179</v>
      </c>
      <c r="D42" s="110">
        <v>1997.0</v>
      </c>
      <c r="E42" s="112"/>
      <c r="F42" s="112"/>
      <c r="G42" s="112"/>
      <c r="H42" s="112"/>
      <c r="I42" s="112"/>
      <c r="J42" s="111">
        <v>1.0</v>
      </c>
      <c r="K42" s="112"/>
      <c r="L42" s="112"/>
      <c r="M42" s="112"/>
      <c r="N42" s="112"/>
      <c r="O42" s="112"/>
      <c r="P42" s="112"/>
      <c r="Q42" s="112"/>
      <c r="R42" s="112"/>
      <c r="S42" s="112"/>
      <c r="T42" s="112"/>
      <c r="U42" s="115" t="s">
        <v>1180</v>
      </c>
      <c r="V42" s="115" t="s">
        <v>1181</v>
      </c>
      <c r="W42" s="115" t="s">
        <v>1182</v>
      </c>
      <c r="X42" s="115" t="s">
        <v>1183</v>
      </c>
      <c r="Y42" s="115" t="s">
        <v>137</v>
      </c>
      <c r="Z42" s="112"/>
      <c r="AA42" s="111">
        <v>1.0</v>
      </c>
      <c r="AB42" s="112"/>
      <c r="AC42" s="111">
        <v>1.0</v>
      </c>
      <c r="AD42" s="112"/>
      <c r="AE42" s="112"/>
      <c r="AF42" s="112"/>
      <c r="AG42" s="115" t="s">
        <v>1184</v>
      </c>
      <c r="AH42" s="115">
        <v>1.0</v>
      </c>
      <c r="AI42" s="115"/>
      <c r="AJ42" s="115"/>
      <c r="AK42" s="115"/>
      <c r="AL42" s="115"/>
      <c r="AM42" s="115"/>
      <c r="AN42" s="115"/>
      <c r="AO42" s="115">
        <v>1.0</v>
      </c>
      <c r="AP42" s="115">
        <v>1.0</v>
      </c>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v>1.0</v>
      </c>
      <c r="BV42" s="115"/>
      <c r="BW42" s="115"/>
      <c r="BX42" s="115"/>
      <c r="BY42" s="115"/>
      <c r="BZ42" s="115"/>
      <c r="CA42" s="115"/>
    </row>
    <row r="43">
      <c r="A43" s="154" t="str">
        <f>HYPERLINK("https://drive.google.com/open?id=0B00cIHsghs6UVHo4cmd3MzgzWXc","Dominguez-Mayo2014")</f>
        <v>Dominguez-Mayo2014</v>
      </c>
      <c r="B43" s="153" t="s">
        <v>2445</v>
      </c>
      <c r="C43" s="153" t="s">
        <v>4439</v>
      </c>
      <c r="D43" s="110">
        <v>2014.0</v>
      </c>
      <c r="E43" s="111">
        <v>1.0</v>
      </c>
      <c r="F43" s="112"/>
      <c r="G43" s="112"/>
      <c r="H43" s="112"/>
      <c r="I43" s="112"/>
      <c r="J43" s="112"/>
      <c r="K43" s="112"/>
      <c r="L43" s="112"/>
      <c r="M43" s="112"/>
      <c r="N43" s="112"/>
      <c r="O43" s="112"/>
      <c r="P43" s="112"/>
      <c r="Q43" s="112"/>
      <c r="R43" s="112"/>
      <c r="S43" s="112"/>
      <c r="T43" s="112"/>
      <c r="U43" s="124"/>
      <c r="V43" s="124"/>
      <c r="W43" s="124"/>
      <c r="X43" s="124"/>
      <c r="Y43" s="124"/>
      <c r="Z43" s="112"/>
      <c r="AA43" s="112"/>
      <c r="AB43" s="112"/>
      <c r="AC43" s="112"/>
      <c r="AD43" s="112"/>
      <c r="AE43" s="112"/>
      <c r="AF43" s="112"/>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row>
    <row r="44">
      <c r="A44" s="154" t="str">
        <f>HYPERLINK("https://drive.google.com/open?id=0B00cIHsghs6UbTdMaXBYelNYYzA","Uebelbacher2013")</f>
        <v>Uebelbacher2013</v>
      </c>
      <c r="B44" s="153" t="s">
        <v>4440</v>
      </c>
      <c r="C44" s="153" t="s">
        <v>4441</v>
      </c>
      <c r="D44" s="110">
        <v>2013.0</v>
      </c>
      <c r="E44" s="160">
        <v>1.0</v>
      </c>
      <c r="F44" s="112"/>
      <c r="G44" s="112"/>
      <c r="H44" s="112"/>
      <c r="I44" s="112"/>
      <c r="J44" s="112"/>
      <c r="K44" s="112"/>
      <c r="L44" s="112"/>
      <c r="M44" s="112"/>
      <c r="N44" s="112"/>
      <c r="O44" s="112"/>
      <c r="P44" s="112"/>
      <c r="Q44" s="112"/>
      <c r="R44" s="112"/>
      <c r="S44" s="112"/>
      <c r="T44" s="112"/>
      <c r="U44" s="124"/>
      <c r="V44" s="124"/>
      <c r="W44" s="124"/>
      <c r="X44" s="124"/>
      <c r="Y44" s="124"/>
      <c r="Z44" s="112"/>
      <c r="AA44" s="112"/>
      <c r="AB44" s="112"/>
      <c r="AC44" s="112"/>
      <c r="AD44" s="112"/>
      <c r="AE44" s="112"/>
      <c r="AF44" s="112"/>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row>
    <row r="45">
      <c r="A45" s="154" t="str">
        <f>HYPERLINK("https://drive.google.com/open?id=0B00cIHsghs6UOEFrUERaNDN0WVE","Laamanen2009")</f>
        <v>Laamanen2009</v>
      </c>
      <c r="B45" s="153" t="s">
        <v>4442</v>
      </c>
      <c r="C45" s="153" t="s">
        <v>4443</v>
      </c>
      <c r="D45" s="110">
        <v>2009.0</v>
      </c>
      <c r="E45" s="111">
        <v>1.0</v>
      </c>
      <c r="F45" s="112"/>
      <c r="G45" s="112"/>
      <c r="H45" s="112"/>
      <c r="I45" s="112"/>
      <c r="J45" s="112"/>
      <c r="K45" s="112"/>
      <c r="L45" s="112"/>
      <c r="M45" s="112"/>
      <c r="N45" s="112"/>
      <c r="O45" s="112"/>
      <c r="P45" s="112"/>
      <c r="Q45" s="112"/>
      <c r="R45" s="112"/>
      <c r="S45" s="112"/>
      <c r="T45" s="112"/>
      <c r="U45" s="124"/>
      <c r="V45" s="124"/>
      <c r="W45" s="124"/>
      <c r="X45" s="124"/>
      <c r="Y45" s="124"/>
      <c r="Z45" s="112"/>
      <c r="AA45" s="112"/>
      <c r="AB45" s="112"/>
      <c r="AC45" s="112"/>
      <c r="AD45" s="112"/>
      <c r="AE45" s="112"/>
      <c r="AF45" s="112"/>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row>
    <row r="46">
      <c r="A46" s="154" t="str">
        <f>HYPERLINK("https://drive.google.com/open?id=0B00cIHsghs6UVlVEYkRzelhyVzQ","DaCunha2016")</f>
        <v>DaCunha2016</v>
      </c>
      <c r="B46" s="153" t="s">
        <v>391</v>
      </c>
      <c r="C46" s="153" t="s">
        <v>392</v>
      </c>
      <c r="D46" s="110">
        <v>2016.0</v>
      </c>
      <c r="E46" s="112"/>
      <c r="F46" s="112"/>
      <c r="G46" s="112"/>
      <c r="H46" s="112"/>
      <c r="I46" s="112"/>
      <c r="J46" s="112"/>
      <c r="K46" s="112"/>
      <c r="L46" s="111">
        <v>1.0</v>
      </c>
      <c r="M46" s="112"/>
      <c r="N46" s="112"/>
      <c r="O46" s="112"/>
      <c r="P46" s="112"/>
      <c r="Q46" s="112"/>
      <c r="R46" s="112"/>
      <c r="S46" s="112"/>
      <c r="T46" s="112"/>
      <c r="U46" s="124"/>
      <c r="V46" s="115" t="s">
        <v>393</v>
      </c>
      <c r="W46" s="115" t="s">
        <v>92</v>
      </c>
      <c r="X46" s="115" t="s">
        <v>92</v>
      </c>
      <c r="Y46" s="115" t="s">
        <v>394</v>
      </c>
      <c r="Z46" s="112"/>
      <c r="AA46" s="111">
        <v>1.0</v>
      </c>
      <c r="AB46" s="112"/>
      <c r="AC46" s="111">
        <v>1.0</v>
      </c>
      <c r="AD46" s="112"/>
      <c r="AE46" s="112"/>
      <c r="AF46" s="112"/>
      <c r="AG46" s="115" t="s">
        <v>395</v>
      </c>
      <c r="AH46" s="115">
        <v>1.0</v>
      </c>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v>1.0</v>
      </c>
      <c r="BG46" s="115"/>
      <c r="BH46" s="115">
        <v>1.0</v>
      </c>
      <c r="BI46" s="115"/>
      <c r="BJ46" s="115"/>
      <c r="BK46" s="115"/>
      <c r="BL46" s="115"/>
      <c r="BM46" s="115"/>
      <c r="BN46" s="115"/>
      <c r="BO46" s="115"/>
      <c r="BP46" s="115"/>
      <c r="BQ46" s="115"/>
      <c r="BR46" s="115"/>
      <c r="BS46" s="115"/>
      <c r="BT46" s="115"/>
      <c r="BU46" s="115"/>
      <c r="BV46" s="115"/>
      <c r="BW46" s="115"/>
      <c r="BX46" s="115"/>
      <c r="BY46" s="115"/>
      <c r="BZ46" s="115"/>
      <c r="CA46" s="115"/>
    </row>
    <row r="47">
      <c r="A47" s="154" t="str">
        <f>HYPERLINK("https://drive.google.com/open?id=0B00cIHsghs6UMjhMNklGS1JNREE","Storrle2016")</f>
        <v>Storrle2016</v>
      </c>
      <c r="B47" s="153" t="s">
        <v>1079</v>
      </c>
      <c r="C47" s="153" t="s">
        <v>1080</v>
      </c>
      <c r="D47" s="110">
        <v>2016.0</v>
      </c>
      <c r="E47" s="112"/>
      <c r="F47" s="111">
        <v>1.0</v>
      </c>
      <c r="G47" s="111"/>
      <c r="H47" s="112"/>
      <c r="I47" s="112"/>
      <c r="J47" s="112"/>
      <c r="K47" s="112"/>
      <c r="L47" s="112"/>
      <c r="M47" s="112"/>
      <c r="N47" s="111">
        <v>1.0</v>
      </c>
      <c r="O47" s="112"/>
      <c r="P47" s="112"/>
      <c r="Q47" s="112"/>
      <c r="R47" s="112"/>
      <c r="S47" s="112"/>
      <c r="T47" s="112"/>
      <c r="U47" s="115" t="s">
        <v>1081</v>
      </c>
      <c r="V47" s="115" t="s">
        <v>1082</v>
      </c>
      <c r="W47" s="115" t="s">
        <v>9</v>
      </c>
      <c r="X47" s="115" t="s">
        <v>1083</v>
      </c>
      <c r="Y47" s="115" t="s">
        <v>1084</v>
      </c>
      <c r="Z47" s="111">
        <v>1.0</v>
      </c>
      <c r="AA47" s="112"/>
      <c r="AB47" s="112"/>
      <c r="AC47" s="111">
        <v>1.0</v>
      </c>
      <c r="AD47" s="112"/>
      <c r="AE47" s="112"/>
      <c r="AF47" s="112"/>
      <c r="AG47" s="115" t="s">
        <v>1085</v>
      </c>
      <c r="AH47" s="115">
        <v>1.0</v>
      </c>
      <c r="AI47" s="115"/>
      <c r="AJ47" s="115"/>
      <c r="AK47" s="115"/>
      <c r="AL47" s="115"/>
      <c r="AM47" s="115"/>
      <c r="AN47" s="115"/>
      <c r="AO47" s="115"/>
      <c r="AP47" s="115"/>
      <c r="AQ47" s="115">
        <v>1.0</v>
      </c>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v>1.0</v>
      </c>
      <c r="CA47" s="115"/>
    </row>
    <row r="48">
      <c r="A48" s="158" t="str">
        <f>HYPERLINK("https://drive.google.com/open?id=0B00cIHsghs6UQ1hwWlRublR6MTg","Hofman2010")</f>
        <v>Hofman2010</v>
      </c>
      <c r="B48" s="153" t="s">
        <v>574</v>
      </c>
      <c r="C48" s="153" t="s">
        <v>575</v>
      </c>
      <c r="D48" s="110">
        <v>2010.0</v>
      </c>
      <c r="E48" s="112"/>
      <c r="F48" s="112"/>
      <c r="G48" s="112"/>
      <c r="H48" s="112"/>
      <c r="I48" s="112"/>
      <c r="J48" s="112"/>
      <c r="K48" s="112"/>
      <c r="L48" s="112"/>
      <c r="M48" s="112"/>
      <c r="N48" s="112"/>
      <c r="O48" s="111">
        <v>1.0</v>
      </c>
      <c r="P48" s="112"/>
      <c r="Q48" s="112"/>
      <c r="R48" s="112"/>
      <c r="S48" s="112"/>
      <c r="T48" s="112"/>
      <c r="U48" s="115" t="s">
        <v>576</v>
      </c>
      <c r="V48" s="115" t="s">
        <v>577</v>
      </c>
      <c r="W48" s="115" t="s">
        <v>92</v>
      </c>
      <c r="X48" s="115" t="s">
        <v>92</v>
      </c>
      <c r="Y48" s="115" t="s">
        <v>578</v>
      </c>
      <c r="Z48" s="111">
        <v>1.0</v>
      </c>
      <c r="AA48" s="112"/>
      <c r="AB48" s="112"/>
      <c r="AC48" s="112"/>
      <c r="AD48" s="112"/>
      <c r="AE48" s="112"/>
      <c r="AF48" s="112"/>
      <c r="AG48" s="115" t="s">
        <v>579</v>
      </c>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c r="A49" s="158" t="str">
        <f>HYPERLINK("https://drive.google.com/open?id=0B00cIHsghs6URHMwUUhRekhaOE0","Moe2008")</f>
        <v>Moe2008</v>
      </c>
      <c r="B49" s="159" t="s">
        <v>743</v>
      </c>
      <c r="C49" s="153" t="s">
        <v>744</v>
      </c>
      <c r="D49" s="110">
        <v>2008.0</v>
      </c>
      <c r="E49" s="160"/>
      <c r="F49" s="112"/>
      <c r="G49" s="112"/>
      <c r="H49" s="112"/>
      <c r="I49" s="112"/>
      <c r="J49" s="112"/>
      <c r="K49" s="112"/>
      <c r="L49" s="112"/>
      <c r="M49" s="111">
        <v>1.0</v>
      </c>
      <c r="N49" s="112"/>
      <c r="O49" s="112"/>
      <c r="P49" s="112"/>
      <c r="Q49" s="111">
        <v>1.0</v>
      </c>
      <c r="R49" s="112"/>
      <c r="S49" s="112"/>
      <c r="T49" s="112"/>
      <c r="U49" s="124"/>
      <c r="V49" s="115" t="s">
        <v>745</v>
      </c>
      <c r="W49" s="115" t="s">
        <v>746</v>
      </c>
      <c r="X49" s="115" t="s">
        <v>747</v>
      </c>
      <c r="Y49" s="115" t="s">
        <v>137</v>
      </c>
      <c r="Z49" s="112"/>
      <c r="AA49" s="111">
        <v>1.0</v>
      </c>
      <c r="AB49" s="112"/>
      <c r="AC49" s="111">
        <v>1.0</v>
      </c>
      <c r="AD49" s="112"/>
      <c r="AE49" s="112"/>
      <c r="AF49" s="111" t="s">
        <v>748</v>
      </c>
      <c r="AG49" s="115" t="s">
        <v>749</v>
      </c>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c r="A50" s="154" t="str">
        <f>HYPERLINK("https://drive.google.com/open?id=0B00cIHsghs6UQnkwQ3hfTFZOd3c","Taeumel2014")</f>
        <v>Taeumel2014</v>
      </c>
      <c r="B50" s="159" t="s">
        <v>4444</v>
      </c>
      <c r="C50" s="153" t="s">
        <v>4445</v>
      </c>
      <c r="D50" s="110">
        <v>2014.0</v>
      </c>
      <c r="E50" s="160">
        <v>1.0</v>
      </c>
      <c r="F50" s="112"/>
      <c r="G50" s="112"/>
      <c r="H50" s="112"/>
      <c r="I50" s="112"/>
      <c r="J50" s="112"/>
      <c r="K50" s="112"/>
      <c r="L50" s="112"/>
      <c r="M50" s="112"/>
      <c r="N50" s="112"/>
      <c r="O50" s="112"/>
      <c r="P50" s="112"/>
      <c r="Q50" s="112"/>
      <c r="R50" s="112"/>
      <c r="S50" s="112"/>
      <c r="T50" s="112"/>
      <c r="U50" s="124"/>
      <c r="V50" s="124"/>
      <c r="W50" s="124"/>
      <c r="X50" s="124"/>
      <c r="Y50" s="124"/>
      <c r="Z50" s="112"/>
      <c r="AA50" s="112"/>
      <c r="AB50" s="112"/>
      <c r="AC50" s="112"/>
      <c r="AD50" s="112"/>
      <c r="AE50" s="112"/>
      <c r="AF50" s="112"/>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row>
    <row r="51">
      <c r="A51" s="154" t="str">
        <f>HYPERLINK("https://drive.google.com/open?id=0B00cIHsghs6UblJTTmJlYWtZS2s","Scandura1990")</f>
        <v>Scandura1990</v>
      </c>
      <c r="B51" s="153" t="s">
        <v>4446</v>
      </c>
      <c r="C51" s="141"/>
      <c r="D51" s="110">
        <v>1990.0</v>
      </c>
      <c r="E51" s="160">
        <v>1.0</v>
      </c>
      <c r="F51" s="112"/>
      <c r="G51" s="112"/>
      <c r="H51" s="112"/>
      <c r="I51" s="112"/>
      <c r="J51" s="112"/>
      <c r="K51" s="112"/>
      <c r="L51" s="112"/>
      <c r="M51" s="112"/>
      <c r="N51" s="112"/>
      <c r="O51" s="112"/>
      <c r="P51" s="112"/>
      <c r="Q51" s="112"/>
      <c r="R51" s="112"/>
      <c r="S51" s="112"/>
      <c r="T51" s="112"/>
      <c r="U51" s="124"/>
      <c r="V51" s="124"/>
      <c r="W51" s="124"/>
      <c r="X51" s="124"/>
      <c r="Y51" s="124"/>
      <c r="Z51" s="112"/>
      <c r="AA51" s="112"/>
      <c r="AB51" s="112"/>
      <c r="AC51" s="112"/>
      <c r="AD51" s="112"/>
      <c r="AE51" s="112"/>
      <c r="AF51" s="112"/>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row>
    <row r="52">
      <c r="A52" s="154" t="str">
        <f>HYPERLINK("https://drive.google.com/open?id=0B00cIHsghs6UUmI0ejNXSmtOYTQ","DeAlwis2008")</f>
        <v>DeAlwis2008</v>
      </c>
      <c r="B52" s="153" t="s">
        <v>408</v>
      </c>
      <c r="C52" s="141"/>
      <c r="D52" s="110">
        <v>2008.0</v>
      </c>
      <c r="E52" s="163"/>
      <c r="F52" s="112"/>
      <c r="G52" s="112"/>
      <c r="H52" s="112"/>
      <c r="I52" s="112"/>
      <c r="J52" s="111">
        <v>1.0</v>
      </c>
      <c r="K52" s="112"/>
      <c r="L52" s="112"/>
      <c r="M52" s="112"/>
      <c r="N52" s="112"/>
      <c r="O52" s="112"/>
      <c r="P52" s="112"/>
      <c r="Q52" s="112"/>
      <c r="R52" s="112"/>
      <c r="S52" s="112"/>
      <c r="T52" s="112"/>
      <c r="U52" s="124"/>
      <c r="V52" s="115" t="s">
        <v>409</v>
      </c>
      <c r="W52" s="115" t="s">
        <v>410</v>
      </c>
      <c r="X52" s="115" t="s">
        <v>411</v>
      </c>
      <c r="Y52" s="115" t="s">
        <v>137</v>
      </c>
      <c r="Z52" s="111">
        <v>1.0</v>
      </c>
      <c r="AA52" s="112"/>
      <c r="AB52" s="112"/>
      <c r="AC52" s="111">
        <v>1.0</v>
      </c>
      <c r="AD52" s="112"/>
      <c r="AE52" s="112"/>
      <c r="AF52" s="112"/>
      <c r="AG52" s="115" t="s">
        <v>412</v>
      </c>
      <c r="AH52" s="115">
        <v>1.0</v>
      </c>
      <c r="AI52" s="115"/>
      <c r="AJ52" s="115"/>
      <c r="AK52" s="115"/>
      <c r="AL52" s="115"/>
      <c r="AM52" s="115"/>
      <c r="AN52" s="115"/>
      <c r="AO52" s="115"/>
      <c r="AP52" s="115"/>
      <c r="AQ52" s="115">
        <v>1.0</v>
      </c>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v>1.0</v>
      </c>
      <c r="CA52" s="115"/>
    </row>
    <row r="53">
      <c r="A53" s="154" t="str">
        <f>HYPERLINK("https://drive.google.com/open?id=0B00cIHsghs6UT2U3X0Ita0syVDA","Tessem1997")</f>
        <v>Tessem1997</v>
      </c>
      <c r="B53" s="159" t="s">
        <v>1111</v>
      </c>
      <c r="C53" s="153" t="s">
        <v>1112</v>
      </c>
      <c r="D53" s="110">
        <v>1997.0</v>
      </c>
      <c r="E53" s="160">
        <v>1.0</v>
      </c>
      <c r="F53" s="112"/>
      <c r="G53" s="112"/>
      <c r="H53" s="112"/>
      <c r="I53" s="112"/>
      <c r="J53" s="112"/>
      <c r="K53" s="112"/>
      <c r="L53" s="112"/>
      <c r="M53" s="112"/>
      <c r="N53" s="112"/>
      <c r="O53" s="112"/>
      <c r="P53" s="112"/>
      <c r="Q53" s="112"/>
      <c r="R53" s="112"/>
      <c r="S53" s="112"/>
      <c r="T53" s="112"/>
      <c r="U53" s="124"/>
      <c r="V53" s="124"/>
      <c r="W53" s="124"/>
      <c r="X53" s="124"/>
      <c r="Y53" s="124"/>
      <c r="Z53" s="112"/>
      <c r="AA53" s="112"/>
      <c r="AB53" s="112"/>
      <c r="AC53" s="112"/>
      <c r="AD53" s="112"/>
      <c r="AE53" s="112"/>
      <c r="AF53" s="112"/>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row>
    <row r="54">
      <c r="A54" s="154" t="str">
        <f>HYPERLINK("https://drive.google.com/open?id=0B00cIHsghs6UaXNyenBYY2otTW8","Zylka2016")</f>
        <v>Zylka2016</v>
      </c>
      <c r="B54" s="159" t="s">
        <v>2116</v>
      </c>
      <c r="C54" s="153" t="s">
        <v>2117</v>
      </c>
      <c r="D54" s="110">
        <v>2016.0</v>
      </c>
      <c r="E54" s="160">
        <v>1.0</v>
      </c>
      <c r="F54" s="112"/>
      <c r="G54" s="112"/>
      <c r="H54" s="112"/>
      <c r="I54" s="112"/>
      <c r="J54" s="112"/>
      <c r="K54" s="112"/>
      <c r="L54" s="112"/>
      <c r="M54" s="112"/>
      <c r="N54" s="112"/>
      <c r="O54" s="112"/>
      <c r="P54" s="112"/>
      <c r="Q54" s="112"/>
      <c r="R54" s="112"/>
      <c r="S54" s="112"/>
      <c r="T54" s="112"/>
      <c r="U54" s="124"/>
      <c r="V54" s="124"/>
      <c r="W54" s="124"/>
      <c r="X54" s="124"/>
      <c r="Y54" s="124"/>
      <c r="Z54" s="112"/>
      <c r="AA54" s="112"/>
      <c r="AB54" s="112"/>
      <c r="AC54" s="112"/>
      <c r="AD54" s="112"/>
      <c r="AE54" s="112"/>
      <c r="AF54" s="112"/>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row>
    <row r="55">
      <c r="A55" s="154" t="str">
        <f>HYPERLINK("https://drive.google.com/open?id=0B00cIHsghs6UYjEyM05jSXZhZjg","Fiondella2015")</f>
        <v>Fiondella2015</v>
      </c>
      <c r="B55" s="159" t="s">
        <v>2258</v>
      </c>
      <c r="C55" s="153" t="s">
        <v>2259</v>
      </c>
      <c r="D55" s="110">
        <v>2015.0</v>
      </c>
      <c r="E55" s="160">
        <v>1.0</v>
      </c>
      <c r="F55" s="112"/>
      <c r="G55" s="112"/>
      <c r="H55" s="112"/>
      <c r="I55" s="112"/>
      <c r="J55" s="112"/>
      <c r="K55" s="112"/>
      <c r="L55" s="112"/>
      <c r="M55" s="112"/>
      <c r="N55" s="112"/>
      <c r="O55" s="112"/>
      <c r="P55" s="112"/>
      <c r="Q55" s="112"/>
      <c r="R55" s="112"/>
      <c r="S55" s="112"/>
      <c r="T55" s="112"/>
      <c r="U55" s="124"/>
      <c r="V55" s="124"/>
      <c r="W55" s="124"/>
      <c r="X55" s="124"/>
      <c r="Y55" s="124"/>
      <c r="Z55" s="112"/>
      <c r="AA55" s="112"/>
      <c r="AB55" s="112"/>
      <c r="AC55" s="112"/>
      <c r="AD55" s="112"/>
      <c r="AE55" s="112"/>
      <c r="AF55" s="112"/>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row>
    <row r="56">
      <c r="A56" s="154" t="str">
        <f>HYPERLINK("https://drive.google.com/open?id=0B00cIHsghs6URDZ2emFvSmJJRmc","Barik2015")</f>
        <v>Barik2015</v>
      </c>
      <c r="B56" s="159" t="s">
        <v>195</v>
      </c>
      <c r="C56" s="153" t="s">
        <v>196</v>
      </c>
      <c r="D56" s="110">
        <v>2015.0</v>
      </c>
      <c r="E56" s="112"/>
      <c r="F56" s="112"/>
      <c r="G56" s="112"/>
      <c r="H56" s="111">
        <v>1.0</v>
      </c>
      <c r="I56" s="112"/>
      <c r="J56" s="112"/>
      <c r="K56" s="112"/>
      <c r="L56" s="112"/>
      <c r="M56" s="112"/>
      <c r="N56" s="112"/>
      <c r="O56" s="112"/>
      <c r="P56" s="112"/>
      <c r="Q56" s="112"/>
      <c r="R56" s="112"/>
      <c r="S56" s="112"/>
      <c r="T56" s="112"/>
      <c r="U56" s="124"/>
      <c r="V56" s="115" t="s">
        <v>197</v>
      </c>
      <c r="W56" s="115" t="s">
        <v>92</v>
      </c>
      <c r="X56" s="115" t="s">
        <v>92</v>
      </c>
      <c r="Y56" s="115" t="s">
        <v>198</v>
      </c>
      <c r="Z56" s="112"/>
      <c r="AA56" s="112"/>
      <c r="AB56" s="111">
        <v>1.0</v>
      </c>
      <c r="AC56" s="112"/>
      <c r="AD56" s="112"/>
      <c r="AE56" s="112"/>
      <c r="AF56" s="112"/>
      <c r="AG56" s="115" t="s">
        <v>199</v>
      </c>
      <c r="AH56" s="115">
        <v>1.0</v>
      </c>
      <c r="AI56" s="115"/>
      <c r="AJ56" s="115"/>
      <c r="AK56" s="115"/>
      <c r="AL56" s="115"/>
      <c r="AM56" s="115"/>
      <c r="AN56" s="115"/>
      <c r="AO56" s="115"/>
      <c r="AP56" s="115"/>
      <c r="AQ56" s="115">
        <v>1.0</v>
      </c>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c r="A57" s="136" t="s">
        <v>4409</v>
      </c>
      <c r="C57" s="141"/>
      <c r="D57" s="137"/>
      <c r="E57" s="142" t="str">
        <f>ROWS(E3:E56)&amp;" ("&amp;ROWS(E3:E56)-sum(E3:E56)&amp;"/"&amp;sum(E3:E56)&amp;")"</f>
        <v>54 (33/21)</v>
      </c>
      <c r="F57" s="112"/>
      <c r="G57" s="112"/>
      <c r="H57" s="112"/>
      <c r="I57" s="112"/>
      <c r="J57" s="112"/>
      <c r="K57" s="112"/>
      <c r="L57" s="112"/>
      <c r="M57" s="112"/>
      <c r="N57" s="112"/>
      <c r="O57" s="112"/>
      <c r="P57" s="112"/>
      <c r="Q57" s="112"/>
      <c r="R57" s="112"/>
      <c r="S57" s="112"/>
      <c r="T57" s="112"/>
      <c r="U57" s="124"/>
      <c r="V57" s="124"/>
      <c r="W57" s="124"/>
      <c r="X57" s="124"/>
      <c r="Y57" s="124"/>
      <c r="Z57" s="112"/>
      <c r="AA57" s="112"/>
      <c r="AB57" s="112"/>
      <c r="AC57" s="112"/>
      <c r="AD57" s="112"/>
      <c r="AE57" s="112"/>
      <c r="AF57" s="112"/>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row>
    <row r="58">
      <c r="A58" s="164" t="str">
        <f>HYPERLINK("https://drive.google.com/open?id=1udUHGMCVraVbXnC-efjkY6U-jE0fdgT-","Abrahao2013")</f>
        <v>Abrahao2013</v>
      </c>
      <c r="B58" s="153" t="s">
        <v>89</v>
      </c>
      <c r="C58" s="153" t="s">
        <v>90</v>
      </c>
      <c r="D58" s="110">
        <v>2013.0</v>
      </c>
      <c r="E58" s="112"/>
      <c r="F58" s="111">
        <v>1.0</v>
      </c>
      <c r="G58" s="112"/>
      <c r="H58" s="112"/>
      <c r="I58" s="112"/>
      <c r="J58" s="112"/>
      <c r="K58" s="112"/>
      <c r="L58" s="112"/>
      <c r="M58" s="112"/>
      <c r="N58" s="112"/>
      <c r="O58" s="112"/>
      <c r="P58" s="112"/>
      <c r="Q58" s="112"/>
      <c r="R58" s="112"/>
      <c r="S58" s="112"/>
      <c r="T58" s="112"/>
      <c r="U58" s="124"/>
      <c r="V58" s="165" t="s">
        <v>91</v>
      </c>
      <c r="W58" s="115" t="s">
        <v>92</v>
      </c>
      <c r="X58" s="115" t="s">
        <v>93</v>
      </c>
      <c r="Y58" s="115" t="s">
        <v>94</v>
      </c>
      <c r="Z58" s="111">
        <v>1.0</v>
      </c>
      <c r="AA58" s="111">
        <v>1.0</v>
      </c>
      <c r="AB58" s="112"/>
      <c r="AC58" s="111">
        <v>1.0</v>
      </c>
      <c r="AD58" s="112"/>
      <c r="AE58" s="112"/>
      <c r="AF58" s="112"/>
      <c r="AG58" s="124"/>
      <c r="AH58" s="115">
        <v>1.0</v>
      </c>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15">
        <v>1.0</v>
      </c>
      <c r="BE58" s="124"/>
      <c r="BF58" s="124"/>
      <c r="BG58" s="124"/>
      <c r="BH58" s="124"/>
      <c r="BI58" s="124"/>
      <c r="BJ58" s="124"/>
      <c r="BK58" s="124"/>
      <c r="BL58" s="115">
        <v>1.0</v>
      </c>
      <c r="BM58" s="124"/>
      <c r="BN58" s="124"/>
      <c r="BO58" s="124"/>
      <c r="BP58" s="124"/>
      <c r="BQ58" s="124"/>
      <c r="BR58" s="124"/>
      <c r="BS58" s="124"/>
      <c r="BT58" s="124"/>
      <c r="BU58" s="124"/>
      <c r="BV58" s="124"/>
      <c r="BW58" s="124"/>
      <c r="BX58" s="115">
        <v>1.0</v>
      </c>
      <c r="BY58" s="124"/>
      <c r="BZ58" s="124"/>
      <c r="CA58" s="124"/>
    </row>
    <row r="59">
      <c r="A59" s="166" t="str">
        <f>HYPERLINK("https://drive.google.com/open?id=1A-fqtpQk5qcyGSMnBML6hnUPtwRFD6B4","Adelson1981")</f>
        <v>Adelson1981</v>
      </c>
      <c r="B59" s="153" t="s">
        <v>95</v>
      </c>
      <c r="C59" s="153" t="s">
        <v>96</v>
      </c>
      <c r="D59" s="110">
        <v>1981.0</v>
      </c>
      <c r="E59" s="112"/>
      <c r="F59" s="112"/>
      <c r="G59" s="112"/>
      <c r="H59" s="111">
        <v>1.0</v>
      </c>
      <c r="I59" s="112"/>
      <c r="J59" s="112"/>
      <c r="K59" s="112"/>
      <c r="L59" s="112"/>
      <c r="M59" s="112"/>
      <c r="N59" s="112"/>
      <c r="O59" s="112"/>
      <c r="P59" s="112"/>
      <c r="Q59" s="112"/>
      <c r="R59" s="112"/>
      <c r="S59" s="112"/>
      <c r="T59" s="112"/>
      <c r="U59" s="124"/>
      <c r="V59" s="115" t="s">
        <v>97</v>
      </c>
      <c r="W59" s="115" t="s">
        <v>98</v>
      </c>
      <c r="X59" s="115" t="s">
        <v>99</v>
      </c>
      <c r="Y59" s="115" t="s">
        <v>100</v>
      </c>
      <c r="Z59" s="111">
        <v>1.0</v>
      </c>
      <c r="AA59" s="112"/>
      <c r="AB59" s="112"/>
      <c r="AC59" s="111">
        <v>1.0</v>
      </c>
      <c r="AD59" s="112"/>
      <c r="AE59" s="112"/>
      <c r="AF59" s="112"/>
      <c r="AG59" s="124"/>
      <c r="AH59" s="115">
        <v>1.0</v>
      </c>
      <c r="AI59" s="124"/>
      <c r="AJ59" s="124"/>
      <c r="AK59" s="124"/>
      <c r="AL59" s="124"/>
      <c r="AM59" s="115">
        <v>1.0</v>
      </c>
      <c r="AN59" s="124"/>
      <c r="AO59" s="124"/>
      <c r="AP59" s="124"/>
      <c r="AQ59" s="124"/>
      <c r="AR59" s="124"/>
      <c r="AS59" s="124"/>
      <c r="AT59" s="124"/>
      <c r="AU59" s="124"/>
      <c r="AV59" s="124"/>
      <c r="AW59" s="124"/>
      <c r="AX59" s="124"/>
      <c r="AY59" s="124"/>
      <c r="AZ59" s="124"/>
      <c r="BA59" s="124"/>
      <c r="BB59" s="124"/>
      <c r="BC59" s="124"/>
      <c r="BD59" s="124"/>
      <c r="BE59" s="124"/>
      <c r="BF59" s="124"/>
      <c r="BG59" s="124"/>
      <c r="BH59" s="124"/>
      <c r="BI59" s="115">
        <v>1.0</v>
      </c>
      <c r="BJ59" s="124"/>
      <c r="BK59" s="124"/>
      <c r="BL59" s="124"/>
      <c r="BM59" s="124"/>
      <c r="BN59" s="124"/>
      <c r="BO59" s="124"/>
      <c r="BP59" s="124"/>
      <c r="BQ59" s="124"/>
      <c r="BR59" s="124"/>
      <c r="BS59" s="124"/>
      <c r="BT59" s="124"/>
      <c r="BU59" s="115">
        <v>1.0</v>
      </c>
      <c r="BV59" s="124"/>
      <c r="BW59" s="124"/>
      <c r="BX59" s="124"/>
      <c r="BY59" s="124"/>
      <c r="BZ59" s="124"/>
      <c r="CA59" s="124"/>
    </row>
    <row r="60">
      <c r="A60" s="166" t="str">
        <f>HYPERLINK("https://drive.google.com/open?id=1GGXpUzRNGEowPBrn7AhpVRMEyD7tmzkx","Agarwal1996a")</f>
        <v>Agarwal1996a</v>
      </c>
      <c r="B60" s="153" t="s">
        <v>101</v>
      </c>
      <c r="C60" s="153" t="s">
        <v>102</v>
      </c>
      <c r="D60" s="110">
        <v>1996.0</v>
      </c>
      <c r="E60" s="112"/>
      <c r="F60" s="112"/>
      <c r="G60" s="111">
        <v>1.0</v>
      </c>
      <c r="H60" s="112"/>
      <c r="I60" s="112"/>
      <c r="J60" s="112"/>
      <c r="K60" s="112"/>
      <c r="L60" s="112"/>
      <c r="M60" s="112"/>
      <c r="N60" s="112"/>
      <c r="O60" s="112"/>
      <c r="P60" s="112"/>
      <c r="Q60" s="112"/>
      <c r="R60" s="112"/>
      <c r="S60" s="112"/>
      <c r="T60" s="112"/>
      <c r="U60" s="124"/>
      <c r="V60" s="115" t="s">
        <v>103</v>
      </c>
      <c r="W60" s="115" t="s">
        <v>84</v>
      </c>
      <c r="X60" s="115" t="s">
        <v>104</v>
      </c>
      <c r="Y60" s="115" t="s">
        <v>100</v>
      </c>
      <c r="Z60" s="111">
        <v>1.0</v>
      </c>
      <c r="AA60" s="112"/>
      <c r="AB60" s="112"/>
      <c r="AC60" s="111">
        <v>1.0</v>
      </c>
      <c r="AD60" s="112"/>
      <c r="AE60" s="112"/>
      <c r="AF60" s="112"/>
      <c r="AG60" s="124"/>
      <c r="AH60" s="115">
        <v>1.0</v>
      </c>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15">
        <v>1.0</v>
      </c>
      <c r="BE60" s="124"/>
      <c r="BF60" s="124"/>
      <c r="BG60" s="124"/>
      <c r="BH60" s="124"/>
      <c r="BI60" s="124"/>
      <c r="BJ60" s="124"/>
      <c r="BK60" s="124"/>
      <c r="BL60" s="124"/>
      <c r="BM60" s="124"/>
      <c r="BN60" s="124"/>
      <c r="BO60" s="124"/>
      <c r="BP60" s="124"/>
      <c r="BQ60" s="124"/>
      <c r="BR60" s="124"/>
      <c r="BS60" s="124"/>
      <c r="BT60" s="124"/>
      <c r="BU60" s="124"/>
      <c r="BV60" s="124"/>
      <c r="BW60" s="124"/>
      <c r="BX60" s="115">
        <v>1.0</v>
      </c>
      <c r="BY60" s="124"/>
      <c r="BZ60" s="115"/>
      <c r="CA60" s="124"/>
    </row>
    <row r="61">
      <c r="A61" s="166" t="str">
        <f>HYPERLINK("https://drive.google.com/open?id=1X8v6g164iQc6AnXBh2QY8FMURxz_s3sh","Agarwal1996b")</f>
        <v>Agarwal1996b</v>
      </c>
      <c r="B61" s="153" t="s">
        <v>105</v>
      </c>
      <c r="C61" s="153" t="s">
        <v>106</v>
      </c>
      <c r="D61" s="110">
        <v>1996.0</v>
      </c>
      <c r="E61" s="112"/>
      <c r="F61" s="112"/>
      <c r="G61" s="111">
        <v>1.0</v>
      </c>
      <c r="H61" s="112"/>
      <c r="I61" s="112"/>
      <c r="J61" s="112"/>
      <c r="K61" s="112"/>
      <c r="L61" s="112"/>
      <c r="M61" s="112"/>
      <c r="N61" s="112"/>
      <c r="O61" s="112"/>
      <c r="P61" s="112"/>
      <c r="Q61" s="112"/>
      <c r="R61" s="112"/>
      <c r="S61" s="112"/>
      <c r="T61" s="112"/>
      <c r="U61" s="124"/>
      <c r="V61" s="115" t="s">
        <v>107</v>
      </c>
      <c r="W61" s="115" t="s">
        <v>84</v>
      </c>
      <c r="X61" s="115" t="s">
        <v>104</v>
      </c>
      <c r="Y61" s="115" t="s">
        <v>100</v>
      </c>
      <c r="Z61" s="111">
        <v>1.0</v>
      </c>
      <c r="AA61" s="111">
        <v>1.0</v>
      </c>
      <c r="AB61" s="112"/>
      <c r="AC61" s="111">
        <v>1.0</v>
      </c>
      <c r="AD61" s="112"/>
      <c r="AE61" s="112"/>
      <c r="AF61" s="112"/>
      <c r="AG61" s="124"/>
      <c r="AH61" s="115">
        <v>1.0</v>
      </c>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15">
        <v>1.0</v>
      </c>
      <c r="BE61" s="124"/>
      <c r="BF61" s="124"/>
      <c r="BG61" s="124"/>
      <c r="BH61" s="124"/>
      <c r="BI61" s="115">
        <v>1.0</v>
      </c>
      <c r="BJ61" s="124"/>
      <c r="BK61" s="124"/>
      <c r="BL61" s="124"/>
      <c r="BM61" s="124"/>
      <c r="BN61" s="124"/>
      <c r="BO61" s="124"/>
      <c r="BP61" s="124"/>
      <c r="BQ61" s="124"/>
      <c r="BR61" s="124"/>
      <c r="BS61" s="124"/>
      <c r="BT61" s="124"/>
      <c r="BU61" s="124"/>
      <c r="BV61" s="124"/>
      <c r="BW61" s="124"/>
      <c r="BX61" s="115">
        <v>1.0</v>
      </c>
      <c r="BY61" s="124"/>
      <c r="BZ61" s="115"/>
      <c r="CA61" s="124"/>
    </row>
    <row r="62">
      <c r="A62" s="164" t="str">
        <f>HYPERLINK("https://drive.google.com/open?id=1A-Qgl1TC-kmQI8iWXf10Tc6gafly854y","Aranda2005")</f>
        <v>Aranda2005</v>
      </c>
      <c r="B62" s="153" t="s">
        <v>138</v>
      </c>
      <c r="C62" s="153" t="s">
        <v>139</v>
      </c>
      <c r="D62" s="110">
        <v>2005.0</v>
      </c>
      <c r="E62" s="112"/>
      <c r="F62" s="111">
        <v>1.0</v>
      </c>
      <c r="G62" s="112"/>
      <c r="H62" s="112"/>
      <c r="I62" s="112"/>
      <c r="J62" s="112"/>
      <c r="K62" s="112"/>
      <c r="L62" s="112"/>
      <c r="M62" s="112"/>
      <c r="N62" s="112"/>
      <c r="O62" s="112"/>
      <c r="P62" s="112"/>
      <c r="Q62" s="112"/>
      <c r="R62" s="112"/>
      <c r="S62" s="112"/>
      <c r="T62" s="112"/>
      <c r="U62" s="115" t="s">
        <v>140</v>
      </c>
      <c r="V62" s="115" t="s">
        <v>141</v>
      </c>
      <c r="W62" s="115" t="s">
        <v>142</v>
      </c>
      <c r="X62" s="115" t="s">
        <v>143</v>
      </c>
      <c r="Y62" s="115" t="s">
        <v>100</v>
      </c>
      <c r="Z62" s="112"/>
      <c r="AA62" s="112"/>
      <c r="AB62" s="111">
        <v>1.0</v>
      </c>
      <c r="AC62" s="112"/>
      <c r="AD62" s="112"/>
      <c r="AE62" s="112"/>
      <c r="AF62" s="112"/>
      <c r="AG62" s="124"/>
      <c r="AH62" s="124"/>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24"/>
      <c r="BE62" s="124"/>
      <c r="BF62" s="124"/>
      <c r="BG62" s="124"/>
      <c r="BH62" s="124"/>
      <c r="BI62" s="124"/>
      <c r="BJ62" s="124"/>
      <c r="BK62" s="124"/>
      <c r="BL62" s="124"/>
      <c r="BM62" s="124"/>
      <c r="BN62" s="124"/>
      <c r="BO62" s="124"/>
      <c r="BP62" s="124"/>
      <c r="BQ62" s="124"/>
      <c r="BR62" s="124"/>
      <c r="BS62" s="124"/>
      <c r="BT62" s="124"/>
      <c r="BU62" s="124"/>
      <c r="BV62" s="124"/>
      <c r="BW62" s="124"/>
      <c r="BX62" s="124"/>
      <c r="BY62" s="124"/>
      <c r="BZ62" s="124"/>
      <c r="CA62" s="124"/>
    </row>
    <row r="63">
      <c r="A63" s="166" t="str">
        <f>HYPERLINK("https://drive.google.com/open?id=1wDqVM-XyISIANaZ_p2GNviZ5r-_0OFSH","Burton-Jones2006")</f>
        <v>Burton-Jones2006</v>
      </c>
      <c r="B63" s="153" t="s">
        <v>273</v>
      </c>
      <c r="C63" s="153" t="s">
        <v>274</v>
      </c>
      <c r="D63" s="110">
        <v>2006.0</v>
      </c>
      <c r="E63" s="112"/>
      <c r="F63" s="112"/>
      <c r="G63" s="111">
        <v>1.0</v>
      </c>
      <c r="H63" s="112"/>
      <c r="I63" s="112"/>
      <c r="J63" s="112"/>
      <c r="K63" s="112"/>
      <c r="L63" s="112"/>
      <c r="M63" s="112"/>
      <c r="N63" s="112"/>
      <c r="O63" s="112"/>
      <c r="P63" s="112"/>
      <c r="Q63" s="112"/>
      <c r="R63" s="112"/>
      <c r="S63" s="112"/>
      <c r="T63" s="112"/>
      <c r="U63" s="124"/>
      <c r="V63" s="115" t="s">
        <v>275</v>
      </c>
      <c r="W63" s="115" t="s">
        <v>84</v>
      </c>
      <c r="X63" s="115" t="s">
        <v>276</v>
      </c>
      <c r="Y63" s="115" t="s">
        <v>100</v>
      </c>
      <c r="Z63" s="111">
        <v>1.0</v>
      </c>
      <c r="AA63" s="112"/>
      <c r="AB63" s="112"/>
      <c r="AC63" s="111">
        <v>1.0</v>
      </c>
      <c r="AD63" s="112"/>
      <c r="AE63" s="112"/>
      <c r="AF63" s="112"/>
      <c r="AG63" s="124"/>
      <c r="AH63" s="115">
        <v>1.0</v>
      </c>
      <c r="AI63" s="124"/>
      <c r="AJ63" s="124"/>
      <c r="AK63" s="124"/>
      <c r="AL63" s="124"/>
      <c r="AM63" s="115">
        <v>1.0</v>
      </c>
      <c r="AN63" s="124"/>
      <c r="AO63" s="124"/>
      <c r="AP63" s="124"/>
      <c r="AQ63" s="124"/>
      <c r="AR63" s="124"/>
      <c r="AS63" s="124"/>
      <c r="AT63" s="124"/>
      <c r="AU63" s="124"/>
      <c r="AV63" s="124"/>
      <c r="AW63" s="124"/>
      <c r="AX63" s="124"/>
      <c r="AY63" s="124"/>
      <c r="AZ63" s="124"/>
      <c r="BA63" s="124"/>
      <c r="BB63" s="124"/>
      <c r="BC63" s="124"/>
      <c r="BD63" s="115">
        <v>1.0</v>
      </c>
      <c r="BE63" s="124"/>
      <c r="BF63" s="124"/>
      <c r="BG63" s="124"/>
      <c r="BH63" s="124"/>
      <c r="BI63" s="124"/>
      <c r="BJ63" s="124"/>
      <c r="BK63" s="124"/>
      <c r="BL63" s="124"/>
      <c r="BM63" s="124"/>
      <c r="BN63" s="124"/>
      <c r="BO63" s="124"/>
      <c r="BP63" s="124"/>
      <c r="BQ63" s="124"/>
      <c r="BR63" s="124"/>
      <c r="BS63" s="124"/>
      <c r="BT63" s="124"/>
      <c r="BU63" s="124"/>
      <c r="BV63" s="124"/>
      <c r="BW63" s="124"/>
      <c r="BX63" s="115">
        <v>1.0</v>
      </c>
      <c r="BY63" s="124"/>
      <c r="BZ63" s="115">
        <v>1.0</v>
      </c>
      <c r="CA63" s="124"/>
    </row>
    <row r="64">
      <c r="A64" s="166" t="str">
        <f>HYPERLINK("https://drive.google.com/open?id=1fcMG7VLxvLv0V7VCK5HEmvmM37MfJUH2","Calikli2010")</f>
        <v>Calikli2010</v>
      </c>
      <c r="B64" s="153" t="s">
        <v>283</v>
      </c>
      <c r="C64" s="153" t="s">
        <v>284</v>
      </c>
      <c r="D64" s="110">
        <v>2010.0</v>
      </c>
      <c r="E64" s="112"/>
      <c r="F64" s="112"/>
      <c r="G64" s="112"/>
      <c r="H64" s="112"/>
      <c r="I64" s="111">
        <v>1.0</v>
      </c>
      <c r="J64" s="112"/>
      <c r="K64" s="112"/>
      <c r="L64" s="112"/>
      <c r="M64" s="112"/>
      <c r="N64" s="112"/>
      <c r="O64" s="112"/>
      <c r="P64" s="112"/>
      <c r="Q64" s="112"/>
      <c r="R64" s="112"/>
      <c r="S64" s="112"/>
      <c r="T64" s="112"/>
      <c r="U64" s="124"/>
      <c r="V64" s="115" t="s">
        <v>285</v>
      </c>
      <c r="W64" s="115" t="s">
        <v>84</v>
      </c>
      <c r="X64" s="115" t="s">
        <v>286</v>
      </c>
      <c r="Y64" s="115" t="s">
        <v>100</v>
      </c>
      <c r="Z64" s="111">
        <v>1.0</v>
      </c>
      <c r="AA64" s="111">
        <v>1.0</v>
      </c>
      <c r="AB64" s="112"/>
      <c r="AC64" s="111">
        <v>1.0</v>
      </c>
      <c r="AD64" s="112"/>
      <c r="AE64" s="112"/>
      <c r="AF64" s="112"/>
      <c r="AG64" s="124"/>
      <c r="AH64" s="115">
        <v>1.0</v>
      </c>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c r="BF64" s="124"/>
      <c r="BG64" s="124"/>
      <c r="BH64" s="115">
        <v>1.0</v>
      </c>
      <c r="BI64" s="124"/>
      <c r="BJ64" s="124"/>
      <c r="BK64" s="124"/>
      <c r="BL64" s="124"/>
      <c r="BM64" s="124"/>
      <c r="BN64" s="124"/>
      <c r="BO64" s="124"/>
      <c r="BP64" s="124"/>
      <c r="BQ64" s="124"/>
      <c r="BR64" s="124"/>
      <c r="BS64" s="124"/>
      <c r="BT64" s="124"/>
      <c r="BU64" s="124"/>
      <c r="BV64" s="124"/>
      <c r="BW64" s="124"/>
      <c r="BX64" s="115">
        <v>1.0</v>
      </c>
      <c r="BY64" s="124"/>
      <c r="BZ64" s="124"/>
      <c r="CA64" s="124"/>
    </row>
    <row r="65">
      <c r="A65" s="166" t="str">
        <f>HYPERLINK("https://drive.google.com/open?id=1s4pfRkUWC9WZ87QiCrjSPmoZmsrLoN7u","Calikli2010c")</f>
        <v>Calikli2010c</v>
      </c>
      <c r="B65" s="153" t="s">
        <v>292</v>
      </c>
      <c r="C65" s="153" t="s">
        <v>293</v>
      </c>
      <c r="D65" s="110">
        <v>2010.0</v>
      </c>
      <c r="E65" s="112"/>
      <c r="F65" s="112"/>
      <c r="G65" s="112"/>
      <c r="H65" s="112"/>
      <c r="I65" s="111">
        <v>1.0</v>
      </c>
      <c r="J65" s="112"/>
      <c r="K65" s="112"/>
      <c r="L65" s="112"/>
      <c r="M65" s="112"/>
      <c r="N65" s="112"/>
      <c r="O65" s="112"/>
      <c r="P65" s="112"/>
      <c r="Q65" s="112"/>
      <c r="R65" s="112"/>
      <c r="S65" s="112"/>
      <c r="T65" s="112"/>
      <c r="U65" s="124"/>
      <c r="V65" s="115" t="s">
        <v>285</v>
      </c>
      <c r="W65" s="115" t="s">
        <v>84</v>
      </c>
      <c r="X65" s="115" t="s">
        <v>286</v>
      </c>
      <c r="Y65" s="115" t="s">
        <v>100</v>
      </c>
      <c r="Z65" s="111">
        <v>1.0</v>
      </c>
      <c r="AA65" s="111">
        <v>1.0</v>
      </c>
      <c r="AB65" s="112"/>
      <c r="AC65" s="111">
        <v>1.0</v>
      </c>
      <c r="AD65" s="112"/>
      <c r="AE65" s="112"/>
      <c r="AF65" s="112"/>
      <c r="AG65" s="115" t="s">
        <v>294</v>
      </c>
      <c r="AH65" s="115">
        <v>1.0</v>
      </c>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v>1.0</v>
      </c>
      <c r="BI65" s="115"/>
      <c r="BJ65" s="115"/>
      <c r="BK65" s="115"/>
      <c r="BL65" s="115"/>
      <c r="BM65" s="115"/>
      <c r="BN65" s="115"/>
      <c r="BO65" s="115"/>
      <c r="BP65" s="115"/>
      <c r="BQ65" s="115"/>
      <c r="BR65" s="115"/>
      <c r="BS65" s="115"/>
      <c r="BT65" s="115"/>
      <c r="BU65" s="115"/>
      <c r="BV65" s="115"/>
      <c r="BW65" s="115"/>
      <c r="BX65" s="115">
        <v>1.0</v>
      </c>
      <c r="BY65" s="115"/>
      <c r="BZ65" s="115"/>
      <c r="CA65" s="115"/>
    </row>
    <row r="66">
      <c r="A66" s="166" t="str">
        <f>HYPERLINK("https://drive.google.com/open?id=18g7tRYFuCAbQl_d30ozSZCjR_9zWBkQQ","Calikli2013")</f>
        <v>Calikli2013</v>
      </c>
      <c r="B66" s="153" t="s">
        <v>298</v>
      </c>
      <c r="C66" s="153" t="s">
        <v>299</v>
      </c>
      <c r="D66" s="110">
        <v>2013.0</v>
      </c>
      <c r="E66" s="112"/>
      <c r="F66" s="112"/>
      <c r="G66" s="112"/>
      <c r="H66" s="112"/>
      <c r="I66" s="111">
        <v>1.0</v>
      </c>
      <c r="J66" s="112"/>
      <c r="K66" s="112"/>
      <c r="L66" s="112"/>
      <c r="M66" s="112"/>
      <c r="N66" s="112"/>
      <c r="O66" s="112"/>
      <c r="P66" s="112"/>
      <c r="Q66" s="112"/>
      <c r="R66" s="112"/>
      <c r="S66" s="112"/>
      <c r="T66" s="112"/>
      <c r="U66" s="124"/>
      <c r="V66" s="115" t="s">
        <v>285</v>
      </c>
      <c r="W66" s="115" t="s">
        <v>84</v>
      </c>
      <c r="X66" s="115" t="s">
        <v>286</v>
      </c>
      <c r="Y66" s="115" t="s">
        <v>100</v>
      </c>
      <c r="Z66" s="112"/>
      <c r="AA66" s="111">
        <v>1.0</v>
      </c>
      <c r="AB66" s="112"/>
      <c r="AC66" s="111">
        <v>1.0</v>
      </c>
      <c r="AD66" s="112"/>
      <c r="AE66" s="112"/>
      <c r="AF66" s="112"/>
      <c r="AG66" s="115" t="s">
        <v>300</v>
      </c>
      <c r="AH66" s="115">
        <v>1.0</v>
      </c>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v>1.0</v>
      </c>
      <c r="BI66" s="115"/>
      <c r="BJ66" s="115"/>
      <c r="BK66" s="115"/>
      <c r="BL66" s="115"/>
      <c r="BM66" s="115"/>
      <c r="BN66" s="115"/>
      <c r="BO66" s="115"/>
      <c r="BP66" s="115"/>
      <c r="BQ66" s="115"/>
      <c r="BR66" s="115"/>
      <c r="BS66" s="115"/>
      <c r="BT66" s="115"/>
      <c r="BU66" s="115"/>
      <c r="BV66" s="115"/>
      <c r="BW66" s="115"/>
      <c r="BX66" s="115">
        <v>1.0</v>
      </c>
      <c r="BY66" s="115"/>
      <c r="BZ66" s="115"/>
      <c r="CA66" s="115"/>
    </row>
    <row r="67">
      <c r="A67" s="166" t="str">
        <f>HYPERLINK("https://drive.google.com/open?id=1q2hvBxeBL4rUfCzbrz8n_Uucbc-PqiJs","Cant1995")</f>
        <v>Cant1995</v>
      </c>
      <c r="B67" s="153" t="s">
        <v>309</v>
      </c>
      <c r="C67" s="153" t="s">
        <v>310</v>
      </c>
      <c r="D67" s="110">
        <v>1995.0</v>
      </c>
      <c r="E67" s="112"/>
      <c r="F67" s="112"/>
      <c r="G67" s="112"/>
      <c r="H67" s="111">
        <v>1.0</v>
      </c>
      <c r="I67" s="112"/>
      <c r="J67" s="112"/>
      <c r="K67" s="112"/>
      <c r="L67" s="112"/>
      <c r="M67" s="112"/>
      <c r="N67" s="112"/>
      <c r="O67" s="112"/>
      <c r="P67" s="112"/>
      <c r="Q67" s="112"/>
      <c r="R67" s="112"/>
      <c r="S67" s="112"/>
      <c r="T67" s="112"/>
      <c r="U67" s="124"/>
      <c r="V67" s="115" t="s">
        <v>311</v>
      </c>
      <c r="W67" s="115" t="s">
        <v>92</v>
      </c>
      <c r="X67" s="115" t="s">
        <v>92</v>
      </c>
      <c r="Y67" s="115" t="s">
        <v>100</v>
      </c>
      <c r="Z67" s="112"/>
      <c r="AA67" s="112"/>
      <c r="AB67" s="112"/>
      <c r="AC67" s="112"/>
      <c r="AD67" s="112"/>
      <c r="AE67" s="111">
        <v>1.0</v>
      </c>
      <c r="AF67" s="112"/>
      <c r="AG67" s="115" t="s">
        <v>312</v>
      </c>
      <c r="AH67" s="115">
        <v>1.0</v>
      </c>
      <c r="AI67" s="115"/>
      <c r="AJ67" s="115"/>
      <c r="AK67" s="115"/>
      <c r="AL67" s="115"/>
      <c r="AM67" s="115">
        <v>1.0</v>
      </c>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v>1.0</v>
      </c>
      <c r="BJ67" s="115"/>
      <c r="BK67" s="115"/>
      <c r="BL67" s="115"/>
      <c r="BM67" s="115"/>
      <c r="BN67" s="115"/>
      <c r="BO67" s="115"/>
      <c r="BP67" s="115"/>
      <c r="BQ67" s="115"/>
      <c r="BR67" s="115"/>
      <c r="BS67" s="115"/>
      <c r="BT67" s="115"/>
      <c r="BU67" s="115"/>
      <c r="BV67" s="115"/>
      <c r="BW67" s="115"/>
      <c r="BX67" s="115"/>
      <c r="BY67" s="115"/>
      <c r="BZ67" s="115"/>
      <c r="CA67" s="115"/>
    </row>
    <row r="68">
      <c r="A68" s="166" t="str">
        <f>HYPERLINK("https://drive.google.com/open?id=1t2ZXUzLenlHEbPMr1-Pgq6GQznjZI8BV","Green1977")</f>
        <v>Green1977</v>
      </c>
      <c r="B68" s="153" t="s">
        <v>507</v>
      </c>
      <c r="C68" s="159" t="s">
        <v>508</v>
      </c>
      <c r="D68" s="110">
        <v>1977.0</v>
      </c>
      <c r="E68" s="112"/>
      <c r="F68" s="112"/>
      <c r="G68" s="112"/>
      <c r="H68" s="111">
        <v>1.0</v>
      </c>
      <c r="I68" s="112"/>
      <c r="J68" s="112"/>
      <c r="K68" s="112"/>
      <c r="L68" s="112"/>
      <c r="M68" s="112"/>
      <c r="N68" s="112"/>
      <c r="O68" s="112"/>
      <c r="P68" s="112"/>
      <c r="Q68" s="112"/>
      <c r="R68" s="112"/>
      <c r="S68" s="112"/>
      <c r="T68" s="112"/>
      <c r="U68" s="124"/>
      <c r="V68" s="115" t="s">
        <v>509</v>
      </c>
      <c r="W68" s="115" t="s">
        <v>510</v>
      </c>
      <c r="X68" s="115" t="s">
        <v>511</v>
      </c>
      <c r="Y68" s="115" t="s">
        <v>512</v>
      </c>
      <c r="Z68" s="111">
        <v>1.0</v>
      </c>
      <c r="AA68" s="112"/>
      <c r="AB68" s="112"/>
      <c r="AC68" s="111">
        <v>1.0</v>
      </c>
      <c r="AD68" s="112"/>
      <c r="AE68" s="112"/>
      <c r="AF68" s="112"/>
      <c r="AG68" s="124"/>
      <c r="AH68" s="115">
        <v>1.0</v>
      </c>
      <c r="AI68" s="124"/>
      <c r="AJ68" s="124"/>
      <c r="AK68" s="124"/>
      <c r="AL68" s="124"/>
      <c r="AM68" s="124"/>
      <c r="AN68" s="124"/>
      <c r="AO68" s="124"/>
      <c r="AP68" s="124"/>
      <c r="AQ68" s="124"/>
      <c r="AR68" s="124"/>
      <c r="AS68" s="124"/>
      <c r="AT68" s="124"/>
      <c r="AU68" s="124"/>
      <c r="AV68" s="124"/>
      <c r="AW68" s="124"/>
      <c r="AX68" s="124"/>
      <c r="AY68" s="124"/>
      <c r="AZ68" s="124"/>
      <c r="BA68" s="124"/>
      <c r="BB68" s="124"/>
      <c r="BC68" s="124"/>
      <c r="BD68" s="115">
        <v>1.0</v>
      </c>
      <c r="BE68" s="124"/>
      <c r="BF68" s="124"/>
      <c r="BG68" s="124"/>
      <c r="BH68" s="124"/>
      <c r="BI68" s="124"/>
      <c r="BJ68" s="124"/>
      <c r="BK68" s="124"/>
      <c r="BL68" s="124"/>
      <c r="BM68" s="124"/>
      <c r="BN68" s="124"/>
      <c r="BO68" s="124"/>
      <c r="BP68" s="124"/>
      <c r="BQ68" s="124"/>
      <c r="BR68" s="124"/>
      <c r="BS68" s="124"/>
      <c r="BT68" s="124"/>
      <c r="BU68" s="124"/>
      <c r="BV68" s="124"/>
      <c r="BW68" s="124"/>
      <c r="BX68" s="115">
        <v>1.0</v>
      </c>
      <c r="BY68" s="124"/>
      <c r="BZ68" s="124"/>
      <c r="CA68" s="124"/>
    </row>
    <row r="69">
      <c r="A69" s="164" t="str">
        <f>HYPERLINK("https://drive.google.com/open?id=1YFEC5svmA2WagQC8KMg8b4zk373YRXy2","Green1989")</f>
        <v>Green1989</v>
      </c>
      <c r="B69" s="153" t="s">
        <v>513</v>
      </c>
      <c r="C69" s="153" t="s">
        <v>514</v>
      </c>
      <c r="D69" s="110">
        <v>1989.0</v>
      </c>
      <c r="E69" s="112"/>
      <c r="F69" s="112"/>
      <c r="G69" s="111">
        <v>1.0</v>
      </c>
      <c r="H69" s="111">
        <v>1.0</v>
      </c>
      <c r="I69" s="112"/>
      <c r="J69" s="112"/>
      <c r="K69" s="112"/>
      <c r="L69" s="112"/>
      <c r="M69" s="112"/>
      <c r="N69" s="112"/>
      <c r="O69" s="112"/>
      <c r="P69" s="112"/>
      <c r="Q69" s="112"/>
      <c r="R69" s="112"/>
      <c r="S69" s="112"/>
      <c r="T69" s="112"/>
      <c r="U69" s="115" t="s">
        <v>515</v>
      </c>
      <c r="V69" s="115" t="s">
        <v>4447</v>
      </c>
      <c r="W69" s="115" t="s">
        <v>92</v>
      </c>
      <c r="X69" s="115" t="s">
        <v>92</v>
      </c>
      <c r="Y69" s="115" t="s">
        <v>100</v>
      </c>
      <c r="Z69" s="112"/>
      <c r="AA69" s="112"/>
      <c r="AB69" s="112"/>
      <c r="AC69" s="112"/>
      <c r="AD69" s="112"/>
      <c r="AE69" s="111">
        <v>1.0</v>
      </c>
      <c r="AF69" s="112"/>
      <c r="AG69" s="115" t="s">
        <v>517</v>
      </c>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c r="A70" s="164" t="str">
        <f>HYPERLINK("https://drive.google.com/open?id=1Pj5h9w1ttgOC4YH9r-_9wl_YXThPB9Ae","Green1996")</f>
        <v>Green1996</v>
      </c>
      <c r="B70" s="153" t="s">
        <v>518</v>
      </c>
      <c r="C70" s="153" t="s">
        <v>519</v>
      </c>
      <c r="D70" s="110">
        <v>1996.0</v>
      </c>
      <c r="E70" s="112"/>
      <c r="F70" s="112"/>
      <c r="G70" s="111">
        <v>1.0</v>
      </c>
      <c r="H70" s="111">
        <v>1.0</v>
      </c>
      <c r="I70" s="112"/>
      <c r="J70" s="112"/>
      <c r="K70" s="112"/>
      <c r="L70" s="112"/>
      <c r="M70" s="112"/>
      <c r="N70" s="112"/>
      <c r="O70" s="112"/>
      <c r="P70" s="112"/>
      <c r="Q70" s="112"/>
      <c r="R70" s="112"/>
      <c r="S70" s="112"/>
      <c r="T70" s="112"/>
      <c r="U70" s="115" t="s">
        <v>520</v>
      </c>
      <c r="V70" s="115" t="s">
        <v>521</v>
      </c>
      <c r="W70" s="115" t="s">
        <v>92</v>
      </c>
      <c r="X70" s="115" t="s">
        <v>92</v>
      </c>
      <c r="Y70" s="115" t="s">
        <v>100</v>
      </c>
      <c r="Z70" s="112"/>
      <c r="AA70" s="112"/>
      <c r="AB70" s="112"/>
      <c r="AC70" s="112"/>
      <c r="AD70" s="112"/>
      <c r="AE70" s="111">
        <v>1.0</v>
      </c>
      <c r="AF70" s="112"/>
      <c r="AG70" s="115" t="s">
        <v>522</v>
      </c>
      <c r="AH70" s="115"/>
      <c r="AI70" s="115"/>
      <c r="AJ70" s="115"/>
      <c r="AK70" s="115"/>
      <c r="AL70" s="115"/>
      <c r="AM70" s="115"/>
      <c r="AN70" s="115">
        <v>1.0</v>
      </c>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c r="A71" s="164" t="str">
        <f>HYPERLINK("https://drive.google.com/open?id=1GL1XACBDv6Wp645XQjOnaZurCfKSTCJn","Gruhn2006")</f>
        <v>Gruhn2006</v>
      </c>
      <c r="B71" s="153" t="s">
        <v>523</v>
      </c>
      <c r="C71" s="153" t="s">
        <v>524</v>
      </c>
      <c r="D71" s="110">
        <v>2006.0</v>
      </c>
      <c r="E71" s="112"/>
      <c r="F71" s="111">
        <v>1.0</v>
      </c>
      <c r="G71" s="112"/>
      <c r="H71" s="112"/>
      <c r="I71" s="112"/>
      <c r="J71" s="112"/>
      <c r="K71" s="112"/>
      <c r="L71" s="112"/>
      <c r="M71" s="112"/>
      <c r="N71" s="112"/>
      <c r="O71" s="112"/>
      <c r="P71" s="112"/>
      <c r="Q71" s="112"/>
      <c r="R71" s="112"/>
      <c r="S71" s="112"/>
      <c r="T71" s="112"/>
      <c r="U71" s="124"/>
      <c r="V71" s="115" t="s">
        <v>4448</v>
      </c>
      <c r="W71" s="115" t="s">
        <v>4449</v>
      </c>
      <c r="X71" s="115" t="s">
        <v>92</v>
      </c>
      <c r="Y71" s="115" t="s">
        <v>100</v>
      </c>
      <c r="Z71" s="112"/>
      <c r="AA71" s="112"/>
      <c r="AB71" s="111">
        <v>1.0</v>
      </c>
      <c r="AC71" s="112"/>
      <c r="AD71" s="112"/>
      <c r="AE71" s="112"/>
      <c r="AF71" s="112"/>
      <c r="AG71" s="115" t="s">
        <v>527</v>
      </c>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c r="A72" s="166" t="str">
        <f>HYPERLINK("https://drive.google.com/open?id=1b1-uaru5XKH4OO_-qBLoHDbF8brZUp94","Letovsky1987")</f>
        <v>Letovsky1987</v>
      </c>
      <c r="B72" s="153" t="s">
        <v>681</v>
      </c>
      <c r="C72" s="153" t="s">
        <v>682</v>
      </c>
      <c r="D72" s="110">
        <v>1987.0</v>
      </c>
      <c r="E72" s="112"/>
      <c r="F72" s="112"/>
      <c r="G72" s="112"/>
      <c r="H72" s="111">
        <v>1.0</v>
      </c>
      <c r="I72" s="112"/>
      <c r="J72" s="111">
        <v>1.0</v>
      </c>
      <c r="K72" s="112"/>
      <c r="L72" s="112"/>
      <c r="M72" s="112"/>
      <c r="N72" s="112"/>
      <c r="O72" s="112"/>
      <c r="P72" s="112"/>
      <c r="Q72" s="112"/>
      <c r="R72" s="112"/>
      <c r="S72" s="112"/>
      <c r="T72" s="112"/>
      <c r="U72" s="124"/>
      <c r="V72" s="115" t="s">
        <v>683</v>
      </c>
      <c r="W72" s="115" t="s">
        <v>684</v>
      </c>
      <c r="X72" s="115" t="s">
        <v>685</v>
      </c>
      <c r="Y72" s="115" t="s">
        <v>100</v>
      </c>
      <c r="Z72" s="112"/>
      <c r="AA72" s="111">
        <v>1.0</v>
      </c>
      <c r="AB72" s="112"/>
      <c r="AC72" s="111">
        <v>1.0</v>
      </c>
      <c r="AD72" s="112"/>
      <c r="AE72" s="112"/>
      <c r="AF72" s="112"/>
      <c r="AG72" s="115" t="s">
        <v>686</v>
      </c>
      <c r="AH72" s="115">
        <v>1.0</v>
      </c>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v>1.0</v>
      </c>
      <c r="BE72" s="115"/>
      <c r="BF72" s="115"/>
      <c r="BG72" s="115"/>
      <c r="BH72" s="115"/>
      <c r="BI72" s="115"/>
      <c r="BJ72" s="115"/>
      <c r="BK72" s="115"/>
      <c r="BL72" s="115"/>
      <c r="BM72" s="115"/>
      <c r="BN72" s="115"/>
      <c r="BO72" s="115"/>
      <c r="BP72" s="115"/>
      <c r="BQ72" s="115"/>
      <c r="BR72" s="115"/>
      <c r="BS72" s="115"/>
      <c r="BT72" s="115"/>
      <c r="BU72" s="115">
        <v>1.0</v>
      </c>
      <c r="BV72" s="115"/>
      <c r="BW72" s="115"/>
      <c r="BX72" s="115"/>
      <c r="BY72" s="115"/>
      <c r="BZ72" s="115"/>
      <c r="CA72" s="115"/>
    </row>
    <row r="73">
      <c r="A73" s="166" t="str">
        <f>HYPERLINK("https://drive.google.com/open?id=1OpaLcsssrao69tyI9meh8jEUc6owWPX0","Lloyd1999")</f>
        <v>Lloyd1999</v>
      </c>
      <c r="B73" s="153" t="s">
        <v>704</v>
      </c>
      <c r="C73" s="153" t="s">
        <v>211</v>
      </c>
      <c r="D73" s="110">
        <v>1999.0</v>
      </c>
      <c r="E73" s="112"/>
      <c r="F73" s="112"/>
      <c r="G73" s="111">
        <v>1.0</v>
      </c>
      <c r="H73" s="112"/>
      <c r="I73" s="112"/>
      <c r="J73" s="112"/>
      <c r="K73" s="112"/>
      <c r="L73" s="112"/>
      <c r="M73" s="112"/>
      <c r="N73" s="112"/>
      <c r="O73" s="112"/>
      <c r="P73" s="112"/>
      <c r="Q73" s="112"/>
      <c r="R73" s="112"/>
      <c r="S73" s="112"/>
      <c r="T73" s="112"/>
      <c r="U73" s="115" t="s">
        <v>705</v>
      </c>
      <c r="V73" s="115" t="s">
        <v>706</v>
      </c>
      <c r="W73" s="115" t="s">
        <v>707</v>
      </c>
      <c r="X73" s="115" t="s">
        <v>336</v>
      </c>
      <c r="Y73" s="115" t="s">
        <v>100</v>
      </c>
      <c r="Z73" s="111">
        <v>1.0</v>
      </c>
      <c r="AA73" s="111"/>
      <c r="AB73" s="112"/>
      <c r="AC73" s="111">
        <v>1.0</v>
      </c>
      <c r="AD73" s="112"/>
      <c r="AE73" s="112"/>
      <c r="AF73" s="112"/>
      <c r="AG73" s="115" t="s">
        <v>708</v>
      </c>
      <c r="AH73" s="115">
        <v>1.0</v>
      </c>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v>1.0</v>
      </c>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v>1.0</v>
      </c>
      <c r="CA73" s="115"/>
    </row>
    <row r="74">
      <c r="A74" s="166" t="str">
        <f>HYPERLINK("https://drive.google.com/open?id=1ozJJ0g5boxpDjw1Z_n2fESt5PP_mPeYg","Pennington1995")</f>
        <v>Pennington1995</v>
      </c>
      <c r="B74" s="153" t="s">
        <v>851</v>
      </c>
      <c r="C74" s="159" t="s">
        <v>852</v>
      </c>
      <c r="D74" s="110">
        <v>1995.0</v>
      </c>
      <c r="E74" s="112"/>
      <c r="F74" s="111"/>
      <c r="G74" s="111">
        <v>1.0</v>
      </c>
      <c r="H74" s="112"/>
      <c r="I74" s="112"/>
      <c r="J74" s="112"/>
      <c r="K74" s="112"/>
      <c r="L74" s="112"/>
      <c r="M74" s="112"/>
      <c r="N74" s="112"/>
      <c r="O74" s="112"/>
      <c r="P74" s="112"/>
      <c r="Q74" s="112"/>
      <c r="R74" s="112"/>
      <c r="S74" s="112"/>
      <c r="T74" s="112"/>
      <c r="U74" s="124"/>
      <c r="V74" s="115" t="s">
        <v>853</v>
      </c>
      <c r="W74" s="115" t="s">
        <v>854</v>
      </c>
      <c r="X74" s="115" t="s">
        <v>685</v>
      </c>
      <c r="Y74" s="115" t="s">
        <v>100</v>
      </c>
      <c r="Z74" s="112"/>
      <c r="AA74" s="111">
        <v>1.0</v>
      </c>
      <c r="AB74" s="112"/>
      <c r="AC74" s="111">
        <v>1.0</v>
      </c>
      <c r="AD74" s="112"/>
      <c r="AE74" s="112"/>
      <c r="AF74" s="112"/>
      <c r="AG74" s="115" t="s">
        <v>855</v>
      </c>
      <c r="AH74" s="115">
        <v>1.0</v>
      </c>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v>1.0</v>
      </c>
      <c r="BE74" s="115"/>
      <c r="BF74" s="115"/>
      <c r="BG74" s="115"/>
      <c r="BH74" s="115"/>
      <c r="BI74" s="115"/>
      <c r="BJ74" s="115"/>
      <c r="BK74" s="115"/>
      <c r="BL74" s="115"/>
      <c r="BM74" s="115"/>
      <c r="BN74" s="115"/>
      <c r="BO74" s="115"/>
      <c r="BP74" s="115"/>
      <c r="BQ74" s="115"/>
      <c r="BR74" s="115"/>
      <c r="BS74" s="115"/>
      <c r="BT74" s="115"/>
      <c r="BU74" s="115">
        <v>1.0</v>
      </c>
      <c r="BV74" s="115"/>
      <c r="BW74" s="115"/>
      <c r="BX74" s="115"/>
      <c r="BY74" s="115"/>
      <c r="BZ74" s="115"/>
      <c r="CA74" s="115"/>
    </row>
    <row r="75">
      <c r="A75" s="166" t="str">
        <f>HYPERLINK("https://drive.google.com/open?id=1PyEN2zttEGQNpQm8RU1gjLrqYxO2nPg6","Petre1997")</f>
        <v>Petre1997</v>
      </c>
      <c r="B75" s="153" t="s">
        <v>856</v>
      </c>
      <c r="C75" s="153" t="s">
        <v>857</v>
      </c>
      <c r="D75" s="110">
        <v>1997.0</v>
      </c>
      <c r="E75" s="112"/>
      <c r="F75" s="112"/>
      <c r="G75" s="111"/>
      <c r="H75" s="111">
        <v>1.0</v>
      </c>
      <c r="I75" s="112"/>
      <c r="J75" s="112"/>
      <c r="K75" s="112"/>
      <c r="L75" s="112"/>
      <c r="M75" s="112"/>
      <c r="N75" s="112"/>
      <c r="O75" s="112"/>
      <c r="P75" s="112"/>
      <c r="Q75" s="112"/>
      <c r="R75" s="112"/>
      <c r="S75" s="112"/>
      <c r="T75" s="112"/>
      <c r="U75" s="124"/>
      <c r="V75" s="115" t="s">
        <v>858</v>
      </c>
      <c r="W75" s="115" t="s">
        <v>92</v>
      </c>
      <c r="X75" s="115" t="s">
        <v>685</v>
      </c>
      <c r="Y75" s="115" t="s">
        <v>100</v>
      </c>
      <c r="Z75" s="111">
        <v>1.0</v>
      </c>
      <c r="AA75" s="111">
        <v>1.0</v>
      </c>
      <c r="AB75" s="112"/>
      <c r="AC75" s="111">
        <v>1.0</v>
      </c>
      <c r="AD75" s="112"/>
      <c r="AE75" s="112"/>
      <c r="AF75" s="112"/>
      <c r="AG75" s="115" t="s">
        <v>859</v>
      </c>
      <c r="AH75" s="115">
        <v>1.0</v>
      </c>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v>1.0</v>
      </c>
      <c r="BE75" s="115"/>
      <c r="BF75" s="115"/>
      <c r="BG75" s="115"/>
      <c r="BH75" s="115"/>
      <c r="BI75" s="115"/>
      <c r="BJ75" s="115"/>
      <c r="BK75" s="115"/>
      <c r="BL75" s="115"/>
      <c r="BM75" s="115"/>
      <c r="BN75" s="115"/>
      <c r="BO75" s="115"/>
      <c r="BP75" s="115"/>
      <c r="BQ75" s="115"/>
      <c r="BR75" s="115"/>
      <c r="BS75" s="115"/>
      <c r="BT75" s="115"/>
      <c r="BU75" s="115">
        <v>1.0</v>
      </c>
      <c r="BV75" s="115"/>
      <c r="BW75" s="115"/>
      <c r="BX75" s="115"/>
      <c r="BY75" s="115"/>
      <c r="BZ75" s="115"/>
      <c r="CA75" s="115"/>
    </row>
    <row r="76">
      <c r="A76" s="166" t="str">
        <f>HYPERLINK("https://drive.google.com/open?id=1l88QivinnO-3t5cvuZv1_CWM7Fx7jYAu","Petre1999")</f>
        <v>Petre1999</v>
      </c>
      <c r="B76" s="153" t="s">
        <v>860</v>
      </c>
      <c r="C76" s="153" t="s">
        <v>861</v>
      </c>
      <c r="D76" s="110">
        <v>1999.0</v>
      </c>
      <c r="E76" s="112"/>
      <c r="F76" s="112"/>
      <c r="G76" s="112"/>
      <c r="H76" s="111">
        <v>1.0</v>
      </c>
      <c r="I76" s="112"/>
      <c r="J76" s="112"/>
      <c r="K76" s="112"/>
      <c r="L76" s="112"/>
      <c r="M76" s="112"/>
      <c r="N76" s="112"/>
      <c r="O76" s="112"/>
      <c r="P76" s="112"/>
      <c r="Q76" s="112"/>
      <c r="R76" s="112"/>
      <c r="S76" s="112"/>
      <c r="T76" s="112"/>
      <c r="U76" s="124"/>
      <c r="V76" s="115" t="s">
        <v>858</v>
      </c>
      <c r="W76" s="115" t="s">
        <v>92</v>
      </c>
      <c r="X76" s="115" t="s">
        <v>862</v>
      </c>
      <c r="Y76" s="115" t="s">
        <v>100</v>
      </c>
      <c r="Z76" s="111">
        <v>1.0</v>
      </c>
      <c r="AA76" s="111">
        <v>1.0</v>
      </c>
      <c r="AB76" s="112"/>
      <c r="AC76" s="111">
        <v>1.0</v>
      </c>
      <c r="AD76" s="112"/>
      <c r="AE76" s="112"/>
      <c r="AF76" s="112"/>
      <c r="AG76" s="115" t="s">
        <v>863</v>
      </c>
      <c r="AH76" s="115">
        <v>1.0</v>
      </c>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v>1.0</v>
      </c>
      <c r="BE76" s="115"/>
      <c r="BF76" s="115"/>
      <c r="BG76" s="115"/>
      <c r="BH76" s="115"/>
      <c r="BI76" s="115"/>
      <c r="BJ76" s="115"/>
      <c r="BK76" s="115"/>
      <c r="BL76" s="115"/>
      <c r="BM76" s="115"/>
      <c r="BN76" s="115"/>
      <c r="BO76" s="115"/>
      <c r="BP76" s="115"/>
      <c r="BQ76" s="115"/>
      <c r="BR76" s="115"/>
      <c r="BS76" s="115"/>
      <c r="BT76" s="115"/>
      <c r="BU76" s="115">
        <v>1.0</v>
      </c>
      <c r="BV76" s="115"/>
      <c r="BW76" s="115"/>
      <c r="BX76" s="115"/>
      <c r="BY76" s="115"/>
      <c r="BZ76" s="115"/>
      <c r="CA76" s="115"/>
    </row>
    <row r="77">
      <c r="A77" s="164" t="str">
        <f>HYPERLINK("https://drive.google.com/open?id=1tgGltRu4TPSGOjLCxP7Z2HXyFZlRjE9t","Sheetz2001")</f>
        <v>Sheetz2001</v>
      </c>
      <c r="B77" s="153" t="s">
        <v>950</v>
      </c>
      <c r="C77" s="153" t="s">
        <v>951</v>
      </c>
      <c r="D77" s="110">
        <v>2001.0</v>
      </c>
      <c r="E77" s="112"/>
      <c r="F77" s="112"/>
      <c r="G77" s="111">
        <v>1.0</v>
      </c>
      <c r="H77" s="112"/>
      <c r="I77" s="112"/>
      <c r="J77" s="112"/>
      <c r="K77" s="112"/>
      <c r="L77" s="112"/>
      <c r="M77" s="112"/>
      <c r="N77" s="112"/>
      <c r="O77" s="112"/>
      <c r="P77" s="112"/>
      <c r="Q77" s="112"/>
      <c r="R77" s="112"/>
      <c r="S77" s="112"/>
      <c r="T77" s="112"/>
      <c r="U77" s="124"/>
      <c r="V77" s="115" t="s">
        <v>952</v>
      </c>
      <c r="W77" s="115" t="s">
        <v>953</v>
      </c>
      <c r="X77" s="115" t="s">
        <v>954</v>
      </c>
      <c r="Y77" s="115" t="s">
        <v>100</v>
      </c>
      <c r="Z77" s="111">
        <v>1.0</v>
      </c>
      <c r="AA77" s="112"/>
      <c r="AB77" s="112"/>
      <c r="AC77" s="111">
        <v>1.0</v>
      </c>
      <c r="AD77" s="112"/>
      <c r="AE77" s="112"/>
      <c r="AF77" s="112"/>
      <c r="AG77" s="124"/>
      <c r="AH77" s="115">
        <v>1.0</v>
      </c>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15">
        <v>1.0</v>
      </c>
      <c r="BF77" s="124"/>
      <c r="BG77" s="124"/>
      <c r="BH77" s="124"/>
      <c r="BI77" s="124"/>
      <c r="BJ77" s="124"/>
      <c r="BK77" s="124"/>
      <c r="BL77" s="124"/>
      <c r="BM77" s="124"/>
      <c r="BN77" s="124"/>
      <c r="BO77" s="124"/>
      <c r="BP77" s="124"/>
      <c r="BQ77" s="124"/>
      <c r="BR77" s="124"/>
      <c r="BS77" s="124"/>
      <c r="BT77" s="115">
        <v>1.0</v>
      </c>
      <c r="BU77" s="124"/>
      <c r="BV77" s="124"/>
      <c r="BW77" s="124"/>
      <c r="BX77" s="124"/>
      <c r="BY77" s="124"/>
      <c r="BZ77" s="124"/>
      <c r="CA77" s="124"/>
    </row>
    <row r="78">
      <c r="A78" s="166" t="str">
        <f>HYPERLINK("https://drive.google.com/open?id=1rEBXK4H94pv2rySvtXqs5lUXrEnkw0nX","Shum1997")</f>
        <v>Shum1997</v>
      </c>
      <c r="B78" s="153" t="s">
        <v>971</v>
      </c>
      <c r="C78" s="153" t="s">
        <v>852</v>
      </c>
      <c r="D78" s="110">
        <v>1997.0</v>
      </c>
      <c r="E78" s="112"/>
      <c r="F78" s="112"/>
      <c r="G78" s="111">
        <v>1.0</v>
      </c>
      <c r="H78" s="112"/>
      <c r="I78" s="112"/>
      <c r="J78" s="112"/>
      <c r="K78" s="112"/>
      <c r="L78" s="112"/>
      <c r="M78" s="112"/>
      <c r="N78" s="112"/>
      <c r="O78" s="112"/>
      <c r="P78" s="112"/>
      <c r="Q78" s="112"/>
      <c r="R78" s="112"/>
      <c r="S78" s="112"/>
      <c r="T78" s="112"/>
      <c r="U78" s="124"/>
      <c r="V78" s="115" t="s">
        <v>972</v>
      </c>
      <c r="W78" s="115" t="s">
        <v>92</v>
      </c>
      <c r="X78" s="115" t="s">
        <v>92</v>
      </c>
      <c r="Y78" s="115" t="s">
        <v>973</v>
      </c>
      <c r="Z78" s="112"/>
      <c r="AA78" s="112"/>
      <c r="AB78" s="112"/>
      <c r="AC78" s="111">
        <v>1.0</v>
      </c>
      <c r="AD78" s="112"/>
      <c r="AE78" s="112"/>
      <c r="AF78" s="112"/>
      <c r="AG78" s="115" t="s">
        <v>974</v>
      </c>
      <c r="AH78" s="115">
        <v>1.0</v>
      </c>
      <c r="AI78" s="115"/>
      <c r="AJ78" s="115"/>
      <c r="AK78" s="115"/>
      <c r="AL78" s="115"/>
      <c r="AM78" s="115"/>
      <c r="AN78" s="115"/>
      <c r="AO78" s="115"/>
      <c r="AP78" s="115"/>
      <c r="AQ78" s="115"/>
      <c r="AR78" s="115"/>
      <c r="AS78" s="115">
        <v>1.0</v>
      </c>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c r="A79" s="166" t="str">
        <f>HYPERLINK("https://drive.google.com/open?id=1RegAOKR5Pjgxu9_B8rtL4pZg9P-xIU5z","Teasley1994")</f>
        <v>Teasley1994</v>
      </c>
      <c r="B79" s="153" t="s">
        <v>1101</v>
      </c>
      <c r="C79" s="159" t="s">
        <v>1102</v>
      </c>
      <c r="D79" s="110">
        <v>1994.0</v>
      </c>
      <c r="E79" s="112"/>
      <c r="F79" s="112"/>
      <c r="G79" s="112"/>
      <c r="H79" s="112"/>
      <c r="I79" s="111">
        <v>1.0</v>
      </c>
      <c r="J79" s="112"/>
      <c r="K79" s="112"/>
      <c r="L79" s="112"/>
      <c r="M79" s="112"/>
      <c r="N79" s="112"/>
      <c r="O79" s="112"/>
      <c r="P79" s="112"/>
      <c r="Q79" s="112"/>
      <c r="R79" s="112"/>
      <c r="S79" s="112"/>
      <c r="T79" s="112"/>
      <c r="U79" s="124"/>
      <c r="V79" s="115" t="s">
        <v>304</v>
      </c>
      <c r="W79" s="115" t="s">
        <v>1103</v>
      </c>
      <c r="X79" s="115" t="s">
        <v>1104</v>
      </c>
      <c r="Y79" s="115" t="s">
        <v>973</v>
      </c>
      <c r="Z79" s="111">
        <v>1.0</v>
      </c>
      <c r="AA79" s="112"/>
      <c r="AB79" s="112"/>
      <c r="AC79" s="111">
        <v>1.0</v>
      </c>
      <c r="AD79" s="112"/>
      <c r="AE79" s="112"/>
      <c r="AF79" s="112"/>
      <c r="AG79" s="124"/>
      <c r="AH79" s="115">
        <v>1.0</v>
      </c>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15">
        <v>1.0</v>
      </c>
      <c r="BI79" s="124"/>
      <c r="BJ79" s="124"/>
      <c r="BK79" s="124"/>
      <c r="BL79" s="124"/>
      <c r="BM79" s="124"/>
      <c r="BN79" s="124"/>
      <c r="BO79" s="124"/>
      <c r="BP79" s="124"/>
      <c r="BQ79" s="124"/>
      <c r="BR79" s="124"/>
      <c r="BS79" s="124"/>
      <c r="BT79" s="124"/>
      <c r="BU79" s="124"/>
      <c r="BV79" s="124"/>
      <c r="BW79" s="124"/>
      <c r="BX79" s="115">
        <v>1.0</v>
      </c>
      <c r="BY79" s="124"/>
      <c r="BZ79" s="124"/>
      <c r="CA79" s="124"/>
    </row>
    <row r="80">
      <c r="A80" s="164" t="str">
        <f>HYPERLINK("https://drive.google.com/open?id=1rQISHos-ScmfiMxgckPhTdc1Taw8sqgq","Tegarden2001")</f>
        <v>Tegarden2001</v>
      </c>
      <c r="B80" s="153" t="s">
        <v>1105</v>
      </c>
      <c r="C80" s="153" t="s">
        <v>861</v>
      </c>
      <c r="D80" s="110">
        <v>2001.0</v>
      </c>
      <c r="E80" s="112"/>
      <c r="F80" s="112"/>
      <c r="G80" s="111">
        <v>1.0</v>
      </c>
      <c r="H80" s="112"/>
      <c r="I80" s="112"/>
      <c r="J80" s="112"/>
      <c r="K80" s="112"/>
      <c r="L80" s="112"/>
      <c r="M80" s="112"/>
      <c r="N80" s="112"/>
      <c r="O80" s="112"/>
      <c r="P80" s="112"/>
      <c r="Q80" s="112"/>
      <c r="R80" s="112"/>
      <c r="S80" s="112"/>
      <c r="T80" s="112"/>
      <c r="U80" s="124"/>
      <c r="V80" s="115" t="s">
        <v>1106</v>
      </c>
      <c r="W80" s="115" t="s">
        <v>1107</v>
      </c>
      <c r="X80" s="115" t="s">
        <v>1108</v>
      </c>
      <c r="Y80" s="115" t="s">
        <v>100</v>
      </c>
      <c r="Z80" s="111">
        <v>1.0</v>
      </c>
      <c r="AA80" s="112"/>
      <c r="AB80" s="112"/>
      <c r="AC80" s="111">
        <v>1.0</v>
      </c>
      <c r="AD80" s="112"/>
      <c r="AE80" s="112"/>
      <c r="AF80" s="112"/>
      <c r="AG80" s="115" t="s">
        <v>1109</v>
      </c>
      <c r="AH80" s="115">
        <v>1.0</v>
      </c>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v>1.0</v>
      </c>
      <c r="BF80" s="115"/>
      <c r="BG80" s="115"/>
      <c r="BH80" s="115"/>
      <c r="BI80" s="115"/>
      <c r="BJ80" s="115"/>
      <c r="BK80" s="115"/>
      <c r="BL80" s="115"/>
      <c r="BM80" s="115"/>
      <c r="BN80" s="115"/>
      <c r="BO80" s="115"/>
      <c r="BP80" s="115"/>
      <c r="BQ80" s="115"/>
      <c r="BR80" s="115"/>
      <c r="BS80" s="115"/>
      <c r="BT80" s="115">
        <v>1.0</v>
      </c>
      <c r="BU80" s="115"/>
      <c r="BV80" s="115"/>
      <c r="BW80" s="115"/>
      <c r="BX80" s="115"/>
      <c r="BY80" s="115"/>
      <c r="BZ80" s="115"/>
      <c r="CA80" s="115"/>
    </row>
    <row r="81">
      <c r="A81" s="141"/>
      <c r="B81" s="141"/>
      <c r="C81" s="141"/>
      <c r="D81" s="137"/>
      <c r="E81" s="112" t="str">
        <f>ROWS(E58:E80)&amp;" ("&amp;ROWS(E58:E80)-sum(E58:E80)&amp;"/"&amp;sum(E58:E80)&amp;")"</f>
        <v>23 (23/0)</v>
      </c>
      <c r="F81" s="112"/>
      <c r="G81" s="112"/>
      <c r="H81" s="112"/>
      <c r="I81" s="112"/>
      <c r="J81" s="112"/>
      <c r="K81" s="112"/>
      <c r="L81" s="112"/>
      <c r="M81" s="112"/>
      <c r="N81" s="112"/>
      <c r="O81" s="112"/>
      <c r="P81" s="112"/>
      <c r="Q81" s="112"/>
      <c r="R81" s="112"/>
      <c r="S81" s="112"/>
      <c r="T81" s="112"/>
      <c r="U81" s="124"/>
      <c r="V81" s="124"/>
      <c r="W81" s="124"/>
      <c r="X81" s="124"/>
      <c r="Y81" s="124"/>
      <c r="Z81" s="112"/>
      <c r="AA81" s="112"/>
      <c r="AB81" s="112"/>
      <c r="AC81" s="112"/>
      <c r="AD81" s="112"/>
      <c r="AE81" s="112"/>
      <c r="AF81" s="112"/>
      <c r="AG81" s="124"/>
      <c r="AH81" s="124"/>
      <c r="AI81" s="124"/>
      <c r="AJ81" s="124"/>
      <c r="AK81" s="124"/>
      <c r="AL81" s="124"/>
      <c r="AM81" s="124"/>
      <c r="AN81" s="124"/>
      <c r="AO81" s="124"/>
      <c r="AP81" s="124"/>
      <c r="AQ81" s="124"/>
      <c r="AR81" s="124"/>
      <c r="AS81" s="124"/>
      <c r="AT81" s="124"/>
      <c r="AU81" s="124"/>
      <c r="AV81" s="124"/>
      <c r="AW81" s="124"/>
      <c r="AX81" s="124"/>
      <c r="AY81" s="124"/>
      <c r="AZ81" s="124"/>
      <c r="BA81" s="124"/>
      <c r="BB81" s="124"/>
      <c r="BC81" s="124"/>
      <c r="BD81" s="124"/>
      <c r="BE81" s="124"/>
      <c r="BF81" s="124"/>
      <c r="BG81" s="124"/>
      <c r="BH81" s="124"/>
      <c r="BI81" s="124"/>
      <c r="BJ81" s="124"/>
      <c r="BK81" s="124"/>
      <c r="BL81" s="124"/>
      <c r="BM81" s="124"/>
      <c r="BN81" s="124"/>
      <c r="BO81" s="124"/>
      <c r="BP81" s="124"/>
      <c r="BQ81" s="124"/>
      <c r="BR81" s="124"/>
      <c r="BS81" s="124"/>
      <c r="BT81" s="124"/>
      <c r="BU81" s="124"/>
      <c r="BV81" s="124"/>
      <c r="BW81" s="124"/>
      <c r="BX81" s="124"/>
      <c r="BY81" s="124"/>
      <c r="BZ81" s="124"/>
      <c r="CA81" s="124"/>
    </row>
    <row r="82">
      <c r="A82" s="141"/>
      <c r="B82" s="141"/>
      <c r="C82" s="141"/>
      <c r="D82" s="137"/>
      <c r="E82" s="112"/>
      <c r="F82" s="112"/>
      <c r="G82" s="112"/>
      <c r="H82" s="112"/>
      <c r="I82" s="112"/>
      <c r="J82" s="112"/>
      <c r="K82" s="112"/>
      <c r="L82" s="112"/>
      <c r="M82" s="112"/>
      <c r="N82" s="112"/>
      <c r="O82" s="112"/>
      <c r="P82" s="112"/>
      <c r="Q82" s="112"/>
      <c r="R82" s="112"/>
      <c r="S82" s="112"/>
      <c r="T82" s="112"/>
      <c r="U82" s="124"/>
      <c r="V82" s="124"/>
      <c r="W82" s="124"/>
      <c r="X82" s="124"/>
      <c r="Y82" s="124"/>
      <c r="Z82" s="112"/>
      <c r="AA82" s="112"/>
      <c r="AB82" s="112"/>
      <c r="AC82" s="112"/>
      <c r="AD82" s="112"/>
      <c r="AE82" s="112"/>
      <c r="AF82" s="112"/>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row>
    <row r="83">
      <c r="A83" s="141"/>
      <c r="B83" s="141"/>
      <c r="C83" s="141"/>
      <c r="D83" s="137"/>
      <c r="E83" s="112"/>
      <c r="F83" s="112"/>
      <c r="G83" s="112"/>
      <c r="H83" s="112"/>
      <c r="I83" s="112"/>
      <c r="J83" s="112"/>
      <c r="K83" s="112"/>
      <c r="L83" s="112"/>
      <c r="M83" s="112"/>
      <c r="N83" s="112"/>
      <c r="O83" s="112"/>
      <c r="P83" s="112"/>
      <c r="Q83" s="112"/>
      <c r="R83" s="112"/>
      <c r="S83" s="112"/>
      <c r="T83" s="112"/>
      <c r="U83" s="124"/>
      <c r="V83" s="124"/>
      <c r="W83" s="124"/>
      <c r="X83" s="124"/>
      <c r="Y83" s="124"/>
      <c r="Z83" s="112"/>
      <c r="AA83" s="112"/>
      <c r="AB83" s="112"/>
      <c r="AC83" s="112"/>
      <c r="AD83" s="112"/>
      <c r="AE83" s="112"/>
      <c r="AF83" s="112"/>
      <c r="AG83" s="124"/>
      <c r="AH83" s="124"/>
      <c r="AI83" s="124"/>
      <c r="AJ83" s="124"/>
      <c r="AK83" s="124"/>
      <c r="AL83" s="124"/>
      <c r="AM83" s="124"/>
      <c r="AN83" s="124"/>
      <c r="AO83" s="124"/>
      <c r="AP83" s="124"/>
      <c r="AQ83" s="124"/>
      <c r="AR83" s="124"/>
      <c r="AS83" s="124"/>
      <c r="AT83" s="124"/>
      <c r="AU83" s="124"/>
      <c r="AV83" s="124"/>
      <c r="AW83" s="124"/>
      <c r="AX83" s="124"/>
      <c r="AY83" s="124"/>
      <c r="AZ83" s="124"/>
      <c r="BA83" s="124"/>
      <c r="BB83" s="124"/>
      <c r="BC83" s="124"/>
      <c r="BD83" s="124"/>
      <c r="BE83" s="124"/>
      <c r="BF83" s="124"/>
      <c r="BG83" s="124"/>
      <c r="BH83" s="124"/>
      <c r="BI83" s="124"/>
      <c r="BJ83" s="124"/>
      <c r="BK83" s="124"/>
      <c r="BL83" s="124"/>
      <c r="BM83" s="124"/>
      <c r="BN83" s="124"/>
      <c r="BO83" s="124"/>
      <c r="BP83" s="124"/>
      <c r="BQ83" s="124"/>
      <c r="BR83" s="124"/>
      <c r="BS83" s="124"/>
      <c r="BT83" s="124"/>
      <c r="BU83" s="124"/>
      <c r="BV83" s="124"/>
      <c r="BW83" s="124"/>
      <c r="BX83" s="124"/>
      <c r="BY83" s="124"/>
      <c r="BZ83" s="124"/>
      <c r="CA83" s="124"/>
    </row>
    <row r="84">
      <c r="A84" s="141"/>
      <c r="B84" s="141"/>
      <c r="C84" s="141"/>
      <c r="D84" s="137"/>
      <c r="E84" s="112"/>
      <c r="F84" s="112"/>
      <c r="G84" s="112"/>
      <c r="H84" s="112"/>
      <c r="I84" s="112"/>
      <c r="J84" s="112"/>
      <c r="K84" s="112"/>
      <c r="L84" s="112"/>
      <c r="M84" s="112"/>
      <c r="N84" s="112"/>
      <c r="O84" s="112"/>
      <c r="P84" s="112"/>
      <c r="Q84" s="112"/>
      <c r="R84" s="112"/>
      <c r="S84" s="112"/>
      <c r="T84" s="112"/>
      <c r="U84" s="124"/>
      <c r="V84" s="124"/>
      <c r="W84" s="124"/>
      <c r="X84" s="124"/>
      <c r="Y84" s="124"/>
      <c r="Z84" s="112"/>
      <c r="AA84" s="112"/>
      <c r="AB84" s="112"/>
      <c r="AC84" s="112"/>
      <c r="AD84" s="112"/>
      <c r="AE84" s="112"/>
      <c r="AF84" s="112"/>
      <c r="AG84" s="124"/>
      <c r="AH84" s="124"/>
      <c r="AI84" s="124"/>
      <c r="AJ84" s="124"/>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c r="BK84" s="124"/>
      <c r="BL84" s="124"/>
      <c r="BM84" s="124"/>
      <c r="BN84" s="124"/>
      <c r="BO84" s="124"/>
      <c r="BP84" s="124"/>
      <c r="BQ84" s="124"/>
      <c r="BR84" s="124"/>
      <c r="BS84" s="124"/>
      <c r="BT84" s="124"/>
      <c r="BU84" s="124"/>
      <c r="BV84" s="124"/>
      <c r="BW84" s="124"/>
      <c r="BX84" s="124"/>
      <c r="BY84" s="124"/>
      <c r="BZ84" s="124"/>
      <c r="CA84" s="124"/>
    </row>
    <row r="85">
      <c r="A85" s="141"/>
      <c r="B85" s="141"/>
      <c r="C85" s="141"/>
      <c r="D85" s="137"/>
      <c r="E85" s="112"/>
      <c r="F85" s="112"/>
      <c r="G85" s="112"/>
      <c r="H85" s="112"/>
      <c r="I85" s="112"/>
      <c r="J85" s="112"/>
      <c r="K85" s="112"/>
      <c r="L85" s="112"/>
      <c r="M85" s="112"/>
      <c r="N85" s="112"/>
      <c r="O85" s="112"/>
      <c r="P85" s="112"/>
      <c r="Q85" s="112"/>
      <c r="R85" s="112"/>
      <c r="S85" s="112"/>
      <c r="T85" s="112"/>
      <c r="U85" s="124"/>
      <c r="V85" s="124"/>
      <c r="W85" s="124"/>
      <c r="X85" s="124"/>
      <c r="Y85" s="124"/>
      <c r="Z85" s="112"/>
      <c r="AA85" s="112"/>
      <c r="AB85" s="112"/>
      <c r="AC85" s="112"/>
      <c r="AD85" s="112"/>
      <c r="AE85" s="112"/>
      <c r="AF85" s="112"/>
      <c r="AG85" s="124"/>
      <c r="AH85" s="124"/>
      <c r="AI85" s="124"/>
      <c r="AJ85" s="124"/>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c r="BK85" s="124"/>
      <c r="BL85" s="124"/>
      <c r="BM85" s="124"/>
      <c r="BN85" s="124"/>
      <c r="BO85" s="124"/>
      <c r="BP85" s="124"/>
      <c r="BQ85" s="124"/>
      <c r="BR85" s="124"/>
      <c r="BS85" s="124"/>
      <c r="BT85" s="124"/>
      <c r="BU85" s="124"/>
      <c r="BV85" s="124"/>
      <c r="BW85" s="124"/>
      <c r="BX85" s="124"/>
      <c r="BY85" s="124"/>
      <c r="BZ85" s="124"/>
      <c r="CA85" s="124"/>
    </row>
    <row r="86">
      <c r="A86" s="141"/>
      <c r="B86" s="141"/>
      <c r="C86" s="141"/>
      <c r="D86" s="137"/>
      <c r="E86" s="112"/>
      <c r="F86" s="112"/>
      <c r="G86" s="112"/>
      <c r="H86" s="112"/>
      <c r="I86" s="112"/>
      <c r="J86" s="112"/>
      <c r="K86" s="112"/>
      <c r="L86" s="112"/>
      <c r="M86" s="112"/>
      <c r="N86" s="112"/>
      <c r="O86" s="112"/>
      <c r="P86" s="112"/>
      <c r="Q86" s="112"/>
      <c r="R86" s="112"/>
      <c r="S86" s="112"/>
      <c r="T86" s="112"/>
      <c r="U86" s="124"/>
      <c r="V86" s="124"/>
      <c r="W86" s="124"/>
      <c r="X86" s="124"/>
      <c r="Y86" s="124"/>
      <c r="Z86" s="112"/>
      <c r="AA86" s="112"/>
      <c r="AB86" s="112"/>
      <c r="AC86" s="112"/>
      <c r="AD86" s="112"/>
      <c r="AE86" s="112"/>
      <c r="AF86" s="112"/>
      <c r="AG86" s="124"/>
      <c r="AH86" s="124"/>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c r="BK86" s="124"/>
      <c r="BL86" s="124"/>
      <c r="BM86" s="124"/>
      <c r="BN86" s="124"/>
      <c r="BO86" s="124"/>
      <c r="BP86" s="124"/>
      <c r="BQ86" s="124"/>
      <c r="BR86" s="124"/>
      <c r="BS86" s="124"/>
      <c r="BT86" s="124"/>
      <c r="BU86" s="124"/>
      <c r="BV86" s="124"/>
      <c r="BW86" s="124"/>
      <c r="BX86" s="124"/>
      <c r="BY86" s="124"/>
      <c r="BZ86" s="124"/>
      <c r="CA86" s="124"/>
    </row>
    <row r="87">
      <c r="A87" s="141"/>
      <c r="B87" s="141"/>
      <c r="C87" s="141"/>
      <c r="D87" s="137"/>
      <c r="E87" s="112"/>
      <c r="F87" s="112"/>
      <c r="G87" s="112"/>
      <c r="H87" s="112"/>
      <c r="I87" s="112"/>
      <c r="J87" s="112"/>
      <c r="K87" s="112"/>
      <c r="L87" s="112"/>
      <c r="M87" s="112"/>
      <c r="N87" s="112"/>
      <c r="O87" s="112"/>
      <c r="P87" s="112"/>
      <c r="Q87" s="112"/>
      <c r="R87" s="112"/>
      <c r="S87" s="112"/>
      <c r="T87" s="112"/>
      <c r="U87" s="124"/>
      <c r="V87" s="124"/>
      <c r="W87" s="124"/>
      <c r="X87" s="124"/>
      <c r="Y87" s="124"/>
      <c r="Z87" s="112"/>
      <c r="AA87" s="112"/>
      <c r="AB87" s="112"/>
      <c r="AC87" s="112"/>
      <c r="AD87" s="112"/>
      <c r="AE87" s="112"/>
      <c r="AF87" s="112"/>
      <c r="AG87" s="124"/>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row>
    <row r="88">
      <c r="A88" s="141"/>
      <c r="B88" s="141"/>
      <c r="C88" s="141"/>
      <c r="D88" s="137"/>
      <c r="E88" s="112"/>
      <c r="F88" s="112"/>
      <c r="G88" s="112"/>
      <c r="H88" s="112"/>
      <c r="I88" s="112"/>
      <c r="J88" s="112"/>
      <c r="K88" s="112"/>
      <c r="L88" s="112"/>
      <c r="M88" s="112"/>
      <c r="N88" s="112"/>
      <c r="O88" s="112"/>
      <c r="P88" s="112"/>
      <c r="Q88" s="112"/>
      <c r="R88" s="112"/>
      <c r="S88" s="112"/>
      <c r="T88" s="112"/>
      <c r="U88" s="124"/>
      <c r="V88" s="124"/>
      <c r="W88" s="124"/>
      <c r="X88" s="124"/>
      <c r="Y88" s="124"/>
      <c r="Z88" s="112"/>
      <c r="AA88" s="112"/>
      <c r="AB88" s="112"/>
      <c r="AC88" s="112"/>
      <c r="AD88" s="112"/>
      <c r="AE88" s="112"/>
      <c r="AF88" s="112"/>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row>
    <row r="89">
      <c r="A89" s="141"/>
      <c r="B89" s="141"/>
      <c r="C89" s="141"/>
      <c r="D89" s="137"/>
      <c r="E89" s="112"/>
      <c r="F89" s="112"/>
      <c r="G89" s="112"/>
      <c r="H89" s="112"/>
      <c r="I89" s="112"/>
      <c r="J89" s="112"/>
      <c r="K89" s="112"/>
      <c r="L89" s="112"/>
      <c r="M89" s="112"/>
      <c r="N89" s="112"/>
      <c r="O89" s="112"/>
      <c r="P89" s="112"/>
      <c r="Q89" s="112"/>
      <c r="R89" s="112"/>
      <c r="S89" s="112"/>
      <c r="T89" s="112"/>
      <c r="U89" s="124"/>
      <c r="V89" s="124"/>
      <c r="W89" s="124"/>
      <c r="X89" s="124"/>
      <c r="Y89" s="124"/>
      <c r="Z89" s="112"/>
      <c r="AA89" s="112"/>
      <c r="AB89" s="112"/>
      <c r="AC89" s="112"/>
      <c r="AD89" s="112"/>
      <c r="AE89" s="112"/>
      <c r="AF89" s="112"/>
      <c r="AG89" s="124"/>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row>
    <row r="90">
      <c r="A90" s="141"/>
      <c r="B90" s="141"/>
      <c r="C90" s="141"/>
      <c r="D90" s="137"/>
      <c r="E90" s="112"/>
      <c r="F90" s="112"/>
      <c r="G90" s="112"/>
      <c r="H90" s="112"/>
      <c r="I90" s="112"/>
      <c r="J90" s="112"/>
      <c r="K90" s="112"/>
      <c r="L90" s="112"/>
      <c r="M90" s="112"/>
      <c r="N90" s="112"/>
      <c r="O90" s="112"/>
      <c r="P90" s="112"/>
      <c r="Q90" s="112"/>
      <c r="R90" s="112"/>
      <c r="S90" s="112"/>
      <c r="T90" s="112"/>
      <c r="U90" s="124"/>
      <c r="V90" s="124"/>
      <c r="W90" s="124"/>
      <c r="X90" s="124"/>
      <c r="Y90" s="124"/>
      <c r="Z90" s="112"/>
      <c r="AA90" s="112"/>
      <c r="AB90" s="112"/>
      <c r="AC90" s="112"/>
      <c r="AD90" s="112"/>
      <c r="AE90" s="112"/>
      <c r="AF90" s="112"/>
      <c r="AG90" s="124"/>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row>
    <row r="91">
      <c r="A91" s="141"/>
      <c r="B91" s="141"/>
      <c r="C91" s="141"/>
      <c r="D91" s="137"/>
      <c r="E91" s="112"/>
      <c r="F91" s="112"/>
      <c r="G91" s="112"/>
      <c r="H91" s="112"/>
      <c r="I91" s="112"/>
      <c r="J91" s="112"/>
      <c r="K91" s="112"/>
      <c r="L91" s="112"/>
      <c r="M91" s="112"/>
      <c r="N91" s="112"/>
      <c r="O91" s="112"/>
      <c r="P91" s="112"/>
      <c r="Q91" s="112"/>
      <c r="R91" s="112"/>
      <c r="S91" s="112"/>
      <c r="T91" s="112"/>
      <c r="U91" s="124"/>
      <c r="V91" s="124"/>
      <c r="W91" s="124"/>
      <c r="X91" s="124"/>
      <c r="Y91" s="124"/>
      <c r="Z91" s="112"/>
      <c r="AA91" s="112"/>
      <c r="AB91" s="112"/>
      <c r="AC91" s="112"/>
      <c r="AD91" s="112"/>
      <c r="AE91" s="112"/>
      <c r="AF91" s="112"/>
      <c r="AG91" s="124"/>
      <c r="AH91" s="124"/>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c r="BK91" s="124"/>
      <c r="BL91" s="124"/>
      <c r="BM91" s="124"/>
      <c r="BN91" s="124"/>
      <c r="BO91" s="124"/>
      <c r="BP91" s="124"/>
      <c r="BQ91" s="124"/>
      <c r="BR91" s="124"/>
      <c r="BS91" s="124"/>
      <c r="BT91" s="124"/>
      <c r="BU91" s="124"/>
      <c r="BV91" s="124"/>
      <c r="BW91" s="124"/>
      <c r="BX91" s="124"/>
      <c r="BY91" s="124"/>
      <c r="BZ91" s="124"/>
      <c r="CA91" s="124"/>
    </row>
    <row r="92">
      <c r="A92" s="141"/>
      <c r="B92" s="141"/>
      <c r="C92" s="141"/>
      <c r="D92" s="137"/>
      <c r="E92" s="112"/>
      <c r="F92" s="112"/>
      <c r="G92" s="112"/>
      <c r="H92" s="112"/>
      <c r="I92" s="112"/>
      <c r="J92" s="112"/>
      <c r="K92" s="112"/>
      <c r="L92" s="112"/>
      <c r="M92" s="112"/>
      <c r="N92" s="112"/>
      <c r="O92" s="112"/>
      <c r="P92" s="112"/>
      <c r="Q92" s="112"/>
      <c r="R92" s="112"/>
      <c r="S92" s="112"/>
      <c r="T92" s="112"/>
      <c r="U92" s="124"/>
      <c r="V92" s="124"/>
      <c r="W92" s="124"/>
      <c r="X92" s="124"/>
      <c r="Y92" s="124"/>
      <c r="Z92" s="112"/>
      <c r="AA92" s="112"/>
      <c r="AB92" s="112"/>
      <c r="AC92" s="112"/>
      <c r="AD92" s="112"/>
      <c r="AE92" s="112"/>
      <c r="AF92" s="112"/>
      <c r="AG92" s="124"/>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row>
    <row r="93">
      <c r="A93" s="141"/>
      <c r="B93" s="141"/>
      <c r="C93" s="141"/>
      <c r="D93" s="137"/>
      <c r="E93" s="112"/>
      <c r="F93" s="112"/>
      <c r="G93" s="112"/>
      <c r="H93" s="112"/>
      <c r="I93" s="112"/>
      <c r="J93" s="112"/>
      <c r="K93" s="112"/>
      <c r="L93" s="112"/>
      <c r="M93" s="112"/>
      <c r="N93" s="112"/>
      <c r="O93" s="112"/>
      <c r="P93" s="112"/>
      <c r="Q93" s="112"/>
      <c r="R93" s="112"/>
      <c r="S93" s="112"/>
      <c r="T93" s="112"/>
      <c r="U93" s="124"/>
      <c r="V93" s="124"/>
      <c r="W93" s="124"/>
      <c r="X93" s="124"/>
      <c r="Y93" s="124"/>
      <c r="Z93" s="112"/>
      <c r="AA93" s="112"/>
      <c r="AB93" s="112"/>
      <c r="AC93" s="112"/>
      <c r="AD93" s="112"/>
      <c r="AE93" s="112"/>
      <c r="AF93" s="112"/>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row>
    <row r="94">
      <c r="A94" s="141"/>
      <c r="B94" s="141"/>
      <c r="C94" s="141"/>
      <c r="D94" s="137"/>
      <c r="E94" s="112"/>
      <c r="F94" s="112"/>
      <c r="G94" s="112"/>
      <c r="H94" s="112"/>
      <c r="I94" s="112"/>
      <c r="J94" s="112"/>
      <c r="K94" s="112"/>
      <c r="L94" s="112"/>
      <c r="M94" s="112"/>
      <c r="N94" s="112"/>
      <c r="O94" s="112"/>
      <c r="P94" s="112"/>
      <c r="Q94" s="112"/>
      <c r="R94" s="112"/>
      <c r="S94" s="112"/>
      <c r="T94" s="112"/>
      <c r="U94" s="124"/>
      <c r="V94" s="124"/>
      <c r="W94" s="124"/>
      <c r="X94" s="124"/>
      <c r="Y94" s="124"/>
      <c r="Z94" s="112"/>
      <c r="AA94" s="112"/>
      <c r="AB94" s="112"/>
      <c r="AC94" s="112"/>
      <c r="AD94" s="112"/>
      <c r="AE94" s="112"/>
      <c r="AF94" s="112"/>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row>
    <row r="95">
      <c r="A95" s="141"/>
      <c r="B95" s="141"/>
      <c r="C95" s="141"/>
      <c r="D95" s="137"/>
      <c r="E95" s="112"/>
      <c r="F95" s="112"/>
      <c r="G95" s="112"/>
      <c r="H95" s="112"/>
      <c r="I95" s="112"/>
      <c r="J95" s="112"/>
      <c r="K95" s="112"/>
      <c r="L95" s="112"/>
      <c r="M95" s="112"/>
      <c r="N95" s="112"/>
      <c r="O95" s="112"/>
      <c r="P95" s="112"/>
      <c r="Q95" s="112"/>
      <c r="R95" s="112"/>
      <c r="S95" s="112"/>
      <c r="T95" s="112"/>
      <c r="U95" s="124"/>
      <c r="V95" s="124"/>
      <c r="W95" s="124"/>
      <c r="X95" s="124"/>
      <c r="Y95" s="124"/>
      <c r="Z95" s="112"/>
      <c r="AA95" s="112"/>
      <c r="AB95" s="112"/>
      <c r="AC95" s="112"/>
      <c r="AD95" s="112"/>
      <c r="AE95" s="112"/>
      <c r="AF95" s="112"/>
      <c r="AG95" s="124"/>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24"/>
      <c r="CA95" s="124"/>
    </row>
    <row r="96">
      <c r="A96" s="141"/>
      <c r="B96" s="141"/>
      <c r="C96" s="141"/>
      <c r="D96" s="137"/>
      <c r="E96" s="112"/>
      <c r="F96" s="112"/>
      <c r="G96" s="112"/>
      <c r="H96" s="112"/>
      <c r="I96" s="112"/>
      <c r="J96" s="112"/>
      <c r="K96" s="112"/>
      <c r="L96" s="112"/>
      <c r="M96" s="112"/>
      <c r="N96" s="112"/>
      <c r="O96" s="112"/>
      <c r="P96" s="112"/>
      <c r="Q96" s="112"/>
      <c r="R96" s="112"/>
      <c r="S96" s="112"/>
      <c r="T96" s="112"/>
      <c r="U96" s="124"/>
      <c r="V96" s="124"/>
      <c r="W96" s="124"/>
      <c r="X96" s="124"/>
      <c r="Y96" s="124"/>
      <c r="Z96" s="112"/>
      <c r="AA96" s="112"/>
      <c r="AB96" s="112"/>
      <c r="AC96" s="112"/>
      <c r="AD96" s="112"/>
      <c r="AE96" s="112"/>
      <c r="AF96" s="112"/>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row>
    <row r="97">
      <c r="A97" s="141"/>
      <c r="B97" s="141"/>
      <c r="C97" s="141"/>
      <c r="D97" s="137"/>
      <c r="E97" s="112"/>
      <c r="F97" s="112"/>
      <c r="G97" s="112"/>
      <c r="H97" s="112"/>
      <c r="I97" s="112"/>
      <c r="J97" s="112"/>
      <c r="K97" s="112"/>
      <c r="L97" s="112"/>
      <c r="M97" s="112"/>
      <c r="N97" s="112"/>
      <c r="O97" s="112"/>
      <c r="P97" s="112"/>
      <c r="Q97" s="112"/>
      <c r="R97" s="112"/>
      <c r="S97" s="112"/>
      <c r="T97" s="112"/>
      <c r="U97" s="124"/>
      <c r="V97" s="124"/>
      <c r="W97" s="124"/>
      <c r="X97" s="124"/>
      <c r="Y97" s="124"/>
      <c r="Z97" s="112"/>
      <c r="AA97" s="112"/>
      <c r="AB97" s="112"/>
      <c r="AC97" s="112"/>
      <c r="AD97" s="112"/>
      <c r="AE97" s="112"/>
      <c r="AF97" s="112"/>
      <c r="AG97" s="124"/>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c r="BK97" s="124"/>
      <c r="BL97" s="124"/>
      <c r="BM97" s="124"/>
      <c r="BN97" s="124"/>
      <c r="BO97" s="124"/>
      <c r="BP97" s="124"/>
      <c r="BQ97" s="124"/>
      <c r="BR97" s="124"/>
      <c r="BS97" s="124"/>
      <c r="BT97" s="124"/>
      <c r="BU97" s="124"/>
      <c r="BV97" s="124"/>
      <c r="BW97" s="124"/>
      <c r="BX97" s="124"/>
      <c r="BY97" s="124"/>
      <c r="BZ97" s="124"/>
      <c r="CA97" s="124"/>
    </row>
    <row r="98">
      <c r="A98" s="141"/>
      <c r="B98" s="141"/>
      <c r="C98" s="141"/>
      <c r="D98" s="137"/>
      <c r="E98" s="112"/>
      <c r="F98" s="112"/>
      <c r="G98" s="112"/>
      <c r="H98" s="112"/>
      <c r="I98" s="112"/>
      <c r="J98" s="112"/>
      <c r="K98" s="112"/>
      <c r="L98" s="112"/>
      <c r="M98" s="112"/>
      <c r="N98" s="112"/>
      <c r="O98" s="112"/>
      <c r="P98" s="112"/>
      <c r="Q98" s="112"/>
      <c r="R98" s="112"/>
      <c r="S98" s="112"/>
      <c r="T98" s="112"/>
      <c r="U98" s="124"/>
      <c r="V98" s="124"/>
      <c r="W98" s="124"/>
      <c r="X98" s="124"/>
      <c r="Y98" s="124"/>
      <c r="Z98" s="112"/>
      <c r="AA98" s="112"/>
      <c r="AB98" s="112"/>
      <c r="AC98" s="112"/>
      <c r="AD98" s="112"/>
      <c r="AE98" s="112"/>
      <c r="AF98" s="112"/>
      <c r="AG98" s="124"/>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c r="BK98" s="124"/>
      <c r="BL98" s="124"/>
      <c r="BM98" s="124"/>
      <c r="BN98" s="124"/>
      <c r="BO98" s="124"/>
      <c r="BP98" s="124"/>
      <c r="BQ98" s="124"/>
      <c r="BR98" s="124"/>
      <c r="BS98" s="124"/>
      <c r="BT98" s="124"/>
      <c r="BU98" s="124"/>
      <c r="BV98" s="124"/>
      <c r="BW98" s="124"/>
      <c r="BX98" s="124"/>
      <c r="BY98" s="124"/>
      <c r="BZ98" s="124"/>
      <c r="CA98" s="124"/>
    </row>
    <row r="99">
      <c r="A99" s="141"/>
      <c r="B99" s="141"/>
      <c r="C99" s="141"/>
      <c r="D99" s="137"/>
      <c r="E99" s="112"/>
      <c r="F99" s="112"/>
      <c r="G99" s="112"/>
      <c r="H99" s="112"/>
      <c r="I99" s="112"/>
      <c r="J99" s="112"/>
      <c r="K99" s="112"/>
      <c r="L99" s="112"/>
      <c r="M99" s="112"/>
      <c r="N99" s="112"/>
      <c r="O99" s="112"/>
      <c r="P99" s="112"/>
      <c r="Q99" s="112"/>
      <c r="R99" s="112"/>
      <c r="S99" s="112"/>
      <c r="T99" s="112"/>
      <c r="U99" s="124"/>
      <c r="V99" s="124"/>
      <c r="W99" s="124"/>
      <c r="X99" s="124"/>
      <c r="Y99" s="124"/>
      <c r="Z99" s="112"/>
      <c r="AA99" s="112"/>
      <c r="AB99" s="112"/>
      <c r="AC99" s="112"/>
      <c r="AD99" s="112"/>
      <c r="AE99" s="112"/>
      <c r="AF99" s="112"/>
      <c r="AG99" s="124"/>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c r="BK99" s="124"/>
      <c r="BL99" s="124"/>
      <c r="BM99" s="124"/>
      <c r="BN99" s="124"/>
      <c r="BO99" s="124"/>
      <c r="BP99" s="124"/>
      <c r="BQ99" s="124"/>
      <c r="BR99" s="124"/>
      <c r="BS99" s="124"/>
      <c r="BT99" s="124"/>
      <c r="BU99" s="124"/>
      <c r="BV99" s="124"/>
      <c r="BW99" s="124"/>
      <c r="BX99" s="124"/>
      <c r="BY99" s="124"/>
      <c r="BZ99" s="124"/>
      <c r="CA99" s="124"/>
    </row>
    <row r="100">
      <c r="A100" s="141"/>
      <c r="B100" s="141"/>
      <c r="C100" s="141"/>
      <c r="D100" s="137"/>
      <c r="E100" s="112"/>
      <c r="F100" s="112"/>
      <c r="G100" s="112"/>
      <c r="H100" s="112"/>
      <c r="I100" s="112"/>
      <c r="J100" s="112"/>
      <c r="K100" s="112"/>
      <c r="L100" s="112"/>
      <c r="M100" s="112"/>
      <c r="N100" s="112"/>
      <c r="O100" s="112"/>
      <c r="P100" s="112"/>
      <c r="Q100" s="112"/>
      <c r="R100" s="112"/>
      <c r="S100" s="112"/>
      <c r="T100" s="112"/>
      <c r="U100" s="124"/>
      <c r="V100" s="124"/>
      <c r="W100" s="124"/>
      <c r="X100" s="124"/>
      <c r="Y100" s="124"/>
      <c r="Z100" s="112"/>
      <c r="AA100" s="112"/>
      <c r="AB100" s="112"/>
      <c r="AC100" s="112"/>
      <c r="AD100" s="112"/>
      <c r="AE100" s="112"/>
      <c r="AF100" s="112"/>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row>
    <row r="101">
      <c r="A101" s="141"/>
      <c r="B101" s="141"/>
      <c r="C101" s="141"/>
      <c r="D101" s="137"/>
      <c r="E101" s="112"/>
      <c r="F101" s="112"/>
      <c r="G101" s="112"/>
      <c r="H101" s="112"/>
      <c r="I101" s="112"/>
      <c r="J101" s="112"/>
      <c r="K101" s="112"/>
      <c r="L101" s="112"/>
      <c r="M101" s="112"/>
      <c r="N101" s="112"/>
      <c r="O101" s="112"/>
      <c r="P101" s="112"/>
      <c r="Q101" s="112"/>
      <c r="R101" s="112"/>
      <c r="S101" s="112"/>
      <c r="T101" s="112"/>
      <c r="U101" s="124"/>
      <c r="V101" s="124"/>
      <c r="W101" s="124"/>
      <c r="X101" s="124"/>
      <c r="Y101" s="124"/>
      <c r="Z101" s="112"/>
      <c r="AA101" s="112"/>
      <c r="AB101" s="112"/>
      <c r="AC101" s="112"/>
      <c r="AD101" s="112"/>
      <c r="AE101" s="112"/>
      <c r="AF101" s="112"/>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row>
    <row r="102">
      <c r="A102" s="141"/>
      <c r="B102" s="141"/>
      <c r="C102" s="141"/>
      <c r="D102" s="137"/>
      <c r="E102" s="112"/>
      <c r="F102" s="112"/>
      <c r="G102" s="112"/>
      <c r="H102" s="112"/>
      <c r="I102" s="112"/>
      <c r="J102" s="112"/>
      <c r="K102" s="112"/>
      <c r="L102" s="112"/>
      <c r="M102" s="112"/>
      <c r="N102" s="112"/>
      <c r="O102" s="112"/>
      <c r="P102" s="112"/>
      <c r="Q102" s="112"/>
      <c r="R102" s="112"/>
      <c r="S102" s="112"/>
      <c r="T102" s="112"/>
      <c r="U102" s="124"/>
      <c r="V102" s="124"/>
      <c r="W102" s="124"/>
      <c r="X102" s="124"/>
      <c r="Y102" s="124"/>
      <c r="Z102" s="112"/>
      <c r="AA102" s="112"/>
      <c r="AB102" s="112"/>
      <c r="AC102" s="112"/>
      <c r="AD102" s="112"/>
      <c r="AE102" s="112"/>
      <c r="AF102" s="112"/>
      <c r="AG102" s="124"/>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c r="BK102" s="124"/>
      <c r="BL102" s="124"/>
      <c r="BM102" s="124"/>
      <c r="BN102" s="124"/>
      <c r="BO102" s="124"/>
      <c r="BP102" s="124"/>
      <c r="BQ102" s="124"/>
      <c r="BR102" s="124"/>
      <c r="BS102" s="124"/>
      <c r="BT102" s="124"/>
      <c r="BU102" s="124"/>
      <c r="BV102" s="124"/>
      <c r="BW102" s="124"/>
      <c r="BX102" s="124"/>
      <c r="BY102" s="124"/>
      <c r="BZ102" s="124"/>
      <c r="CA102" s="124"/>
    </row>
    <row r="103">
      <c r="A103" s="141"/>
      <c r="B103" s="141"/>
      <c r="C103" s="141"/>
      <c r="D103" s="137"/>
      <c r="E103" s="112"/>
      <c r="F103" s="112"/>
      <c r="G103" s="112"/>
      <c r="H103" s="112"/>
      <c r="I103" s="112"/>
      <c r="J103" s="112"/>
      <c r="K103" s="112"/>
      <c r="L103" s="112"/>
      <c r="M103" s="112"/>
      <c r="N103" s="112"/>
      <c r="O103" s="112"/>
      <c r="P103" s="112"/>
      <c r="Q103" s="112"/>
      <c r="R103" s="112"/>
      <c r="S103" s="112"/>
      <c r="T103" s="112"/>
      <c r="U103" s="124"/>
      <c r="V103" s="124"/>
      <c r="W103" s="124"/>
      <c r="X103" s="124"/>
      <c r="Y103" s="124"/>
      <c r="Z103" s="112"/>
      <c r="AA103" s="112"/>
      <c r="AB103" s="112"/>
      <c r="AC103" s="112"/>
      <c r="AD103" s="112"/>
      <c r="AE103" s="112"/>
      <c r="AF103" s="112"/>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row>
    <row r="104">
      <c r="A104" s="141"/>
      <c r="B104" s="141"/>
      <c r="C104" s="141"/>
      <c r="D104" s="137"/>
      <c r="E104" s="112"/>
      <c r="F104" s="112"/>
      <c r="G104" s="112"/>
      <c r="H104" s="112"/>
      <c r="I104" s="112"/>
      <c r="J104" s="112"/>
      <c r="K104" s="112"/>
      <c r="L104" s="112"/>
      <c r="M104" s="112"/>
      <c r="N104" s="112"/>
      <c r="O104" s="112"/>
      <c r="P104" s="112"/>
      <c r="Q104" s="112"/>
      <c r="R104" s="112"/>
      <c r="S104" s="112"/>
      <c r="T104" s="112"/>
      <c r="U104" s="124"/>
      <c r="V104" s="124"/>
      <c r="W104" s="124"/>
      <c r="X104" s="124"/>
      <c r="Y104" s="124"/>
      <c r="Z104" s="112"/>
      <c r="AA104" s="112"/>
      <c r="AB104" s="112"/>
      <c r="AC104" s="112"/>
      <c r="AD104" s="112"/>
      <c r="AE104" s="112"/>
      <c r="AF104" s="112"/>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c r="BK104" s="124"/>
      <c r="BL104" s="124"/>
      <c r="BM104" s="124"/>
      <c r="BN104" s="124"/>
      <c r="BO104" s="124"/>
      <c r="BP104" s="124"/>
      <c r="BQ104" s="124"/>
      <c r="BR104" s="124"/>
      <c r="BS104" s="124"/>
      <c r="BT104" s="124"/>
      <c r="BU104" s="124"/>
      <c r="BV104" s="124"/>
      <c r="BW104" s="124"/>
      <c r="BX104" s="124"/>
      <c r="BY104" s="124"/>
      <c r="BZ104" s="124"/>
      <c r="CA104" s="124"/>
    </row>
    <row r="105">
      <c r="A105" s="141"/>
      <c r="B105" s="141"/>
      <c r="C105" s="141"/>
      <c r="D105" s="137"/>
      <c r="E105" s="112"/>
      <c r="F105" s="112"/>
      <c r="G105" s="112"/>
      <c r="H105" s="112"/>
      <c r="I105" s="112"/>
      <c r="J105" s="112"/>
      <c r="K105" s="112"/>
      <c r="L105" s="112"/>
      <c r="M105" s="112"/>
      <c r="N105" s="112"/>
      <c r="O105" s="112"/>
      <c r="P105" s="112"/>
      <c r="Q105" s="112"/>
      <c r="R105" s="112"/>
      <c r="S105" s="112"/>
      <c r="T105" s="112"/>
      <c r="U105" s="124"/>
      <c r="V105" s="124"/>
      <c r="W105" s="124"/>
      <c r="X105" s="124"/>
      <c r="Y105" s="124"/>
      <c r="Z105" s="112"/>
      <c r="AA105" s="112"/>
      <c r="AB105" s="112"/>
      <c r="AC105" s="112"/>
      <c r="AD105" s="112"/>
      <c r="AE105" s="112"/>
      <c r="AF105" s="112"/>
      <c r="AG105" s="124"/>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row>
    <row r="106">
      <c r="A106" s="141"/>
      <c r="B106" s="141"/>
      <c r="C106" s="141"/>
      <c r="D106" s="137"/>
      <c r="E106" s="112"/>
      <c r="F106" s="112"/>
      <c r="G106" s="112"/>
      <c r="H106" s="112"/>
      <c r="I106" s="112"/>
      <c r="J106" s="112"/>
      <c r="K106" s="112"/>
      <c r="L106" s="112"/>
      <c r="M106" s="112"/>
      <c r="N106" s="112"/>
      <c r="O106" s="112"/>
      <c r="P106" s="112"/>
      <c r="Q106" s="112"/>
      <c r="R106" s="112"/>
      <c r="S106" s="112"/>
      <c r="T106" s="112"/>
      <c r="U106" s="124"/>
      <c r="V106" s="124"/>
      <c r="W106" s="124"/>
      <c r="X106" s="124"/>
      <c r="Y106" s="124"/>
      <c r="Z106" s="112"/>
      <c r="AA106" s="112"/>
      <c r="AB106" s="112"/>
      <c r="AC106" s="112"/>
      <c r="AD106" s="112"/>
      <c r="AE106" s="112"/>
      <c r="AF106" s="112"/>
      <c r="AG106" s="124"/>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row>
    <row r="107">
      <c r="A107" s="141"/>
      <c r="B107" s="141"/>
      <c r="C107" s="141"/>
      <c r="D107" s="137"/>
      <c r="E107" s="112"/>
      <c r="F107" s="112"/>
      <c r="G107" s="112"/>
      <c r="H107" s="112"/>
      <c r="I107" s="112"/>
      <c r="J107" s="112"/>
      <c r="K107" s="112"/>
      <c r="L107" s="112"/>
      <c r="M107" s="112"/>
      <c r="N107" s="112"/>
      <c r="O107" s="112"/>
      <c r="P107" s="112"/>
      <c r="Q107" s="112"/>
      <c r="R107" s="112"/>
      <c r="S107" s="112"/>
      <c r="T107" s="112"/>
      <c r="U107" s="124"/>
      <c r="V107" s="124"/>
      <c r="W107" s="124"/>
      <c r="X107" s="124"/>
      <c r="Y107" s="124"/>
      <c r="Z107" s="112"/>
      <c r="AA107" s="112"/>
      <c r="AB107" s="112"/>
      <c r="AC107" s="112"/>
      <c r="AD107" s="112"/>
      <c r="AE107" s="112"/>
      <c r="AF107" s="112"/>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row>
    <row r="108">
      <c r="A108" s="141"/>
      <c r="B108" s="141"/>
      <c r="C108" s="141"/>
      <c r="D108" s="137"/>
      <c r="E108" s="112"/>
      <c r="F108" s="112"/>
      <c r="G108" s="112"/>
      <c r="H108" s="112"/>
      <c r="I108" s="112"/>
      <c r="J108" s="112"/>
      <c r="K108" s="112"/>
      <c r="L108" s="112"/>
      <c r="M108" s="112"/>
      <c r="N108" s="112"/>
      <c r="O108" s="112"/>
      <c r="P108" s="112"/>
      <c r="Q108" s="112"/>
      <c r="R108" s="112"/>
      <c r="S108" s="112"/>
      <c r="T108" s="112"/>
      <c r="U108" s="124"/>
      <c r="V108" s="124"/>
      <c r="W108" s="124"/>
      <c r="X108" s="124"/>
      <c r="Y108" s="124"/>
      <c r="Z108" s="112"/>
      <c r="AA108" s="112"/>
      <c r="AB108" s="112"/>
      <c r="AC108" s="112"/>
      <c r="AD108" s="112"/>
      <c r="AE108" s="112"/>
      <c r="AF108" s="112"/>
      <c r="AG108" s="124"/>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c r="BK108" s="124"/>
      <c r="BL108" s="124"/>
      <c r="BM108" s="124"/>
      <c r="BN108" s="124"/>
      <c r="BO108" s="124"/>
      <c r="BP108" s="124"/>
      <c r="BQ108" s="124"/>
      <c r="BR108" s="124"/>
      <c r="BS108" s="124"/>
      <c r="BT108" s="124"/>
      <c r="BU108" s="124"/>
      <c r="BV108" s="124"/>
      <c r="BW108" s="124"/>
      <c r="BX108" s="124"/>
      <c r="BY108" s="124"/>
      <c r="BZ108" s="124"/>
      <c r="CA108" s="124"/>
    </row>
    <row r="109">
      <c r="A109" s="141"/>
      <c r="B109" s="141"/>
      <c r="C109" s="141"/>
      <c r="D109" s="137"/>
      <c r="E109" s="112"/>
      <c r="F109" s="112"/>
      <c r="G109" s="112"/>
      <c r="H109" s="112"/>
      <c r="I109" s="112"/>
      <c r="J109" s="112"/>
      <c r="K109" s="112"/>
      <c r="L109" s="112"/>
      <c r="M109" s="112"/>
      <c r="N109" s="112"/>
      <c r="O109" s="112"/>
      <c r="P109" s="112"/>
      <c r="Q109" s="112"/>
      <c r="R109" s="112"/>
      <c r="S109" s="112"/>
      <c r="T109" s="112"/>
      <c r="U109" s="124"/>
      <c r="V109" s="124"/>
      <c r="W109" s="124"/>
      <c r="X109" s="124"/>
      <c r="Y109" s="124"/>
      <c r="Z109" s="112"/>
      <c r="AA109" s="112"/>
      <c r="AB109" s="112"/>
      <c r="AC109" s="112"/>
      <c r="AD109" s="112"/>
      <c r="AE109" s="112"/>
      <c r="AF109" s="112"/>
      <c r="AG109" s="124"/>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4"/>
      <c r="BR109" s="124"/>
      <c r="BS109" s="124"/>
      <c r="BT109" s="124"/>
      <c r="BU109" s="124"/>
      <c r="BV109" s="124"/>
      <c r="BW109" s="124"/>
      <c r="BX109" s="124"/>
      <c r="BY109" s="124"/>
      <c r="BZ109" s="124"/>
      <c r="CA109" s="124"/>
    </row>
    <row r="110">
      <c r="A110" s="141"/>
      <c r="B110" s="141"/>
      <c r="C110" s="141"/>
      <c r="D110" s="137"/>
      <c r="E110" s="112"/>
      <c r="F110" s="112"/>
      <c r="G110" s="112"/>
      <c r="H110" s="112"/>
      <c r="I110" s="112"/>
      <c r="J110" s="112"/>
      <c r="K110" s="112"/>
      <c r="L110" s="112"/>
      <c r="M110" s="112"/>
      <c r="N110" s="112"/>
      <c r="O110" s="112"/>
      <c r="P110" s="112"/>
      <c r="Q110" s="112"/>
      <c r="R110" s="112"/>
      <c r="S110" s="112"/>
      <c r="T110" s="112"/>
      <c r="U110" s="124"/>
      <c r="V110" s="124"/>
      <c r="W110" s="124"/>
      <c r="X110" s="124"/>
      <c r="Y110" s="124"/>
      <c r="Z110" s="112"/>
      <c r="AA110" s="112"/>
      <c r="AB110" s="112"/>
      <c r="AC110" s="112"/>
      <c r="AD110" s="112"/>
      <c r="AE110" s="112"/>
      <c r="AF110" s="112"/>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row>
    <row r="111">
      <c r="A111" s="141"/>
      <c r="B111" s="141"/>
      <c r="C111" s="141"/>
      <c r="D111" s="137"/>
      <c r="E111" s="112"/>
      <c r="F111" s="112"/>
      <c r="G111" s="112"/>
      <c r="H111" s="112"/>
      <c r="I111" s="112"/>
      <c r="J111" s="112"/>
      <c r="K111" s="112"/>
      <c r="L111" s="112"/>
      <c r="M111" s="112"/>
      <c r="N111" s="112"/>
      <c r="O111" s="112"/>
      <c r="P111" s="112"/>
      <c r="Q111" s="112"/>
      <c r="R111" s="112"/>
      <c r="S111" s="112"/>
      <c r="T111" s="112"/>
      <c r="U111" s="124"/>
      <c r="V111" s="124"/>
      <c r="W111" s="124"/>
      <c r="X111" s="124"/>
      <c r="Y111" s="124"/>
      <c r="Z111" s="112"/>
      <c r="AA111" s="112"/>
      <c r="AB111" s="112"/>
      <c r="AC111" s="112"/>
      <c r="AD111" s="112"/>
      <c r="AE111" s="112"/>
      <c r="AF111" s="112"/>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c r="BK111" s="124"/>
      <c r="BL111" s="124"/>
      <c r="BM111" s="124"/>
      <c r="BN111" s="124"/>
      <c r="BO111" s="124"/>
      <c r="BP111" s="124"/>
      <c r="BQ111" s="124"/>
      <c r="BR111" s="124"/>
      <c r="BS111" s="124"/>
      <c r="BT111" s="124"/>
      <c r="BU111" s="124"/>
      <c r="BV111" s="124"/>
      <c r="BW111" s="124"/>
      <c r="BX111" s="124"/>
      <c r="BY111" s="124"/>
      <c r="BZ111" s="124"/>
      <c r="CA111" s="124"/>
    </row>
    <row r="112">
      <c r="A112" s="141"/>
      <c r="B112" s="141"/>
      <c r="C112" s="141"/>
      <c r="D112" s="137"/>
      <c r="E112" s="112"/>
      <c r="F112" s="112"/>
      <c r="G112" s="112"/>
      <c r="H112" s="112"/>
      <c r="I112" s="112"/>
      <c r="J112" s="112"/>
      <c r="K112" s="112"/>
      <c r="L112" s="112"/>
      <c r="M112" s="112"/>
      <c r="N112" s="112"/>
      <c r="O112" s="112"/>
      <c r="P112" s="112"/>
      <c r="Q112" s="112"/>
      <c r="R112" s="112"/>
      <c r="S112" s="112"/>
      <c r="T112" s="112"/>
      <c r="U112" s="124"/>
      <c r="V112" s="124"/>
      <c r="W112" s="124"/>
      <c r="X112" s="124"/>
      <c r="Y112" s="124"/>
      <c r="Z112" s="112"/>
      <c r="AA112" s="112"/>
      <c r="AB112" s="112"/>
      <c r="AC112" s="112"/>
      <c r="AD112" s="112"/>
      <c r="AE112" s="112"/>
      <c r="AF112" s="112"/>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row>
    <row r="113">
      <c r="A113" s="141"/>
      <c r="B113" s="141"/>
      <c r="C113" s="141"/>
      <c r="D113" s="137"/>
      <c r="E113" s="112"/>
      <c r="F113" s="112"/>
      <c r="G113" s="112"/>
      <c r="H113" s="112"/>
      <c r="I113" s="112"/>
      <c r="J113" s="112"/>
      <c r="K113" s="112"/>
      <c r="L113" s="112"/>
      <c r="M113" s="112"/>
      <c r="N113" s="112"/>
      <c r="O113" s="112"/>
      <c r="P113" s="112"/>
      <c r="Q113" s="112"/>
      <c r="R113" s="112"/>
      <c r="S113" s="112"/>
      <c r="T113" s="112"/>
      <c r="U113" s="124"/>
      <c r="V113" s="124"/>
      <c r="W113" s="124"/>
      <c r="X113" s="124"/>
      <c r="Y113" s="124"/>
      <c r="Z113" s="112"/>
      <c r="AA113" s="112"/>
      <c r="AB113" s="112"/>
      <c r="AC113" s="112"/>
      <c r="AD113" s="112"/>
      <c r="AE113" s="112"/>
      <c r="AF113" s="112"/>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row>
    <row r="114">
      <c r="A114" s="141"/>
      <c r="B114" s="141"/>
      <c r="C114" s="141"/>
      <c r="D114" s="137"/>
      <c r="E114" s="112"/>
      <c r="F114" s="112"/>
      <c r="G114" s="112"/>
      <c r="H114" s="112"/>
      <c r="I114" s="112"/>
      <c r="J114" s="112"/>
      <c r="K114" s="112"/>
      <c r="L114" s="112"/>
      <c r="M114" s="112"/>
      <c r="N114" s="112"/>
      <c r="O114" s="112"/>
      <c r="P114" s="112"/>
      <c r="Q114" s="112"/>
      <c r="R114" s="112"/>
      <c r="S114" s="112"/>
      <c r="T114" s="112"/>
      <c r="U114" s="124"/>
      <c r="V114" s="124"/>
      <c r="W114" s="124"/>
      <c r="X114" s="124"/>
      <c r="Y114" s="124"/>
      <c r="Z114" s="112"/>
      <c r="AA114" s="112"/>
      <c r="AB114" s="112"/>
      <c r="AC114" s="112"/>
      <c r="AD114" s="112"/>
      <c r="AE114" s="112"/>
      <c r="AF114" s="112"/>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c r="BZ114" s="124"/>
      <c r="CA114" s="124"/>
    </row>
    <row r="115">
      <c r="A115" s="141"/>
      <c r="B115" s="141"/>
      <c r="C115" s="141"/>
      <c r="D115" s="137"/>
      <c r="E115" s="112"/>
      <c r="F115" s="112"/>
      <c r="G115" s="112"/>
      <c r="H115" s="112"/>
      <c r="I115" s="112"/>
      <c r="J115" s="112"/>
      <c r="K115" s="112"/>
      <c r="L115" s="112"/>
      <c r="M115" s="112"/>
      <c r="N115" s="112"/>
      <c r="O115" s="112"/>
      <c r="P115" s="112"/>
      <c r="Q115" s="112"/>
      <c r="R115" s="112"/>
      <c r="S115" s="112"/>
      <c r="T115" s="112"/>
      <c r="U115" s="124"/>
      <c r="V115" s="124"/>
      <c r="W115" s="124"/>
      <c r="X115" s="124"/>
      <c r="Y115" s="124"/>
      <c r="Z115" s="112"/>
      <c r="AA115" s="112"/>
      <c r="AB115" s="112"/>
      <c r="AC115" s="112"/>
      <c r="AD115" s="112"/>
      <c r="AE115" s="112"/>
      <c r="AF115" s="112"/>
      <c r="AG115" s="124"/>
      <c r="AH115" s="124"/>
      <c r="AI115" s="124"/>
      <c r="AJ115" s="124"/>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c r="BK115" s="124"/>
      <c r="BL115" s="124"/>
      <c r="BM115" s="124"/>
      <c r="BN115" s="124"/>
      <c r="BO115" s="124"/>
      <c r="BP115" s="124"/>
      <c r="BQ115" s="124"/>
      <c r="BR115" s="124"/>
      <c r="BS115" s="124"/>
      <c r="BT115" s="124"/>
      <c r="BU115" s="124"/>
      <c r="BV115" s="124"/>
      <c r="BW115" s="124"/>
      <c r="BX115" s="124"/>
      <c r="BY115" s="124"/>
      <c r="BZ115" s="124"/>
      <c r="CA115" s="124"/>
    </row>
    <row r="116">
      <c r="A116" s="141"/>
      <c r="B116" s="141"/>
      <c r="C116" s="141"/>
      <c r="D116" s="137"/>
      <c r="E116" s="112"/>
      <c r="F116" s="112"/>
      <c r="G116" s="112"/>
      <c r="H116" s="112"/>
      <c r="I116" s="112"/>
      <c r="J116" s="112"/>
      <c r="K116" s="112"/>
      <c r="L116" s="112"/>
      <c r="M116" s="112"/>
      <c r="N116" s="112"/>
      <c r="O116" s="112"/>
      <c r="P116" s="112"/>
      <c r="Q116" s="112"/>
      <c r="R116" s="112"/>
      <c r="S116" s="112"/>
      <c r="T116" s="112"/>
      <c r="U116" s="124"/>
      <c r="V116" s="124"/>
      <c r="W116" s="124"/>
      <c r="X116" s="124"/>
      <c r="Y116" s="124"/>
      <c r="Z116" s="112"/>
      <c r="AA116" s="112"/>
      <c r="AB116" s="112"/>
      <c r="AC116" s="112"/>
      <c r="AD116" s="112"/>
      <c r="AE116" s="112"/>
      <c r="AF116" s="112"/>
      <c r="AG116" s="124"/>
      <c r="AH116" s="124"/>
      <c r="AI116" s="124"/>
      <c r="AJ116" s="124"/>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c r="BK116" s="124"/>
      <c r="BL116" s="124"/>
      <c r="BM116" s="124"/>
      <c r="BN116" s="124"/>
      <c r="BO116" s="124"/>
      <c r="BP116" s="124"/>
      <c r="BQ116" s="124"/>
      <c r="BR116" s="124"/>
      <c r="BS116" s="124"/>
      <c r="BT116" s="124"/>
      <c r="BU116" s="124"/>
      <c r="BV116" s="124"/>
      <c r="BW116" s="124"/>
      <c r="BX116" s="124"/>
      <c r="BY116" s="124"/>
      <c r="BZ116" s="124"/>
      <c r="CA116" s="124"/>
    </row>
    <row r="117">
      <c r="A117" s="141"/>
      <c r="B117" s="141"/>
      <c r="C117" s="141"/>
      <c r="D117" s="137"/>
      <c r="E117" s="112"/>
      <c r="F117" s="112"/>
      <c r="G117" s="112"/>
      <c r="H117" s="112"/>
      <c r="I117" s="112"/>
      <c r="J117" s="112"/>
      <c r="K117" s="112"/>
      <c r="L117" s="112"/>
      <c r="M117" s="112"/>
      <c r="N117" s="112"/>
      <c r="O117" s="112"/>
      <c r="P117" s="112"/>
      <c r="Q117" s="112"/>
      <c r="R117" s="112"/>
      <c r="S117" s="112"/>
      <c r="T117" s="112"/>
      <c r="U117" s="124"/>
      <c r="V117" s="124"/>
      <c r="W117" s="124"/>
      <c r="X117" s="124"/>
      <c r="Y117" s="124"/>
      <c r="Z117" s="112"/>
      <c r="AA117" s="112"/>
      <c r="AB117" s="112"/>
      <c r="AC117" s="112"/>
      <c r="AD117" s="112"/>
      <c r="AE117" s="112"/>
      <c r="AF117" s="112"/>
      <c r="AG117" s="124"/>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c r="BK117" s="124"/>
      <c r="BL117" s="124"/>
      <c r="BM117" s="124"/>
      <c r="BN117" s="124"/>
      <c r="BO117" s="124"/>
      <c r="BP117" s="124"/>
      <c r="BQ117" s="124"/>
      <c r="BR117" s="124"/>
      <c r="BS117" s="124"/>
      <c r="BT117" s="124"/>
      <c r="BU117" s="124"/>
      <c r="BV117" s="124"/>
      <c r="BW117" s="124"/>
      <c r="BX117" s="124"/>
      <c r="BY117" s="124"/>
      <c r="BZ117" s="124"/>
      <c r="CA117" s="124"/>
    </row>
    <row r="118">
      <c r="A118" s="141"/>
      <c r="B118" s="141"/>
      <c r="C118" s="141"/>
      <c r="D118" s="137"/>
      <c r="E118" s="112"/>
      <c r="F118" s="112"/>
      <c r="G118" s="112"/>
      <c r="H118" s="112"/>
      <c r="I118" s="112"/>
      <c r="J118" s="112"/>
      <c r="K118" s="112"/>
      <c r="L118" s="112"/>
      <c r="M118" s="112"/>
      <c r="N118" s="112"/>
      <c r="O118" s="112"/>
      <c r="P118" s="112"/>
      <c r="Q118" s="112"/>
      <c r="R118" s="112"/>
      <c r="S118" s="112"/>
      <c r="T118" s="112"/>
      <c r="U118" s="124"/>
      <c r="V118" s="124"/>
      <c r="W118" s="124"/>
      <c r="X118" s="124"/>
      <c r="Y118" s="124"/>
      <c r="Z118" s="112"/>
      <c r="AA118" s="112"/>
      <c r="AB118" s="112"/>
      <c r="AC118" s="112"/>
      <c r="AD118" s="112"/>
      <c r="AE118" s="112"/>
      <c r="AF118" s="112"/>
      <c r="AG118" s="124"/>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row>
    <row r="119">
      <c r="A119" s="141"/>
      <c r="B119" s="141"/>
      <c r="C119" s="141"/>
      <c r="D119" s="137"/>
      <c r="E119" s="112"/>
      <c r="F119" s="112"/>
      <c r="G119" s="112"/>
      <c r="H119" s="112"/>
      <c r="I119" s="112"/>
      <c r="J119" s="112"/>
      <c r="K119" s="112"/>
      <c r="L119" s="112"/>
      <c r="M119" s="112"/>
      <c r="N119" s="112"/>
      <c r="O119" s="112"/>
      <c r="P119" s="112"/>
      <c r="Q119" s="112"/>
      <c r="R119" s="112"/>
      <c r="S119" s="112"/>
      <c r="T119" s="112"/>
      <c r="U119" s="124"/>
      <c r="V119" s="124"/>
      <c r="W119" s="124"/>
      <c r="X119" s="124"/>
      <c r="Y119" s="124"/>
      <c r="Z119" s="112"/>
      <c r="AA119" s="112"/>
      <c r="AB119" s="112"/>
      <c r="AC119" s="112"/>
      <c r="AD119" s="112"/>
      <c r="AE119" s="112"/>
      <c r="AF119" s="112"/>
      <c r="AG119" s="124"/>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c r="BK119" s="124"/>
      <c r="BL119" s="124"/>
      <c r="BM119" s="124"/>
      <c r="BN119" s="124"/>
      <c r="BO119" s="124"/>
      <c r="BP119" s="124"/>
      <c r="BQ119" s="124"/>
      <c r="BR119" s="124"/>
      <c r="BS119" s="124"/>
      <c r="BT119" s="124"/>
      <c r="BU119" s="124"/>
      <c r="BV119" s="124"/>
      <c r="BW119" s="124"/>
      <c r="BX119" s="124"/>
      <c r="BY119" s="124"/>
      <c r="BZ119" s="124"/>
      <c r="CA119" s="124"/>
    </row>
    <row r="120">
      <c r="A120" s="141"/>
      <c r="B120" s="141"/>
      <c r="C120" s="141"/>
      <c r="D120" s="137"/>
      <c r="E120" s="112"/>
      <c r="F120" s="112"/>
      <c r="G120" s="112"/>
      <c r="H120" s="112"/>
      <c r="I120" s="112"/>
      <c r="J120" s="112"/>
      <c r="K120" s="112"/>
      <c r="L120" s="112"/>
      <c r="M120" s="112"/>
      <c r="N120" s="112"/>
      <c r="O120" s="112"/>
      <c r="P120" s="112"/>
      <c r="Q120" s="112"/>
      <c r="R120" s="112"/>
      <c r="S120" s="112"/>
      <c r="T120" s="112"/>
      <c r="U120" s="124"/>
      <c r="V120" s="124"/>
      <c r="W120" s="124"/>
      <c r="X120" s="124"/>
      <c r="Y120" s="124"/>
      <c r="Z120" s="112"/>
      <c r="AA120" s="112"/>
      <c r="AB120" s="112"/>
      <c r="AC120" s="112"/>
      <c r="AD120" s="112"/>
      <c r="AE120" s="112"/>
      <c r="AF120" s="112"/>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row>
    <row r="121">
      <c r="A121" s="141"/>
      <c r="B121" s="141"/>
      <c r="C121" s="141"/>
      <c r="D121" s="137"/>
      <c r="E121" s="112"/>
      <c r="F121" s="112"/>
      <c r="G121" s="112"/>
      <c r="H121" s="112"/>
      <c r="I121" s="112"/>
      <c r="J121" s="112"/>
      <c r="K121" s="112"/>
      <c r="L121" s="112"/>
      <c r="M121" s="112"/>
      <c r="N121" s="112"/>
      <c r="O121" s="112"/>
      <c r="P121" s="112"/>
      <c r="Q121" s="112"/>
      <c r="R121" s="112"/>
      <c r="S121" s="112"/>
      <c r="T121" s="112"/>
      <c r="U121" s="124"/>
      <c r="V121" s="124"/>
      <c r="W121" s="124"/>
      <c r="X121" s="124"/>
      <c r="Y121" s="124"/>
      <c r="Z121" s="112"/>
      <c r="AA121" s="112"/>
      <c r="AB121" s="112"/>
      <c r="AC121" s="112"/>
      <c r="AD121" s="112"/>
      <c r="AE121" s="112"/>
      <c r="AF121" s="112"/>
      <c r="AG121" s="124"/>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c r="BS121" s="124"/>
      <c r="BT121" s="124"/>
      <c r="BU121" s="124"/>
      <c r="BV121" s="124"/>
      <c r="BW121" s="124"/>
      <c r="BX121" s="124"/>
      <c r="BY121" s="124"/>
      <c r="BZ121" s="124"/>
      <c r="CA121" s="124"/>
    </row>
    <row r="122">
      <c r="A122" s="141"/>
      <c r="B122" s="141"/>
      <c r="C122" s="141"/>
      <c r="D122" s="137"/>
      <c r="E122" s="112"/>
      <c r="F122" s="112"/>
      <c r="G122" s="112"/>
      <c r="H122" s="112"/>
      <c r="I122" s="112"/>
      <c r="J122" s="112"/>
      <c r="K122" s="112"/>
      <c r="L122" s="112"/>
      <c r="M122" s="112"/>
      <c r="N122" s="112"/>
      <c r="O122" s="112"/>
      <c r="P122" s="112"/>
      <c r="Q122" s="112"/>
      <c r="R122" s="112"/>
      <c r="S122" s="112"/>
      <c r="T122" s="112"/>
      <c r="U122" s="124"/>
      <c r="V122" s="124"/>
      <c r="W122" s="124"/>
      <c r="X122" s="124"/>
      <c r="Y122" s="124"/>
      <c r="Z122" s="112"/>
      <c r="AA122" s="112"/>
      <c r="AB122" s="112"/>
      <c r="AC122" s="112"/>
      <c r="AD122" s="112"/>
      <c r="AE122" s="112"/>
      <c r="AF122" s="112"/>
      <c r="AG122" s="124"/>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row>
    <row r="123">
      <c r="A123" s="141"/>
      <c r="B123" s="141"/>
      <c r="C123" s="141"/>
      <c r="D123" s="137"/>
      <c r="E123" s="112"/>
      <c r="F123" s="112"/>
      <c r="G123" s="112"/>
      <c r="H123" s="112"/>
      <c r="I123" s="112"/>
      <c r="J123" s="112"/>
      <c r="K123" s="112"/>
      <c r="L123" s="112"/>
      <c r="M123" s="112"/>
      <c r="N123" s="112"/>
      <c r="O123" s="112"/>
      <c r="P123" s="112"/>
      <c r="Q123" s="112"/>
      <c r="R123" s="112"/>
      <c r="S123" s="112"/>
      <c r="T123" s="112"/>
      <c r="U123" s="124"/>
      <c r="V123" s="124"/>
      <c r="W123" s="124"/>
      <c r="X123" s="124"/>
      <c r="Y123" s="124"/>
      <c r="Z123" s="112"/>
      <c r="AA123" s="112"/>
      <c r="AB123" s="112"/>
      <c r="AC123" s="112"/>
      <c r="AD123" s="112"/>
      <c r="AE123" s="112"/>
      <c r="AF123" s="112"/>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row>
    <row r="124">
      <c r="A124" s="141"/>
      <c r="B124" s="141"/>
      <c r="C124" s="141"/>
      <c r="D124" s="137"/>
      <c r="E124" s="112"/>
      <c r="F124" s="112"/>
      <c r="G124" s="112"/>
      <c r="H124" s="112"/>
      <c r="I124" s="112"/>
      <c r="J124" s="112"/>
      <c r="K124" s="112"/>
      <c r="L124" s="112"/>
      <c r="M124" s="112"/>
      <c r="N124" s="112"/>
      <c r="O124" s="112"/>
      <c r="P124" s="112"/>
      <c r="Q124" s="112"/>
      <c r="R124" s="112"/>
      <c r="S124" s="112"/>
      <c r="T124" s="112"/>
      <c r="U124" s="124"/>
      <c r="V124" s="124"/>
      <c r="W124" s="124"/>
      <c r="X124" s="124"/>
      <c r="Y124" s="124"/>
      <c r="Z124" s="112"/>
      <c r="AA124" s="112"/>
      <c r="AB124" s="112"/>
      <c r="AC124" s="112"/>
      <c r="AD124" s="112"/>
      <c r="AE124" s="112"/>
      <c r="AF124" s="112"/>
      <c r="AG124" s="124"/>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c r="BK124" s="124"/>
      <c r="BL124" s="124"/>
      <c r="BM124" s="124"/>
      <c r="BN124" s="124"/>
      <c r="BO124" s="124"/>
      <c r="BP124" s="124"/>
      <c r="BQ124" s="124"/>
      <c r="BR124" s="124"/>
      <c r="BS124" s="124"/>
      <c r="BT124" s="124"/>
      <c r="BU124" s="124"/>
      <c r="BV124" s="124"/>
      <c r="BW124" s="124"/>
      <c r="BX124" s="124"/>
      <c r="BY124" s="124"/>
      <c r="BZ124" s="124"/>
      <c r="CA124" s="124"/>
    </row>
    <row r="125">
      <c r="A125" s="141"/>
      <c r="B125" s="141"/>
      <c r="C125" s="141"/>
      <c r="D125" s="137"/>
      <c r="E125" s="112"/>
      <c r="F125" s="112"/>
      <c r="G125" s="112"/>
      <c r="H125" s="112"/>
      <c r="I125" s="112"/>
      <c r="J125" s="112"/>
      <c r="K125" s="112"/>
      <c r="L125" s="112"/>
      <c r="M125" s="112"/>
      <c r="N125" s="112"/>
      <c r="O125" s="112"/>
      <c r="P125" s="112"/>
      <c r="Q125" s="112"/>
      <c r="R125" s="112"/>
      <c r="S125" s="112"/>
      <c r="T125" s="112"/>
      <c r="U125" s="124"/>
      <c r="V125" s="124"/>
      <c r="W125" s="124"/>
      <c r="X125" s="124"/>
      <c r="Y125" s="124"/>
      <c r="Z125" s="112"/>
      <c r="AA125" s="112"/>
      <c r="AB125" s="112"/>
      <c r="AC125" s="112"/>
      <c r="AD125" s="112"/>
      <c r="AE125" s="112"/>
      <c r="AF125" s="112"/>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row>
    <row r="126">
      <c r="A126" s="141"/>
      <c r="B126" s="141"/>
      <c r="C126" s="141"/>
      <c r="D126" s="137"/>
      <c r="E126" s="112"/>
      <c r="F126" s="112"/>
      <c r="G126" s="112"/>
      <c r="H126" s="112"/>
      <c r="I126" s="112"/>
      <c r="J126" s="112"/>
      <c r="K126" s="112"/>
      <c r="L126" s="112"/>
      <c r="M126" s="112"/>
      <c r="N126" s="112"/>
      <c r="O126" s="112"/>
      <c r="P126" s="112"/>
      <c r="Q126" s="112"/>
      <c r="R126" s="112"/>
      <c r="S126" s="112"/>
      <c r="T126" s="112"/>
      <c r="U126" s="124"/>
      <c r="V126" s="124"/>
      <c r="W126" s="124"/>
      <c r="X126" s="124"/>
      <c r="Y126" s="124"/>
      <c r="Z126" s="112"/>
      <c r="AA126" s="112"/>
      <c r="AB126" s="112"/>
      <c r="AC126" s="112"/>
      <c r="AD126" s="112"/>
      <c r="AE126" s="112"/>
      <c r="AF126" s="112"/>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row>
    <row r="127">
      <c r="A127" s="141"/>
      <c r="B127" s="141"/>
      <c r="C127" s="141"/>
      <c r="D127" s="137"/>
      <c r="E127" s="112"/>
      <c r="F127" s="112"/>
      <c r="G127" s="112"/>
      <c r="H127" s="112"/>
      <c r="I127" s="112"/>
      <c r="J127" s="112"/>
      <c r="K127" s="112"/>
      <c r="L127" s="112"/>
      <c r="M127" s="112"/>
      <c r="N127" s="112"/>
      <c r="O127" s="112"/>
      <c r="P127" s="112"/>
      <c r="Q127" s="112"/>
      <c r="R127" s="112"/>
      <c r="S127" s="112"/>
      <c r="T127" s="112"/>
      <c r="U127" s="124"/>
      <c r="V127" s="124"/>
      <c r="W127" s="124"/>
      <c r="X127" s="124"/>
      <c r="Y127" s="124"/>
      <c r="Z127" s="112"/>
      <c r="AA127" s="112"/>
      <c r="AB127" s="112"/>
      <c r="AC127" s="112"/>
      <c r="AD127" s="112"/>
      <c r="AE127" s="112"/>
      <c r="AF127" s="112"/>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row>
    <row r="128">
      <c r="A128" s="141"/>
      <c r="B128" s="141"/>
      <c r="C128" s="141"/>
      <c r="D128" s="137"/>
      <c r="E128" s="112"/>
      <c r="F128" s="112"/>
      <c r="G128" s="112"/>
      <c r="H128" s="112"/>
      <c r="I128" s="112"/>
      <c r="J128" s="112"/>
      <c r="K128" s="112"/>
      <c r="L128" s="112"/>
      <c r="M128" s="112"/>
      <c r="N128" s="112"/>
      <c r="O128" s="112"/>
      <c r="P128" s="112"/>
      <c r="Q128" s="112"/>
      <c r="R128" s="112"/>
      <c r="S128" s="112"/>
      <c r="T128" s="112"/>
      <c r="U128" s="124"/>
      <c r="V128" s="124"/>
      <c r="W128" s="124"/>
      <c r="X128" s="124"/>
      <c r="Y128" s="124"/>
      <c r="Z128" s="112"/>
      <c r="AA128" s="112"/>
      <c r="AB128" s="112"/>
      <c r="AC128" s="112"/>
      <c r="AD128" s="112"/>
      <c r="AE128" s="112"/>
      <c r="AF128" s="112"/>
      <c r="AG128" s="124"/>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row>
    <row r="129">
      <c r="A129" s="141"/>
      <c r="B129" s="141"/>
      <c r="C129" s="141"/>
      <c r="D129" s="137"/>
      <c r="E129" s="112"/>
      <c r="F129" s="112"/>
      <c r="G129" s="112"/>
      <c r="H129" s="112"/>
      <c r="I129" s="112"/>
      <c r="J129" s="112"/>
      <c r="K129" s="112"/>
      <c r="L129" s="112"/>
      <c r="M129" s="112"/>
      <c r="N129" s="112"/>
      <c r="O129" s="112"/>
      <c r="P129" s="112"/>
      <c r="Q129" s="112"/>
      <c r="R129" s="112"/>
      <c r="S129" s="112"/>
      <c r="T129" s="112"/>
      <c r="U129" s="124"/>
      <c r="V129" s="124"/>
      <c r="W129" s="124"/>
      <c r="X129" s="124"/>
      <c r="Y129" s="124"/>
      <c r="Z129" s="112"/>
      <c r="AA129" s="112"/>
      <c r="AB129" s="112"/>
      <c r="AC129" s="112"/>
      <c r="AD129" s="112"/>
      <c r="AE129" s="112"/>
      <c r="AF129" s="112"/>
      <c r="AG129" s="124"/>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row>
    <row r="130">
      <c r="A130" s="141"/>
      <c r="B130" s="141"/>
      <c r="C130" s="141"/>
      <c r="D130" s="137"/>
      <c r="E130" s="112"/>
      <c r="F130" s="112"/>
      <c r="G130" s="112"/>
      <c r="H130" s="112"/>
      <c r="I130" s="112"/>
      <c r="J130" s="112"/>
      <c r="K130" s="112"/>
      <c r="L130" s="112"/>
      <c r="M130" s="112"/>
      <c r="N130" s="112"/>
      <c r="O130" s="112"/>
      <c r="P130" s="112"/>
      <c r="Q130" s="112"/>
      <c r="R130" s="112"/>
      <c r="S130" s="112"/>
      <c r="T130" s="112"/>
      <c r="U130" s="124"/>
      <c r="V130" s="124"/>
      <c r="W130" s="124"/>
      <c r="X130" s="124"/>
      <c r="Y130" s="124"/>
      <c r="Z130" s="112"/>
      <c r="AA130" s="112"/>
      <c r="AB130" s="112"/>
      <c r="AC130" s="112"/>
      <c r="AD130" s="112"/>
      <c r="AE130" s="112"/>
      <c r="AF130" s="112"/>
      <c r="AG130" s="124"/>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row>
    <row r="131">
      <c r="D131" s="143"/>
      <c r="E131" s="129"/>
      <c r="F131" s="112"/>
      <c r="G131" s="112"/>
      <c r="H131" s="112"/>
      <c r="I131" s="112"/>
      <c r="J131" s="112"/>
      <c r="K131" s="112"/>
      <c r="L131" s="112"/>
      <c r="M131" s="112"/>
      <c r="N131" s="112"/>
      <c r="O131" s="112"/>
      <c r="P131" s="112"/>
      <c r="Q131" s="112"/>
      <c r="R131" s="112"/>
      <c r="S131" s="112"/>
      <c r="T131" s="112"/>
      <c r="U131" s="124"/>
      <c r="V131" s="124"/>
      <c r="W131" s="124"/>
      <c r="X131" s="124"/>
      <c r="Y131" s="124"/>
      <c r="Z131" s="112"/>
      <c r="AA131" s="112"/>
      <c r="AB131" s="112"/>
      <c r="AC131" s="112"/>
      <c r="AD131" s="112"/>
      <c r="AE131" s="112"/>
      <c r="AF131" s="112"/>
      <c r="AG131" s="124"/>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row>
    <row r="132">
      <c r="D132" s="143"/>
      <c r="E132" s="129"/>
      <c r="F132" s="112"/>
      <c r="G132" s="112"/>
      <c r="H132" s="112"/>
      <c r="I132" s="112"/>
      <c r="J132" s="112"/>
      <c r="K132" s="112"/>
      <c r="L132" s="112"/>
      <c r="M132" s="112"/>
      <c r="N132" s="112"/>
      <c r="O132" s="112"/>
      <c r="P132" s="112"/>
      <c r="Q132" s="112"/>
      <c r="R132" s="112"/>
      <c r="S132" s="112"/>
      <c r="T132" s="112"/>
      <c r="U132" s="124"/>
      <c r="V132" s="124"/>
      <c r="W132" s="124"/>
      <c r="X132" s="124"/>
      <c r="Y132" s="124"/>
      <c r="Z132" s="112"/>
      <c r="AA132" s="112"/>
      <c r="AB132" s="112"/>
      <c r="AC132" s="112"/>
      <c r="AD132" s="112"/>
      <c r="AE132" s="112"/>
      <c r="AF132" s="112"/>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row>
    <row r="133">
      <c r="D133" s="143"/>
      <c r="E133" s="129"/>
      <c r="F133" s="112"/>
      <c r="G133" s="112"/>
      <c r="H133" s="112"/>
      <c r="I133" s="112"/>
      <c r="J133" s="112"/>
      <c r="K133" s="112"/>
      <c r="L133" s="112"/>
      <c r="M133" s="112"/>
      <c r="N133" s="112"/>
      <c r="O133" s="112"/>
      <c r="P133" s="112"/>
      <c r="Q133" s="112"/>
      <c r="R133" s="112"/>
      <c r="S133" s="112"/>
      <c r="T133" s="112"/>
      <c r="U133" s="124"/>
      <c r="V133" s="124"/>
      <c r="W133" s="124"/>
      <c r="X133" s="124"/>
      <c r="Y133" s="124"/>
      <c r="Z133" s="112"/>
      <c r="AA133" s="112"/>
      <c r="AB133" s="112"/>
      <c r="AC133" s="112"/>
      <c r="AD133" s="112"/>
      <c r="AE133" s="112"/>
      <c r="AF133" s="112"/>
      <c r="AG133" s="124"/>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row>
    <row r="134">
      <c r="D134" s="143"/>
      <c r="E134" s="129"/>
      <c r="F134" s="112"/>
      <c r="G134" s="112"/>
      <c r="H134" s="112"/>
      <c r="I134" s="112"/>
      <c r="J134" s="112"/>
      <c r="K134" s="112"/>
      <c r="L134" s="112"/>
      <c r="M134" s="112"/>
      <c r="N134" s="112"/>
      <c r="O134" s="112"/>
      <c r="P134" s="112"/>
      <c r="Q134" s="112"/>
      <c r="R134" s="112"/>
      <c r="S134" s="112"/>
      <c r="T134" s="112"/>
      <c r="U134" s="124"/>
      <c r="V134" s="124"/>
      <c r="W134" s="124"/>
      <c r="X134" s="124"/>
      <c r="Y134" s="124"/>
      <c r="Z134" s="112"/>
      <c r="AA134" s="112"/>
      <c r="AB134" s="112"/>
      <c r="AC134" s="112"/>
      <c r="AD134" s="112"/>
      <c r="AE134" s="112"/>
      <c r="AF134" s="112"/>
      <c r="AG134" s="124"/>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row>
    <row r="135">
      <c r="D135" s="143"/>
      <c r="E135" s="129"/>
      <c r="F135" s="112"/>
      <c r="G135" s="112"/>
      <c r="H135" s="112"/>
      <c r="I135" s="112"/>
      <c r="J135" s="112"/>
      <c r="K135" s="112"/>
      <c r="L135" s="112"/>
      <c r="M135" s="112"/>
      <c r="N135" s="112"/>
      <c r="O135" s="112"/>
      <c r="P135" s="112"/>
      <c r="Q135" s="112"/>
      <c r="R135" s="112"/>
      <c r="S135" s="112"/>
      <c r="T135" s="112"/>
      <c r="U135" s="124"/>
      <c r="V135" s="124"/>
      <c r="W135" s="124"/>
      <c r="X135" s="124"/>
      <c r="Y135" s="124"/>
      <c r="Z135" s="112"/>
      <c r="AA135" s="112"/>
      <c r="AB135" s="112"/>
      <c r="AC135" s="112"/>
      <c r="AD135" s="112"/>
      <c r="AE135" s="112"/>
      <c r="AF135" s="112"/>
      <c r="AG135" s="124"/>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c r="BK135" s="124"/>
      <c r="BL135" s="124"/>
      <c r="BM135" s="124"/>
      <c r="BN135" s="124"/>
      <c r="BO135" s="124"/>
      <c r="BP135" s="124"/>
      <c r="BQ135" s="124"/>
      <c r="BR135" s="124"/>
      <c r="BS135" s="124"/>
      <c r="BT135" s="124"/>
      <c r="BU135" s="124"/>
      <c r="BV135" s="124"/>
      <c r="BW135" s="124"/>
      <c r="BX135" s="124"/>
      <c r="BY135" s="124"/>
      <c r="BZ135" s="124"/>
      <c r="CA135" s="124"/>
    </row>
    <row r="136">
      <c r="D136" s="143"/>
      <c r="E136" s="129"/>
      <c r="F136" s="112"/>
      <c r="G136" s="112"/>
      <c r="H136" s="112"/>
      <c r="I136" s="112"/>
      <c r="J136" s="112"/>
      <c r="K136" s="112"/>
      <c r="L136" s="112"/>
      <c r="M136" s="112"/>
      <c r="N136" s="112"/>
      <c r="O136" s="112"/>
      <c r="P136" s="112"/>
      <c r="Q136" s="112"/>
      <c r="R136" s="112"/>
      <c r="S136" s="112"/>
      <c r="T136" s="112"/>
      <c r="U136" s="124"/>
      <c r="V136" s="124"/>
      <c r="W136" s="124"/>
      <c r="X136" s="124"/>
      <c r="Y136" s="124"/>
      <c r="Z136" s="112"/>
      <c r="AA136" s="112"/>
      <c r="AB136" s="112"/>
      <c r="AC136" s="112"/>
      <c r="AD136" s="112"/>
      <c r="AE136" s="112"/>
      <c r="AF136" s="112"/>
      <c r="AG136" s="124"/>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row>
    <row r="137">
      <c r="D137" s="143"/>
      <c r="E137" s="129"/>
      <c r="F137" s="112"/>
      <c r="G137" s="112"/>
      <c r="H137" s="112"/>
      <c r="I137" s="112"/>
      <c r="J137" s="112"/>
      <c r="K137" s="112"/>
      <c r="L137" s="112"/>
      <c r="M137" s="112"/>
      <c r="N137" s="112"/>
      <c r="O137" s="112"/>
      <c r="P137" s="112"/>
      <c r="Q137" s="112"/>
      <c r="R137" s="112"/>
      <c r="S137" s="112"/>
      <c r="T137" s="112"/>
      <c r="U137" s="124"/>
      <c r="V137" s="124"/>
      <c r="W137" s="124"/>
      <c r="X137" s="124"/>
      <c r="Y137" s="124"/>
      <c r="Z137" s="112"/>
      <c r="AA137" s="112"/>
      <c r="AB137" s="112"/>
      <c r="AC137" s="112"/>
      <c r="AD137" s="112"/>
      <c r="AE137" s="112"/>
      <c r="AF137" s="112"/>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row>
    <row r="138">
      <c r="D138" s="143"/>
      <c r="E138" s="129"/>
      <c r="F138" s="112"/>
      <c r="G138" s="112"/>
      <c r="H138" s="112"/>
      <c r="I138" s="112"/>
      <c r="J138" s="112"/>
      <c r="K138" s="112"/>
      <c r="L138" s="112"/>
      <c r="M138" s="112"/>
      <c r="N138" s="112"/>
      <c r="O138" s="112"/>
      <c r="P138" s="112"/>
      <c r="Q138" s="112"/>
      <c r="R138" s="112"/>
      <c r="S138" s="112"/>
      <c r="T138" s="112"/>
      <c r="U138" s="124"/>
      <c r="V138" s="124"/>
      <c r="W138" s="124"/>
      <c r="X138" s="124"/>
      <c r="Y138" s="124"/>
      <c r="Z138" s="112"/>
      <c r="AA138" s="112"/>
      <c r="AB138" s="112"/>
      <c r="AC138" s="112"/>
      <c r="AD138" s="112"/>
      <c r="AE138" s="112"/>
      <c r="AF138" s="112"/>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row>
    <row r="139">
      <c r="D139" s="143"/>
      <c r="E139" s="129"/>
      <c r="F139" s="112"/>
      <c r="G139" s="112"/>
      <c r="H139" s="112"/>
      <c r="I139" s="112"/>
      <c r="J139" s="112"/>
      <c r="K139" s="112"/>
      <c r="L139" s="112"/>
      <c r="M139" s="112"/>
      <c r="N139" s="112"/>
      <c r="O139" s="112"/>
      <c r="P139" s="112"/>
      <c r="Q139" s="112"/>
      <c r="R139" s="112"/>
      <c r="S139" s="112"/>
      <c r="T139" s="112"/>
      <c r="U139" s="124"/>
      <c r="V139" s="124"/>
      <c r="W139" s="124"/>
      <c r="X139" s="124"/>
      <c r="Y139" s="124"/>
      <c r="Z139" s="112"/>
      <c r="AA139" s="112"/>
      <c r="AB139" s="112"/>
      <c r="AC139" s="112"/>
      <c r="AD139" s="112"/>
      <c r="AE139" s="112"/>
      <c r="AF139" s="112"/>
      <c r="AG139" s="124"/>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row>
    <row r="140">
      <c r="D140" s="143"/>
      <c r="E140" s="129"/>
      <c r="F140" s="112"/>
      <c r="G140" s="112"/>
      <c r="H140" s="112"/>
      <c r="I140" s="112"/>
      <c r="J140" s="112"/>
      <c r="K140" s="112"/>
      <c r="L140" s="112"/>
      <c r="M140" s="112"/>
      <c r="N140" s="112"/>
      <c r="O140" s="112"/>
      <c r="P140" s="112"/>
      <c r="Q140" s="112"/>
      <c r="R140" s="112"/>
      <c r="S140" s="112"/>
      <c r="T140" s="112"/>
      <c r="U140" s="124"/>
      <c r="V140" s="124"/>
      <c r="W140" s="124"/>
      <c r="X140" s="124"/>
      <c r="Y140" s="124"/>
      <c r="Z140" s="112"/>
      <c r="AA140" s="112"/>
      <c r="AB140" s="112"/>
      <c r="AC140" s="112"/>
      <c r="AD140" s="112"/>
      <c r="AE140" s="112"/>
      <c r="AF140" s="112"/>
      <c r="AG140" s="124"/>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row>
    <row r="141">
      <c r="D141" s="143"/>
      <c r="E141" s="129"/>
      <c r="F141" s="112"/>
      <c r="G141" s="112"/>
      <c r="H141" s="112"/>
      <c r="I141" s="112"/>
      <c r="J141" s="112"/>
      <c r="K141" s="112"/>
      <c r="L141" s="112"/>
      <c r="M141" s="112"/>
      <c r="N141" s="112"/>
      <c r="O141" s="112"/>
      <c r="P141" s="112"/>
      <c r="Q141" s="112"/>
      <c r="R141" s="112"/>
      <c r="S141" s="112"/>
      <c r="T141" s="112"/>
      <c r="U141" s="124"/>
      <c r="V141" s="124"/>
      <c r="W141" s="124"/>
      <c r="X141" s="124"/>
      <c r="Y141" s="124"/>
      <c r="Z141" s="112"/>
      <c r="AA141" s="112"/>
      <c r="AB141" s="112"/>
      <c r="AC141" s="112"/>
      <c r="AD141" s="112"/>
      <c r="AE141" s="112"/>
      <c r="AF141" s="112"/>
      <c r="AG141" s="124"/>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row>
    <row r="142">
      <c r="D142" s="143"/>
      <c r="E142" s="129"/>
      <c r="F142" s="112"/>
      <c r="G142" s="112"/>
      <c r="H142" s="112"/>
      <c r="I142" s="112"/>
      <c r="J142" s="112"/>
      <c r="K142" s="112"/>
      <c r="L142" s="112"/>
      <c r="M142" s="112"/>
      <c r="N142" s="112"/>
      <c r="O142" s="112"/>
      <c r="P142" s="112"/>
      <c r="Q142" s="112"/>
      <c r="R142" s="112"/>
      <c r="S142" s="112"/>
      <c r="T142" s="112"/>
      <c r="U142" s="124"/>
      <c r="V142" s="124"/>
      <c r="W142" s="124"/>
      <c r="X142" s="124"/>
      <c r="Y142" s="124"/>
      <c r="Z142" s="112"/>
      <c r="AA142" s="112"/>
      <c r="AB142" s="112"/>
      <c r="AC142" s="112"/>
      <c r="AD142" s="112"/>
      <c r="AE142" s="112"/>
      <c r="AF142" s="112"/>
      <c r="AG142" s="124"/>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c r="BK142" s="124"/>
      <c r="BL142" s="124"/>
      <c r="BM142" s="124"/>
      <c r="BN142" s="124"/>
      <c r="BO142" s="124"/>
      <c r="BP142" s="124"/>
      <c r="BQ142" s="124"/>
      <c r="BR142" s="124"/>
      <c r="BS142" s="124"/>
      <c r="BT142" s="124"/>
      <c r="BU142" s="124"/>
      <c r="BV142" s="124"/>
      <c r="BW142" s="124"/>
      <c r="BX142" s="124"/>
      <c r="BY142" s="124"/>
      <c r="BZ142" s="124"/>
      <c r="CA142" s="124"/>
    </row>
    <row r="143">
      <c r="D143" s="143"/>
      <c r="E143" s="129"/>
      <c r="F143" s="112"/>
      <c r="G143" s="112"/>
      <c r="H143" s="112"/>
      <c r="I143" s="112"/>
      <c r="J143" s="112"/>
      <c r="K143" s="112"/>
      <c r="L143" s="112"/>
      <c r="M143" s="112"/>
      <c r="N143" s="112"/>
      <c r="O143" s="112"/>
      <c r="P143" s="112"/>
      <c r="Q143" s="112"/>
      <c r="R143" s="112"/>
      <c r="S143" s="112"/>
      <c r="T143" s="112"/>
      <c r="U143" s="124"/>
      <c r="V143" s="124"/>
      <c r="W143" s="124"/>
      <c r="X143" s="124"/>
      <c r="Y143" s="124"/>
      <c r="Z143" s="112"/>
      <c r="AA143" s="112"/>
      <c r="AB143" s="112"/>
      <c r="AC143" s="112"/>
      <c r="AD143" s="112"/>
      <c r="AE143" s="112"/>
      <c r="AF143" s="112"/>
      <c r="AG143" s="124"/>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row>
    <row r="144">
      <c r="D144" s="143"/>
      <c r="E144" s="129"/>
      <c r="F144" s="112"/>
      <c r="G144" s="112"/>
      <c r="H144" s="112"/>
      <c r="I144" s="112"/>
      <c r="J144" s="112"/>
      <c r="K144" s="112"/>
      <c r="L144" s="112"/>
      <c r="M144" s="112"/>
      <c r="N144" s="112"/>
      <c r="O144" s="112"/>
      <c r="P144" s="112"/>
      <c r="Q144" s="112"/>
      <c r="R144" s="112"/>
      <c r="S144" s="112"/>
      <c r="T144" s="112"/>
      <c r="U144" s="124"/>
      <c r="V144" s="124"/>
      <c r="W144" s="124"/>
      <c r="X144" s="124"/>
      <c r="Y144" s="124"/>
      <c r="Z144" s="112"/>
      <c r="AA144" s="112"/>
      <c r="AB144" s="112"/>
      <c r="AC144" s="112"/>
      <c r="AD144" s="112"/>
      <c r="AE144" s="112"/>
      <c r="AF144" s="112"/>
      <c r="AG144" s="124"/>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c r="BQ144" s="124"/>
      <c r="BR144" s="124"/>
      <c r="BS144" s="124"/>
      <c r="BT144" s="124"/>
      <c r="BU144" s="124"/>
      <c r="BV144" s="124"/>
      <c r="BW144" s="124"/>
      <c r="BX144" s="124"/>
      <c r="BY144" s="124"/>
      <c r="BZ144" s="124"/>
      <c r="CA144" s="124"/>
    </row>
    <row r="145">
      <c r="D145" s="143"/>
      <c r="E145" s="129"/>
      <c r="F145" s="112"/>
      <c r="G145" s="112"/>
      <c r="H145" s="112"/>
      <c r="I145" s="112"/>
      <c r="J145" s="112"/>
      <c r="K145" s="112"/>
      <c r="L145" s="112"/>
      <c r="M145" s="112"/>
      <c r="N145" s="112"/>
      <c r="O145" s="112"/>
      <c r="P145" s="112"/>
      <c r="Q145" s="112"/>
      <c r="R145" s="112"/>
      <c r="S145" s="112"/>
      <c r="T145" s="112"/>
      <c r="U145" s="124"/>
      <c r="V145" s="124"/>
      <c r="W145" s="124"/>
      <c r="X145" s="124"/>
      <c r="Y145" s="124"/>
      <c r="Z145" s="112"/>
      <c r="AA145" s="112"/>
      <c r="AB145" s="112"/>
      <c r="AC145" s="112"/>
      <c r="AD145" s="112"/>
      <c r="AE145" s="112"/>
      <c r="AF145" s="112"/>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row>
    <row r="146">
      <c r="D146" s="143"/>
      <c r="E146" s="129"/>
      <c r="F146" s="112"/>
      <c r="G146" s="112"/>
      <c r="H146" s="112"/>
      <c r="I146" s="112"/>
      <c r="J146" s="112"/>
      <c r="K146" s="112"/>
      <c r="L146" s="112"/>
      <c r="M146" s="112"/>
      <c r="N146" s="112"/>
      <c r="O146" s="112"/>
      <c r="P146" s="112"/>
      <c r="Q146" s="112"/>
      <c r="R146" s="112"/>
      <c r="S146" s="112"/>
      <c r="T146" s="112"/>
      <c r="U146" s="124"/>
      <c r="V146" s="124"/>
      <c r="W146" s="124"/>
      <c r="X146" s="124"/>
      <c r="Y146" s="124"/>
      <c r="Z146" s="112"/>
      <c r="AA146" s="112"/>
      <c r="AB146" s="112"/>
      <c r="AC146" s="112"/>
      <c r="AD146" s="112"/>
      <c r="AE146" s="112"/>
      <c r="AF146" s="112"/>
      <c r="AG146" s="124"/>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row>
    <row r="147">
      <c r="D147" s="143"/>
      <c r="E147" s="129"/>
      <c r="F147" s="112"/>
      <c r="G147" s="112"/>
      <c r="H147" s="112"/>
      <c r="I147" s="112"/>
      <c r="J147" s="112"/>
      <c r="K147" s="112"/>
      <c r="L147" s="112"/>
      <c r="M147" s="112"/>
      <c r="N147" s="112"/>
      <c r="O147" s="112"/>
      <c r="P147" s="112"/>
      <c r="Q147" s="112"/>
      <c r="R147" s="112"/>
      <c r="S147" s="112"/>
      <c r="T147" s="112"/>
      <c r="U147" s="124"/>
      <c r="V147" s="124"/>
      <c r="W147" s="124"/>
      <c r="X147" s="124"/>
      <c r="Y147" s="124"/>
      <c r="Z147" s="112"/>
      <c r="AA147" s="112"/>
      <c r="AB147" s="112"/>
      <c r="AC147" s="112"/>
      <c r="AD147" s="112"/>
      <c r="AE147" s="112"/>
      <c r="AF147" s="112"/>
      <c r="AG147" s="124"/>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c r="BK147" s="124"/>
      <c r="BL147" s="124"/>
      <c r="BM147" s="124"/>
      <c r="BN147" s="124"/>
      <c r="BO147" s="124"/>
      <c r="BP147" s="124"/>
      <c r="BQ147" s="124"/>
      <c r="BR147" s="124"/>
      <c r="BS147" s="124"/>
      <c r="BT147" s="124"/>
      <c r="BU147" s="124"/>
      <c r="BV147" s="124"/>
      <c r="BW147" s="124"/>
      <c r="BX147" s="124"/>
      <c r="BY147" s="124"/>
      <c r="BZ147" s="124"/>
      <c r="CA147" s="124"/>
    </row>
    <row r="148">
      <c r="D148" s="143"/>
      <c r="E148" s="129"/>
      <c r="F148" s="112"/>
      <c r="G148" s="112"/>
      <c r="H148" s="112"/>
      <c r="I148" s="112"/>
      <c r="J148" s="112"/>
      <c r="K148" s="112"/>
      <c r="L148" s="112"/>
      <c r="M148" s="112"/>
      <c r="N148" s="112"/>
      <c r="O148" s="112"/>
      <c r="P148" s="112"/>
      <c r="Q148" s="112"/>
      <c r="R148" s="112"/>
      <c r="S148" s="112"/>
      <c r="T148" s="112"/>
      <c r="U148" s="124"/>
      <c r="V148" s="124"/>
      <c r="W148" s="124"/>
      <c r="X148" s="124"/>
      <c r="Y148" s="124"/>
      <c r="Z148" s="112"/>
      <c r="AA148" s="112"/>
      <c r="AB148" s="112"/>
      <c r="AC148" s="112"/>
      <c r="AD148" s="112"/>
      <c r="AE148" s="112"/>
      <c r="AF148" s="112"/>
      <c r="AG148" s="124"/>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row>
    <row r="149">
      <c r="D149" s="143"/>
      <c r="E149" s="129"/>
      <c r="F149" s="112"/>
      <c r="G149" s="112"/>
      <c r="H149" s="112"/>
      <c r="I149" s="112"/>
      <c r="J149" s="112"/>
      <c r="K149" s="112"/>
      <c r="L149" s="112"/>
      <c r="M149" s="112"/>
      <c r="N149" s="112"/>
      <c r="O149" s="112"/>
      <c r="P149" s="112"/>
      <c r="Q149" s="112"/>
      <c r="R149" s="112"/>
      <c r="S149" s="112"/>
      <c r="T149" s="112"/>
      <c r="U149" s="124"/>
      <c r="V149" s="124"/>
      <c r="W149" s="124"/>
      <c r="X149" s="124"/>
      <c r="Y149" s="124"/>
      <c r="Z149" s="112"/>
      <c r="AA149" s="112"/>
      <c r="AB149" s="112"/>
      <c r="AC149" s="112"/>
      <c r="AD149" s="112"/>
      <c r="AE149" s="112"/>
      <c r="AF149" s="112"/>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row>
    <row r="150">
      <c r="D150" s="143"/>
      <c r="E150" s="129"/>
      <c r="F150" s="112"/>
      <c r="G150" s="112"/>
      <c r="H150" s="112"/>
      <c r="I150" s="112"/>
      <c r="J150" s="112"/>
      <c r="K150" s="112"/>
      <c r="L150" s="112"/>
      <c r="M150" s="112"/>
      <c r="N150" s="112"/>
      <c r="O150" s="112"/>
      <c r="P150" s="112"/>
      <c r="Q150" s="112"/>
      <c r="R150" s="112"/>
      <c r="S150" s="112"/>
      <c r="T150" s="112"/>
      <c r="U150" s="124"/>
      <c r="V150" s="124"/>
      <c r="W150" s="124"/>
      <c r="X150" s="124"/>
      <c r="Y150" s="124"/>
      <c r="Z150" s="112"/>
      <c r="AA150" s="112"/>
      <c r="AB150" s="112"/>
      <c r="AC150" s="112"/>
      <c r="AD150" s="112"/>
      <c r="AE150" s="112"/>
      <c r="AF150" s="112"/>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c r="BK150" s="124"/>
      <c r="BL150" s="124"/>
      <c r="BM150" s="124"/>
      <c r="BN150" s="124"/>
      <c r="BO150" s="124"/>
      <c r="BP150" s="124"/>
      <c r="BQ150" s="124"/>
      <c r="BR150" s="124"/>
      <c r="BS150" s="124"/>
      <c r="BT150" s="124"/>
      <c r="BU150" s="124"/>
      <c r="BV150" s="124"/>
      <c r="BW150" s="124"/>
      <c r="BX150" s="124"/>
      <c r="BY150" s="124"/>
      <c r="BZ150" s="124"/>
      <c r="CA150" s="124"/>
    </row>
    <row r="151">
      <c r="D151" s="143"/>
      <c r="E151" s="129"/>
      <c r="F151" s="112"/>
      <c r="G151" s="112"/>
      <c r="H151" s="112"/>
      <c r="I151" s="112"/>
      <c r="J151" s="112"/>
      <c r="K151" s="112"/>
      <c r="L151" s="112"/>
      <c r="M151" s="112"/>
      <c r="N151" s="112"/>
      <c r="O151" s="112"/>
      <c r="P151" s="112"/>
      <c r="Q151" s="112"/>
      <c r="R151" s="112"/>
      <c r="S151" s="112"/>
      <c r="T151" s="112"/>
      <c r="U151" s="124"/>
      <c r="V151" s="124"/>
      <c r="W151" s="124"/>
      <c r="X151" s="124"/>
      <c r="Y151" s="124"/>
      <c r="Z151" s="112"/>
      <c r="AA151" s="112"/>
      <c r="AB151" s="112"/>
      <c r="AC151" s="112"/>
      <c r="AD151" s="112"/>
      <c r="AE151" s="112"/>
      <c r="AF151" s="112"/>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row>
    <row r="152">
      <c r="D152" s="143"/>
      <c r="E152" s="129"/>
      <c r="F152" s="112"/>
      <c r="G152" s="112"/>
      <c r="H152" s="112"/>
      <c r="I152" s="112"/>
      <c r="J152" s="112"/>
      <c r="K152" s="112"/>
      <c r="L152" s="112"/>
      <c r="M152" s="112"/>
      <c r="N152" s="112"/>
      <c r="O152" s="112"/>
      <c r="P152" s="112"/>
      <c r="Q152" s="112"/>
      <c r="R152" s="112"/>
      <c r="S152" s="112"/>
      <c r="T152" s="112"/>
      <c r="U152" s="124"/>
      <c r="V152" s="124"/>
      <c r="W152" s="124"/>
      <c r="X152" s="124"/>
      <c r="Y152" s="124"/>
      <c r="Z152" s="112"/>
      <c r="AA152" s="112"/>
      <c r="AB152" s="112"/>
      <c r="AC152" s="112"/>
      <c r="AD152" s="112"/>
      <c r="AE152" s="112"/>
      <c r="AF152" s="112"/>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c r="BK152" s="124"/>
      <c r="BL152" s="124"/>
      <c r="BM152" s="124"/>
      <c r="BN152" s="124"/>
      <c r="BO152" s="124"/>
      <c r="BP152" s="124"/>
      <c r="BQ152" s="124"/>
      <c r="BR152" s="124"/>
      <c r="BS152" s="124"/>
      <c r="BT152" s="124"/>
      <c r="BU152" s="124"/>
      <c r="BV152" s="124"/>
      <c r="BW152" s="124"/>
      <c r="BX152" s="124"/>
      <c r="BY152" s="124"/>
      <c r="BZ152" s="124"/>
      <c r="CA152" s="124"/>
    </row>
    <row r="153">
      <c r="D153" s="143"/>
      <c r="E153" s="129"/>
      <c r="F153" s="112"/>
      <c r="G153" s="112"/>
      <c r="H153" s="112"/>
      <c r="I153" s="112"/>
      <c r="J153" s="112"/>
      <c r="K153" s="112"/>
      <c r="L153" s="112"/>
      <c r="M153" s="112"/>
      <c r="N153" s="112"/>
      <c r="O153" s="112"/>
      <c r="P153" s="112"/>
      <c r="Q153" s="112"/>
      <c r="R153" s="112"/>
      <c r="S153" s="112"/>
      <c r="T153" s="112"/>
      <c r="U153" s="124"/>
      <c r="V153" s="124"/>
      <c r="W153" s="124"/>
      <c r="X153" s="124"/>
      <c r="Y153" s="124"/>
      <c r="Z153" s="112"/>
      <c r="AA153" s="112"/>
      <c r="AB153" s="112"/>
      <c r="AC153" s="112"/>
      <c r="AD153" s="112"/>
      <c r="AE153" s="112"/>
      <c r="AF153" s="112"/>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row>
    <row r="154">
      <c r="D154" s="143"/>
      <c r="E154" s="129"/>
      <c r="F154" s="112"/>
      <c r="G154" s="112"/>
      <c r="H154" s="112"/>
      <c r="I154" s="112"/>
      <c r="J154" s="112"/>
      <c r="K154" s="112"/>
      <c r="L154" s="112"/>
      <c r="M154" s="112"/>
      <c r="N154" s="112"/>
      <c r="O154" s="112"/>
      <c r="P154" s="112"/>
      <c r="Q154" s="112"/>
      <c r="R154" s="112"/>
      <c r="S154" s="112"/>
      <c r="T154" s="112"/>
      <c r="U154" s="124"/>
      <c r="V154" s="124"/>
      <c r="W154" s="124"/>
      <c r="X154" s="124"/>
      <c r="Y154" s="124"/>
      <c r="Z154" s="112"/>
      <c r="AA154" s="112"/>
      <c r="AB154" s="112"/>
      <c r="AC154" s="112"/>
      <c r="AD154" s="112"/>
      <c r="AE154" s="112"/>
      <c r="AF154" s="112"/>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row>
    <row r="155">
      <c r="D155" s="143"/>
      <c r="E155" s="129"/>
      <c r="F155" s="112"/>
      <c r="G155" s="112"/>
      <c r="H155" s="112"/>
      <c r="I155" s="112"/>
      <c r="J155" s="112"/>
      <c r="K155" s="112"/>
      <c r="L155" s="112"/>
      <c r="M155" s="112"/>
      <c r="N155" s="112"/>
      <c r="O155" s="112"/>
      <c r="P155" s="112"/>
      <c r="Q155" s="112"/>
      <c r="R155" s="112"/>
      <c r="S155" s="112"/>
      <c r="T155" s="112"/>
      <c r="U155" s="124"/>
      <c r="V155" s="124"/>
      <c r="W155" s="124"/>
      <c r="X155" s="124"/>
      <c r="Y155" s="124"/>
      <c r="Z155" s="112"/>
      <c r="AA155" s="112"/>
      <c r="AB155" s="112"/>
      <c r="AC155" s="112"/>
      <c r="AD155" s="112"/>
      <c r="AE155" s="112"/>
      <c r="AF155" s="112"/>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row>
    <row r="156">
      <c r="D156" s="143"/>
      <c r="E156" s="129"/>
      <c r="F156" s="112"/>
      <c r="G156" s="112"/>
      <c r="H156" s="112"/>
      <c r="I156" s="112"/>
      <c r="J156" s="112"/>
      <c r="K156" s="112"/>
      <c r="L156" s="112"/>
      <c r="M156" s="112"/>
      <c r="N156" s="112"/>
      <c r="O156" s="112"/>
      <c r="P156" s="112"/>
      <c r="Q156" s="112"/>
      <c r="R156" s="112"/>
      <c r="S156" s="112"/>
      <c r="T156" s="112"/>
      <c r="U156" s="124"/>
      <c r="V156" s="124"/>
      <c r="W156" s="124"/>
      <c r="X156" s="124"/>
      <c r="Y156" s="124"/>
      <c r="Z156" s="112"/>
      <c r="AA156" s="112"/>
      <c r="AB156" s="112"/>
      <c r="AC156" s="112"/>
      <c r="AD156" s="112"/>
      <c r="AE156" s="112"/>
      <c r="AF156" s="112"/>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row>
    <row r="157">
      <c r="D157" s="143"/>
      <c r="E157" s="129"/>
      <c r="F157" s="112"/>
      <c r="G157" s="112"/>
      <c r="H157" s="112"/>
      <c r="I157" s="112"/>
      <c r="J157" s="112"/>
      <c r="K157" s="112"/>
      <c r="L157" s="112"/>
      <c r="M157" s="112"/>
      <c r="N157" s="112"/>
      <c r="O157" s="112"/>
      <c r="P157" s="112"/>
      <c r="Q157" s="112"/>
      <c r="R157" s="112"/>
      <c r="S157" s="112"/>
      <c r="T157" s="112"/>
      <c r="U157" s="124"/>
      <c r="V157" s="124"/>
      <c r="W157" s="124"/>
      <c r="X157" s="124"/>
      <c r="Y157" s="124"/>
      <c r="Z157" s="112"/>
      <c r="AA157" s="112"/>
      <c r="AB157" s="112"/>
      <c r="AC157" s="112"/>
      <c r="AD157" s="112"/>
      <c r="AE157" s="112"/>
      <c r="AF157" s="112"/>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row>
    <row r="158">
      <c r="D158" s="143"/>
      <c r="E158" s="129"/>
      <c r="F158" s="112"/>
      <c r="G158" s="112"/>
      <c r="H158" s="112"/>
      <c r="I158" s="112"/>
      <c r="J158" s="112"/>
      <c r="K158" s="112"/>
      <c r="L158" s="112"/>
      <c r="M158" s="112"/>
      <c r="N158" s="112"/>
      <c r="O158" s="112"/>
      <c r="P158" s="112"/>
      <c r="Q158" s="112"/>
      <c r="R158" s="112"/>
      <c r="S158" s="112"/>
      <c r="T158" s="112"/>
      <c r="U158" s="124"/>
      <c r="V158" s="124"/>
      <c r="W158" s="124"/>
      <c r="X158" s="124"/>
      <c r="Y158" s="124"/>
      <c r="Z158" s="112"/>
      <c r="AA158" s="112"/>
      <c r="AB158" s="112"/>
      <c r="AC158" s="112"/>
      <c r="AD158" s="112"/>
      <c r="AE158" s="112"/>
      <c r="AF158" s="112"/>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row>
    <row r="159">
      <c r="D159" s="143"/>
      <c r="E159" s="129"/>
      <c r="F159" s="112"/>
      <c r="G159" s="112"/>
      <c r="H159" s="112"/>
      <c r="I159" s="112"/>
      <c r="J159" s="112"/>
      <c r="K159" s="112"/>
      <c r="L159" s="112"/>
      <c r="M159" s="112"/>
      <c r="N159" s="112"/>
      <c r="O159" s="112"/>
      <c r="P159" s="112"/>
      <c r="Q159" s="112"/>
      <c r="R159" s="112"/>
      <c r="S159" s="112"/>
      <c r="T159" s="112"/>
      <c r="U159" s="124"/>
      <c r="V159" s="124"/>
      <c r="W159" s="124"/>
      <c r="X159" s="124"/>
      <c r="Y159" s="124"/>
      <c r="Z159" s="112"/>
      <c r="AA159" s="112"/>
      <c r="AB159" s="112"/>
      <c r="AC159" s="112"/>
      <c r="AD159" s="112"/>
      <c r="AE159" s="112"/>
      <c r="AF159" s="112"/>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row>
    <row r="160">
      <c r="D160" s="143"/>
      <c r="E160" s="129"/>
      <c r="F160" s="112"/>
      <c r="G160" s="112"/>
      <c r="H160" s="112"/>
      <c r="I160" s="112"/>
      <c r="J160" s="112"/>
      <c r="K160" s="112"/>
      <c r="L160" s="112"/>
      <c r="M160" s="112"/>
      <c r="N160" s="112"/>
      <c r="O160" s="112"/>
      <c r="P160" s="112"/>
      <c r="Q160" s="112"/>
      <c r="R160" s="112"/>
      <c r="S160" s="112"/>
      <c r="T160" s="112"/>
      <c r="U160" s="124"/>
      <c r="V160" s="124"/>
      <c r="W160" s="124"/>
      <c r="X160" s="124"/>
      <c r="Y160" s="124"/>
      <c r="Z160" s="112"/>
      <c r="AA160" s="112"/>
      <c r="AB160" s="112"/>
      <c r="AC160" s="112"/>
      <c r="AD160" s="112"/>
      <c r="AE160" s="112"/>
      <c r="AF160" s="112"/>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c r="BK160" s="124"/>
      <c r="BL160" s="124"/>
      <c r="BM160" s="124"/>
      <c r="BN160" s="124"/>
      <c r="BO160" s="124"/>
      <c r="BP160" s="124"/>
      <c r="BQ160" s="124"/>
      <c r="BR160" s="124"/>
      <c r="BS160" s="124"/>
      <c r="BT160" s="124"/>
      <c r="BU160" s="124"/>
      <c r="BV160" s="124"/>
      <c r="BW160" s="124"/>
      <c r="BX160" s="124"/>
      <c r="BY160" s="124"/>
      <c r="BZ160" s="124"/>
      <c r="CA160" s="124"/>
    </row>
    <row r="161">
      <c r="D161" s="143"/>
      <c r="E161" s="129"/>
      <c r="F161" s="112"/>
      <c r="G161" s="112"/>
      <c r="H161" s="112"/>
      <c r="I161" s="112"/>
      <c r="J161" s="112"/>
      <c r="K161" s="112"/>
      <c r="L161" s="112"/>
      <c r="M161" s="112"/>
      <c r="N161" s="112"/>
      <c r="O161" s="112"/>
      <c r="P161" s="112"/>
      <c r="Q161" s="112"/>
      <c r="R161" s="112"/>
      <c r="S161" s="112"/>
      <c r="T161" s="112"/>
      <c r="U161" s="124"/>
      <c r="V161" s="124"/>
      <c r="W161" s="124"/>
      <c r="X161" s="124"/>
      <c r="Y161" s="124"/>
      <c r="Z161" s="112"/>
      <c r="AA161" s="112"/>
      <c r="AB161" s="112"/>
      <c r="AC161" s="112"/>
      <c r="AD161" s="112"/>
      <c r="AE161" s="112"/>
      <c r="AF161" s="112"/>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c r="BK161" s="124"/>
      <c r="BL161" s="124"/>
      <c r="BM161" s="124"/>
      <c r="BN161" s="124"/>
      <c r="BO161" s="124"/>
      <c r="BP161" s="124"/>
      <c r="BQ161" s="124"/>
      <c r="BR161" s="124"/>
      <c r="BS161" s="124"/>
      <c r="BT161" s="124"/>
      <c r="BU161" s="124"/>
      <c r="BV161" s="124"/>
      <c r="BW161" s="124"/>
      <c r="BX161" s="124"/>
      <c r="BY161" s="124"/>
      <c r="BZ161" s="124"/>
      <c r="CA161" s="124"/>
    </row>
    <row r="162">
      <c r="D162" s="143"/>
      <c r="E162" s="129"/>
      <c r="F162" s="112"/>
      <c r="G162" s="112"/>
      <c r="H162" s="112"/>
      <c r="I162" s="112"/>
      <c r="J162" s="112"/>
      <c r="K162" s="112"/>
      <c r="L162" s="112"/>
      <c r="M162" s="112"/>
      <c r="N162" s="112"/>
      <c r="O162" s="112"/>
      <c r="P162" s="112"/>
      <c r="Q162" s="112"/>
      <c r="R162" s="112"/>
      <c r="S162" s="112"/>
      <c r="T162" s="112"/>
      <c r="U162" s="124"/>
      <c r="V162" s="124"/>
      <c r="W162" s="124"/>
      <c r="X162" s="124"/>
      <c r="Y162" s="124"/>
      <c r="Z162" s="112"/>
      <c r="AA162" s="112"/>
      <c r="AB162" s="112"/>
      <c r="AC162" s="112"/>
      <c r="AD162" s="112"/>
      <c r="AE162" s="112"/>
      <c r="AF162" s="112"/>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4"/>
      <c r="BV162" s="124"/>
      <c r="BW162" s="124"/>
      <c r="BX162" s="124"/>
      <c r="BY162" s="124"/>
      <c r="BZ162" s="124"/>
      <c r="CA162" s="124"/>
    </row>
    <row r="163">
      <c r="D163" s="143"/>
      <c r="E163" s="129"/>
      <c r="F163" s="112"/>
      <c r="G163" s="112"/>
      <c r="H163" s="112"/>
      <c r="I163" s="112"/>
      <c r="J163" s="112"/>
      <c r="K163" s="112"/>
      <c r="L163" s="112"/>
      <c r="M163" s="112"/>
      <c r="N163" s="112"/>
      <c r="O163" s="112"/>
      <c r="P163" s="112"/>
      <c r="Q163" s="112"/>
      <c r="R163" s="112"/>
      <c r="S163" s="112"/>
      <c r="T163" s="112"/>
      <c r="U163" s="124"/>
      <c r="V163" s="124"/>
      <c r="W163" s="124"/>
      <c r="X163" s="124"/>
      <c r="Y163" s="124"/>
      <c r="Z163" s="112"/>
      <c r="AA163" s="112"/>
      <c r="AB163" s="112"/>
      <c r="AC163" s="112"/>
      <c r="AD163" s="112"/>
      <c r="AE163" s="112"/>
      <c r="AF163" s="112"/>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c r="BK163" s="124"/>
      <c r="BL163" s="124"/>
      <c r="BM163" s="124"/>
      <c r="BN163" s="124"/>
      <c r="BO163" s="124"/>
      <c r="BP163" s="124"/>
      <c r="BQ163" s="124"/>
      <c r="BR163" s="124"/>
      <c r="BS163" s="124"/>
      <c r="BT163" s="124"/>
      <c r="BU163" s="124"/>
      <c r="BV163" s="124"/>
      <c r="BW163" s="124"/>
      <c r="BX163" s="124"/>
      <c r="BY163" s="124"/>
      <c r="BZ163" s="124"/>
      <c r="CA163" s="124"/>
    </row>
    <row r="164">
      <c r="D164" s="143"/>
      <c r="E164" s="129"/>
      <c r="F164" s="112"/>
      <c r="G164" s="112"/>
      <c r="H164" s="112"/>
      <c r="I164" s="112"/>
      <c r="J164" s="112"/>
      <c r="K164" s="112"/>
      <c r="L164" s="112"/>
      <c r="M164" s="112"/>
      <c r="N164" s="112"/>
      <c r="O164" s="112"/>
      <c r="P164" s="112"/>
      <c r="Q164" s="112"/>
      <c r="R164" s="112"/>
      <c r="S164" s="112"/>
      <c r="T164" s="112"/>
      <c r="U164" s="124"/>
      <c r="V164" s="124"/>
      <c r="W164" s="124"/>
      <c r="X164" s="124"/>
      <c r="Y164" s="124"/>
      <c r="Z164" s="112"/>
      <c r="AA164" s="112"/>
      <c r="AB164" s="112"/>
      <c r="AC164" s="112"/>
      <c r="AD164" s="112"/>
      <c r="AE164" s="112"/>
      <c r="AF164" s="112"/>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row>
    <row r="165">
      <c r="D165" s="143"/>
      <c r="E165" s="129"/>
      <c r="F165" s="112"/>
      <c r="G165" s="112"/>
      <c r="H165" s="112"/>
      <c r="I165" s="112"/>
      <c r="J165" s="112"/>
      <c r="K165" s="112"/>
      <c r="L165" s="112"/>
      <c r="M165" s="112"/>
      <c r="N165" s="112"/>
      <c r="O165" s="112"/>
      <c r="P165" s="112"/>
      <c r="Q165" s="112"/>
      <c r="R165" s="112"/>
      <c r="S165" s="112"/>
      <c r="T165" s="112"/>
      <c r="U165" s="124"/>
      <c r="V165" s="124"/>
      <c r="W165" s="124"/>
      <c r="X165" s="124"/>
      <c r="Y165" s="124"/>
      <c r="Z165" s="112"/>
      <c r="AA165" s="112"/>
      <c r="AB165" s="112"/>
      <c r="AC165" s="112"/>
      <c r="AD165" s="112"/>
      <c r="AE165" s="112"/>
      <c r="AF165" s="112"/>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row>
    <row r="166">
      <c r="D166" s="143"/>
      <c r="E166" s="129"/>
      <c r="F166" s="112"/>
      <c r="G166" s="112"/>
      <c r="H166" s="112"/>
      <c r="I166" s="112"/>
      <c r="J166" s="112"/>
      <c r="K166" s="112"/>
      <c r="L166" s="112"/>
      <c r="M166" s="112"/>
      <c r="N166" s="112"/>
      <c r="O166" s="112"/>
      <c r="P166" s="112"/>
      <c r="Q166" s="112"/>
      <c r="R166" s="112"/>
      <c r="S166" s="112"/>
      <c r="T166" s="112"/>
      <c r="U166" s="124"/>
      <c r="V166" s="124"/>
      <c r="W166" s="124"/>
      <c r="X166" s="124"/>
      <c r="Y166" s="124"/>
      <c r="Z166" s="112"/>
      <c r="AA166" s="112"/>
      <c r="AB166" s="112"/>
      <c r="AC166" s="112"/>
      <c r="AD166" s="112"/>
      <c r="AE166" s="112"/>
      <c r="AF166" s="112"/>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c r="BK166" s="124"/>
      <c r="BL166" s="124"/>
      <c r="BM166" s="124"/>
      <c r="BN166" s="124"/>
      <c r="BO166" s="124"/>
      <c r="BP166" s="124"/>
      <c r="BQ166" s="124"/>
      <c r="BR166" s="124"/>
      <c r="BS166" s="124"/>
      <c r="BT166" s="124"/>
      <c r="BU166" s="124"/>
      <c r="BV166" s="124"/>
      <c r="BW166" s="124"/>
      <c r="BX166" s="124"/>
      <c r="BY166" s="124"/>
      <c r="BZ166" s="124"/>
      <c r="CA166" s="124"/>
    </row>
    <row r="167">
      <c r="D167" s="143"/>
      <c r="E167" s="129"/>
      <c r="F167" s="112"/>
      <c r="G167" s="112"/>
      <c r="H167" s="112"/>
      <c r="I167" s="112"/>
      <c r="J167" s="112"/>
      <c r="K167" s="112"/>
      <c r="L167" s="112"/>
      <c r="M167" s="112"/>
      <c r="N167" s="112"/>
      <c r="O167" s="112"/>
      <c r="P167" s="112"/>
      <c r="Q167" s="112"/>
      <c r="R167" s="112"/>
      <c r="S167" s="112"/>
      <c r="T167" s="112"/>
      <c r="U167" s="124"/>
      <c r="V167" s="124"/>
      <c r="W167" s="124"/>
      <c r="X167" s="124"/>
      <c r="Y167" s="124"/>
      <c r="Z167" s="112"/>
      <c r="AA167" s="112"/>
      <c r="AB167" s="112"/>
      <c r="AC167" s="112"/>
      <c r="AD167" s="112"/>
      <c r="AE167" s="112"/>
      <c r="AF167" s="112"/>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c r="BK167" s="124"/>
      <c r="BL167" s="124"/>
      <c r="BM167" s="124"/>
      <c r="BN167" s="124"/>
      <c r="BO167" s="124"/>
      <c r="BP167" s="124"/>
      <c r="BQ167" s="124"/>
      <c r="BR167" s="124"/>
      <c r="BS167" s="124"/>
      <c r="BT167" s="124"/>
      <c r="BU167" s="124"/>
      <c r="BV167" s="124"/>
      <c r="BW167" s="124"/>
      <c r="BX167" s="124"/>
      <c r="BY167" s="124"/>
      <c r="BZ167" s="124"/>
      <c r="CA167" s="124"/>
    </row>
    <row r="168">
      <c r="D168" s="143"/>
      <c r="E168" s="129"/>
      <c r="F168" s="112"/>
      <c r="G168" s="112"/>
      <c r="H168" s="112"/>
      <c r="I168" s="112"/>
      <c r="J168" s="112"/>
      <c r="K168" s="112"/>
      <c r="L168" s="112"/>
      <c r="M168" s="112"/>
      <c r="N168" s="112"/>
      <c r="O168" s="112"/>
      <c r="P168" s="112"/>
      <c r="Q168" s="112"/>
      <c r="R168" s="112"/>
      <c r="S168" s="112"/>
      <c r="T168" s="112"/>
      <c r="U168" s="124"/>
      <c r="V168" s="124"/>
      <c r="W168" s="124"/>
      <c r="X168" s="124"/>
      <c r="Y168" s="124"/>
      <c r="Z168" s="112"/>
      <c r="AA168" s="112"/>
      <c r="AB168" s="112"/>
      <c r="AC168" s="112"/>
      <c r="AD168" s="112"/>
      <c r="AE168" s="112"/>
      <c r="AF168" s="112"/>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row>
    <row r="169">
      <c r="D169" s="143"/>
      <c r="E169" s="129"/>
      <c r="F169" s="112"/>
      <c r="G169" s="112"/>
      <c r="H169" s="112"/>
      <c r="I169" s="112"/>
      <c r="J169" s="112"/>
      <c r="K169" s="112"/>
      <c r="L169" s="112"/>
      <c r="M169" s="112"/>
      <c r="N169" s="112"/>
      <c r="O169" s="112"/>
      <c r="P169" s="112"/>
      <c r="Q169" s="112"/>
      <c r="R169" s="112"/>
      <c r="S169" s="112"/>
      <c r="T169" s="112"/>
      <c r="U169" s="124"/>
      <c r="V169" s="124"/>
      <c r="W169" s="124"/>
      <c r="X169" s="124"/>
      <c r="Y169" s="124"/>
      <c r="Z169" s="112"/>
      <c r="AA169" s="112"/>
      <c r="AB169" s="112"/>
      <c r="AC169" s="112"/>
      <c r="AD169" s="112"/>
      <c r="AE169" s="112"/>
      <c r="AF169" s="112"/>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c r="BK169" s="124"/>
      <c r="BL169" s="124"/>
      <c r="BM169" s="124"/>
      <c r="BN169" s="124"/>
      <c r="BO169" s="124"/>
      <c r="BP169" s="124"/>
      <c r="BQ169" s="124"/>
      <c r="BR169" s="124"/>
      <c r="BS169" s="124"/>
      <c r="BT169" s="124"/>
      <c r="BU169" s="124"/>
      <c r="BV169" s="124"/>
      <c r="BW169" s="124"/>
      <c r="BX169" s="124"/>
      <c r="BY169" s="124"/>
      <c r="BZ169" s="124"/>
      <c r="CA169" s="124"/>
    </row>
    <row r="170">
      <c r="D170" s="143"/>
      <c r="E170" s="129"/>
      <c r="F170" s="112"/>
      <c r="G170" s="112"/>
      <c r="H170" s="112"/>
      <c r="I170" s="112"/>
      <c r="J170" s="112"/>
      <c r="K170" s="112"/>
      <c r="L170" s="112"/>
      <c r="M170" s="112"/>
      <c r="N170" s="112"/>
      <c r="O170" s="112"/>
      <c r="P170" s="112"/>
      <c r="Q170" s="112"/>
      <c r="R170" s="112"/>
      <c r="S170" s="112"/>
      <c r="T170" s="112"/>
      <c r="U170" s="124"/>
      <c r="V170" s="124"/>
      <c r="W170" s="124"/>
      <c r="X170" s="124"/>
      <c r="Y170" s="124"/>
      <c r="Z170" s="112"/>
      <c r="AA170" s="112"/>
      <c r="AB170" s="112"/>
      <c r="AC170" s="112"/>
      <c r="AD170" s="112"/>
      <c r="AE170" s="112"/>
      <c r="AF170" s="112"/>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row>
    <row r="171">
      <c r="D171" s="143"/>
      <c r="E171" s="129"/>
      <c r="F171" s="112"/>
      <c r="G171" s="112"/>
      <c r="H171" s="112"/>
      <c r="I171" s="112"/>
      <c r="J171" s="112"/>
      <c r="K171" s="112"/>
      <c r="L171" s="112"/>
      <c r="M171" s="112"/>
      <c r="N171" s="112"/>
      <c r="O171" s="112"/>
      <c r="P171" s="112"/>
      <c r="Q171" s="112"/>
      <c r="R171" s="112"/>
      <c r="S171" s="112"/>
      <c r="T171" s="112"/>
      <c r="U171" s="124"/>
      <c r="V171" s="124"/>
      <c r="W171" s="124"/>
      <c r="X171" s="124"/>
      <c r="Y171" s="124"/>
      <c r="Z171" s="112"/>
      <c r="AA171" s="112"/>
      <c r="AB171" s="112"/>
      <c r="AC171" s="112"/>
      <c r="AD171" s="112"/>
      <c r="AE171" s="112"/>
      <c r="AF171" s="112"/>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c r="BK171" s="124"/>
      <c r="BL171" s="124"/>
      <c r="BM171" s="124"/>
      <c r="BN171" s="124"/>
      <c r="BO171" s="124"/>
      <c r="BP171" s="124"/>
      <c r="BQ171" s="124"/>
      <c r="BR171" s="124"/>
      <c r="BS171" s="124"/>
      <c r="BT171" s="124"/>
      <c r="BU171" s="124"/>
      <c r="BV171" s="124"/>
      <c r="BW171" s="124"/>
      <c r="BX171" s="124"/>
      <c r="BY171" s="124"/>
      <c r="BZ171" s="124"/>
      <c r="CA171" s="124"/>
    </row>
    <row r="172">
      <c r="D172" s="143"/>
      <c r="E172" s="129"/>
      <c r="F172" s="112"/>
      <c r="G172" s="112"/>
      <c r="H172" s="112"/>
      <c r="I172" s="112"/>
      <c r="J172" s="112"/>
      <c r="K172" s="112"/>
      <c r="L172" s="112"/>
      <c r="M172" s="112"/>
      <c r="N172" s="112"/>
      <c r="O172" s="112"/>
      <c r="P172" s="112"/>
      <c r="Q172" s="112"/>
      <c r="R172" s="112"/>
      <c r="S172" s="112"/>
      <c r="T172" s="112"/>
      <c r="U172" s="124"/>
      <c r="V172" s="124"/>
      <c r="W172" s="124"/>
      <c r="X172" s="124"/>
      <c r="Y172" s="124"/>
      <c r="Z172" s="112"/>
      <c r="AA172" s="112"/>
      <c r="AB172" s="112"/>
      <c r="AC172" s="112"/>
      <c r="AD172" s="112"/>
      <c r="AE172" s="112"/>
      <c r="AF172" s="112"/>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c r="BK172" s="124"/>
      <c r="BL172" s="124"/>
      <c r="BM172" s="124"/>
      <c r="BN172" s="124"/>
      <c r="BO172" s="124"/>
      <c r="BP172" s="124"/>
      <c r="BQ172" s="124"/>
      <c r="BR172" s="124"/>
      <c r="BS172" s="124"/>
      <c r="BT172" s="124"/>
      <c r="BU172" s="124"/>
      <c r="BV172" s="124"/>
      <c r="BW172" s="124"/>
      <c r="BX172" s="124"/>
      <c r="BY172" s="124"/>
      <c r="BZ172" s="124"/>
      <c r="CA172" s="124"/>
    </row>
    <row r="173">
      <c r="D173" s="143"/>
      <c r="E173" s="129"/>
      <c r="F173" s="112"/>
      <c r="G173" s="112"/>
      <c r="H173" s="112"/>
      <c r="I173" s="112"/>
      <c r="J173" s="112"/>
      <c r="K173" s="112"/>
      <c r="L173" s="112"/>
      <c r="M173" s="112"/>
      <c r="N173" s="112"/>
      <c r="O173" s="112"/>
      <c r="P173" s="112"/>
      <c r="Q173" s="112"/>
      <c r="R173" s="112"/>
      <c r="S173" s="112"/>
      <c r="T173" s="112"/>
      <c r="U173" s="124"/>
      <c r="V173" s="124"/>
      <c r="W173" s="124"/>
      <c r="X173" s="124"/>
      <c r="Y173" s="124"/>
      <c r="Z173" s="112"/>
      <c r="AA173" s="112"/>
      <c r="AB173" s="112"/>
      <c r="AC173" s="112"/>
      <c r="AD173" s="112"/>
      <c r="AE173" s="112"/>
      <c r="AF173" s="112"/>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c r="BK173" s="124"/>
      <c r="BL173" s="124"/>
      <c r="BM173" s="124"/>
      <c r="BN173" s="124"/>
      <c r="BO173" s="124"/>
      <c r="BP173" s="124"/>
      <c r="BQ173" s="124"/>
      <c r="BR173" s="124"/>
      <c r="BS173" s="124"/>
      <c r="BT173" s="124"/>
      <c r="BU173" s="124"/>
      <c r="BV173" s="124"/>
      <c r="BW173" s="124"/>
      <c r="BX173" s="124"/>
      <c r="BY173" s="124"/>
      <c r="BZ173" s="124"/>
      <c r="CA173" s="124"/>
    </row>
    <row r="174">
      <c r="D174" s="143"/>
      <c r="E174" s="129"/>
      <c r="F174" s="112"/>
      <c r="G174" s="112"/>
      <c r="H174" s="112"/>
      <c r="I174" s="112"/>
      <c r="J174" s="112"/>
      <c r="K174" s="112"/>
      <c r="L174" s="112"/>
      <c r="M174" s="112"/>
      <c r="N174" s="112"/>
      <c r="O174" s="112"/>
      <c r="P174" s="112"/>
      <c r="Q174" s="112"/>
      <c r="R174" s="112"/>
      <c r="S174" s="112"/>
      <c r="T174" s="112"/>
      <c r="U174" s="124"/>
      <c r="V174" s="124"/>
      <c r="W174" s="124"/>
      <c r="X174" s="124"/>
      <c r="Y174" s="124"/>
      <c r="Z174" s="112"/>
      <c r="AA174" s="112"/>
      <c r="AB174" s="112"/>
      <c r="AC174" s="112"/>
      <c r="AD174" s="112"/>
      <c r="AE174" s="112"/>
      <c r="AF174" s="112"/>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c r="BK174" s="124"/>
      <c r="BL174" s="124"/>
      <c r="BM174" s="124"/>
      <c r="BN174" s="124"/>
      <c r="BO174" s="124"/>
      <c r="BP174" s="124"/>
      <c r="BQ174" s="124"/>
      <c r="BR174" s="124"/>
      <c r="BS174" s="124"/>
      <c r="BT174" s="124"/>
      <c r="BU174" s="124"/>
      <c r="BV174" s="124"/>
      <c r="BW174" s="124"/>
      <c r="BX174" s="124"/>
      <c r="BY174" s="124"/>
      <c r="BZ174" s="124"/>
      <c r="CA174" s="124"/>
    </row>
    <row r="175">
      <c r="D175" s="143"/>
      <c r="E175" s="129"/>
      <c r="F175" s="112"/>
      <c r="G175" s="112"/>
      <c r="H175" s="112"/>
      <c r="I175" s="112"/>
      <c r="J175" s="112"/>
      <c r="K175" s="112"/>
      <c r="L175" s="112"/>
      <c r="M175" s="112"/>
      <c r="N175" s="112"/>
      <c r="O175" s="112"/>
      <c r="P175" s="112"/>
      <c r="Q175" s="112"/>
      <c r="R175" s="112"/>
      <c r="S175" s="112"/>
      <c r="T175" s="112"/>
      <c r="U175" s="124"/>
      <c r="V175" s="124"/>
      <c r="W175" s="124"/>
      <c r="X175" s="124"/>
      <c r="Y175" s="124"/>
      <c r="Z175" s="112"/>
      <c r="AA175" s="112"/>
      <c r="AB175" s="112"/>
      <c r="AC175" s="112"/>
      <c r="AD175" s="112"/>
      <c r="AE175" s="112"/>
      <c r="AF175" s="112"/>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row>
    <row r="176">
      <c r="D176" s="143"/>
      <c r="E176" s="129"/>
      <c r="F176" s="112"/>
      <c r="G176" s="112"/>
      <c r="H176" s="112"/>
      <c r="I176" s="112"/>
      <c r="J176" s="112"/>
      <c r="K176" s="112"/>
      <c r="L176" s="112"/>
      <c r="M176" s="112"/>
      <c r="N176" s="112"/>
      <c r="O176" s="112"/>
      <c r="P176" s="112"/>
      <c r="Q176" s="112"/>
      <c r="R176" s="112"/>
      <c r="S176" s="112"/>
      <c r="T176" s="112"/>
      <c r="U176" s="124"/>
      <c r="V176" s="124"/>
      <c r="W176" s="124"/>
      <c r="X176" s="124"/>
      <c r="Y176" s="124"/>
      <c r="Z176" s="112"/>
      <c r="AA176" s="112"/>
      <c r="AB176" s="112"/>
      <c r="AC176" s="112"/>
      <c r="AD176" s="112"/>
      <c r="AE176" s="112"/>
      <c r="AF176" s="112"/>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row>
    <row r="177">
      <c r="D177" s="143"/>
      <c r="E177" s="129"/>
      <c r="F177" s="112"/>
      <c r="G177" s="112"/>
      <c r="H177" s="112"/>
      <c r="I177" s="112"/>
      <c r="J177" s="112"/>
      <c r="K177" s="112"/>
      <c r="L177" s="112"/>
      <c r="M177" s="112"/>
      <c r="N177" s="112"/>
      <c r="O177" s="112"/>
      <c r="P177" s="112"/>
      <c r="Q177" s="112"/>
      <c r="R177" s="112"/>
      <c r="S177" s="112"/>
      <c r="T177" s="112"/>
      <c r="U177" s="124"/>
      <c r="V177" s="124"/>
      <c r="W177" s="124"/>
      <c r="X177" s="124"/>
      <c r="Y177" s="124"/>
      <c r="Z177" s="112"/>
      <c r="AA177" s="112"/>
      <c r="AB177" s="112"/>
      <c r="AC177" s="112"/>
      <c r="AD177" s="112"/>
      <c r="AE177" s="112"/>
      <c r="AF177" s="112"/>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c r="BK177" s="124"/>
      <c r="BL177" s="124"/>
      <c r="BM177" s="124"/>
      <c r="BN177" s="124"/>
      <c r="BO177" s="124"/>
      <c r="BP177" s="124"/>
      <c r="BQ177" s="124"/>
      <c r="BR177" s="124"/>
      <c r="BS177" s="124"/>
      <c r="BT177" s="124"/>
      <c r="BU177" s="124"/>
      <c r="BV177" s="124"/>
      <c r="BW177" s="124"/>
      <c r="BX177" s="124"/>
      <c r="BY177" s="124"/>
      <c r="BZ177" s="124"/>
      <c r="CA177" s="124"/>
    </row>
    <row r="178">
      <c r="D178" s="143"/>
      <c r="E178" s="129"/>
      <c r="F178" s="112"/>
      <c r="G178" s="112"/>
      <c r="H178" s="112"/>
      <c r="I178" s="112"/>
      <c r="J178" s="112"/>
      <c r="K178" s="112"/>
      <c r="L178" s="112"/>
      <c r="M178" s="112"/>
      <c r="N178" s="112"/>
      <c r="O178" s="112"/>
      <c r="P178" s="112"/>
      <c r="Q178" s="112"/>
      <c r="R178" s="112"/>
      <c r="S178" s="112"/>
      <c r="T178" s="112"/>
      <c r="U178" s="124"/>
      <c r="V178" s="124"/>
      <c r="W178" s="124"/>
      <c r="X178" s="124"/>
      <c r="Y178" s="124"/>
      <c r="Z178" s="112"/>
      <c r="AA178" s="112"/>
      <c r="AB178" s="112"/>
      <c r="AC178" s="112"/>
      <c r="AD178" s="112"/>
      <c r="AE178" s="112"/>
      <c r="AF178" s="112"/>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row>
    <row r="179">
      <c r="D179" s="143"/>
      <c r="E179" s="129"/>
      <c r="F179" s="112"/>
      <c r="G179" s="112"/>
      <c r="H179" s="112"/>
      <c r="I179" s="112"/>
      <c r="J179" s="112"/>
      <c r="K179" s="112"/>
      <c r="L179" s="112"/>
      <c r="M179" s="112"/>
      <c r="N179" s="112"/>
      <c r="O179" s="112"/>
      <c r="P179" s="112"/>
      <c r="Q179" s="112"/>
      <c r="R179" s="112"/>
      <c r="S179" s="112"/>
      <c r="T179" s="112"/>
      <c r="U179" s="124"/>
      <c r="V179" s="124"/>
      <c r="W179" s="124"/>
      <c r="X179" s="124"/>
      <c r="Y179" s="124"/>
      <c r="Z179" s="112"/>
      <c r="AA179" s="112"/>
      <c r="AB179" s="112"/>
      <c r="AC179" s="112"/>
      <c r="AD179" s="112"/>
      <c r="AE179" s="112"/>
      <c r="AF179" s="112"/>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c r="BK179" s="124"/>
      <c r="BL179" s="124"/>
      <c r="BM179" s="124"/>
      <c r="BN179" s="124"/>
      <c r="BO179" s="124"/>
      <c r="BP179" s="124"/>
      <c r="BQ179" s="124"/>
      <c r="BR179" s="124"/>
      <c r="BS179" s="124"/>
      <c r="BT179" s="124"/>
      <c r="BU179" s="124"/>
      <c r="BV179" s="124"/>
      <c r="BW179" s="124"/>
      <c r="BX179" s="124"/>
      <c r="BY179" s="124"/>
      <c r="BZ179" s="124"/>
      <c r="CA179" s="124"/>
    </row>
    <row r="180">
      <c r="D180" s="143"/>
      <c r="E180" s="129"/>
      <c r="F180" s="112"/>
      <c r="G180" s="112"/>
      <c r="H180" s="112"/>
      <c r="I180" s="112"/>
      <c r="J180" s="112"/>
      <c r="K180" s="112"/>
      <c r="L180" s="112"/>
      <c r="M180" s="112"/>
      <c r="N180" s="112"/>
      <c r="O180" s="112"/>
      <c r="P180" s="112"/>
      <c r="Q180" s="112"/>
      <c r="R180" s="112"/>
      <c r="S180" s="112"/>
      <c r="T180" s="112"/>
      <c r="U180" s="124"/>
      <c r="V180" s="124"/>
      <c r="W180" s="124"/>
      <c r="X180" s="124"/>
      <c r="Y180" s="124"/>
      <c r="Z180" s="112"/>
      <c r="AA180" s="112"/>
      <c r="AB180" s="112"/>
      <c r="AC180" s="112"/>
      <c r="AD180" s="112"/>
      <c r="AE180" s="112"/>
      <c r="AF180" s="112"/>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row>
    <row r="181">
      <c r="D181" s="143"/>
      <c r="E181" s="129"/>
      <c r="F181" s="112"/>
      <c r="G181" s="112"/>
      <c r="H181" s="112"/>
      <c r="I181" s="112"/>
      <c r="J181" s="112"/>
      <c r="K181" s="112"/>
      <c r="L181" s="112"/>
      <c r="M181" s="112"/>
      <c r="N181" s="112"/>
      <c r="O181" s="112"/>
      <c r="P181" s="112"/>
      <c r="Q181" s="112"/>
      <c r="R181" s="112"/>
      <c r="S181" s="112"/>
      <c r="T181" s="112"/>
      <c r="U181" s="124"/>
      <c r="V181" s="124"/>
      <c r="W181" s="124"/>
      <c r="X181" s="124"/>
      <c r="Y181" s="124"/>
      <c r="Z181" s="112"/>
      <c r="AA181" s="112"/>
      <c r="AB181" s="112"/>
      <c r="AC181" s="112"/>
      <c r="AD181" s="112"/>
      <c r="AE181" s="112"/>
      <c r="AF181" s="112"/>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row>
    <row r="182">
      <c r="D182" s="143"/>
      <c r="E182" s="129"/>
      <c r="F182" s="112"/>
      <c r="G182" s="112"/>
      <c r="H182" s="112"/>
      <c r="I182" s="112"/>
      <c r="J182" s="112"/>
      <c r="K182" s="112"/>
      <c r="L182" s="112"/>
      <c r="M182" s="112"/>
      <c r="N182" s="112"/>
      <c r="O182" s="112"/>
      <c r="P182" s="112"/>
      <c r="Q182" s="112"/>
      <c r="R182" s="112"/>
      <c r="S182" s="112"/>
      <c r="T182" s="112"/>
      <c r="U182" s="124"/>
      <c r="V182" s="124"/>
      <c r="W182" s="124"/>
      <c r="X182" s="124"/>
      <c r="Y182" s="124"/>
      <c r="Z182" s="112"/>
      <c r="AA182" s="112"/>
      <c r="AB182" s="112"/>
      <c r="AC182" s="112"/>
      <c r="AD182" s="112"/>
      <c r="AE182" s="112"/>
      <c r="AF182" s="112"/>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row>
    <row r="183">
      <c r="D183" s="143"/>
      <c r="E183" s="129"/>
      <c r="F183" s="112"/>
      <c r="G183" s="112"/>
      <c r="H183" s="112"/>
      <c r="I183" s="112"/>
      <c r="J183" s="112"/>
      <c r="K183" s="112"/>
      <c r="L183" s="112"/>
      <c r="M183" s="112"/>
      <c r="N183" s="112"/>
      <c r="O183" s="112"/>
      <c r="P183" s="112"/>
      <c r="Q183" s="112"/>
      <c r="R183" s="112"/>
      <c r="S183" s="112"/>
      <c r="T183" s="112"/>
      <c r="U183" s="124"/>
      <c r="V183" s="124"/>
      <c r="W183" s="124"/>
      <c r="X183" s="124"/>
      <c r="Y183" s="124"/>
      <c r="Z183" s="112"/>
      <c r="AA183" s="112"/>
      <c r="AB183" s="112"/>
      <c r="AC183" s="112"/>
      <c r="AD183" s="112"/>
      <c r="AE183" s="112"/>
      <c r="AF183" s="112"/>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row>
    <row r="184">
      <c r="D184" s="143"/>
      <c r="E184" s="129"/>
      <c r="F184" s="112"/>
      <c r="G184" s="112"/>
      <c r="H184" s="112"/>
      <c r="I184" s="112"/>
      <c r="J184" s="112"/>
      <c r="K184" s="112"/>
      <c r="L184" s="112"/>
      <c r="M184" s="112"/>
      <c r="N184" s="112"/>
      <c r="O184" s="112"/>
      <c r="P184" s="112"/>
      <c r="Q184" s="112"/>
      <c r="R184" s="112"/>
      <c r="S184" s="112"/>
      <c r="T184" s="112"/>
      <c r="U184" s="124"/>
      <c r="V184" s="124"/>
      <c r="W184" s="124"/>
      <c r="X184" s="124"/>
      <c r="Y184" s="124"/>
      <c r="Z184" s="112"/>
      <c r="AA184" s="112"/>
      <c r="AB184" s="112"/>
      <c r="AC184" s="112"/>
      <c r="AD184" s="112"/>
      <c r="AE184" s="112"/>
      <c r="AF184" s="112"/>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row>
    <row r="185">
      <c r="D185" s="143"/>
      <c r="E185" s="129"/>
      <c r="F185" s="112"/>
      <c r="G185" s="112"/>
      <c r="H185" s="112"/>
      <c r="I185" s="112"/>
      <c r="J185" s="112"/>
      <c r="K185" s="112"/>
      <c r="L185" s="112"/>
      <c r="M185" s="112"/>
      <c r="N185" s="112"/>
      <c r="O185" s="112"/>
      <c r="P185" s="112"/>
      <c r="Q185" s="112"/>
      <c r="R185" s="112"/>
      <c r="S185" s="112"/>
      <c r="T185" s="112"/>
      <c r="U185" s="124"/>
      <c r="V185" s="124"/>
      <c r="W185" s="124"/>
      <c r="X185" s="124"/>
      <c r="Y185" s="124"/>
      <c r="Z185" s="112"/>
      <c r="AA185" s="112"/>
      <c r="AB185" s="112"/>
      <c r="AC185" s="112"/>
      <c r="AD185" s="112"/>
      <c r="AE185" s="112"/>
      <c r="AF185" s="112"/>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c r="BK185" s="124"/>
      <c r="BL185" s="124"/>
      <c r="BM185" s="124"/>
      <c r="BN185" s="124"/>
      <c r="BO185" s="124"/>
      <c r="BP185" s="124"/>
      <c r="BQ185" s="124"/>
      <c r="BR185" s="124"/>
      <c r="BS185" s="124"/>
      <c r="BT185" s="124"/>
      <c r="BU185" s="124"/>
      <c r="BV185" s="124"/>
      <c r="BW185" s="124"/>
      <c r="BX185" s="124"/>
      <c r="BY185" s="124"/>
      <c r="BZ185" s="124"/>
      <c r="CA185" s="124"/>
    </row>
    <row r="186">
      <c r="D186" s="143"/>
      <c r="E186" s="129"/>
      <c r="F186" s="112"/>
      <c r="G186" s="112"/>
      <c r="H186" s="112"/>
      <c r="I186" s="112"/>
      <c r="J186" s="112"/>
      <c r="K186" s="112"/>
      <c r="L186" s="112"/>
      <c r="M186" s="112"/>
      <c r="N186" s="112"/>
      <c r="O186" s="112"/>
      <c r="P186" s="112"/>
      <c r="Q186" s="112"/>
      <c r="R186" s="112"/>
      <c r="S186" s="112"/>
      <c r="T186" s="112"/>
      <c r="U186" s="124"/>
      <c r="V186" s="124"/>
      <c r="W186" s="124"/>
      <c r="X186" s="124"/>
      <c r="Y186" s="124"/>
      <c r="Z186" s="112"/>
      <c r="AA186" s="112"/>
      <c r="AB186" s="112"/>
      <c r="AC186" s="112"/>
      <c r="AD186" s="112"/>
      <c r="AE186" s="112"/>
      <c r="AF186" s="112"/>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row>
    <row r="187">
      <c r="D187" s="143"/>
      <c r="E187" s="129"/>
      <c r="F187" s="112"/>
      <c r="G187" s="112"/>
      <c r="H187" s="112"/>
      <c r="I187" s="112"/>
      <c r="J187" s="112"/>
      <c r="K187" s="112"/>
      <c r="L187" s="112"/>
      <c r="M187" s="112"/>
      <c r="N187" s="112"/>
      <c r="O187" s="112"/>
      <c r="P187" s="112"/>
      <c r="Q187" s="112"/>
      <c r="R187" s="112"/>
      <c r="S187" s="112"/>
      <c r="T187" s="112"/>
      <c r="U187" s="124"/>
      <c r="V187" s="124"/>
      <c r="W187" s="124"/>
      <c r="X187" s="124"/>
      <c r="Y187" s="124"/>
      <c r="Z187" s="112"/>
      <c r="AA187" s="112"/>
      <c r="AB187" s="112"/>
      <c r="AC187" s="112"/>
      <c r="AD187" s="112"/>
      <c r="AE187" s="112"/>
      <c r="AF187" s="112"/>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row>
    <row r="188">
      <c r="D188" s="143"/>
      <c r="E188" s="129"/>
      <c r="F188" s="112"/>
      <c r="G188" s="112"/>
      <c r="H188" s="112"/>
      <c r="I188" s="112"/>
      <c r="J188" s="112"/>
      <c r="K188" s="112"/>
      <c r="L188" s="112"/>
      <c r="M188" s="112"/>
      <c r="N188" s="112"/>
      <c r="O188" s="112"/>
      <c r="P188" s="112"/>
      <c r="Q188" s="112"/>
      <c r="R188" s="112"/>
      <c r="S188" s="112"/>
      <c r="T188" s="112"/>
      <c r="U188" s="124"/>
      <c r="V188" s="124"/>
      <c r="W188" s="124"/>
      <c r="X188" s="124"/>
      <c r="Y188" s="124"/>
      <c r="Z188" s="112"/>
      <c r="AA188" s="112"/>
      <c r="AB188" s="112"/>
      <c r="AC188" s="112"/>
      <c r="AD188" s="112"/>
      <c r="AE188" s="112"/>
      <c r="AF188" s="112"/>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c r="BK188" s="124"/>
      <c r="BL188" s="124"/>
      <c r="BM188" s="124"/>
      <c r="BN188" s="124"/>
      <c r="BO188" s="124"/>
      <c r="BP188" s="124"/>
      <c r="BQ188" s="124"/>
      <c r="BR188" s="124"/>
      <c r="BS188" s="124"/>
      <c r="BT188" s="124"/>
      <c r="BU188" s="124"/>
      <c r="BV188" s="124"/>
      <c r="BW188" s="124"/>
      <c r="BX188" s="124"/>
      <c r="BY188" s="124"/>
      <c r="BZ188" s="124"/>
      <c r="CA188" s="124"/>
    </row>
    <row r="189">
      <c r="D189" s="143"/>
      <c r="E189" s="129"/>
      <c r="F189" s="112"/>
      <c r="G189" s="112"/>
      <c r="H189" s="112"/>
      <c r="I189" s="112"/>
      <c r="J189" s="112"/>
      <c r="K189" s="112"/>
      <c r="L189" s="112"/>
      <c r="M189" s="112"/>
      <c r="N189" s="112"/>
      <c r="O189" s="112"/>
      <c r="P189" s="112"/>
      <c r="Q189" s="112"/>
      <c r="R189" s="112"/>
      <c r="S189" s="112"/>
      <c r="T189" s="112"/>
      <c r="U189" s="124"/>
      <c r="V189" s="124"/>
      <c r="W189" s="124"/>
      <c r="X189" s="124"/>
      <c r="Y189" s="124"/>
      <c r="Z189" s="112"/>
      <c r="AA189" s="112"/>
      <c r="AB189" s="112"/>
      <c r="AC189" s="112"/>
      <c r="AD189" s="112"/>
      <c r="AE189" s="112"/>
      <c r="AF189" s="112"/>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c r="BK189" s="124"/>
      <c r="BL189" s="124"/>
      <c r="BM189" s="124"/>
      <c r="BN189" s="124"/>
      <c r="BO189" s="124"/>
      <c r="BP189" s="124"/>
      <c r="BQ189" s="124"/>
      <c r="BR189" s="124"/>
      <c r="BS189" s="124"/>
      <c r="BT189" s="124"/>
      <c r="BU189" s="124"/>
      <c r="BV189" s="124"/>
      <c r="BW189" s="124"/>
      <c r="BX189" s="124"/>
      <c r="BY189" s="124"/>
      <c r="BZ189" s="124"/>
      <c r="CA189" s="124"/>
    </row>
    <row r="190">
      <c r="D190" s="143"/>
      <c r="E190" s="129"/>
      <c r="F190" s="112"/>
      <c r="G190" s="112"/>
      <c r="H190" s="112"/>
      <c r="I190" s="112"/>
      <c r="J190" s="112"/>
      <c r="K190" s="112"/>
      <c r="L190" s="112"/>
      <c r="M190" s="112"/>
      <c r="N190" s="112"/>
      <c r="O190" s="112"/>
      <c r="P190" s="112"/>
      <c r="Q190" s="112"/>
      <c r="R190" s="112"/>
      <c r="S190" s="112"/>
      <c r="T190" s="112"/>
      <c r="U190" s="124"/>
      <c r="V190" s="124"/>
      <c r="W190" s="124"/>
      <c r="X190" s="124"/>
      <c r="Y190" s="124"/>
      <c r="Z190" s="112"/>
      <c r="AA190" s="112"/>
      <c r="AB190" s="112"/>
      <c r="AC190" s="112"/>
      <c r="AD190" s="112"/>
      <c r="AE190" s="112"/>
      <c r="AF190" s="112"/>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row>
    <row r="191">
      <c r="D191" s="143"/>
      <c r="E191" s="129"/>
      <c r="F191" s="112"/>
      <c r="G191" s="112"/>
      <c r="H191" s="112"/>
      <c r="I191" s="112"/>
      <c r="J191" s="112"/>
      <c r="K191" s="112"/>
      <c r="L191" s="112"/>
      <c r="M191" s="112"/>
      <c r="N191" s="112"/>
      <c r="O191" s="112"/>
      <c r="P191" s="112"/>
      <c r="Q191" s="112"/>
      <c r="R191" s="112"/>
      <c r="S191" s="112"/>
      <c r="T191" s="112"/>
      <c r="U191" s="124"/>
      <c r="V191" s="124"/>
      <c r="W191" s="124"/>
      <c r="X191" s="124"/>
      <c r="Y191" s="124"/>
      <c r="Z191" s="112"/>
      <c r="AA191" s="112"/>
      <c r="AB191" s="112"/>
      <c r="AC191" s="112"/>
      <c r="AD191" s="112"/>
      <c r="AE191" s="112"/>
      <c r="AF191" s="112"/>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row>
    <row r="192">
      <c r="D192" s="143"/>
      <c r="E192" s="129"/>
      <c r="F192" s="112"/>
      <c r="G192" s="112"/>
      <c r="H192" s="112"/>
      <c r="I192" s="112"/>
      <c r="J192" s="112"/>
      <c r="K192" s="112"/>
      <c r="L192" s="112"/>
      <c r="M192" s="112"/>
      <c r="N192" s="112"/>
      <c r="O192" s="112"/>
      <c r="P192" s="112"/>
      <c r="Q192" s="112"/>
      <c r="R192" s="112"/>
      <c r="S192" s="112"/>
      <c r="T192" s="112"/>
      <c r="U192" s="124"/>
      <c r="V192" s="124"/>
      <c r="W192" s="124"/>
      <c r="X192" s="124"/>
      <c r="Y192" s="124"/>
      <c r="Z192" s="112"/>
      <c r="AA192" s="112"/>
      <c r="AB192" s="112"/>
      <c r="AC192" s="112"/>
      <c r="AD192" s="112"/>
      <c r="AE192" s="112"/>
      <c r="AF192" s="112"/>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row>
    <row r="193">
      <c r="D193" s="143"/>
      <c r="E193" s="129"/>
      <c r="F193" s="112"/>
      <c r="G193" s="112"/>
      <c r="H193" s="112"/>
      <c r="I193" s="112"/>
      <c r="J193" s="112"/>
      <c r="K193" s="112"/>
      <c r="L193" s="112"/>
      <c r="M193" s="112"/>
      <c r="N193" s="112"/>
      <c r="O193" s="112"/>
      <c r="P193" s="112"/>
      <c r="Q193" s="112"/>
      <c r="R193" s="112"/>
      <c r="S193" s="112"/>
      <c r="T193" s="112"/>
      <c r="U193" s="124"/>
      <c r="V193" s="124"/>
      <c r="W193" s="124"/>
      <c r="X193" s="124"/>
      <c r="Y193" s="124"/>
      <c r="Z193" s="112"/>
      <c r="AA193" s="112"/>
      <c r="AB193" s="112"/>
      <c r="AC193" s="112"/>
      <c r="AD193" s="112"/>
      <c r="AE193" s="112"/>
      <c r="AF193" s="112"/>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row>
    <row r="194">
      <c r="D194" s="143"/>
      <c r="E194" s="129"/>
      <c r="F194" s="112"/>
      <c r="G194" s="112"/>
      <c r="H194" s="112"/>
      <c r="I194" s="112"/>
      <c r="J194" s="112"/>
      <c r="K194" s="112"/>
      <c r="L194" s="112"/>
      <c r="M194" s="112"/>
      <c r="N194" s="112"/>
      <c r="O194" s="112"/>
      <c r="P194" s="112"/>
      <c r="Q194" s="112"/>
      <c r="R194" s="112"/>
      <c r="S194" s="112"/>
      <c r="T194" s="112"/>
      <c r="U194" s="124"/>
      <c r="V194" s="124"/>
      <c r="W194" s="124"/>
      <c r="X194" s="124"/>
      <c r="Y194" s="124"/>
      <c r="Z194" s="112"/>
      <c r="AA194" s="112"/>
      <c r="AB194" s="112"/>
      <c r="AC194" s="112"/>
      <c r="AD194" s="112"/>
      <c r="AE194" s="112"/>
      <c r="AF194" s="112"/>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row>
    <row r="195">
      <c r="D195" s="143"/>
      <c r="E195" s="129"/>
      <c r="F195" s="112"/>
      <c r="G195" s="112"/>
      <c r="H195" s="112"/>
      <c r="I195" s="112"/>
      <c r="J195" s="112"/>
      <c r="K195" s="112"/>
      <c r="L195" s="112"/>
      <c r="M195" s="112"/>
      <c r="N195" s="112"/>
      <c r="O195" s="112"/>
      <c r="P195" s="112"/>
      <c r="Q195" s="112"/>
      <c r="R195" s="112"/>
      <c r="S195" s="112"/>
      <c r="T195" s="112"/>
      <c r="U195" s="124"/>
      <c r="V195" s="124"/>
      <c r="W195" s="124"/>
      <c r="X195" s="124"/>
      <c r="Y195" s="124"/>
      <c r="Z195" s="112"/>
      <c r="AA195" s="112"/>
      <c r="AB195" s="112"/>
      <c r="AC195" s="112"/>
      <c r="AD195" s="112"/>
      <c r="AE195" s="112"/>
      <c r="AF195" s="112"/>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c r="BZ195" s="124"/>
      <c r="CA195" s="124"/>
    </row>
    <row r="196">
      <c r="D196" s="143"/>
      <c r="E196" s="129"/>
      <c r="F196" s="112"/>
      <c r="G196" s="112"/>
      <c r="H196" s="112"/>
      <c r="I196" s="112"/>
      <c r="J196" s="112"/>
      <c r="K196" s="112"/>
      <c r="L196" s="112"/>
      <c r="M196" s="112"/>
      <c r="N196" s="112"/>
      <c r="O196" s="112"/>
      <c r="P196" s="112"/>
      <c r="Q196" s="112"/>
      <c r="R196" s="112"/>
      <c r="S196" s="112"/>
      <c r="T196" s="112"/>
      <c r="U196" s="124"/>
      <c r="V196" s="124"/>
      <c r="W196" s="124"/>
      <c r="X196" s="124"/>
      <c r="Y196" s="124"/>
      <c r="Z196" s="112"/>
      <c r="AA196" s="112"/>
      <c r="AB196" s="112"/>
      <c r="AC196" s="112"/>
      <c r="AD196" s="112"/>
      <c r="AE196" s="112"/>
      <c r="AF196" s="112"/>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row>
    <row r="197">
      <c r="D197" s="143"/>
      <c r="E197" s="129"/>
      <c r="F197" s="112"/>
      <c r="G197" s="112"/>
      <c r="H197" s="112"/>
      <c r="I197" s="112"/>
      <c r="J197" s="112"/>
      <c r="K197" s="112"/>
      <c r="L197" s="112"/>
      <c r="M197" s="112"/>
      <c r="N197" s="112"/>
      <c r="O197" s="112"/>
      <c r="P197" s="112"/>
      <c r="Q197" s="112"/>
      <c r="R197" s="112"/>
      <c r="S197" s="112"/>
      <c r="T197" s="112"/>
      <c r="U197" s="124"/>
      <c r="V197" s="124"/>
      <c r="W197" s="124"/>
      <c r="X197" s="124"/>
      <c r="Y197" s="124"/>
      <c r="Z197" s="112"/>
      <c r="AA197" s="112"/>
      <c r="AB197" s="112"/>
      <c r="AC197" s="112"/>
      <c r="AD197" s="112"/>
      <c r="AE197" s="112"/>
      <c r="AF197" s="112"/>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124"/>
      <c r="BO197" s="124"/>
      <c r="BP197" s="124"/>
      <c r="BQ197" s="124"/>
      <c r="BR197" s="124"/>
      <c r="BS197" s="124"/>
      <c r="BT197" s="124"/>
      <c r="BU197" s="124"/>
      <c r="BV197" s="124"/>
      <c r="BW197" s="124"/>
      <c r="BX197" s="124"/>
      <c r="BY197" s="124"/>
      <c r="BZ197" s="124"/>
      <c r="CA197" s="124"/>
    </row>
    <row r="198">
      <c r="D198" s="143"/>
      <c r="E198" s="129"/>
      <c r="F198" s="112"/>
      <c r="G198" s="112"/>
      <c r="H198" s="112"/>
      <c r="I198" s="112"/>
      <c r="J198" s="112"/>
      <c r="K198" s="112"/>
      <c r="L198" s="112"/>
      <c r="M198" s="112"/>
      <c r="N198" s="112"/>
      <c r="O198" s="112"/>
      <c r="P198" s="112"/>
      <c r="Q198" s="112"/>
      <c r="R198" s="112"/>
      <c r="S198" s="112"/>
      <c r="T198" s="112"/>
      <c r="U198" s="124"/>
      <c r="V198" s="124"/>
      <c r="W198" s="124"/>
      <c r="X198" s="124"/>
      <c r="Y198" s="124"/>
      <c r="Z198" s="112"/>
      <c r="AA198" s="112"/>
      <c r="AB198" s="112"/>
      <c r="AC198" s="112"/>
      <c r="AD198" s="112"/>
      <c r="AE198" s="112"/>
      <c r="AF198" s="112"/>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row>
    <row r="199">
      <c r="D199" s="143"/>
      <c r="E199" s="129"/>
      <c r="F199" s="112"/>
      <c r="G199" s="112"/>
      <c r="H199" s="112"/>
      <c r="I199" s="112"/>
      <c r="J199" s="112"/>
      <c r="K199" s="112"/>
      <c r="L199" s="112"/>
      <c r="M199" s="112"/>
      <c r="N199" s="112"/>
      <c r="O199" s="112"/>
      <c r="P199" s="112"/>
      <c r="Q199" s="112"/>
      <c r="R199" s="112"/>
      <c r="S199" s="112"/>
      <c r="T199" s="112"/>
      <c r="U199" s="124"/>
      <c r="V199" s="124"/>
      <c r="W199" s="124"/>
      <c r="X199" s="124"/>
      <c r="Y199" s="124"/>
      <c r="Z199" s="112"/>
      <c r="AA199" s="112"/>
      <c r="AB199" s="112"/>
      <c r="AC199" s="112"/>
      <c r="AD199" s="112"/>
      <c r="AE199" s="112"/>
      <c r="AF199" s="112"/>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row>
    <row r="200">
      <c r="D200" s="143"/>
      <c r="E200" s="129"/>
      <c r="F200" s="112"/>
      <c r="G200" s="112"/>
      <c r="H200" s="112"/>
      <c r="I200" s="112"/>
      <c r="J200" s="112"/>
      <c r="K200" s="112"/>
      <c r="L200" s="112"/>
      <c r="M200" s="112"/>
      <c r="N200" s="112"/>
      <c r="O200" s="112"/>
      <c r="P200" s="112"/>
      <c r="Q200" s="112"/>
      <c r="R200" s="112"/>
      <c r="S200" s="112"/>
      <c r="T200" s="112"/>
      <c r="U200" s="124"/>
      <c r="V200" s="124"/>
      <c r="W200" s="124"/>
      <c r="X200" s="124"/>
      <c r="Y200" s="124"/>
      <c r="Z200" s="112"/>
      <c r="AA200" s="112"/>
      <c r="AB200" s="112"/>
      <c r="AC200" s="112"/>
      <c r="AD200" s="112"/>
      <c r="AE200" s="112"/>
      <c r="AF200" s="112"/>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row>
    <row r="201">
      <c r="D201" s="143"/>
      <c r="E201" s="129"/>
      <c r="F201" s="112"/>
      <c r="G201" s="112"/>
      <c r="H201" s="112"/>
      <c r="I201" s="112"/>
      <c r="J201" s="112"/>
      <c r="K201" s="112"/>
      <c r="L201" s="112"/>
      <c r="M201" s="112"/>
      <c r="N201" s="112"/>
      <c r="O201" s="112"/>
      <c r="P201" s="112"/>
      <c r="Q201" s="112"/>
      <c r="R201" s="112"/>
      <c r="S201" s="112"/>
      <c r="T201" s="112"/>
      <c r="U201" s="124"/>
      <c r="V201" s="124"/>
      <c r="W201" s="124"/>
      <c r="X201" s="124"/>
      <c r="Y201" s="124"/>
      <c r="Z201" s="112"/>
      <c r="AA201" s="112"/>
      <c r="AB201" s="112"/>
      <c r="AC201" s="112"/>
      <c r="AD201" s="112"/>
      <c r="AE201" s="112"/>
      <c r="AF201" s="112"/>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row>
    <row r="202">
      <c r="D202" s="143"/>
      <c r="E202" s="129"/>
      <c r="F202" s="112"/>
      <c r="G202" s="112"/>
      <c r="H202" s="112"/>
      <c r="I202" s="112"/>
      <c r="J202" s="112"/>
      <c r="K202" s="112"/>
      <c r="L202" s="112"/>
      <c r="M202" s="112"/>
      <c r="N202" s="112"/>
      <c r="O202" s="112"/>
      <c r="P202" s="112"/>
      <c r="Q202" s="112"/>
      <c r="R202" s="112"/>
      <c r="S202" s="112"/>
      <c r="T202" s="112"/>
      <c r="U202" s="124"/>
      <c r="V202" s="124"/>
      <c r="W202" s="124"/>
      <c r="X202" s="124"/>
      <c r="Y202" s="124"/>
      <c r="Z202" s="112"/>
      <c r="AA202" s="112"/>
      <c r="AB202" s="112"/>
      <c r="AC202" s="112"/>
      <c r="AD202" s="112"/>
      <c r="AE202" s="112"/>
      <c r="AF202" s="112"/>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row>
    <row r="203">
      <c r="D203" s="143"/>
      <c r="E203" s="129"/>
      <c r="F203" s="112"/>
      <c r="G203" s="112"/>
      <c r="H203" s="112"/>
      <c r="I203" s="112"/>
      <c r="J203" s="112"/>
      <c r="K203" s="112"/>
      <c r="L203" s="112"/>
      <c r="M203" s="112"/>
      <c r="N203" s="112"/>
      <c r="O203" s="112"/>
      <c r="P203" s="112"/>
      <c r="Q203" s="112"/>
      <c r="R203" s="112"/>
      <c r="S203" s="112"/>
      <c r="T203" s="112"/>
      <c r="U203" s="124"/>
      <c r="V203" s="124"/>
      <c r="W203" s="124"/>
      <c r="X203" s="124"/>
      <c r="Y203" s="124"/>
      <c r="Z203" s="112"/>
      <c r="AA203" s="112"/>
      <c r="AB203" s="112"/>
      <c r="AC203" s="112"/>
      <c r="AD203" s="112"/>
      <c r="AE203" s="112"/>
      <c r="AF203" s="112"/>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row>
    <row r="204">
      <c r="D204" s="143"/>
      <c r="E204" s="129"/>
      <c r="F204" s="112"/>
      <c r="G204" s="112"/>
      <c r="H204" s="112"/>
      <c r="I204" s="112"/>
      <c r="J204" s="112"/>
      <c r="K204" s="112"/>
      <c r="L204" s="112"/>
      <c r="M204" s="112"/>
      <c r="N204" s="112"/>
      <c r="O204" s="112"/>
      <c r="P204" s="112"/>
      <c r="Q204" s="112"/>
      <c r="R204" s="112"/>
      <c r="S204" s="112"/>
      <c r="T204" s="112"/>
      <c r="U204" s="124"/>
      <c r="V204" s="124"/>
      <c r="W204" s="124"/>
      <c r="X204" s="124"/>
      <c r="Y204" s="124"/>
      <c r="Z204" s="112"/>
      <c r="AA204" s="112"/>
      <c r="AB204" s="112"/>
      <c r="AC204" s="112"/>
      <c r="AD204" s="112"/>
      <c r="AE204" s="112"/>
      <c r="AF204" s="112"/>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row>
    <row r="205">
      <c r="D205" s="143"/>
      <c r="E205" s="129"/>
      <c r="F205" s="112"/>
      <c r="G205" s="112"/>
      <c r="H205" s="112"/>
      <c r="I205" s="112"/>
      <c r="J205" s="112"/>
      <c r="K205" s="112"/>
      <c r="L205" s="112"/>
      <c r="M205" s="112"/>
      <c r="N205" s="112"/>
      <c r="O205" s="112"/>
      <c r="P205" s="112"/>
      <c r="Q205" s="112"/>
      <c r="R205" s="112"/>
      <c r="S205" s="112"/>
      <c r="T205" s="112"/>
      <c r="U205" s="124"/>
      <c r="V205" s="124"/>
      <c r="W205" s="124"/>
      <c r="X205" s="124"/>
      <c r="Y205" s="124"/>
      <c r="Z205" s="112"/>
      <c r="AA205" s="112"/>
      <c r="AB205" s="112"/>
      <c r="AC205" s="112"/>
      <c r="AD205" s="112"/>
      <c r="AE205" s="112"/>
      <c r="AF205" s="112"/>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row>
    <row r="206">
      <c r="D206" s="143"/>
      <c r="E206" s="129"/>
      <c r="F206" s="112"/>
      <c r="G206" s="112"/>
      <c r="H206" s="112"/>
      <c r="I206" s="112"/>
      <c r="J206" s="112"/>
      <c r="K206" s="112"/>
      <c r="L206" s="112"/>
      <c r="M206" s="112"/>
      <c r="N206" s="112"/>
      <c r="O206" s="112"/>
      <c r="P206" s="112"/>
      <c r="Q206" s="112"/>
      <c r="R206" s="112"/>
      <c r="S206" s="112"/>
      <c r="T206" s="112"/>
      <c r="U206" s="124"/>
      <c r="V206" s="124"/>
      <c r="W206" s="124"/>
      <c r="X206" s="124"/>
      <c r="Y206" s="124"/>
      <c r="Z206" s="112"/>
      <c r="AA206" s="112"/>
      <c r="AB206" s="112"/>
      <c r="AC206" s="112"/>
      <c r="AD206" s="112"/>
      <c r="AE206" s="112"/>
      <c r="AF206" s="112"/>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row>
    <row r="207">
      <c r="D207" s="143"/>
      <c r="E207" s="129"/>
      <c r="F207" s="112"/>
      <c r="G207" s="112"/>
      <c r="H207" s="112"/>
      <c r="I207" s="112"/>
      <c r="J207" s="112"/>
      <c r="K207" s="112"/>
      <c r="L207" s="112"/>
      <c r="M207" s="112"/>
      <c r="N207" s="112"/>
      <c r="O207" s="112"/>
      <c r="P207" s="112"/>
      <c r="Q207" s="112"/>
      <c r="R207" s="112"/>
      <c r="S207" s="112"/>
      <c r="T207" s="112"/>
      <c r="U207" s="124"/>
      <c r="V207" s="124"/>
      <c r="W207" s="124"/>
      <c r="X207" s="124"/>
      <c r="Y207" s="124"/>
      <c r="Z207" s="112"/>
      <c r="AA207" s="112"/>
      <c r="AB207" s="112"/>
      <c r="AC207" s="112"/>
      <c r="AD207" s="112"/>
      <c r="AE207" s="112"/>
      <c r="AF207" s="112"/>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row>
    <row r="208">
      <c r="D208" s="143"/>
      <c r="E208" s="129"/>
      <c r="F208" s="112"/>
      <c r="G208" s="112"/>
      <c r="H208" s="112"/>
      <c r="I208" s="112"/>
      <c r="J208" s="112"/>
      <c r="K208" s="112"/>
      <c r="L208" s="112"/>
      <c r="M208" s="112"/>
      <c r="N208" s="112"/>
      <c r="O208" s="112"/>
      <c r="P208" s="112"/>
      <c r="Q208" s="112"/>
      <c r="R208" s="112"/>
      <c r="S208" s="112"/>
      <c r="T208" s="112"/>
      <c r="U208" s="124"/>
      <c r="V208" s="124"/>
      <c r="W208" s="124"/>
      <c r="X208" s="124"/>
      <c r="Y208" s="124"/>
      <c r="Z208" s="112"/>
      <c r="AA208" s="112"/>
      <c r="AB208" s="112"/>
      <c r="AC208" s="112"/>
      <c r="AD208" s="112"/>
      <c r="AE208" s="112"/>
      <c r="AF208" s="112"/>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row>
    <row r="209">
      <c r="D209" s="143"/>
      <c r="E209" s="129"/>
      <c r="F209" s="112"/>
      <c r="G209" s="112"/>
      <c r="H209" s="112"/>
      <c r="I209" s="112"/>
      <c r="J209" s="112"/>
      <c r="K209" s="112"/>
      <c r="L209" s="112"/>
      <c r="M209" s="112"/>
      <c r="N209" s="112"/>
      <c r="O209" s="112"/>
      <c r="P209" s="112"/>
      <c r="Q209" s="112"/>
      <c r="R209" s="112"/>
      <c r="S209" s="112"/>
      <c r="T209" s="112"/>
      <c r="U209" s="124"/>
      <c r="V209" s="124"/>
      <c r="W209" s="124"/>
      <c r="X209" s="124"/>
      <c r="Y209" s="124"/>
      <c r="Z209" s="112"/>
      <c r="AA209" s="112"/>
      <c r="AB209" s="112"/>
      <c r="AC209" s="112"/>
      <c r="AD209" s="112"/>
      <c r="AE209" s="112"/>
      <c r="AF209" s="112"/>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row>
    <row r="210">
      <c r="D210" s="143"/>
      <c r="E210" s="129"/>
      <c r="F210" s="112"/>
      <c r="G210" s="112"/>
      <c r="H210" s="112"/>
      <c r="I210" s="112"/>
      <c r="J210" s="112"/>
      <c r="K210" s="112"/>
      <c r="L210" s="112"/>
      <c r="M210" s="112"/>
      <c r="N210" s="112"/>
      <c r="O210" s="112"/>
      <c r="P210" s="112"/>
      <c r="Q210" s="112"/>
      <c r="R210" s="112"/>
      <c r="S210" s="112"/>
      <c r="T210" s="112"/>
      <c r="U210" s="124"/>
      <c r="V210" s="124"/>
      <c r="W210" s="124"/>
      <c r="X210" s="124"/>
      <c r="Y210" s="124"/>
      <c r="Z210" s="112"/>
      <c r="AA210" s="112"/>
      <c r="AB210" s="112"/>
      <c r="AC210" s="112"/>
      <c r="AD210" s="112"/>
      <c r="AE210" s="112"/>
      <c r="AF210" s="112"/>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row>
    <row r="211">
      <c r="D211" s="143"/>
      <c r="E211" s="129"/>
      <c r="F211" s="112"/>
      <c r="G211" s="112"/>
      <c r="H211" s="112"/>
      <c r="I211" s="112"/>
      <c r="J211" s="112"/>
      <c r="K211" s="112"/>
      <c r="L211" s="112"/>
      <c r="M211" s="112"/>
      <c r="N211" s="112"/>
      <c r="O211" s="112"/>
      <c r="P211" s="112"/>
      <c r="Q211" s="112"/>
      <c r="R211" s="112"/>
      <c r="S211" s="112"/>
      <c r="T211" s="112"/>
      <c r="U211" s="124"/>
      <c r="V211" s="124"/>
      <c r="W211" s="124"/>
      <c r="X211" s="124"/>
      <c r="Y211" s="124"/>
      <c r="Z211" s="112"/>
      <c r="AA211" s="112"/>
      <c r="AB211" s="112"/>
      <c r="AC211" s="112"/>
      <c r="AD211" s="112"/>
      <c r="AE211" s="112"/>
      <c r="AF211" s="112"/>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row>
    <row r="212">
      <c r="D212" s="143"/>
      <c r="E212" s="129"/>
      <c r="F212" s="112"/>
      <c r="G212" s="112"/>
      <c r="H212" s="112"/>
      <c r="I212" s="112"/>
      <c r="J212" s="112"/>
      <c r="K212" s="112"/>
      <c r="L212" s="112"/>
      <c r="M212" s="112"/>
      <c r="N212" s="112"/>
      <c r="O212" s="112"/>
      <c r="P212" s="112"/>
      <c r="Q212" s="112"/>
      <c r="R212" s="112"/>
      <c r="S212" s="112"/>
      <c r="T212" s="112"/>
      <c r="U212" s="124"/>
      <c r="V212" s="124"/>
      <c r="W212" s="124"/>
      <c r="X212" s="124"/>
      <c r="Y212" s="124"/>
      <c r="Z212" s="112"/>
      <c r="AA212" s="112"/>
      <c r="AB212" s="112"/>
      <c r="AC212" s="112"/>
      <c r="AD212" s="112"/>
      <c r="AE212" s="112"/>
      <c r="AF212" s="112"/>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row>
    <row r="213">
      <c r="D213" s="143"/>
      <c r="E213" s="129"/>
      <c r="F213" s="112"/>
      <c r="G213" s="112"/>
      <c r="H213" s="112"/>
      <c r="I213" s="112"/>
      <c r="J213" s="112"/>
      <c r="K213" s="112"/>
      <c r="L213" s="112"/>
      <c r="M213" s="112"/>
      <c r="N213" s="112"/>
      <c r="O213" s="112"/>
      <c r="P213" s="112"/>
      <c r="Q213" s="112"/>
      <c r="R213" s="112"/>
      <c r="S213" s="112"/>
      <c r="T213" s="112"/>
      <c r="U213" s="124"/>
      <c r="V213" s="124"/>
      <c r="W213" s="124"/>
      <c r="X213" s="124"/>
      <c r="Y213" s="124"/>
      <c r="Z213" s="112"/>
      <c r="AA213" s="112"/>
      <c r="AB213" s="112"/>
      <c r="AC213" s="112"/>
      <c r="AD213" s="112"/>
      <c r="AE213" s="112"/>
      <c r="AF213" s="112"/>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row>
    <row r="214">
      <c r="D214" s="143"/>
      <c r="E214" s="129"/>
      <c r="F214" s="112"/>
      <c r="G214" s="112"/>
      <c r="H214" s="112"/>
      <c r="I214" s="112"/>
      <c r="J214" s="112"/>
      <c r="K214" s="112"/>
      <c r="L214" s="112"/>
      <c r="M214" s="112"/>
      <c r="N214" s="112"/>
      <c r="O214" s="112"/>
      <c r="P214" s="112"/>
      <c r="Q214" s="112"/>
      <c r="R214" s="112"/>
      <c r="S214" s="112"/>
      <c r="T214" s="112"/>
      <c r="U214" s="124"/>
      <c r="V214" s="124"/>
      <c r="W214" s="124"/>
      <c r="X214" s="124"/>
      <c r="Y214" s="124"/>
      <c r="Z214" s="112"/>
      <c r="AA214" s="112"/>
      <c r="AB214" s="112"/>
      <c r="AC214" s="112"/>
      <c r="AD214" s="112"/>
      <c r="AE214" s="112"/>
      <c r="AF214" s="112"/>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row>
    <row r="215">
      <c r="D215" s="143"/>
      <c r="E215" s="129"/>
      <c r="F215" s="112"/>
      <c r="G215" s="112"/>
      <c r="H215" s="112"/>
      <c r="I215" s="112"/>
      <c r="J215" s="112"/>
      <c r="K215" s="112"/>
      <c r="L215" s="112"/>
      <c r="M215" s="112"/>
      <c r="N215" s="112"/>
      <c r="O215" s="112"/>
      <c r="P215" s="112"/>
      <c r="Q215" s="112"/>
      <c r="R215" s="112"/>
      <c r="S215" s="112"/>
      <c r="T215" s="112"/>
      <c r="U215" s="124"/>
      <c r="V215" s="124"/>
      <c r="W215" s="124"/>
      <c r="X215" s="124"/>
      <c r="Y215" s="124"/>
      <c r="Z215" s="112"/>
      <c r="AA215" s="112"/>
      <c r="AB215" s="112"/>
      <c r="AC215" s="112"/>
      <c r="AD215" s="112"/>
      <c r="AE215" s="112"/>
      <c r="AF215" s="112"/>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row>
    <row r="216">
      <c r="D216" s="143"/>
      <c r="E216" s="129"/>
      <c r="F216" s="112"/>
      <c r="G216" s="112"/>
      <c r="H216" s="112"/>
      <c r="I216" s="112"/>
      <c r="J216" s="112"/>
      <c r="K216" s="112"/>
      <c r="L216" s="112"/>
      <c r="M216" s="112"/>
      <c r="N216" s="112"/>
      <c r="O216" s="112"/>
      <c r="P216" s="112"/>
      <c r="Q216" s="112"/>
      <c r="R216" s="112"/>
      <c r="S216" s="112"/>
      <c r="T216" s="112"/>
      <c r="U216" s="124"/>
      <c r="V216" s="124"/>
      <c r="W216" s="124"/>
      <c r="X216" s="124"/>
      <c r="Y216" s="124"/>
      <c r="Z216" s="112"/>
      <c r="AA216" s="112"/>
      <c r="AB216" s="112"/>
      <c r="AC216" s="112"/>
      <c r="AD216" s="112"/>
      <c r="AE216" s="112"/>
      <c r="AF216" s="112"/>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row>
    <row r="217">
      <c r="D217" s="143"/>
      <c r="E217" s="129"/>
      <c r="F217" s="112"/>
      <c r="G217" s="112"/>
      <c r="H217" s="112"/>
      <c r="I217" s="112"/>
      <c r="J217" s="112"/>
      <c r="K217" s="112"/>
      <c r="L217" s="112"/>
      <c r="M217" s="112"/>
      <c r="N217" s="112"/>
      <c r="O217" s="112"/>
      <c r="P217" s="112"/>
      <c r="Q217" s="112"/>
      <c r="R217" s="112"/>
      <c r="S217" s="112"/>
      <c r="T217" s="112"/>
      <c r="U217" s="124"/>
      <c r="V217" s="124"/>
      <c r="W217" s="124"/>
      <c r="X217" s="124"/>
      <c r="Y217" s="124"/>
      <c r="Z217" s="112"/>
      <c r="AA217" s="112"/>
      <c r="AB217" s="112"/>
      <c r="AC217" s="112"/>
      <c r="AD217" s="112"/>
      <c r="AE217" s="112"/>
      <c r="AF217" s="112"/>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row>
    <row r="218">
      <c r="D218" s="143"/>
      <c r="E218" s="129"/>
      <c r="F218" s="112"/>
      <c r="G218" s="112"/>
      <c r="H218" s="112"/>
      <c r="I218" s="112"/>
      <c r="J218" s="112"/>
      <c r="K218" s="112"/>
      <c r="L218" s="112"/>
      <c r="M218" s="112"/>
      <c r="N218" s="112"/>
      <c r="O218" s="112"/>
      <c r="P218" s="112"/>
      <c r="Q218" s="112"/>
      <c r="R218" s="112"/>
      <c r="S218" s="112"/>
      <c r="T218" s="112"/>
      <c r="U218" s="124"/>
      <c r="V218" s="124"/>
      <c r="W218" s="124"/>
      <c r="X218" s="124"/>
      <c r="Y218" s="124"/>
      <c r="Z218" s="112"/>
      <c r="AA218" s="112"/>
      <c r="AB218" s="112"/>
      <c r="AC218" s="112"/>
      <c r="AD218" s="112"/>
      <c r="AE218" s="112"/>
      <c r="AF218" s="112"/>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124"/>
      <c r="BO218" s="124"/>
      <c r="BP218" s="124"/>
      <c r="BQ218" s="124"/>
      <c r="BR218" s="124"/>
      <c r="BS218" s="124"/>
      <c r="BT218" s="124"/>
      <c r="BU218" s="124"/>
      <c r="BV218" s="124"/>
      <c r="BW218" s="124"/>
      <c r="BX218" s="124"/>
      <c r="BY218" s="124"/>
      <c r="BZ218" s="124"/>
      <c r="CA218" s="124"/>
    </row>
    <row r="219">
      <c r="D219" s="143"/>
      <c r="E219" s="129"/>
      <c r="F219" s="112"/>
      <c r="G219" s="112"/>
      <c r="H219" s="112"/>
      <c r="I219" s="112"/>
      <c r="J219" s="112"/>
      <c r="K219" s="112"/>
      <c r="L219" s="112"/>
      <c r="M219" s="112"/>
      <c r="N219" s="112"/>
      <c r="O219" s="112"/>
      <c r="P219" s="112"/>
      <c r="Q219" s="112"/>
      <c r="R219" s="112"/>
      <c r="S219" s="112"/>
      <c r="T219" s="112"/>
      <c r="U219" s="124"/>
      <c r="V219" s="124"/>
      <c r="W219" s="124"/>
      <c r="X219" s="124"/>
      <c r="Y219" s="124"/>
      <c r="Z219" s="112"/>
      <c r="AA219" s="112"/>
      <c r="AB219" s="112"/>
      <c r="AC219" s="112"/>
      <c r="AD219" s="112"/>
      <c r="AE219" s="112"/>
      <c r="AF219" s="112"/>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124"/>
      <c r="BO219" s="124"/>
      <c r="BP219" s="124"/>
      <c r="BQ219" s="124"/>
      <c r="BR219" s="124"/>
      <c r="BS219" s="124"/>
      <c r="BT219" s="124"/>
      <c r="BU219" s="124"/>
      <c r="BV219" s="124"/>
      <c r="BW219" s="124"/>
      <c r="BX219" s="124"/>
      <c r="BY219" s="124"/>
      <c r="BZ219" s="124"/>
      <c r="CA219" s="124"/>
    </row>
    <row r="220">
      <c r="D220" s="143"/>
      <c r="E220" s="129"/>
      <c r="F220" s="112"/>
      <c r="G220" s="112"/>
      <c r="H220" s="112"/>
      <c r="I220" s="112"/>
      <c r="J220" s="112"/>
      <c r="K220" s="112"/>
      <c r="L220" s="112"/>
      <c r="M220" s="112"/>
      <c r="N220" s="112"/>
      <c r="O220" s="112"/>
      <c r="P220" s="112"/>
      <c r="Q220" s="112"/>
      <c r="R220" s="112"/>
      <c r="S220" s="112"/>
      <c r="T220" s="112"/>
      <c r="U220" s="124"/>
      <c r="V220" s="124"/>
      <c r="W220" s="124"/>
      <c r="X220" s="124"/>
      <c r="Y220" s="124"/>
      <c r="Z220" s="112"/>
      <c r="AA220" s="112"/>
      <c r="AB220" s="112"/>
      <c r="AC220" s="112"/>
      <c r="AD220" s="112"/>
      <c r="AE220" s="112"/>
      <c r="AF220" s="112"/>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row>
    <row r="221">
      <c r="D221" s="143"/>
      <c r="E221" s="129"/>
      <c r="F221" s="112"/>
      <c r="G221" s="112"/>
      <c r="H221" s="112"/>
      <c r="I221" s="112"/>
      <c r="J221" s="112"/>
      <c r="K221" s="112"/>
      <c r="L221" s="112"/>
      <c r="M221" s="112"/>
      <c r="N221" s="112"/>
      <c r="O221" s="112"/>
      <c r="P221" s="112"/>
      <c r="Q221" s="112"/>
      <c r="R221" s="112"/>
      <c r="S221" s="112"/>
      <c r="T221" s="112"/>
      <c r="U221" s="124"/>
      <c r="V221" s="124"/>
      <c r="W221" s="124"/>
      <c r="X221" s="124"/>
      <c r="Y221" s="124"/>
      <c r="Z221" s="112"/>
      <c r="AA221" s="112"/>
      <c r="AB221" s="112"/>
      <c r="AC221" s="112"/>
      <c r="AD221" s="112"/>
      <c r="AE221" s="112"/>
      <c r="AF221" s="112"/>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row>
    <row r="222">
      <c r="D222" s="143"/>
      <c r="E222" s="129"/>
      <c r="F222" s="112"/>
      <c r="G222" s="112"/>
      <c r="H222" s="112"/>
      <c r="I222" s="112"/>
      <c r="J222" s="112"/>
      <c r="K222" s="112"/>
      <c r="L222" s="112"/>
      <c r="M222" s="112"/>
      <c r="N222" s="112"/>
      <c r="O222" s="112"/>
      <c r="P222" s="112"/>
      <c r="Q222" s="112"/>
      <c r="R222" s="112"/>
      <c r="S222" s="112"/>
      <c r="T222" s="112"/>
      <c r="U222" s="124"/>
      <c r="V222" s="124"/>
      <c r="W222" s="124"/>
      <c r="X222" s="124"/>
      <c r="Y222" s="124"/>
      <c r="Z222" s="112"/>
      <c r="AA222" s="112"/>
      <c r="AB222" s="112"/>
      <c r="AC222" s="112"/>
      <c r="AD222" s="112"/>
      <c r="AE222" s="112"/>
      <c r="AF222" s="112"/>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row>
    <row r="223">
      <c r="D223" s="143"/>
      <c r="E223" s="129"/>
      <c r="F223" s="112"/>
      <c r="G223" s="112"/>
      <c r="H223" s="112"/>
      <c r="I223" s="112"/>
      <c r="J223" s="112"/>
      <c r="K223" s="112"/>
      <c r="L223" s="112"/>
      <c r="M223" s="112"/>
      <c r="N223" s="112"/>
      <c r="O223" s="112"/>
      <c r="P223" s="112"/>
      <c r="Q223" s="112"/>
      <c r="R223" s="112"/>
      <c r="S223" s="112"/>
      <c r="T223" s="112"/>
      <c r="U223" s="124"/>
      <c r="V223" s="124"/>
      <c r="W223" s="124"/>
      <c r="X223" s="124"/>
      <c r="Y223" s="124"/>
      <c r="Z223" s="112"/>
      <c r="AA223" s="112"/>
      <c r="AB223" s="112"/>
      <c r="AC223" s="112"/>
      <c r="AD223" s="112"/>
      <c r="AE223" s="112"/>
      <c r="AF223" s="112"/>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row>
    <row r="224">
      <c r="D224" s="143"/>
      <c r="E224" s="129"/>
      <c r="F224" s="112"/>
      <c r="G224" s="112"/>
      <c r="H224" s="112"/>
      <c r="I224" s="112"/>
      <c r="J224" s="112"/>
      <c r="K224" s="112"/>
      <c r="L224" s="112"/>
      <c r="M224" s="112"/>
      <c r="N224" s="112"/>
      <c r="O224" s="112"/>
      <c r="P224" s="112"/>
      <c r="Q224" s="112"/>
      <c r="R224" s="112"/>
      <c r="S224" s="112"/>
      <c r="T224" s="112"/>
      <c r="U224" s="124"/>
      <c r="V224" s="124"/>
      <c r="W224" s="124"/>
      <c r="X224" s="124"/>
      <c r="Y224" s="124"/>
      <c r="Z224" s="112"/>
      <c r="AA224" s="112"/>
      <c r="AB224" s="112"/>
      <c r="AC224" s="112"/>
      <c r="AD224" s="112"/>
      <c r="AE224" s="112"/>
      <c r="AF224" s="112"/>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row>
    <row r="225">
      <c r="D225" s="143"/>
      <c r="E225" s="129"/>
      <c r="F225" s="112"/>
      <c r="G225" s="112"/>
      <c r="H225" s="112"/>
      <c r="I225" s="112"/>
      <c r="J225" s="112"/>
      <c r="K225" s="112"/>
      <c r="L225" s="112"/>
      <c r="M225" s="112"/>
      <c r="N225" s="112"/>
      <c r="O225" s="112"/>
      <c r="P225" s="112"/>
      <c r="Q225" s="112"/>
      <c r="R225" s="112"/>
      <c r="S225" s="112"/>
      <c r="T225" s="112"/>
      <c r="U225" s="124"/>
      <c r="V225" s="124"/>
      <c r="W225" s="124"/>
      <c r="X225" s="124"/>
      <c r="Y225" s="124"/>
      <c r="Z225" s="112"/>
      <c r="AA225" s="112"/>
      <c r="AB225" s="112"/>
      <c r="AC225" s="112"/>
      <c r="AD225" s="112"/>
      <c r="AE225" s="112"/>
      <c r="AF225" s="112"/>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row>
    <row r="226">
      <c r="D226" s="143"/>
      <c r="E226" s="129"/>
      <c r="F226" s="112"/>
      <c r="G226" s="112"/>
      <c r="H226" s="112"/>
      <c r="I226" s="112"/>
      <c r="J226" s="112"/>
      <c r="K226" s="112"/>
      <c r="L226" s="112"/>
      <c r="M226" s="112"/>
      <c r="N226" s="112"/>
      <c r="O226" s="112"/>
      <c r="P226" s="112"/>
      <c r="Q226" s="112"/>
      <c r="R226" s="112"/>
      <c r="S226" s="112"/>
      <c r="T226" s="112"/>
      <c r="U226" s="124"/>
      <c r="V226" s="124"/>
      <c r="W226" s="124"/>
      <c r="X226" s="124"/>
      <c r="Y226" s="124"/>
      <c r="Z226" s="112"/>
      <c r="AA226" s="112"/>
      <c r="AB226" s="112"/>
      <c r="AC226" s="112"/>
      <c r="AD226" s="112"/>
      <c r="AE226" s="112"/>
      <c r="AF226" s="112"/>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124"/>
      <c r="BO226" s="124"/>
      <c r="BP226" s="124"/>
      <c r="BQ226" s="124"/>
      <c r="BR226" s="124"/>
      <c r="BS226" s="124"/>
      <c r="BT226" s="124"/>
      <c r="BU226" s="124"/>
      <c r="BV226" s="124"/>
      <c r="BW226" s="124"/>
      <c r="BX226" s="124"/>
      <c r="BY226" s="124"/>
      <c r="BZ226" s="124"/>
      <c r="CA226" s="124"/>
    </row>
    <row r="227">
      <c r="D227" s="143"/>
      <c r="E227" s="129"/>
      <c r="F227" s="112"/>
      <c r="G227" s="112"/>
      <c r="H227" s="112"/>
      <c r="I227" s="112"/>
      <c r="J227" s="112"/>
      <c r="K227" s="112"/>
      <c r="L227" s="112"/>
      <c r="M227" s="112"/>
      <c r="N227" s="112"/>
      <c r="O227" s="112"/>
      <c r="P227" s="112"/>
      <c r="Q227" s="112"/>
      <c r="R227" s="112"/>
      <c r="S227" s="112"/>
      <c r="T227" s="112"/>
      <c r="U227" s="124"/>
      <c r="V227" s="124"/>
      <c r="W227" s="124"/>
      <c r="X227" s="124"/>
      <c r="Y227" s="124"/>
      <c r="Z227" s="112"/>
      <c r="AA227" s="112"/>
      <c r="AB227" s="112"/>
      <c r="AC227" s="112"/>
      <c r="AD227" s="112"/>
      <c r="AE227" s="112"/>
      <c r="AF227" s="112"/>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row>
    <row r="228">
      <c r="D228" s="143"/>
      <c r="E228" s="129"/>
      <c r="F228" s="112"/>
      <c r="G228" s="112"/>
      <c r="H228" s="112"/>
      <c r="I228" s="112"/>
      <c r="J228" s="112"/>
      <c r="K228" s="112"/>
      <c r="L228" s="112"/>
      <c r="M228" s="112"/>
      <c r="N228" s="112"/>
      <c r="O228" s="112"/>
      <c r="P228" s="112"/>
      <c r="Q228" s="112"/>
      <c r="R228" s="112"/>
      <c r="S228" s="112"/>
      <c r="T228" s="112"/>
      <c r="U228" s="124"/>
      <c r="V228" s="124"/>
      <c r="W228" s="124"/>
      <c r="X228" s="124"/>
      <c r="Y228" s="124"/>
      <c r="Z228" s="112"/>
      <c r="AA228" s="112"/>
      <c r="AB228" s="112"/>
      <c r="AC228" s="112"/>
      <c r="AD228" s="112"/>
      <c r="AE228" s="112"/>
      <c r="AF228" s="112"/>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c r="BK228" s="124"/>
      <c r="BL228" s="124"/>
      <c r="BM228" s="124"/>
      <c r="BN228" s="124"/>
      <c r="BO228" s="124"/>
      <c r="BP228" s="124"/>
      <c r="BQ228" s="124"/>
      <c r="BR228" s="124"/>
      <c r="BS228" s="124"/>
      <c r="BT228" s="124"/>
      <c r="BU228" s="124"/>
      <c r="BV228" s="124"/>
      <c r="BW228" s="124"/>
      <c r="BX228" s="124"/>
      <c r="BY228" s="124"/>
      <c r="BZ228" s="124"/>
      <c r="CA228" s="124"/>
    </row>
    <row r="229">
      <c r="D229" s="143"/>
      <c r="E229" s="129"/>
      <c r="F229" s="112"/>
      <c r="G229" s="112"/>
      <c r="H229" s="112"/>
      <c r="I229" s="112"/>
      <c r="J229" s="112"/>
      <c r="K229" s="112"/>
      <c r="L229" s="112"/>
      <c r="M229" s="112"/>
      <c r="N229" s="112"/>
      <c r="O229" s="112"/>
      <c r="P229" s="112"/>
      <c r="Q229" s="112"/>
      <c r="R229" s="112"/>
      <c r="S229" s="112"/>
      <c r="T229" s="112"/>
      <c r="U229" s="124"/>
      <c r="V229" s="124"/>
      <c r="W229" s="124"/>
      <c r="X229" s="124"/>
      <c r="Y229" s="124"/>
      <c r="Z229" s="112"/>
      <c r="AA229" s="112"/>
      <c r="AB229" s="112"/>
      <c r="AC229" s="112"/>
      <c r="AD229" s="112"/>
      <c r="AE229" s="112"/>
      <c r="AF229" s="112"/>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124"/>
      <c r="BO229" s="124"/>
      <c r="BP229" s="124"/>
      <c r="BQ229" s="124"/>
      <c r="BR229" s="124"/>
      <c r="BS229" s="124"/>
      <c r="BT229" s="124"/>
      <c r="BU229" s="124"/>
      <c r="BV229" s="124"/>
      <c r="BW229" s="124"/>
      <c r="BX229" s="124"/>
      <c r="BY229" s="124"/>
      <c r="BZ229" s="124"/>
      <c r="CA229" s="124"/>
    </row>
    <row r="230">
      <c r="D230" s="143"/>
      <c r="E230" s="129"/>
      <c r="F230" s="112"/>
      <c r="G230" s="112"/>
      <c r="H230" s="112"/>
      <c r="I230" s="112"/>
      <c r="J230" s="112"/>
      <c r="K230" s="112"/>
      <c r="L230" s="112"/>
      <c r="M230" s="112"/>
      <c r="N230" s="112"/>
      <c r="O230" s="112"/>
      <c r="P230" s="112"/>
      <c r="Q230" s="112"/>
      <c r="R230" s="112"/>
      <c r="S230" s="112"/>
      <c r="T230" s="112"/>
      <c r="U230" s="124"/>
      <c r="V230" s="124"/>
      <c r="W230" s="124"/>
      <c r="X230" s="124"/>
      <c r="Y230" s="124"/>
      <c r="Z230" s="112"/>
      <c r="AA230" s="112"/>
      <c r="AB230" s="112"/>
      <c r="AC230" s="112"/>
      <c r="AD230" s="112"/>
      <c r="AE230" s="112"/>
      <c r="AF230" s="112"/>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c r="BK230" s="124"/>
      <c r="BL230" s="124"/>
      <c r="BM230" s="124"/>
      <c r="BN230" s="124"/>
      <c r="BO230" s="124"/>
      <c r="BP230" s="124"/>
      <c r="BQ230" s="124"/>
      <c r="BR230" s="124"/>
      <c r="BS230" s="124"/>
      <c r="BT230" s="124"/>
      <c r="BU230" s="124"/>
      <c r="BV230" s="124"/>
      <c r="BW230" s="124"/>
      <c r="BX230" s="124"/>
      <c r="BY230" s="124"/>
      <c r="BZ230" s="124"/>
      <c r="CA230" s="124"/>
    </row>
    <row r="231">
      <c r="D231" s="143"/>
      <c r="E231" s="129"/>
      <c r="F231" s="112"/>
      <c r="G231" s="112"/>
      <c r="H231" s="112"/>
      <c r="I231" s="112"/>
      <c r="J231" s="112"/>
      <c r="K231" s="112"/>
      <c r="L231" s="112"/>
      <c r="M231" s="112"/>
      <c r="N231" s="112"/>
      <c r="O231" s="112"/>
      <c r="P231" s="112"/>
      <c r="Q231" s="112"/>
      <c r="R231" s="112"/>
      <c r="S231" s="112"/>
      <c r="T231" s="112"/>
      <c r="U231" s="124"/>
      <c r="V231" s="124"/>
      <c r="W231" s="124"/>
      <c r="X231" s="124"/>
      <c r="Y231" s="124"/>
      <c r="Z231" s="112"/>
      <c r="AA231" s="112"/>
      <c r="AB231" s="112"/>
      <c r="AC231" s="112"/>
      <c r="AD231" s="112"/>
      <c r="AE231" s="112"/>
      <c r="AF231" s="112"/>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c r="BK231" s="124"/>
      <c r="BL231" s="124"/>
      <c r="BM231" s="124"/>
      <c r="BN231" s="124"/>
      <c r="BO231" s="124"/>
      <c r="BP231" s="124"/>
      <c r="BQ231" s="124"/>
      <c r="BR231" s="124"/>
      <c r="BS231" s="124"/>
      <c r="BT231" s="124"/>
      <c r="BU231" s="124"/>
      <c r="BV231" s="124"/>
      <c r="BW231" s="124"/>
      <c r="BX231" s="124"/>
      <c r="BY231" s="124"/>
      <c r="BZ231" s="124"/>
      <c r="CA231" s="124"/>
    </row>
    <row r="232">
      <c r="D232" s="143"/>
      <c r="E232" s="129"/>
      <c r="F232" s="112"/>
      <c r="G232" s="112"/>
      <c r="H232" s="112"/>
      <c r="I232" s="112"/>
      <c r="J232" s="112"/>
      <c r="K232" s="112"/>
      <c r="L232" s="112"/>
      <c r="M232" s="112"/>
      <c r="N232" s="112"/>
      <c r="O232" s="112"/>
      <c r="P232" s="112"/>
      <c r="Q232" s="112"/>
      <c r="R232" s="112"/>
      <c r="S232" s="112"/>
      <c r="T232" s="112"/>
      <c r="U232" s="124"/>
      <c r="V232" s="124"/>
      <c r="W232" s="124"/>
      <c r="X232" s="124"/>
      <c r="Y232" s="124"/>
      <c r="Z232" s="112"/>
      <c r="AA232" s="112"/>
      <c r="AB232" s="112"/>
      <c r="AC232" s="112"/>
      <c r="AD232" s="112"/>
      <c r="AE232" s="112"/>
      <c r="AF232" s="112"/>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c r="BK232" s="124"/>
      <c r="BL232" s="124"/>
      <c r="BM232" s="124"/>
      <c r="BN232" s="124"/>
      <c r="BO232" s="124"/>
      <c r="BP232" s="124"/>
      <c r="BQ232" s="124"/>
      <c r="BR232" s="124"/>
      <c r="BS232" s="124"/>
      <c r="BT232" s="124"/>
      <c r="BU232" s="124"/>
      <c r="BV232" s="124"/>
      <c r="BW232" s="124"/>
      <c r="BX232" s="124"/>
      <c r="BY232" s="124"/>
      <c r="BZ232" s="124"/>
      <c r="CA232" s="124"/>
    </row>
    <row r="233">
      <c r="D233" s="143"/>
      <c r="E233" s="129"/>
      <c r="F233" s="112"/>
      <c r="G233" s="112"/>
      <c r="H233" s="112"/>
      <c r="I233" s="112"/>
      <c r="J233" s="112"/>
      <c r="K233" s="112"/>
      <c r="L233" s="112"/>
      <c r="M233" s="112"/>
      <c r="N233" s="112"/>
      <c r="O233" s="112"/>
      <c r="P233" s="112"/>
      <c r="Q233" s="112"/>
      <c r="R233" s="112"/>
      <c r="S233" s="112"/>
      <c r="T233" s="112"/>
      <c r="U233" s="124"/>
      <c r="V233" s="124"/>
      <c r="W233" s="124"/>
      <c r="X233" s="124"/>
      <c r="Y233" s="124"/>
      <c r="Z233" s="112"/>
      <c r="AA233" s="112"/>
      <c r="AB233" s="112"/>
      <c r="AC233" s="112"/>
      <c r="AD233" s="112"/>
      <c r="AE233" s="112"/>
      <c r="AF233" s="112"/>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row>
    <row r="234">
      <c r="D234" s="143"/>
      <c r="E234" s="129"/>
      <c r="F234" s="112"/>
      <c r="G234" s="112"/>
      <c r="H234" s="112"/>
      <c r="I234" s="112"/>
      <c r="J234" s="112"/>
      <c r="K234" s="112"/>
      <c r="L234" s="112"/>
      <c r="M234" s="112"/>
      <c r="N234" s="112"/>
      <c r="O234" s="112"/>
      <c r="P234" s="112"/>
      <c r="Q234" s="112"/>
      <c r="R234" s="112"/>
      <c r="S234" s="112"/>
      <c r="T234" s="112"/>
      <c r="U234" s="124"/>
      <c r="V234" s="124"/>
      <c r="W234" s="124"/>
      <c r="X234" s="124"/>
      <c r="Y234" s="124"/>
      <c r="Z234" s="112"/>
      <c r="AA234" s="112"/>
      <c r="AB234" s="112"/>
      <c r="AC234" s="112"/>
      <c r="AD234" s="112"/>
      <c r="AE234" s="112"/>
      <c r="AF234" s="112"/>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124"/>
      <c r="BO234" s="124"/>
      <c r="BP234" s="124"/>
      <c r="BQ234" s="124"/>
      <c r="BR234" s="124"/>
      <c r="BS234" s="124"/>
      <c r="BT234" s="124"/>
      <c r="BU234" s="124"/>
      <c r="BV234" s="124"/>
      <c r="BW234" s="124"/>
      <c r="BX234" s="124"/>
      <c r="BY234" s="124"/>
      <c r="BZ234" s="124"/>
      <c r="CA234" s="124"/>
    </row>
    <row r="235">
      <c r="D235" s="143"/>
      <c r="E235" s="129"/>
      <c r="F235" s="112"/>
      <c r="G235" s="112"/>
      <c r="H235" s="112"/>
      <c r="I235" s="112"/>
      <c r="J235" s="112"/>
      <c r="K235" s="112"/>
      <c r="L235" s="112"/>
      <c r="M235" s="112"/>
      <c r="N235" s="112"/>
      <c r="O235" s="112"/>
      <c r="P235" s="112"/>
      <c r="Q235" s="112"/>
      <c r="R235" s="112"/>
      <c r="S235" s="112"/>
      <c r="T235" s="112"/>
      <c r="U235" s="124"/>
      <c r="V235" s="124"/>
      <c r="W235" s="124"/>
      <c r="X235" s="124"/>
      <c r="Y235" s="124"/>
      <c r="Z235" s="112"/>
      <c r="AA235" s="112"/>
      <c r="AB235" s="112"/>
      <c r="AC235" s="112"/>
      <c r="AD235" s="112"/>
      <c r="AE235" s="112"/>
      <c r="AF235" s="112"/>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c r="BK235" s="124"/>
      <c r="BL235" s="124"/>
      <c r="BM235" s="124"/>
      <c r="BN235" s="124"/>
      <c r="BO235" s="124"/>
      <c r="BP235" s="124"/>
      <c r="BQ235" s="124"/>
      <c r="BR235" s="124"/>
      <c r="BS235" s="124"/>
      <c r="BT235" s="124"/>
      <c r="BU235" s="124"/>
      <c r="BV235" s="124"/>
      <c r="BW235" s="124"/>
      <c r="BX235" s="124"/>
      <c r="BY235" s="124"/>
      <c r="BZ235" s="124"/>
      <c r="CA235" s="124"/>
    </row>
    <row r="236">
      <c r="D236" s="143"/>
      <c r="E236" s="129"/>
      <c r="F236" s="112"/>
      <c r="G236" s="112"/>
      <c r="H236" s="112"/>
      <c r="I236" s="112"/>
      <c r="J236" s="112"/>
      <c r="K236" s="112"/>
      <c r="L236" s="112"/>
      <c r="M236" s="112"/>
      <c r="N236" s="112"/>
      <c r="O236" s="112"/>
      <c r="P236" s="112"/>
      <c r="Q236" s="112"/>
      <c r="R236" s="112"/>
      <c r="S236" s="112"/>
      <c r="T236" s="112"/>
      <c r="U236" s="124"/>
      <c r="V236" s="124"/>
      <c r="W236" s="124"/>
      <c r="X236" s="124"/>
      <c r="Y236" s="124"/>
      <c r="Z236" s="112"/>
      <c r="AA236" s="112"/>
      <c r="AB236" s="112"/>
      <c r="AC236" s="112"/>
      <c r="AD236" s="112"/>
      <c r="AE236" s="112"/>
      <c r="AF236" s="112"/>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c r="BK236" s="124"/>
      <c r="BL236" s="124"/>
      <c r="BM236" s="124"/>
      <c r="BN236" s="124"/>
      <c r="BO236" s="124"/>
      <c r="BP236" s="124"/>
      <c r="BQ236" s="124"/>
      <c r="BR236" s="124"/>
      <c r="BS236" s="124"/>
      <c r="BT236" s="124"/>
      <c r="BU236" s="124"/>
      <c r="BV236" s="124"/>
      <c r="BW236" s="124"/>
      <c r="BX236" s="124"/>
      <c r="BY236" s="124"/>
      <c r="BZ236" s="124"/>
      <c r="CA236" s="124"/>
    </row>
    <row r="237">
      <c r="D237" s="143"/>
      <c r="E237" s="129"/>
      <c r="F237" s="112"/>
      <c r="G237" s="112"/>
      <c r="H237" s="112"/>
      <c r="I237" s="112"/>
      <c r="J237" s="112"/>
      <c r="K237" s="112"/>
      <c r="L237" s="112"/>
      <c r="M237" s="112"/>
      <c r="N237" s="112"/>
      <c r="O237" s="112"/>
      <c r="P237" s="112"/>
      <c r="Q237" s="112"/>
      <c r="R237" s="112"/>
      <c r="S237" s="112"/>
      <c r="T237" s="112"/>
      <c r="U237" s="124"/>
      <c r="V237" s="124"/>
      <c r="W237" s="124"/>
      <c r="X237" s="124"/>
      <c r="Y237" s="124"/>
      <c r="Z237" s="112"/>
      <c r="AA237" s="112"/>
      <c r="AB237" s="112"/>
      <c r="AC237" s="112"/>
      <c r="AD237" s="112"/>
      <c r="AE237" s="112"/>
      <c r="AF237" s="112"/>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124"/>
      <c r="BO237" s="124"/>
      <c r="BP237" s="124"/>
      <c r="BQ237" s="124"/>
      <c r="BR237" s="124"/>
      <c r="BS237" s="124"/>
      <c r="BT237" s="124"/>
      <c r="BU237" s="124"/>
      <c r="BV237" s="124"/>
      <c r="BW237" s="124"/>
      <c r="BX237" s="124"/>
      <c r="BY237" s="124"/>
      <c r="BZ237" s="124"/>
      <c r="CA237" s="124"/>
    </row>
    <row r="238">
      <c r="D238" s="143"/>
      <c r="E238" s="129"/>
      <c r="F238" s="112"/>
      <c r="G238" s="112"/>
      <c r="H238" s="112"/>
      <c r="I238" s="112"/>
      <c r="J238" s="112"/>
      <c r="K238" s="112"/>
      <c r="L238" s="112"/>
      <c r="M238" s="112"/>
      <c r="N238" s="112"/>
      <c r="O238" s="112"/>
      <c r="P238" s="112"/>
      <c r="Q238" s="112"/>
      <c r="R238" s="112"/>
      <c r="S238" s="112"/>
      <c r="T238" s="112"/>
      <c r="U238" s="124"/>
      <c r="V238" s="124"/>
      <c r="W238" s="124"/>
      <c r="X238" s="124"/>
      <c r="Y238" s="124"/>
      <c r="Z238" s="112"/>
      <c r="AA238" s="112"/>
      <c r="AB238" s="112"/>
      <c r="AC238" s="112"/>
      <c r="AD238" s="112"/>
      <c r="AE238" s="112"/>
      <c r="AF238" s="112"/>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c r="BK238" s="124"/>
      <c r="BL238" s="124"/>
      <c r="BM238" s="124"/>
      <c r="BN238" s="124"/>
      <c r="BO238" s="124"/>
      <c r="BP238" s="124"/>
      <c r="BQ238" s="124"/>
      <c r="BR238" s="124"/>
      <c r="BS238" s="124"/>
      <c r="BT238" s="124"/>
      <c r="BU238" s="124"/>
      <c r="BV238" s="124"/>
      <c r="BW238" s="124"/>
      <c r="BX238" s="124"/>
      <c r="BY238" s="124"/>
      <c r="BZ238" s="124"/>
      <c r="CA238" s="124"/>
    </row>
    <row r="239">
      <c r="D239" s="143"/>
      <c r="E239" s="129"/>
      <c r="F239" s="112"/>
      <c r="G239" s="112"/>
      <c r="H239" s="112"/>
      <c r="I239" s="112"/>
      <c r="J239" s="112"/>
      <c r="K239" s="112"/>
      <c r="L239" s="112"/>
      <c r="M239" s="112"/>
      <c r="N239" s="112"/>
      <c r="O239" s="112"/>
      <c r="P239" s="112"/>
      <c r="Q239" s="112"/>
      <c r="R239" s="112"/>
      <c r="S239" s="112"/>
      <c r="T239" s="112"/>
      <c r="U239" s="124"/>
      <c r="V239" s="124"/>
      <c r="W239" s="124"/>
      <c r="X239" s="124"/>
      <c r="Y239" s="124"/>
      <c r="Z239" s="112"/>
      <c r="AA239" s="112"/>
      <c r="AB239" s="112"/>
      <c r="AC239" s="112"/>
      <c r="AD239" s="112"/>
      <c r="AE239" s="112"/>
      <c r="AF239" s="112"/>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row>
    <row r="240">
      <c r="D240" s="143"/>
      <c r="E240" s="129"/>
      <c r="F240" s="112"/>
      <c r="G240" s="112"/>
      <c r="H240" s="112"/>
      <c r="I240" s="112"/>
      <c r="J240" s="112"/>
      <c r="K240" s="112"/>
      <c r="L240" s="112"/>
      <c r="M240" s="112"/>
      <c r="N240" s="112"/>
      <c r="O240" s="112"/>
      <c r="P240" s="112"/>
      <c r="Q240" s="112"/>
      <c r="R240" s="112"/>
      <c r="S240" s="112"/>
      <c r="T240" s="112"/>
      <c r="U240" s="124"/>
      <c r="V240" s="124"/>
      <c r="W240" s="124"/>
      <c r="X240" s="124"/>
      <c r="Y240" s="124"/>
      <c r="Z240" s="112"/>
      <c r="AA240" s="112"/>
      <c r="AB240" s="112"/>
      <c r="AC240" s="112"/>
      <c r="AD240" s="112"/>
      <c r="AE240" s="112"/>
      <c r="AF240" s="112"/>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124"/>
      <c r="BO240" s="124"/>
      <c r="BP240" s="124"/>
      <c r="BQ240" s="124"/>
      <c r="BR240" s="124"/>
      <c r="BS240" s="124"/>
      <c r="BT240" s="124"/>
      <c r="BU240" s="124"/>
      <c r="BV240" s="124"/>
      <c r="BW240" s="124"/>
      <c r="BX240" s="124"/>
      <c r="BY240" s="124"/>
      <c r="BZ240" s="124"/>
      <c r="CA240" s="124"/>
    </row>
    <row r="241">
      <c r="D241" s="143"/>
      <c r="E241" s="129"/>
      <c r="F241" s="112"/>
      <c r="G241" s="112"/>
      <c r="H241" s="112"/>
      <c r="I241" s="112"/>
      <c r="J241" s="112"/>
      <c r="K241" s="112"/>
      <c r="L241" s="112"/>
      <c r="M241" s="112"/>
      <c r="N241" s="112"/>
      <c r="O241" s="112"/>
      <c r="P241" s="112"/>
      <c r="Q241" s="112"/>
      <c r="R241" s="112"/>
      <c r="S241" s="112"/>
      <c r="T241" s="112"/>
      <c r="U241" s="124"/>
      <c r="V241" s="124"/>
      <c r="W241" s="124"/>
      <c r="X241" s="124"/>
      <c r="Y241" s="124"/>
      <c r="Z241" s="112"/>
      <c r="AA241" s="112"/>
      <c r="AB241" s="112"/>
      <c r="AC241" s="112"/>
      <c r="AD241" s="112"/>
      <c r="AE241" s="112"/>
      <c r="AF241" s="112"/>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124"/>
      <c r="BO241" s="124"/>
      <c r="BP241" s="124"/>
      <c r="BQ241" s="124"/>
      <c r="BR241" s="124"/>
      <c r="BS241" s="124"/>
      <c r="BT241" s="124"/>
      <c r="BU241" s="124"/>
      <c r="BV241" s="124"/>
      <c r="BW241" s="124"/>
      <c r="BX241" s="124"/>
      <c r="BY241" s="124"/>
      <c r="BZ241" s="124"/>
      <c r="CA241" s="124"/>
    </row>
    <row r="242">
      <c r="D242" s="143"/>
      <c r="E242" s="129"/>
      <c r="F242" s="112"/>
      <c r="G242" s="112"/>
      <c r="H242" s="112"/>
      <c r="I242" s="112"/>
      <c r="J242" s="112"/>
      <c r="K242" s="112"/>
      <c r="L242" s="112"/>
      <c r="M242" s="112"/>
      <c r="N242" s="112"/>
      <c r="O242" s="112"/>
      <c r="P242" s="112"/>
      <c r="Q242" s="112"/>
      <c r="R242" s="112"/>
      <c r="S242" s="112"/>
      <c r="T242" s="112"/>
      <c r="U242" s="124"/>
      <c r="V242" s="124"/>
      <c r="W242" s="124"/>
      <c r="X242" s="124"/>
      <c r="Y242" s="124"/>
      <c r="Z242" s="112"/>
      <c r="AA242" s="112"/>
      <c r="AB242" s="112"/>
      <c r="AC242" s="112"/>
      <c r="AD242" s="112"/>
      <c r="AE242" s="112"/>
      <c r="AF242" s="112"/>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c r="BK242" s="124"/>
      <c r="BL242" s="124"/>
      <c r="BM242" s="124"/>
      <c r="BN242" s="124"/>
      <c r="BO242" s="124"/>
      <c r="BP242" s="124"/>
      <c r="BQ242" s="124"/>
      <c r="BR242" s="124"/>
      <c r="BS242" s="124"/>
      <c r="BT242" s="124"/>
      <c r="BU242" s="124"/>
      <c r="BV242" s="124"/>
      <c r="BW242" s="124"/>
      <c r="BX242" s="124"/>
      <c r="BY242" s="124"/>
      <c r="BZ242" s="124"/>
      <c r="CA242" s="124"/>
    </row>
    <row r="243">
      <c r="D243" s="143"/>
      <c r="E243" s="129"/>
      <c r="F243" s="112"/>
      <c r="G243" s="112"/>
      <c r="H243" s="112"/>
      <c r="I243" s="112"/>
      <c r="J243" s="112"/>
      <c r="K243" s="112"/>
      <c r="L243" s="112"/>
      <c r="M243" s="112"/>
      <c r="N243" s="112"/>
      <c r="O243" s="112"/>
      <c r="P243" s="112"/>
      <c r="Q243" s="112"/>
      <c r="R243" s="112"/>
      <c r="S243" s="112"/>
      <c r="T243" s="112"/>
      <c r="U243" s="124"/>
      <c r="V243" s="124"/>
      <c r="W243" s="124"/>
      <c r="X243" s="124"/>
      <c r="Y243" s="124"/>
      <c r="Z243" s="112"/>
      <c r="AA243" s="112"/>
      <c r="AB243" s="112"/>
      <c r="AC243" s="112"/>
      <c r="AD243" s="112"/>
      <c r="AE243" s="112"/>
      <c r="AF243" s="112"/>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124"/>
      <c r="BO243" s="124"/>
      <c r="BP243" s="124"/>
      <c r="BQ243" s="124"/>
      <c r="BR243" s="124"/>
      <c r="BS243" s="124"/>
      <c r="BT243" s="124"/>
      <c r="BU243" s="124"/>
      <c r="BV243" s="124"/>
      <c r="BW243" s="124"/>
      <c r="BX243" s="124"/>
      <c r="BY243" s="124"/>
      <c r="BZ243" s="124"/>
      <c r="CA243" s="124"/>
    </row>
    <row r="244">
      <c r="D244" s="143"/>
      <c r="E244" s="129"/>
      <c r="F244" s="112"/>
      <c r="G244" s="112"/>
      <c r="H244" s="112"/>
      <c r="I244" s="112"/>
      <c r="J244" s="112"/>
      <c r="K244" s="112"/>
      <c r="L244" s="112"/>
      <c r="M244" s="112"/>
      <c r="N244" s="112"/>
      <c r="O244" s="112"/>
      <c r="P244" s="112"/>
      <c r="Q244" s="112"/>
      <c r="R244" s="112"/>
      <c r="S244" s="112"/>
      <c r="T244" s="112"/>
      <c r="U244" s="124"/>
      <c r="V244" s="124"/>
      <c r="W244" s="124"/>
      <c r="X244" s="124"/>
      <c r="Y244" s="124"/>
      <c r="Z244" s="112"/>
      <c r="AA244" s="112"/>
      <c r="AB244" s="112"/>
      <c r="AC244" s="112"/>
      <c r="AD244" s="112"/>
      <c r="AE244" s="112"/>
      <c r="AF244" s="112"/>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124"/>
      <c r="BO244" s="124"/>
      <c r="BP244" s="124"/>
      <c r="BQ244" s="124"/>
      <c r="BR244" s="124"/>
      <c r="BS244" s="124"/>
      <c r="BT244" s="124"/>
      <c r="BU244" s="124"/>
      <c r="BV244" s="124"/>
      <c r="BW244" s="124"/>
      <c r="BX244" s="124"/>
      <c r="BY244" s="124"/>
      <c r="BZ244" s="124"/>
      <c r="CA244" s="124"/>
    </row>
    <row r="245">
      <c r="D245" s="143"/>
      <c r="E245" s="129"/>
      <c r="F245" s="112"/>
      <c r="G245" s="112"/>
      <c r="H245" s="112"/>
      <c r="I245" s="112"/>
      <c r="J245" s="112"/>
      <c r="K245" s="112"/>
      <c r="L245" s="112"/>
      <c r="M245" s="112"/>
      <c r="N245" s="112"/>
      <c r="O245" s="112"/>
      <c r="P245" s="112"/>
      <c r="Q245" s="112"/>
      <c r="R245" s="112"/>
      <c r="S245" s="112"/>
      <c r="T245" s="112"/>
      <c r="U245" s="124"/>
      <c r="V245" s="124"/>
      <c r="W245" s="124"/>
      <c r="X245" s="124"/>
      <c r="Y245" s="124"/>
      <c r="Z245" s="112"/>
      <c r="AA245" s="112"/>
      <c r="AB245" s="112"/>
      <c r="AC245" s="112"/>
      <c r="AD245" s="112"/>
      <c r="AE245" s="112"/>
      <c r="AF245" s="112"/>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row>
    <row r="246">
      <c r="D246" s="143"/>
      <c r="E246" s="129"/>
      <c r="F246" s="112"/>
      <c r="G246" s="112"/>
      <c r="H246" s="112"/>
      <c r="I246" s="112"/>
      <c r="J246" s="112"/>
      <c r="K246" s="112"/>
      <c r="L246" s="112"/>
      <c r="M246" s="112"/>
      <c r="N246" s="112"/>
      <c r="O246" s="112"/>
      <c r="P246" s="112"/>
      <c r="Q246" s="112"/>
      <c r="R246" s="112"/>
      <c r="S246" s="112"/>
      <c r="T246" s="112"/>
      <c r="U246" s="124"/>
      <c r="V246" s="124"/>
      <c r="W246" s="124"/>
      <c r="X246" s="124"/>
      <c r="Y246" s="124"/>
      <c r="Z246" s="112"/>
      <c r="AA246" s="112"/>
      <c r="AB246" s="112"/>
      <c r="AC246" s="112"/>
      <c r="AD246" s="112"/>
      <c r="AE246" s="112"/>
      <c r="AF246" s="112"/>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row>
    <row r="247">
      <c r="D247" s="143"/>
      <c r="E247" s="129"/>
      <c r="F247" s="112"/>
      <c r="G247" s="112"/>
      <c r="H247" s="112"/>
      <c r="I247" s="112"/>
      <c r="J247" s="112"/>
      <c r="K247" s="112"/>
      <c r="L247" s="112"/>
      <c r="M247" s="112"/>
      <c r="N247" s="112"/>
      <c r="O247" s="112"/>
      <c r="P247" s="112"/>
      <c r="Q247" s="112"/>
      <c r="R247" s="112"/>
      <c r="S247" s="112"/>
      <c r="T247" s="112"/>
      <c r="U247" s="124"/>
      <c r="V247" s="124"/>
      <c r="W247" s="124"/>
      <c r="X247" s="124"/>
      <c r="Y247" s="124"/>
      <c r="Z247" s="112"/>
      <c r="AA247" s="112"/>
      <c r="AB247" s="112"/>
      <c r="AC247" s="112"/>
      <c r="AD247" s="112"/>
      <c r="AE247" s="112"/>
      <c r="AF247" s="112"/>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124"/>
      <c r="BO247" s="124"/>
      <c r="BP247" s="124"/>
      <c r="BQ247" s="124"/>
      <c r="BR247" s="124"/>
      <c r="BS247" s="124"/>
      <c r="BT247" s="124"/>
      <c r="BU247" s="124"/>
      <c r="BV247" s="124"/>
      <c r="BW247" s="124"/>
      <c r="BX247" s="124"/>
      <c r="BY247" s="124"/>
      <c r="BZ247" s="124"/>
      <c r="CA247" s="124"/>
    </row>
    <row r="248">
      <c r="D248" s="143"/>
      <c r="E248" s="129"/>
      <c r="F248" s="112"/>
      <c r="G248" s="112"/>
      <c r="H248" s="112"/>
      <c r="I248" s="112"/>
      <c r="J248" s="112"/>
      <c r="K248" s="112"/>
      <c r="L248" s="112"/>
      <c r="M248" s="112"/>
      <c r="N248" s="112"/>
      <c r="O248" s="112"/>
      <c r="P248" s="112"/>
      <c r="Q248" s="112"/>
      <c r="R248" s="112"/>
      <c r="S248" s="112"/>
      <c r="T248" s="112"/>
      <c r="U248" s="124"/>
      <c r="V248" s="124"/>
      <c r="W248" s="124"/>
      <c r="X248" s="124"/>
      <c r="Y248" s="124"/>
      <c r="Z248" s="112"/>
      <c r="AA248" s="112"/>
      <c r="AB248" s="112"/>
      <c r="AC248" s="112"/>
      <c r="AD248" s="112"/>
      <c r="AE248" s="112"/>
      <c r="AF248" s="112"/>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c r="BK248" s="124"/>
      <c r="BL248" s="124"/>
      <c r="BM248" s="124"/>
      <c r="BN248" s="124"/>
      <c r="BO248" s="124"/>
      <c r="BP248" s="124"/>
      <c r="BQ248" s="124"/>
      <c r="BR248" s="124"/>
      <c r="BS248" s="124"/>
      <c r="BT248" s="124"/>
      <c r="BU248" s="124"/>
      <c r="BV248" s="124"/>
      <c r="BW248" s="124"/>
      <c r="BX248" s="124"/>
      <c r="BY248" s="124"/>
      <c r="BZ248" s="124"/>
      <c r="CA248" s="124"/>
    </row>
    <row r="249">
      <c r="D249" s="143"/>
      <c r="E249" s="129"/>
      <c r="F249" s="112"/>
      <c r="G249" s="112"/>
      <c r="H249" s="112"/>
      <c r="I249" s="112"/>
      <c r="J249" s="112"/>
      <c r="K249" s="112"/>
      <c r="L249" s="112"/>
      <c r="M249" s="112"/>
      <c r="N249" s="112"/>
      <c r="O249" s="112"/>
      <c r="P249" s="112"/>
      <c r="Q249" s="112"/>
      <c r="R249" s="112"/>
      <c r="S249" s="112"/>
      <c r="T249" s="112"/>
      <c r="U249" s="124"/>
      <c r="V249" s="124"/>
      <c r="W249" s="124"/>
      <c r="X249" s="124"/>
      <c r="Y249" s="124"/>
      <c r="Z249" s="112"/>
      <c r="AA249" s="112"/>
      <c r="AB249" s="112"/>
      <c r="AC249" s="112"/>
      <c r="AD249" s="112"/>
      <c r="AE249" s="112"/>
      <c r="AF249" s="112"/>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c r="BK249" s="124"/>
      <c r="BL249" s="124"/>
      <c r="BM249" s="124"/>
      <c r="BN249" s="124"/>
      <c r="BO249" s="124"/>
      <c r="BP249" s="124"/>
      <c r="BQ249" s="124"/>
      <c r="BR249" s="124"/>
      <c r="BS249" s="124"/>
      <c r="BT249" s="124"/>
      <c r="BU249" s="124"/>
      <c r="BV249" s="124"/>
      <c r="BW249" s="124"/>
      <c r="BX249" s="124"/>
      <c r="BY249" s="124"/>
      <c r="BZ249" s="124"/>
      <c r="CA249" s="124"/>
    </row>
    <row r="250">
      <c r="D250" s="143"/>
      <c r="E250" s="129"/>
      <c r="F250" s="112"/>
      <c r="G250" s="112"/>
      <c r="H250" s="112"/>
      <c r="I250" s="112"/>
      <c r="J250" s="112"/>
      <c r="K250" s="112"/>
      <c r="L250" s="112"/>
      <c r="M250" s="112"/>
      <c r="N250" s="112"/>
      <c r="O250" s="112"/>
      <c r="P250" s="112"/>
      <c r="Q250" s="112"/>
      <c r="R250" s="112"/>
      <c r="S250" s="112"/>
      <c r="T250" s="112"/>
      <c r="U250" s="124"/>
      <c r="V250" s="124"/>
      <c r="W250" s="124"/>
      <c r="X250" s="124"/>
      <c r="Y250" s="124"/>
      <c r="Z250" s="112"/>
      <c r="AA250" s="112"/>
      <c r="AB250" s="112"/>
      <c r="AC250" s="112"/>
      <c r="AD250" s="112"/>
      <c r="AE250" s="112"/>
      <c r="AF250" s="112"/>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c r="BK250" s="124"/>
      <c r="BL250" s="124"/>
      <c r="BM250" s="124"/>
      <c r="BN250" s="124"/>
      <c r="BO250" s="124"/>
      <c r="BP250" s="124"/>
      <c r="BQ250" s="124"/>
      <c r="BR250" s="124"/>
      <c r="BS250" s="124"/>
      <c r="BT250" s="124"/>
      <c r="BU250" s="124"/>
      <c r="BV250" s="124"/>
      <c r="BW250" s="124"/>
      <c r="BX250" s="124"/>
      <c r="BY250" s="124"/>
      <c r="BZ250" s="124"/>
      <c r="CA250" s="124"/>
    </row>
    <row r="251">
      <c r="D251" s="143"/>
      <c r="E251" s="129"/>
      <c r="F251" s="112"/>
      <c r="G251" s="112"/>
      <c r="H251" s="112"/>
      <c r="I251" s="112"/>
      <c r="J251" s="112"/>
      <c r="K251" s="112"/>
      <c r="L251" s="112"/>
      <c r="M251" s="112"/>
      <c r="N251" s="112"/>
      <c r="O251" s="112"/>
      <c r="P251" s="112"/>
      <c r="Q251" s="112"/>
      <c r="R251" s="112"/>
      <c r="S251" s="112"/>
      <c r="T251" s="112"/>
      <c r="U251" s="124"/>
      <c r="V251" s="124"/>
      <c r="W251" s="124"/>
      <c r="X251" s="124"/>
      <c r="Y251" s="124"/>
      <c r="Z251" s="112"/>
      <c r="AA251" s="112"/>
      <c r="AB251" s="112"/>
      <c r="AC251" s="112"/>
      <c r="AD251" s="112"/>
      <c r="AE251" s="112"/>
      <c r="AF251" s="112"/>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row>
    <row r="252">
      <c r="D252" s="143"/>
      <c r="E252" s="129"/>
      <c r="F252" s="112"/>
      <c r="G252" s="112"/>
      <c r="H252" s="112"/>
      <c r="I252" s="112"/>
      <c r="J252" s="112"/>
      <c r="K252" s="112"/>
      <c r="L252" s="112"/>
      <c r="M252" s="112"/>
      <c r="N252" s="112"/>
      <c r="O252" s="112"/>
      <c r="P252" s="112"/>
      <c r="Q252" s="112"/>
      <c r="R252" s="112"/>
      <c r="S252" s="112"/>
      <c r="T252" s="112"/>
      <c r="U252" s="124"/>
      <c r="V252" s="124"/>
      <c r="W252" s="124"/>
      <c r="X252" s="124"/>
      <c r="Y252" s="124"/>
      <c r="Z252" s="112"/>
      <c r="AA252" s="112"/>
      <c r="AB252" s="112"/>
      <c r="AC252" s="112"/>
      <c r="AD252" s="112"/>
      <c r="AE252" s="112"/>
      <c r="AF252" s="112"/>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c r="BK252" s="124"/>
      <c r="BL252" s="124"/>
      <c r="BM252" s="124"/>
      <c r="BN252" s="124"/>
      <c r="BO252" s="124"/>
      <c r="BP252" s="124"/>
      <c r="BQ252" s="124"/>
      <c r="BR252" s="124"/>
      <c r="BS252" s="124"/>
      <c r="BT252" s="124"/>
      <c r="BU252" s="124"/>
      <c r="BV252" s="124"/>
      <c r="BW252" s="124"/>
      <c r="BX252" s="124"/>
      <c r="BY252" s="124"/>
      <c r="BZ252" s="124"/>
      <c r="CA252" s="124"/>
    </row>
    <row r="253">
      <c r="D253" s="143"/>
      <c r="E253" s="129"/>
      <c r="F253" s="112"/>
      <c r="G253" s="112"/>
      <c r="H253" s="112"/>
      <c r="I253" s="112"/>
      <c r="J253" s="112"/>
      <c r="K253" s="112"/>
      <c r="L253" s="112"/>
      <c r="M253" s="112"/>
      <c r="N253" s="112"/>
      <c r="O253" s="112"/>
      <c r="P253" s="112"/>
      <c r="Q253" s="112"/>
      <c r="R253" s="112"/>
      <c r="S253" s="112"/>
      <c r="T253" s="112"/>
      <c r="U253" s="124"/>
      <c r="V253" s="124"/>
      <c r="W253" s="124"/>
      <c r="X253" s="124"/>
      <c r="Y253" s="124"/>
      <c r="Z253" s="112"/>
      <c r="AA253" s="112"/>
      <c r="AB253" s="112"/>
      <c r="AC253" s="112"/>
      <c r="AD253" s="112"/>
      <c r="AE253" s="112"/>
      <c r="AF253" s="112"/>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c r="BK253" s="124"/>
      <c r="BL253" s="124"/>
      <c r="BM253" s="124"/>
      <c r="BN253" s="124"/>
      <c r="BO253" s="124"/>
      <c r="BP253" s="124"/>
      <c r="BQ253" s="124"/>
      <c r="BR253" s="124"/>
      <c r="BS253" s="124"/>
      <c r="BT253" s="124"/>
      <c r="BU253" s="124"/>
      <c r="BV253" s="124"/>
      <c r="BW253" s="124"/>
      <c r="BX253" s="124"/>
      <c r="BY253" s="124"/>
      <c r="BZ253" s="124"/>
      <c r="CA253" s="124"/>
    </row>
    <row r="254">
      <c r="D254" s="143"/>
      <c r="E254" s="129"/>
      <c r="F254" s="112"/>
      <c r="G254" s="112"/>
      <c r="H254" s="112"/>
      <c r="I254" s="112"/>
      <c r="J254" s="112"/>
      <c r="K254" s="112"/>
      <c r="L254" s="112"/>
      <c r="M254" s="112"/>
      <c r="N254" s="112"/>
      <c r="O254" s="112"/>
      <c r="P254" s="112"/>
      <c r="Q254" s="112"/>
      <c r="R254" s="112"/>
      <c r="S254" s="112"/>
      <c r="T254" s="112"/>
      <c r="U254" s="124"/>
      <c r="V254" s="124"/>
      <c r="W254" s="124"/>
      <c r="X254" s="124"/>
      <c r="Y254" s="124"/>
      <c r="Z254" s="112"/>
      <c r="AA254" s="112"/>
      <c r="AB254" s="112"/>
      <c r="AC254" s="112"/>
      <c r="AD254" s="112"/>
      <c r="AE254" s="112"/>
      <c r="AF254" s="112"/>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c r="BK254" s="124"/>
      <c r="BL254" s="124"/>
      <c r="BM254" s="124"/>
      <c r="BN254" s="124"/>
      <c r="BO254" s="124"/>
      <c r="BP254" s="124"/>
      <c r="BQ254" s="124"/>
      <c r="BR254" s="124"/>
      <c r="BS254" s="124"/>
      <c r="BT254" s="124"/>
      <c r="BU254" s="124"/>
      <c r="BV254" s="124"/>
      <c r="BW254" s="124"/>
      <c r="BX254" s="124"/>
      <c r="BY254" s="124"/>
      <c r="BZ254" s="124"/>
      <c r="CA254" s="124"/>
    </row>
    <row r="255">
      <c r="D255" s="143"/>
      <c r="E255" s="129"/>
      <c r="F255" s="112"/>
      <c r="G255" s="112"/>
      <c r="H255" s="112"/>
      <c r="I255" s="112"/>
      <c r="J255" s="112"/>
      <c r="K255" s="112"/>
      <c r="L255" s="112"/>
      <c r="M255" s="112"/>
      <c r="N255" s="112"/>
      <c r="O255" s="112"/>
      <c r="P255" s="112"/>
      <c r="Q255" s="112"/>
      <c r="R255" s="112"/>
      <c r="S255" s="112"/>
      <c r="T255" s="112"/>
      <c r="U255" s="124"/>
      <c r="V255" s="124"/>
      <c r="W255" s="124"/>
      <c r="X255" s="124"/>
      <c r="Y255" s="124"/>
      <c r="Z255" s="112"/>
      <c r="AA255" s="112"/>
      <c r="AB255" s="112"/>
      <c r="AC255" s="112"/>
      <c r="AD255" s="112"/>
      <c r="AE255" s="112"/>
      <c r="AF255" s="112"/>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c r="BK255" s="124"/>
      <c r="BL255" s="124"/>
      <c r="BM255" s="124"/>
      <c r="BN255" s="124"/>
      <c r="BO255" s="124"/>
      <c r="BP255" s="124"/>
      <c r="BQ255" s="124"/>
      <c r="BR255" s="124"/>
      <c r="BS255" s="124"/>
      <c r="BT255" s="124"/>
      <c r="BU255" s="124"/>
      <c r="BV255" s="124"/>
      <c r="BW255" s="124"/>
      <c r="BX255" s="124"/>
      <c r="BY255" s="124"/>
      <c r="BZ255" s="124"/>
      <c r="CA255" s="124"/>
    </row>
    <row r="256">
      <c r="D256" s="143"/>
      <c r="E256" s="129"/>
      <c r="F256" s="112"/>
      <c r="G256" s="112"/>
      <c r="H256" s="112"/>
      <c r="I256" s="112"/>
      <c r="J256" s="112"/>
      <c r="K256" s="112"/>
      <c r="L256" s="112"/>
      <c r="M256" s="112"/>
      <c r="N256" s="112"/>
      <c r="O256" s="112"/>
      <c r="P256" s="112"/>
      <c r="Q256" s="112"/>
      <c r="R256" s="112"/>
      <c r="S256" s="112"/>
      <c r="T256" s="112"/>
      <c r="U256" s="124"/>
      <c r="V256" s="124"/>
      <c r="W256" s="124"/>
      <c r="X256" s="124"/>
      <c r="Y256" s="124"/>
      <c r="Z256" s="112"/>
      <c r="AA256" s="112"/>
      <c r="AB256" s="112"/>
      <c r="AC256" s="112"/>
      <c r="AD256" s="112"/>
      <c r="AE256" s="112"/>
      <c r="AF256" s="112"/>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124"/>
      <c r="BO256" s="124"/>
      <c r="BP256" s="124"/>
      <c r="BQ256" s="124"/>
      <c r="BR256" s="124"/>
      <c r="BS256" s="124"/>
      <c r="BT256" s="124"/>
      <c r="BU256" s="124"/>
      <c r="BV256" s="124"/>
      <c r="BW256" s="124"/>
      <c r="BX256" s="124"/>
      <c r="BY256" s="124"/>
      <c r="BZ256" s="124"/>
      <c r="CA256" s="124"/>
    </row>
    <row r="257">
      <c r="D257" s="143"/>
      <c r="E257" s="129"/>
      <c r="F257" s="112"/>
      <c r="G257" s="112"/>
      <c r="H257" s="112"/>
      <c r="I257" s="112"/>
      <c r="J257" s="112"/>
      <c r="K257" s="112"/>
      <c r="L257" s="112"/>
      <c r="M257" s="112"/>
      <c r="N257" s="112"/>
      <c r="O257" s="112"/>
      <c r="P257" s="112"/>
      <c r="Q257" s="112"/>
      <c r="R257" s="112"/>
      <c r="S257" s="112"/>
      <c r="T257" s="112"/>
      <c r="U257" s="124"/>
      <c r="V257" s="124"/>
      <c r="W257" s="124"/>
      <c r="X257" s="124"/>
      <c r="Y257" s="124"/>
      <c r="Z257" s="112"/>
      <c r="AA257" s="112"/>
      <c r="AB257" s="112"/>
      <c r="AC257" s="112"/>
      <c r="AD257" s="112"/>
      <c r="AE257" s="112"/>
      <c r="AF257" s="112"/>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124"/>
      <c r="BO257" s="124"/>
      <c r="BP257" s="124"/>
      <c r="BQ257" s="124"/>
      <c r="BR257" s="124"/>
      <c r="BS257" s="124"/>
      <c r="BT257" s="124"/>
      <c r="BU257" s="124"/>
      <c r="BV257" s="124"/>
      <c r="BW257" s="124"/>
      <c r="BX257" s="124"/>
      <c r="BY257" s="124"/>
      <c r="BZ257" s="124"/>
      <c r="CA257" s="124"/>
    </row>
    <row r="258">
      <c r="D258" s="143"/>
      <c r="E258" s="129"/>
      <c r="F258" s="112"/>
      <c r="G258" s="112"/>
      <c r="H258" s="112"/>
      <c r="I258" s="112"/>
      <c r="J258" s="112"/>
      <c r="K258" s="112"/>
      <c r="L258" s="112"/>
      <c r="M258" s="112"/>
      <c r="N258" s="112"/>
      <c r="O258" s="112"/>
      <c r="P258" s="112"/>
      <c r="Q258" s="112"/>
      <c r="R258" s="112"/>
      <c r="S258" s="112"/>
      <c r="T258" s="112"/>
      <c r="U258" s="124"/>
      <c r="V258" s="124"/>
      <c r="W258" s="124"/>
      <c r="X258" s="124"/>
      <c r="Y258" s="124"/>
      <c r="Z258" s="112"/>
      <c r="AA258" s="112"/>
      <c r="AB258" s="112"/>
      <c r="AC258" s="112"/>
      <c r="AD258" s="112"/>
      <c r="AE258" s="112"/>
      <c r="AF258" s="112"/>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row>
    <row r="259">
      <c r="D259" s="143"/>
      <c r="E259" s="129"/>
      <c r="F259" s="112"/>
      <c r="G259" s="112"/>
      <c r="H259" s="112"/>
      <c r="I259" s="112"/>
      <c r="J259" s="112"/>
      <c r="K259" s="112"/>
      <c r="L259" s="112"/>
      <c r="M259" s="112"/>
      <c r="N259" s="112"/>
      <c r="O259" s="112"/>
      <c r="P259" s="112"/>
      <c r="Q259" s="112"/>
      <c r="R259" s="112"/>
      <c r="S259" s="112"/>
      <c r="T259" s="112"/>
      <c r="U259" s="124"/>
      <c r="V259" s="124"/>
      <c r="W259" s="124"/>
      <c r="X259" s="124"/>
      <c r="Y259" s="124"/>
      <c r="Z259" s="112"/>
      <c r="AA259" s="112"/>
      <c r="AB259" s="112"/>
      <c r="AC259" s="112"/>
      <c r="AD259" s="112"/>
      <c r="AE259" s="112"/>
      <c r="AF259" s="112"/>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c r="BK259" s="124"/>
      <c r="BL259" s="124"/>
      <c r="BM259" s="124"/>
      <c r="BN259" s="124"/>
      <c r="BO259" s="124"/>
      <c r="BP259" s="124"/>
      <c r="BQ259" s="124"/>
      <c r="BR259" s="124"/>
      <c r="BS259" s="124"/>
      <c r="BT259" s="124"/>
      <c r="BU259" s="124"/>
      <c r="BV259" s="124"/>
      <c r="BW259" s="124"/>
      <c r="BX259" s="124"/>
      <c r="BY259" s="124"/>
      <c r="BZ259" s="124"/>
      <c r="CA259" s="124"/>
    </row>
    <row r="260">
      <c r="D260" s="143"/>
      <c r="E260" s="129"/>
      <c r="F260" s="112"/>
      <c r="G260" s="112"/>
      <c r="H260" s="112"/>
      <c r="I260" s="112"/>
      <c r="J260" s="112"/>
      <c r="K260" s="112"/>
      <c r="L260" s="112"/>
      <c r="M260" s="112"/>
      <c r="N260" s="112"/>
      <c r="O260" s="112"/>
      <c r="P260" s="112"/>
      <c r="Q260" s="112"/>
      <c r="R260" s="112"/>
      <c r="S260" s="112"/>
      <c r="T260" s="112"/>
      <c r="U260" s="124"/>
      <c r="V260" s="124"/>
      <c r="W260" s="124"/>
      <c r="X260" s="124"/>
      <c r="Y260" s="124"/>
      <c r="Z260" s="112"/>
      <c r="AA260" s="112"/>
      <c r="AB260" s="112"/>
      <c r="AC260" s="112"/>
      <c r="AD260" s="112"/>
      <c r="AE260" s="112"/>
      <c r="AF260" s="112"/>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c r="BK260" s="124"/>
      <c r="BL260" s="124"/>
      <c r="BM260" s="124"/>
      <c r="BN260" s="124"/>
      <c r="BO260" s="124"/>
      <c r="BP260" s="124"/>
      <c r="BQ260" s="124"/>
      <c r="BR260" s="124"/>
      <c r="BS260" s="124"/>
      <c r="BT260" s="124"/>
      <c r="BU260" s="124"/>
      <c r="BV260" s="124"/>
      <c r="BW260" s="124"/>
      <c r="BX260" s="124"/>
      <c r="BY260" s="124"/>
      <c r="BZ260" s="124"/>
      <c r="CA260" s="124"/>
    </row>
    <row r="261">
      <c r="D261" s="143"/>
      <c r="E261" s="129"/>
      <c r="F261" s="112"/>
      <c r="G261" s="112"/>
      <c r="H261" s="112"/>
      <c r="I261" s="112"/>
      <c r="J261" s="112"/>
      <c r="K261" s="112"/>
      <c r="L261" s="112"/>
      <c r="M261" s="112"/>
      <c r="N261" s="112"/>
      <c r="O261" s="112"/>
      <c r="P261" s="112"/>
      <c r="Q261" s="112"/>
      <c r="R261" s="112"/>
      <c r="S261" s="112"/>
      <c r="T261" s="112"/>
      <c r="U261" s="124"/>
      <c r="V261" s="124"/>
      <c r="W261" s="124"/>
      <c r="X261" s="124"/>
      <c r="Y261" s="124"/>
      <c r="Z261" s="112"/>
      <c r="AA261" s="112"/>
      <c r="AB261" s="112"/>
      <c r="AC261" s="112"/>
      <c r="AD261" s="112"/>
      <c r="AE261" s="112"/>
      <c r="AF261" s="112"/>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row>
    <row r="262">
      <c r="D262" s="143"/>
      <c r="E262" s="129"/>
      <c r="F262" s="112"/>
      <c r="G262" s="112"/>
      <c r="H262" s="112"/>
      <c r="I262" s="112"/>
      <c r="J262" s="112"/>
      <c r="K262" s="112"/>
      <c r="L262" s="112"/>
      <c r="M262" s="112"/>
      <c r="N262" s="112"/>
      <c r="O262" s="112"/>
      <c r="P262" s="112"/>
      <c r="Q262" s="112"/>
      <c r="R262" s="112"/>
      <c r="S262" s="112"/>
      <c r="T262" s="112"/>
      <c r="U262" s="124"/>
      <c r="V262" s="124"/>
      <c r="W262" s="124"/>
      <c r="X262" s="124"/>
      <c r="Y262" s="124"/>
      <c r="Z262" s="112"/>
      <c r="AA262" s="112"/>
      <c r="AB262" s="112"/>
      <c r="AC262" s="112"/>
      <c r="AD262" s="112"/>
      <c r="AE262" s="112"/>
      <c r="AF262" s="112"/>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c r="BK262" s="124"/>
      <c r="BL262" s="124"/>
      <c r="BM262" s="124"/>
      <c r="BN262" s="124"/>
      <c r="BO262" s="124"/>
      <c r="BP262" s="124"/>
      <c r="BQ262" s="124"/>
      <c r="BR262" s="124"/>
      <c r="BS262" s="124"/>
      <c r="BT262" s="124"/>
      <c r="BU262" s="124"/>
      <c r="BV262" s="124"/>
      <c r="BW262" s="124"/>
      <c r="BX262" s="124"/>
      <c r="BY262" s="124"/>
      <c r="BZ262" s="124"/>
      <c r="CA262" s="124"/>
    </row>
    <row r="263">
      <c r="D263" s="143"/>
      <c r="E263" s="129"/>
      <c r="F263" s="112"/>
      <c r="G263" s="112"/>
      <c r="H263" s="112"/>
      <c r="I263" s="112"/>
      <c r="J263" s="112"/>
      <c r="K263" s="112"/>
      <c r="L263" s="112"/>
      <c r="M263" s="112"/>
      <c r="N263" s="112"/>
      <c r="O263" s="112"/>
      <c r="P263" s="112"/>
      <c r="Q263" s="112"/>
      <c r="R263" s="112"/>
      <c r="S263" s="112"/>
      <c r="T263" s="112"/>
      <c r="U263" s="124"/>
      <c r="V263" s="124"/>
      <c r="W263" s="124"/>
      <c r="X263" s="124"/>
      <c r="Y263" s="124"/>
      <c r="Z263" s="112"/>
      <c r="AA263" s="112"/>
      <c r="AB263" s="112"/>
      <c r="AC263" s="112"/>
      <c r="AD263" s="112"/>
      <c r="AE263" s="112"/>
      <c r="AF263" s="112"/>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124"/>
      <c r="BO263" s="124"/>
      <c r="BP263" s="124"/>
      <c r="BQ263" s="124"/>
      <c r="BR263" s="124"/>
      <c r="BS263" s="124"/>
      <c r="BT263" s="124"/>
      <c r="BU263" s="124"/>
      <c r="BV263" s="124"/>
      <c r="BW263" s="124"/>
      <c r="BX263" s="124"/>
      <c r="BY263" s="124"/>
      <c r="BZ263" s="124"/>
      <c r="CA263" s="124"/>
    </row>
    <row r="264">
      <c r="D264" s="143"/>
      <c r="E264" s="129"/>
      <c r="F264" s="112"/>
      <c r="G264" s="112"/>
      <c r="H264" s="112"/>
      <c r="I264" s="112"/>
      <c r="J264" s="112"/>
      <c r="K264" s="112"/>
      <c r="L264" s="112"/>
      <c r="M264" s="112"/>
      <c r="N264" s="112"/>
      <c r="O264" s="112"/>
      <c r="P264" s="112"/>
      <c r="Q264" s="112"/>
      <c r="R264" s="112"/>
      <c r="S264" s="112"/>
      <c r="T264" s="112"/>
      <c r="U264" s="124"/>
      <c r="V264" s="124"/>
      <c r="W264" s="124"/>
      <c r="X264" s="124"/>
      <c r="Y264" s="124"/>
      <c r="Z264" s="112"/>
      <c r="AA264" s="112"/>
      <c r="AB264" s="112"/>
      <c r="AC264" s="112"/>
      <c r="AD264" s="112"/>
      <c r="AE264" s="112"/>
      <c r="AF264" s="112"/>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row>
    <row r="265">
      <c r="D265" s="143"/>
      <c r="E265" s="129"/>
      <c r="F265" s="112"/>
      <c r="G265" s="112"/>
      <c r="H265" s="112"/>
      <c r="I265" s="112"/>
      <c r="J265" s="112"/>
      <c r="K265" s="112"/>
      <c r="L265" s="112"/>
      <c r="M265" s="112"/>
      <c r="N265" s="112"/>
      <c r="O265" s="112"/>
      <c r="P265" s="112"/>
      <c r="Q265" s="112"/>
      <c r="R265" s="112"/>
      <c r="S265" s="112"/>
      <c r="T265" s="112"/>
      <c r="U265" s="124"/>
      <c r="V265" s="124"/>
      <c r="W265" s="124"/>
      <c r="X265" s="124"/>
      <c r="Y265" s="124"/>
      <c r="Z265" s="112"/>
      <c r="AA265" s="112"/>
      <c r="AB265" s="112"/>
      <c r="AC265" s="112"/>
      <c r="AD265" s="112"/>
      <c r="AE265" s="112"/>
      <c r="AF265" s="112"/>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124"/>
      <c r="BO265" s="124"/>
      <c r="BP265" s="124"/>
      <c r="BQ265" s="124"/>
      <c r="BR265" s="124"/>
      <c r="BS265" s="124"/>
      <c r="BT265" s="124"/>
      <c r="BU265" s="124"/>
      <c r="BV265" s="124"/>
      <c r="BW265" s="124"/>
      <c r="BX265" s="124"/>
      <c r="BY265" s="124"/>
      <c r="BZ265" s="124"/>
      <c r="CA265" s="124"/>
    </row>
    <row r="266">
      <c r="D266" s="143"/>
      <c r="E266" s="129"/>
      <c r="F266" s="112"/>
      <c r="G266" s="112"/>
      <c r="H266" s="112"/>
      <c r="I266" s="112"/>
      <c r="J266" s="112"/>
      <c r="K266" s="112"/>
      <c r="L266" s="112"/>
      <c r="M266" s="112"/>
      <c r="N266" s="112"/>
      <c r="O266" s="112"/>
      <c r="P266" s="112"/>
      <c r="Q266" s="112"/>
      <c r="R266" s="112"/>
      <c r="S266" s="112"/>
      <c r="T266" s="112"/>
      <c r="U266" s="124"/>
      <c r="V266" s="124"/>
      <c r="W266" s="124"/>
      <c r="X266" s="124"/>
      <c r="Y266" s="124"/>
      <c r="Z266" s="112"/>
      <c r="AA266" s="112"/>
      <c r="AB266" s="112"/>
      <c r="AC266" s="112"/>
      <c r="AD266" s="112"/>
      <c r="AE266" s="112"/>
      <c r="AF266" s="112"/>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124"/>
      <c r="BO266" s="124"/>
      <c r="BP266" s="124"/>
      <c r="BQ266" s="124"/>
      <c r="BR266" s="124"/>
      <c r="BS266" s="124"/>
      <c r="BT266" s="124"/>
      <c r="BU266" s="124"/>
      <c r="BV266" s="124"/>
      <c r="BW266" s="124"/>
      <c r="BX266" s="124"/>
      <c r="BY266" s="124"/>
      <c r="BZ266" s="124"/>
      <c r="CA266" s="124"/>
    </row>
    <row r="267">
      <c r="D267" s="143"/>
      <c r="E267" s="129"/>
      <c r="F267" s="112"/>
      <c r="G267" s="112"/>
      <c r="H267" s="112"/>
      <c r="I267" s="112"/>
      <c r="J267" s="112"/>
      <c r="K267" s="112"/>
      <c r="L267" s="112"/>
      <c r="M267" s="112"/>
      <c r="N267" s="112"/>
      <c r="O267" s="112"/>
      <c r="P267" s="112"/>
      <c r="Q267" s="112"/>
      <c r="R267" s="112"/>
      <c r="S267" s="112"/>
      <c r="T267" s="112"/>
      <c r="U267" s="124"/>
      <c r="V267" s="124"/>
      <c r="W267" s="124"/>
      <c r="X267" s="124"/>
      <c r="Y267" s="124"/>
      <c r="Z267" s="112"/>
      <c r="AA267" s="112"/>
      <c r="AB267" s="112"/>
      <c r="AC267" s="112"/>
      <c r="AD267" s="112"/>
      <c r="AE267" s="112"/>
      <c r="AF267" s="112"/>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124"/>
      <c r="BO267" s="124"/>
      <c r="BP267" s="124"/>
      <c r="BQ267" s="124"/>
      <c r="BR267" s="124"/>
      <c r="BS267" s="124"/>
      <c r="BT267" s="124"/>
      <c r="BU267" s="124"/>
      <c r="BV267" s="124"/>
      <c r="BW267" s="124"/>
      <c r="BX267" s="124"/>
      <c r="BY267" s="124"/>
      <c r="BZ267" s="124"/>
      <c r="CA267" s="124"/>
    </row>
    <row r="268">
      <c r="D268" s="143"/>
      <c r="E268" s="129"/>
      <c r="F268" s="112"/>
      <c r="G268" s="112"/>
      <c r="H268" s="112"/>
      <c r="I268" s="112"/>
      <c r="J268" s="112"/>
      <c r="K268" s="112"/>
      <c r="L268" s="112"/>
      <c r="M268" s="112"/>
      <c r="N268" s="112"/>
      <c r="O268" s="112"/>
      <c r="P268" s="112"/>
      <c r="Q268" s="112"/>
      <c r="R268" s="112"/>
      <c r="S268" s="112"/>
      <c r="T268" s="112"/>
      <c r="U268" s="124"/>
      <c r="V268" s="124"/>
      <c r="W268" s="124"/>
      <c r="X268" s="124"/>
      <c r="Y268" s="124"/>
      <c r="Z268" s="112"/>
      <c r="AA268" s="112"/>
      <c r="AB268" s="112"/>
      <c r="AC268" s="112"/>
      <c r="AD268" s="112"/>
      <c r="AE268" s="112"/>
      <c r="AF268" s="112"/>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c r="BK268" s="124"/>
      <c r="BL268" s="124"/>
      <c r="BM268" s="124"/>
      <c r="BN268" s="124"/>
      <c r="BO268" s="124"/>
      <c r="BP268" s="124"/>
      <c r="BQ268" s="124"/>
      <c r="BR268" s="124"/>
      <c r="BS268" s="124"/>
      <c r="BT268" s="124"/>
      <c r="BU268" s="124"/>
      <c r="BV268" s="124"/>
      <c r="BW268" s="124"/>
      <c r="BX268" s="124"/>
      <c r="BY268" s="124"/>
      <c r="BZ268" s="124"/>
      <c r="CA268" s="124"/>
    </row>
    <row r="269">
      <c r="D269" s="143"/>
      <c r="E269" s="129"/>
      <c r="F269" s="112"/>
      <c r="G269" s="112"/>
      <c r="H269" s="112"/>
      <c r="I269" s="112"/>
      <c r="J269" s="112"/>
      <c r="K269" s="112"/>
      <c r="L269" s="112"/>
      <c r="M269" s="112"/>
      <c r="N269" s="112"/>
      <c r="O269" s="112"/>
      <c r="P269" s="112"/>
      <c r="Q269" s="112"/>
      <c r="R269" s="112"/>
      <c r="S269" s="112"/>
      <c r="T269" s="112"/>
      <c r="U269" s="124"/>
      <c r="V269" s="124"/>
      <c r="W269" s="124"/>
      <c r="X269" s="124"/>
      <c r="Y269" s="124"/>
      <c r="Z269" s="112"/>
      <c r="AA269" s="112"/>
      <c r="AB269" s="112"/>
      <c r="AC269" s="112"/>
      <c r="AD269" s="112"/>
      <c r="AE269" s="112"/>
      <c r="AF269" s="112"/>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c r="BK269" s="124"/>
      <c r="BL269" s="124"/>
      <c r="BM269" s="124"/>
      <c r="BN269" s="124"/>
      <c r="BO269" s="124"/>
      <c r="BP269" s="124"/>
      <c r="BQ269" s="124"/>
      <c r="BR269" s="124"/>
      <c r="BS269" s="124"/>
      <c r="BT269" s="124"/>
      <c r="BU269" s="124"/>
      <c r="BV269" s="124"/>
      <c r="BW269" s="124"/>
      <c r="BX269" s="124"/>
      <c r="BY269" s="124"/>
      <c r="BZ269" s="124"/>
      <c r="CA269" s="124"/>
    </row>
    <row r="270">
      <c r="D270" s="143"/>
      <c r="E270" s="129"/>
      <c r="F270" s="112"/>
      <c r="G270" s="112"/>
      <c r="H270" s="112"/>
      <c r="I270" s="112"/>
      <c r="J270" s="112"/>
      <c r="K270" s="112"/>
      <c r="L270" s="112"/>
      <c r="M270" s="112"/>
      <c r="N270" s="112"/>
      <c r="O270" s="112"/>
      <c r="P270" s="112"/>
      <c r="Q270" s="112"/>
      <c r="R270" s="112"/>
      <c r="S270" s="112"/>
      <c r="T270" s="112"/>
      <c r="U270" s="124"/>
      <c r="V270" s="124"/>
      <c r="W270" s="124"/>
      <c r="X270" s="124"/>
      <c r="Y270" s="124"/>
      <c r="Z270" s="112"/>
      <c r="AA270" s="112"/>
      <c r="AB270" s="112"/>
      <c r="AC270" s="112"/>
      <c r="AD270" s="112"/>
      <c r="AE270" s="112"/>
      <c r="AF270" s="112"/>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c r="BK270" s="124"/>
      <c r="BL270" s="124"/>
      <c r="BM270" s="124"/>
      <c r="BN270" s="124"/>
      <c r="BO270" s="124"/>
      <c r="BP270" s="124"/>
      <c r="BQ270" s="124"/>
      <c r="BR270" s="124"/>
      <c r="BS270" s="124"/>
      <c r="BT270" s="124"/>
      <c r="BU270" s="124"/>
      <c r="BV270" s="124"/>
      <c r="BW270" s="124"/>
      <c r="BX270" s="124"/>
      <c r="BY270" s="124"/>
      <c r="BZ270" s="124"/>
      <c r="CA270" s="124"/>
    </row>
    <row r="271">
      <c r="D271" s="143"/>
      <c r="E271" s="129"/>
      <c r="F271" s="112"/>
      <c r="G271" s="112"/>
      <c r="H271" s="112"/>
      <c r="I271" s="112"/>
      <c r="J271" s="112"/>
      <c r="K271" s="112"/>
      <c r="L271" s="112"/>
      <c r="M271" s="112"/>
      <c r="N271" s="112"/>
      <c r="O271" s="112"/>
      <c r="P271" s="112"/>
      <c r="Q271" s="112"/>
      <c r="R271" s="112"/>
      <c r="S271" s="112"/>
      <c r="T271" s="112"/>
      <c r="U271" s="124"/>
      <c r="V271" s="124"/>
      <c r="W271" s="124"/>
      <c r="X271" s="124"/>
      <c r="Y271" s="124"/>
      <c r="Z271" s="112"/>
      <c r="AA271" s="112"/>
      <c r="AB271" s="112"/>
      <c r="AC271" s="112"/>
      <c r="AD271" s="112"/>
      <c r="AE271" s="112"/>
      <c r="AF271" s="112"/>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row>
    <row r="272">
      <c r="D272" s="143"/>
      <c r="E272" s="129"/>
      <c r="F272" s="112"/>
      <c r="G272" s="112"/>
      <c r="H272" s="112"/>
      <c r="I272" s="112"/>
      <c r="J272" s="112"/>
      <c r="K272" s="112"/>
      <c r="L272" s="112"/>
      <c r="M272" s="112"/>
      <c r="N272" s="112"/>
      <c r="O272" s="112"/>
      <c r="P272" s="112"/>
      <c r="Q272" s="112"/>
      <c r="R272" s="112"/>
      <c r="S272" s="112"/>
      <c r="T272" s="112"/>
      <c r="U272" s="124"/>
      <c r="V272" s="124"/>
      <c r="W272" s="124"/>
      <c r="X272" s="124"/>
      <c r="Y272" s="124"/>
      <c r="Z272" s="112"/>
      <c r="AA272" s="112"/>
      <c r="AB272" s="112"/>
      <c r="AC272" s="112"/>
      <c r="AD272" s="112"/>
      <c r="AE272" s="112"/>
      <c r="AF272" s="112"/>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c r="BX272" s="124"/>
      <c r="BY272" s="124"/>
      <c r="BZ272" s="124"/>
      <c r="CA272" s="124"/>
    </row>
    <row r="273">
      <c r="D273" s="143"/>
      <c r="E273" s="129"/>
      <c r="F273" s="112"/>
      <c r="G273" s="112"/>
      <c r="H273" s="112"/>
      <c r="I273" s="112"/>
      <c r="J273" s="112"/>
      <c r="K273" s="112"/>
      <c r="L273" s="112"/>
      <c r="M273" s="112"/>
      <c r="N273" s="112"/>
      <c r="O273" s="112"/>
      <c r="P273" s="112"/>
      <c r="Q273" s="112"/>
      <c r="R273" s="112"/>
      <c r="S273" s="112"/>
      <c r="T273" s="112"/>
      <c r="U273" s="124"/>
      <c r="V273" s="124"/>
      <c r="W273" s="124"/>
      <c r="X273" s="124"/>
      <c r="Y273" s="124"/>
      <c r="Z273" s="112"/>
      <c r="AA273" s="112"/>
      <c r="AB273" s="112"/>
      <c r="AC273" s="112"/>
      <c r="AD273" s="112"/>
      <c r="AE273" s="112"/>
      <c r="AF273" s="112"/>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row>
    <row r="274">
      <c r="D274" s="143"/>
      <c r="E274" s="129"/>
      <c r="F274" s="112"/>
      <c r="G274" s="112"/>
      <c r="H274" s="112"/>
      <c r="I274" s="112"/>
      <c r="J274" s="112"/>
      <c r="K274" s="112"/>
      <c r="L274" s="112"/>
      <c r="M274" s="112"/>
      <c r="N274" s="112"/>
      <c r="O274" s="112"/>
      <c r="P274" s="112"/>
      <c r="Q274" s="112"/>
      <c r="R274" s="112"/>
      <c r="S274" s="112"/>
      <c r="T274" s="112"/>
      <c r="U274" s="124"/>
      <c r="V274" s="124"/>
      <c r="W274" s="124"/>
      <c r="X274" s="124"/>
      <c r="Y274" s="124"/>
      <c r="Z274" s="112"/>
      <c r="AA274" s="112"/>
      <c r="AB274" s="112"/>
      <c r="AC274" s="112"/>
      <c r="AD274" s="112"/>
      <c r="AE274" s="112"/>
      <c r="AF274" s="112"/>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c r="BK274" s="124"/>
      <c r="BL274" s="124"/>
      <c r="BM274" s="124"/>
      <c r="BN274" s="124"/>
      <c r="BO274" s="124"/>
      <c r="BP274" s="124"/>
      <c r="BQ274" s="124"/>
      <c r="BR274" s="124"/>
      <c r="BS274" s="124"/>
      <c r="BT274" s="124"/>
      <c r="BU274" s="124"/>
      <c r="BV274" s="124"/>
      <c r="BW274" s="124"/>
      <c r="BX274" s="124"/>
      <c r="BY274" s="124"/>
      <c r="BZ274" s="124"/>
      <c r="CA274" s="124"/>
    </row>
    <row r="275">
      <c r="D275" s="143"/>
      <c r="E275" s="129"/>
      <c r="F275" s="112"/>
      <c r="G275" s="112"/>
      <c r="H275" s="112"/>
      <c r="I275" s="112"/>
      <c r="J275" s="112"/>
      <c r="K275" s="112"/>
      <c r="L275" s="112"/>
      <c r="M275" s="112"/>
      <c r="N275" s="112"/>
      <c r="O275" s="112"/>
      <c r="P275" s="112"/>
      <c r="Q275" s="112"/>
      <c r="R275" s="112"/>
      <c r="S275" s="112"/>
      <c r="T275" s="112"/>
      <c r="U275" s="124"/>
      <c r="V275" s="124"/>
      <c r="W275" s="124"/>
      <c r="X275" s="124"/>
      <c r="Y275" s="124"/>
      <c r="Z275" s="112"/>
      <c r="AA275" s="112"/>
      <c r="AB275" s="112"/>
      <c r="AC275" s="112"/>
      <c r="AD275" s="112"/>
      <c r="AE275" s="112"/>
      <c r="AF275" s="112"/>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c r="BK275" s="124"/>
      <c r="BL275" s="124"/>
      <c r="BM275" s="124"/>
      <c r="BN275" s="124"/>
      <c r="BO275" s="124"/>
      <c r="BP275" s="124"/>
      <c r="BQ275" s="124"/>
      <c r="BR275" s="124"/>
      <c r="BS275" s="124"/>
      <c r="BT275" s="124"/>
      <c r="BU275" s="124"/>
      <c r="BV275" s="124"/>
      <c r="BW275" s="124"/>
      <c r="BX275" s="124"/>
      <c r="BY275" s="124"/>
      <c r="BZ275" s="124"/>
      <c r="CA275" s="124"/>
    </row>
    <row r="276">
      <c r="D276" s="143"/>
      <c r="E276" s="129"/>
      <c r="F276" s="112"/>
      <c r="G276" s="112"/>
      <c r="H276" s="112"/>
      <c r="I276" s="112"/>
      <c r="J276" s="112"/>
      <c r="K276" s="112"/>
      <c r="L276" s="112"/>
      <c r="M276" s="112"/>
      <c r="N276" s="112"/>
      <c r="O276" s="112"/>
      <c r="P276" s="112"/>
      <c r="Q276" s="112"/>
      <c r="R276" s="112"/>
      <c r="S276" s="112"/>
      <c r="T276" s="112"/>
      <c r="U276" s="124"/>
      <c r="V276" s="124"/>
      <c r="W276" s="124"/>
      <c r="X276" s="124"/>
      <c r="Y276" s="124"/>
      <c r="Z276" s="112"/>
      <c r="AA276" s="112"/>
      <c r="AB276" s="112"/>
      <c r="AC276" s="112"/>
      <c r="AD276" s="112"/>
      <c r="AE276" s="112"/>
      <c r="AF276" s="112"/>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c r="BK276" s="124"/>
      <c r="BL276" s="124"/>
      <c r="BM276" s="124"/>
      <c r="BN276" s="124"/>
      <c r="BO276" s="124"/>
      <c r="BP276" s="124"/>
      <c r="BQ276" s="124"/>
      <c r="BR276" s="124"/>
      <c r="BS276" s="124"/>
      <c r="BT276" s="124"/>
      <c r="BU276" s="124"/>
      <c r="BV276" s="124"/>
      <c r="BW276" s="124"/>
      <c r="BX276" s="124"/>
      <c r="BY276" s="124"/>
      <c r="BZ276" s="124"/>
      <c r="CA276" s="124"/>
    </row>
    <row r="277">
      <c r="D277" s="143"/>
      <c r="E277" s="129"/>
      <c r="F277" s="112"/>
      <c r="G277" s="112"/>
      <c r="H277" s="112"/>
      <c r="I277" s="112"/>
      <c r="J277" s="112"/>
      <c r="K277" s="112"/>
      <c r="L277" s="112"/>
      <c r="M277" s="112"/>
      <c r="N277" s="112"/>
      <c r="O277" s="112"/>
      <c r="P277" s="112"/>
      <c r="Q277" s="112"/>
      <c r="R277" s="112"/>
      <c r="S277" s="112"/>
      <c r="T277" s="112"/>
      <c r="U277" s="124"/>
      <c r="V277" s="124"/>
      <c r="W277" s="124"/>
      <c r="X277" s="124"/>
      <c r="Y277" s="124"/>
      <c r="Z277" s="112"/>
      <c r="AA277" s="112"/>
      <c r="AB277" s="112"/>
      <c r="AC277" s="112"/>
      <c r="AD277" s="112"/>
      <c r="AE277" s="112"/>
      <c r="AF277" s="112"/>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row>
    <row r="278">
      <c r="D278" s="143"/>
      <c r="E278" s="129"/>
      <c r="F278" s="112"/>
      <c r="G278" s="112"/>
      <c r="H278" s="112"/>
      <c r="I278" s="112"/>
      <c r="J278" s="112"/>
      <c r="K278" s="112"/>
      <c r="L278" s="112"/>
      <c r="M278" s="112"/>
      <c r="N278" s="112"/>
      <c r="O278" s="112"/>
      <c r="P278" s="112"/>
      <c r="Q278" s="112"/>
      <c r="R278" s="112"/>
      <c r="S278" s="112"/>
      <c r="T278" s="112"/>
      <c r="U278" s="124"/>
      <c r="V278" s="124"/>
      <c r="W278" s="124"/>
      <c r="X278" s="124"/>
      <c r="Y278" s="124"/>
      <c r="Z278" s="112"/>
      <c r="AA278" s="112"/>
      <c r="AB278" s="112"/>
      <c r="AC278" s="112"/>
      <c r="AD278" s="112"/>
      <c r="AE278" s="112"/>
      <c r="AF278" s="112"/>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c r="BK278" s="124"/>
      <c r="BL278" s="124"/>
      <c r="BM278" s="124"/>
      <c r="BN278" s="124"/>
      <c r="BO278" s="124"/>
      <c r="BP278" s="124"/>
      <c r="BQ278" s="124"/>
      <c r="BR278" s="124"/>
      <c r="BS278" s="124"/>
      <c r="BT278" s="124"/>
      <c r="BU278" s="124"/>
      <c r="BV278" s="124"/>
      <c r="BW278" s="124"/>
      <c r="BX278" s="124"/>
      <c r="BY278" s="124"/>
      <c r="BZ278" s="124"/>
      <c r="CA278" s="124"/>
    </row>
    <row r="279">
      <c r="D279" s="143"/>
      <c r="E279" s="129"/>
      <c r="F279" s="112"/>
      <c r="G279" s="112"/>
      <c r="H279" s="112"/>
      <c r="I279" s="112"/>
      <c r="J279" s="112"/>
      <c r="K279" s="112"/>
      <c r="L279" s="112"/>
      <c r="M279" s="112"/>
      <c r="N279" s="112"/>
      <c r="O279" s="112"/>
      <c r="P279" s="112"/>
      <c r="Q279" s="112"/>
      <c r="R279" s="112"/>
      <c r="S279" s="112"/>
      <c r="T279" s="112"/>
      <c r="U279" s="124"/>
      <c r="V279" s="124"/>
      <c r="W279" s="124"/>
      <c r="X279" s="124"/>
      <c r="Y279" s="124"/>
      <c r="Z279" s="112"/>
      <c r="AA279" s="112"/>
      <c r="AB279" s="112"/>
      <c r="AC279" s="112"/>
      <c r="AD279" s="112"/>
      <c r="AE279" s="112"/>
      <c r="AF279" s="112"/>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124"/>
      <c r="BO279" s="124"/>
      <c r="BP279" s="124"/>
      <c r="BQ279" s="124"/>
      <c r="BR279" s="124"/>
      <c r="BS279" s="124"/>
      <c r="BT279" s="124"/>
      <c r="BU279" s="124"/>
      <c r="BV279" s="124"/>
      <c r="BW279" s="124"/>
      <c r="BX279" s="124"/>
      <c r="BY279" s="124"/>
      <c r="BZ279" s="124"/>
      <c r="CA279" s="124"/>
    </row>
    <row r="280">
      <c r="D280" s="143"/>
      <c r="E280" s="129"/>
      <c r="F280" s="112"/>
      <c r="G280" s="112"/>
      <c r="H280" s="112"/>
      <c r="I280" s="112"/>
      <c r="J280" s="112"/>
      <c r="K280" s="112"/>
      <c r="L280" s="112"/>
      <c r="M280" s="112"/>
      <c r="N280" s="112"/>
      <c r="O280" s="112"/>
      <c r="P280" s="112"/>
      <c r="Q280" s="112"/>
      <c r="R280" s="112"/>
      <c r="S280" s="112"/>
      <c r="T280" s="112"/>
      <c r="U280" s="124"/>
      <c r="V280" s="124"/>
      <c r="W280" s="124"/>
      <c r="X280" s="124"/>
      <c r="Y280" s="124"/>
      <c r="Z280" s="112"/>
      <c r="AA280" s="112"/>
      <c r="AB280" s="112"/>
      <c r="AC280" s="112"/>
      <c r="AD280" s="112"/>
      <c r="AE280" s="112"/>
      <c r="AF280" s="112"/>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c r="BK280" s="124"/>
      <c r="BL280" s="124"/>
      <c r="BM280" s="124"/>
      <c r="BN280" s="124"/>
      <c r="BO280" s="124"/>
      <c r="BP280" s="124"/>
      <c r="BQ280" s="124"/>
      <c r="BR280" s="124"/>
      <c r="BS280" s="124"/>
      <c r="BT280" s="124"/>
      <c r="BU280" s="124"/>
      <c r="BV280" s="124"/>
      <c r="BW280" s="124"/>
      <c r="BX280" s="124"/>
      <c r="BY280" s="124"/>
      <c r="BZ280" s="124"/>
      <c r="CA280" s="124"/>
    </row>
    <row r="281">
      <c r="D281" s="143"/>
      <c r="E281" s="129"/>
      <c r="F281" s="112"/>
      <c r="G281" s="112"/>
      <c r="H281" s="112"/>
      <c r="I281" s="112"/>
      <c r="J281" s="112"/>
      <c r="K281" s="112"/>
      <c r="L281" s="112"/>
      <c r="M281" s="112"/>
      <c r="N281" s="112"/>
      <c r="O281" s="112"/>
      <c r="P281" s="112"/>
      <c r="Q281" s="112"/>
      <c r="R281" s="112"/>
      <c r="S281" s="112"/>
      <c r="T281" s="112"/>
      <c r="U281" s="124"/>
      <c r="V281" s="124"/>
      <c r="W281" s="124"/>
      <c r="X281" s="124"/>
      <c r="Y281" s="124"/>
      <c r="Z281" s="112"/>
      <c r="AA281" s="112"/>
      <c r="AB281" s="112"/>
      <c r="AC281" s="112"/>
      <c r="AD281" s="112"/>
      <c r="AE281" s="112"/>
      <c r="AF281" s="112"/>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4"/>
      <c r="BV281" s="124"/>
      <c r="BW281" s="124"/>
      <c r="BX281" s="124"/>
      <c r="BY281" s="124"/>
      <c r="BZ281" s="124"/>
      <c r="CA281" s="124"/>
    </row>
    <row r="282">
      <c r="D282" s="143"/>
      <c r="E282" s="129"/>
      <c r="F282" s="112"/>
      <c r="G282" s="112"/>
      <c r="H282" s="112"/>
      <c r="I282" s="112"/>
      <c r="J282" s="112"/>
      <c r="K282" s="112"/>
      <c r="L282" s="112"/>
      <c r="M282" s="112"/>
      <c r="N282" s="112"/>
      <c r="O282" s="112"/>
      <c r="P282" s="112"/>
      <c r="Q282" s="112"/>
      <c r="R282" s="112"/>
      <c r="S282" s="112"/>
      <c r="T282" s="112"/>
      <c r="U282" s="124"/>
      <c r="V282" s="124"/>
      <c r="W282" s="124"/>
      <c r="X282" s="124"/>
      <c r="Y282" s="124"/>
      <c r="Z282" s="112"/>
      <c r="AA282" s="112"/>
      <c r="AB282" s="112"/>
      <c r="AC282" s="112"/>
      <c r="AD282" s="112"/>
      <c r="AE282" s="112"/>
      <c r="AF282" s="112"/>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124"/>
      <c r="BO282" s="124"/>
      <c r="BP282" s="124"/>
      <c r="BQ282" s="124"/>
      <c r="BR282" s="124"/>
      <c r="BS282" s="124"/>
      <c r="BT282" s="124"/>
      <c r="BU282" s="124"/>
      <c r="BV282" s="124"/>
      <c r="BW282" s="124"/>
      <c r="BX282" s="124"/>
      <c r="BY282" s="124"/>
      <c r="BZ282" s="124"/>
      <c r="CA282" s="124"/>
    </row>
    <row r="283">
      <c r="D283" s="143"/>
      <c r="E283" s="129"/>
      <c r="F283" s="112"/>
      <c r="G283" s="112"/>
      <c r="H283" s="112"/>
      <c r="I283" s="112"/>
      <c r="J283" s="112"/>
      <c r="K283" s="112"/>
      <c r="L283" s="112"/>
      <c r="M283" s="112"/>
      <c r="N283" s="112"/>
      <c r="O283" s="112"/>
      <c r="P283" s="112"/>
      <c r="Q283" s="112"/>
      <c r="R283" s="112"/>
      <c r="S283" s="112"/>
      <c r="T283" s="112"/>
      <c r="U283" s="124"/>
      <c r="V283" s="124"/>
      <c r="W283" s="124"/>
      <c r="X283" s="124"/>
      <c r="Y283" s="124"/>
      <c r="Z283" s="112"/>
      <c r="AA283" s="112"/>
      <c r="AB283" s="112"/>
      <c r="AC283" s="112"/>
      <c r="AD283" s="112"/>
      <c r="AE283" s="112"/>
      <c r="AF283" s="112"/>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4"/>
      <c r="BR283" s="124"/>
      <c r="BS283" s="124"/>
      <c r="BT283" s="124"/>
      <c r="BU283" s="124"/>
      <c r="BV283" s="124"/>
      <c r="BW283" s="124"/>
      <c r="BX283" s="124"/>
      <c r="BY283" s="124"/>
      <c r="BZ283" s="124"/>
      <c r="CA283" s="124"/>
    </row>
    <row r="284">
      <c r="D284" s="143"/>
      <c r="E284" s="129"/>
      <c r="F284" s="112"/>
      <c r="G284" s="112"/>
      <c r="H284" s="112"/>
      <c r="I284" s="112"/>
      <c r="J284" s="112"/>
      <c r="K284" s="112"/>
      <c r="L284" s="112"/>
      <c r="M284" s="112"/>
      <c r="N284" s="112"/>
      <c r="O284" s="112"/>
      <c r="P284" s="112"/>
      <c r="Q284" s="112"/>
      <c r="R284" s="112"/>
      <c r="S284" s="112"/>
      <c r="T284" s="112"/>
      <c r="U284" s="124"/>
      <c r="V284" s="124"/>
      <c r="W284" s="124"/>
      <c r="X284" s="124"/>
      <c r="Y284" s="124"/>
      <c r="Z284" s="112"/>
      <c r="AA284" s="112"/>
      <c r="AB284" s="112"/>
      <c r="AC284" s="112"/>
      <c r="AD284" s="112"/>
      <c r="AE284" s="112"/>
      <c r="AF284" s="112"/>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row>
    <row r="285">
      <c r="D285" s="143"/>
      <c r="E285" s="129"/>
      <c r="F285" s="112"/>
      <c r="G285" s="112"/>
      <c r="H285" s="112"/>
      <c r="I285" s="112"/>
      <c r="J285" s="112"/>
      <c r="K285" s="112"/>
      <c r="L285" s="112"/>
      <c r="M285" s="112"/>
      <c r="N285" s="112"/>
      <c r="O285" s="112"/>
      <c r="P285" s="112"/>
      <c r="Q285" s="112"/>
      <c r="R285" s="112"/>
      <c r="S285" s="112"/>
      <c r="T285" s="112"/>
      <c r="U285" s="124"/>
      <c r="V285" s="124"/>
      <c r="W285" s="124"/>
      <c r="X285" s="124"/>
      <c r="Y285" s="124"/>
      <c r="Z285" s="112"/>
      <c r="AA285" s="112"/>
      <c r="AB285" s="112"/>
      <c r="AC285" s="112"/>
      <c r="AD285" s="112"/>
      <c r="AE285" s="112"/>
      <c r="AF285" s="112"/>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row>
    <row r="286">
      <c r="D286" s="143"/>
      <c r="E286" s="129"/>
      <c r="F286" s="112"/>
      <c r="G286" s="112"/>
      <c r="H286" s="112"/>
      <c r="I286" s="112"/>
      <c r="J286" s="112"/>
      <c r="K286" s="112"/>
      <c r="L286" s="112"/>
      <c r="M286" s="112"/>
      <c r="N286" s="112"/>
      <c r="O286" s="112"/>
      <c r="P286" s="112"/>
      <c r="Q286" s="112"/>
      <c r="R286" s="112"/>
      <c r="S286" s="112"/>
      <c r="T286" s="112"/>
      <c r="U286" s="124"/>
      <c r="V286" s="124"/>
      <c r="W286" s="124"/>
      <c r="X286" s="124"/>
      <c r="Y286" s="124"/>
      <c r="Z286" s="112"/>
      <c r="AA286" s="112"/>
      <c r="AB286" s="112"/>
      <c r="AC286" s="112"/>
      <c r="AD286" s="112"/>
      <c r="AE286" s="112"/>
      <c r="AF286" s="112"/>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row>
    <row r="287">
      <c r="D287" s="143"/>
      <c r="E287" s="129"/>
      <c r="F287" s="112"/>
      <c r="G287" s="112"/>
      <c r="H287" s="112"/>
      <c r="I287" s="112"/>
      <c r="J287" s="112"/>
      <c r="K287" s="112"/>
      <c r="L287" s="112"/>
      <c r="M287" s="112"/>
      <c r="N287" s="112"/>
      <c r="O287" s="112"/>
      <c r="P287" s="112"/>
      <c r="Q287" s="112"/>
      <c r="R287" s="112"/>
      <c r="S287" s="112"/>
      <c r="T287" s="112"/>
      <c r="U287" s="124"/>
      <c r="V287" s="124"/>
      <c r="W287" s="124"/>
      <c r="X287" s="124"/>
      <c r="Y287" s="124"/>
      <c r="Z287" s="112"/>
      <c r="AA287" s="112"/>
      <c r="AB287" s="112"/>
      <c r="AC287" s="112"/>
      <c r="AD287" s="112"/>
      <c r="AE287" s="112"/>
      <c r="AF287" s="112"/>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c r="BK287" s="124"/>
      <c r="BL287" s="124"/>
      <c r="BM287" s="124"/>
      <c r="BN287" s="124"/>
      <c r="BO287" s="124"/>
      <c r="BP287" s="124"/>
      <c r="BQ287" s="124"/>
      <c r="BR287" s="124"/>
      <c r="BS287" s="124"/>
      <c r="BT287" s="124"/>
      <c r="BU287" s="124"/>
      <c r="BV287" s="124"/>
      <c r="BW287" s="124"/>
      <c r="BX287" s="124"/>
      <c r="BY287" s="124"/>
      <c r="BZ287" s="124"/>
      <c r="CA287" s="124"/>
    </row>
    <row r="288">
      <c r="D288" s="143"/>
      <c r="E288" s="129"/>
      <c r="F288" s="112"/>
      <c r="G288" s="112"/>
      <c r="H288" s="112"/>
      <c r="I288" s="112"/>
      <c r="J288" s="112"/>
      <c r="K288" s="112"/>
      <c r="L288" s="112"/>
      <c r="M288" s="112"/>
      <c r="N288" s="112"/>
      <c r="O288" s="112"/>
      <c r="P288" s="112"/>
      <c r="Q288" s="112"/>
      <c r="R288" s="112"/>
      <c r="S288" s="112"/>
      <c r="T288" s="112"/>
      <c r="U288" s="124"/>
      <c r="V288" s="124"/>
      <c r="W288" s="124"/>
      <c r="X288" s="124"/>
      <c r="Y288" s="124"/>
      <c r="Z288" s="112"/>
      <c r="AA288" s="112"/>
      <c r="AB288" s="112"/>
      <c r="AC288" s="112"/>
      <c r="AD288" s="112"/>
      <c r="AE288" s="112"/>
      <c r="AF288" s="112"/>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row>
    <row r="289">
      <c r="D289" s="143"/>
      <c r="E289" s="129"/>
      <c r="F289" s="112"/>
      <c r="G289" s="112"/>
      <c r="H289" s="112"/>
      <c r="I289" s="112"/>
      <c r="J289" s="112"/>
      <c r="K289" s="112"/>
      <c r="L289" s="112"/>
      <c r="M289" s="112"/>
      <c r="N289" s="112"/>
      <c r="O289" s="112"/>
      <c r="P289" s="112"/>
      <c r="Q289" s="112"/>
      <c r="R289" s="112"/>
      <c r="S289" s="112"/>
      <c r="T289" s="112"/>
      <c r="U289" s="124"/>
      <c r="V289" s="124"/>
      <c r="W289" s="124"/>
      <c r="X289" s="124"/>
      <c r="Y289" s="124"/>
      <c r="Z289" s="112"/>
      <c r="AA289" s="112"/>
      <c r="AB289" s="112"/>
      <c r="AC289" s="112"/>
      <c r="AD289" s="112"/>
      <c r="AE289" s="112"/>
      <c r="AF289" s="112"/>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row>
    <row r="290">
      <c r="D290" s="143"/>
      <c r="E290" s="129"/>
      <c r="F290" s="112"/>
      <c r="G290" s="112"/>
      <c r="H290" s="112"/>
      <c r="I290" s="112"/>
      <c r="J290" s="112"/>
      <c r="K290" s="112"/>
      <c r="L290" s="112"/>
      <c r="M290" s="112"/>
      <c r="N290" s="112"/>
      <c r="O290" s="112"/>
      <c r="P290" s="112"/>
      <c r="Q290" s="112"/>
      <c r="R290" s="112"/>
      <c r="S290" s="112"/>
      <c r="T290" s="112"/>
      <c r="U290" s="124"/>
      <c r="V290" s="124"/>
      <c r="W290" s="124"/>
      <c r="X290" s="124"/>
      <c r="Y290" s="124"/>
      <c r="Z290" s="112"/>
      <c r="AA290" s="112"/>
      <c r="AB290" s="112"/>
      <c r="AC290" s="112"/>
      <c r="AD290" s="112"/>
      <c r="AE290" s="112"/>
      <c r="AF290" s="112"/>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row>
    <row r="291">
      <c r="D291" s="143"/>
      <c r="E291" s="129"/>
      <c r="F291" s="112"/>
      <c r="G291" s="112"/>
      <c r="H291" s="112"/>
      <c r="I291" s="112"/>
      <c r="J291" s="112"/>
      <c r="K291" s="112"/>
      <c r="L291" s="112"/>
      <c r="M291" s="112"/>
      <c r="N291" s="112"/>
      <c r="O291" s="112"/>
      <c r="P291" s="112"/>
      <c r="Q291" s="112"/>
      <c r="R291" s="112"/>
      <c r="S291" s="112"/>
      <c r="T291" s="112"/>
      <c r="U291" s="124"/>
      <c r="V291" s="124"/>
      <c r="W291" s="124"/>
      <c r="X291" s="124"/>
      <c r="Y291" s="124"/>
      <c r="Z291" s="112"/>
      <c r="AA291" s="112"/>
      <c r="AB291" s="112"/>
      <c r="AC291" s="112"/>
      <c r="AD291" s="112"/>
      <c r="AE291" s="112"/>
      <c r="AF291" s="112"/>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row>
    <row r="292">
      <c r="D292" s="143"/>
      <c r="E292" s="129"/>
      <c r="F292" s="112"/>
      <c r="G292" s="112"/>
      <c r="H292" s="112"/>
      <c r="I292" s="112"/>
      <c r="J292" s="112"/>
      <c r="K292" s="112"/>
      <c r="L292" s="112"/>
      <c r="M292" s="112"/>
      <c r="N292" s="112"/>
      <c r="O292" s="112"/>
      <c r="P292" s="112"/>
      <c r="Q292" s="112"/>
      <c r="R292" s="112"/>
      <c r="S292" s="112"/>
      <c r="T292" s="112"/>
      <c r="U292" s="124"/>
      <c r="V292" s="124"/>
      <c r="W292" s="124"/>
      <c r="X292" s="124"/>
      <c r="Y292" s="124"/>
      <c r="Z292" s="112"/>
      <c r="AA292" s="112"/>
      <c r="AB292" s="112"/>
      <c r="AC292" s="112"/>
      <c r="AD292" s="112"/>
      <c r="AE292" s="112"/>
      <c r="AF292" s="112"/>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c r="BK292" s="124"/>
      <c r="BL292" s="124"/>
      <c r="BM292" s="124"/>
      <c r="BN292" s="124"/>
      <c r="BO292" s="124"/>
      <c r="BP292" s="124"/>
      <c r="BQ292" s="124"/>
      <c r="BR292" s="124"/>
      <c r="BS292" s="124"/>
      <c r="BT292" s="124"/>
      <c r="BU292" s="124"/>
      <c r="BV292" s="124"/>
      <c r="BW292" s="124"/>
      <c r="BX292" s="124"/>
      <c r="BY292" s="124"/>
      <c r="BZ292" s="124"/>
      <c r="CA292" s="124"/>
    </row>
    <row r="293">
      <c r="D293" s="143"/>
      <c r="E293" s="129"/>
      <c r="F293" s="112"/>
      <c r="G293" s="112"/>
      <c r="H293" s="112"/>
      <c r="I293" s="112"/>
      <c r="J293" s="112"/>
      <c r="K293" s="112"/>
      <c r="L293" s="112"/>
      <c r="M293" s="112"/>
      <c r="N293" s="112"/>
      <c r="O293" s="112"/>
      <c r="P293" s="112"/>
      <c r="Q293" s="112"/>
      <c r="R293" s="112"/>
      <c r="S293" s="112"/>
      <c r="T293" s="112"/>
      <c r="U293" s="124"/>
      <c r="V293" s="124"/>
      <c r="W293" s="124"/>
      <c r="X293" s="124"/>
      <c r="Y293" s="124"/>
      <c r="Z293" s="112"/>
      <c r="AA293" s="112"/>
      <c r="AB293" s="112"/>
      <c r="AC293" s="112"/>
      <c r="AD293" s="112"/>
      <c r="AE293" s="112"/>
      <c r="AF293" s="112"/>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124"/>
      <c r="BO293" s="124"/>
      <c r="BP293" s="124"/>
      <c r="BQ293" s="124"/>
      <c r="BR293" s="124"/>
      <c r="BS293" s="124"/>
      <c r="BT293" s="124"/>
      <c r="BU293" s="124"/>
      <c r="BV293" s="124"/>
      <c r="BW293" s="124"/>
      <c r="BX293" s="124"/>
      <c r="BY293" s="124"/>
      <c r="BZ293" s="124"/>
      <c r="CA293" s="124"/>
    </row>
    <row r="294">
      <c r="D294" s="143"/>
      <c r="E294" s="129"/>
      <c r="F294" s="112"/>
      <c r="G294" s="112"/>
      <c r="H294" s="112"/>
      <c r="I294" s="112"/>
      <c r="J294" s="112"/>
      <c r="K294" s="112"/>
      <c r="L294" s="112"/>
      <c r="M294" s="112"/>
      <c r="N294" s="112"/>
      <c r="O294" s="112"/>
      <c r="P294" s="112"/>
      <c r="Q294" s="112"/>
      <c r="R294" s="112"/>
      <c r="S294" s="112"/>
      <c r="T294" s="112"/>
      <c r="U294" s="124"/>
      <c r="V294" s="124"/>
      <c r="W294" s="124"/>
      <c r="X294" s="124"/>
      <c r="Y294" s="124"/>
      <c r="Z294" s="112"/>
      <c r="AA294" s="112"/>
      <c r="AB294" s="112"/>
      <c r="AC294" s="112"/>
      <c r="AD294" s="112"/>
      <c r="AE294" s="112"/>
      <c r="AF294" s="112"/>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124"/>
      <c r="BO294" s="124"/>
      <c r="BP294" s="124"/>
      <c r="BQ294" s="124"/>
      <c r="BR294" s="124"/>
      <c r="BS294" s="124"/>
      <c r="BT294" s="124"/>
      <c r="BU294" s="124"/>
      <c r="BV294" s="124"/>
      <c r="BW294" s="124"/>
      <c r="BX294" s="124"/>
      <c r="BY294" s="124"/>
      <c r="BZ294" s="124"/>
      <c r="CA294" s="124"/>
    </row>
    <row r="295">
      <c r="D295" s="143"/>
      <c r="E295" s="129"/>
      <c r="F295" s="112"/>
      <c r="G295" s="112"/>
      <c r="H295" s="112"/>
      <c r="I295" s="112"/>
      <c r="J295" s="112"/>
      <c r="K295" s="112"/>
      <c r="L295" s="112"/>
      <c r="M295" s="112"/>
      <c r="N295" s="112"/>
      <c r="O295" s="112"/>
      <c r="P295" s="112"/>
      <c r="Q295" s="112"/>
      <c r="R295" s="112"/>
      <c r="S295" s="112"/>
      <c r="T295" s="112"/>
      <c r="U295" s="124"/>
      <c r="V295" s="124"/>
      <c r="W295" s="124"/>
      <c r="X295" s="124"/>
      <c r="Y295" s="124"/>
      <c r="Z295" s="112"/>
      <c r="AA295" s="112"/>
      <c r="AB295" s="112"/>
      <c r="AC295" s="112"/>
      <c r="AD295" s="112"/>
      <c r="AE295" s="112"/>
      <c r="AF295" s="112"/>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row>
    <row r="296">
      <c r="D296" s="143"/>
      <c r="E296" s="129"/>
      <c r="F296" s="112"/>
      <c r="G296" s="112"/>
      <c r="H296" s="112"/>
      <c r="I296" s="112"/>
      <c r="J296" s="112"/>
      <c r="K296" s="112"/>
      <c r="L296" s="112"/>
      <c r="M296" s="112"/>
      <c r="N296" s="112"/>
      <c r="O296" s="112"/>
      <c r="P296" s="112"/>
      <c r="Q296" s="112"/>
      <c r="R296" s="112"/>
      <c r="S296" s="112"/>
      <c r="T296" s="112"/>
      <c r="U296" s="124"/>
      <c r="V296" s="124"/>
      <c r="W296" s="124"/>
      <c r="X296" s="124"/>
      <c r="Y296" s="124"/>
      <c r="Z296" s="112"/>
      <c r="AA296" s="112"/>
      <c r="AB296" s="112"/>
      <c r="AC296" s="112"/>
      <c r="AD296" s="112"/>
      <c r="AE296" s="112"/>
      <c r="AF296" s="112"/>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row>
    <row r="297">
      <c r="D297" s="143"/>
      <c r="E297" s="129"/>
      <c r="F297" s="112"/>
      <c r="G297" s="112"/>
      <c r="H297" s="112"/>
      <c r="I297" s="112"/>
      <c r="J297" s="112"/>
      <c r="K297" s="112"/>
      <c r="L297" s="112"/>
      <c r="M297" s="112"/>
      <c r="N297" s="112"/>
      <c r="O297" s="112"/>
      <c r="P297" s="112"/>
      <c r="Q297" s="112"/>
      <c r="R297" s="112"/>
      <c r="S297" s="112"/>
      <c r="T297" s="112"/>
      <c r="U297" s="124"/>
      <c r="V297" s="124"/>
      <c r="W297" s="124"/>
      <c r="X297" s="124"/>
      <c r="Y297" s="124"/>
      <c r="Z297" s="112"/>
      <c r="AA297" s="112"/>
      <c r="AB297" s="112"/>
      <c r="AC297" s="112"/>
      <c r="AD297" s="112"/>
      <c r="AE297" s="112"/>
      <c r="AF297" s="112"/>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row>
    <row r="298">
      <c r="D298" s="143"/>
      <c r="E298" s="129"/>
      <c r="F298" s="112"/>
      <c r="G298" s="112"/>
      <c r="H298" s="112"/>
      <c r="I298" s="112"/>
      <c r="J298" s="112"/>
      <c r="K298" s="112"/>
      <c r="L298" s="112"/>
      <c r="M298" s="112"/>
      <c r="N298" s="112"/>
      <c r="O298" s="112"/>
      <c r="P298" s="112"/>
      <c r="Q298" s="112"/>
      <c r="R298" s="112"/>
      <c r="S298" s="112"/>
      <c r="T298" s="112"/>
      <c r="U298" s="124"/>
      <c r="V298" s="124"/>
      <c r="W298" s="124"/>
      <c r="X298" s="124"/>
      <c r="Y298" s="124"/>
      <c r="Z298" s="112"/>
      <c r="AA298" s="112"/>
      <c r="AB298" s="112"/>
      <c r="AC298" s="112"/>
      <c r="AD298" s="112"/>
      <c r="AE298" s="112"/>
      <c r="AF298" s="112"/>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c r="BK298" s="124"/>
      <c r="BL298" s="124"/>
      <c r="BM298" s="124"/>
      <c r="BN298" s="124"/>
      <c r="BO298" s="124"/>
      <c r="BP298" s="124"/>
      <c r="BQ298" s="124"/>
      <c r="BR298" s="124"/>
      <c r="BS298" s="124"/>
      <c r="BT298" s="124"/>
      <c r="BU298" s="124"/>
      <c r="BV298" s="124"/>
      <c r="BW298" s="124"/>
      <c r="BX298" s="124"/>
      <c r="BY298" s="124"/>
      <c r="BZ298" s="124"/>
      <c r="CA298" s="124"/>
    </row>
    <row r="299">
      <c r="D299" s="143"/>
      <c r="E299" s="129"/>
      <c r="F299" s="112"/>
      <c r="G299" s="112"/>
      <c r="H299" s="112"/>
      <c r="I299" s="112"/>
      <c r="J299" s="112"/>
      <c r="K299" s="112"/>
      <c r="L299" s="112"/>
      <c r="M299" s="112"/>
      <c r="N299" s="112"/>
      <c r="O299" s="112"/>
      <c r="P299" s="112"/>
      <c r="Q299" s="112"/>
      <c r="R299" s="112"/>
      <c r="S299" s="112"/>
      <c r="T299" s="112"/>
      <c r="U299" s="124"/>
      <c r="V299" s="124"/>
      <c r="W299" s="124"/>
      <c r="X299" s="124"/>
      <c r="Y299" s="124"/>
      <c r="Z299" s="112"/>
      <c r="AA299" s="112"/>
      <c r="AB299" s="112"/>
      <c r="AC299" s="112"/>
      <c r="AD299" s="112"/>
      <c r="AE299" s="112"/>
      <c r="AF299" s="112"/>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c r="BK299" s="124"/>
      <c r="BL299" s="124"/>
      <c r="BM299" s="124"/>
      <c r="BN299" s="124"/>
      <c r="BO299" s="124"/>
      <c r="BP299" s="124"/>
      <c r="BQ299" s="124"/>
      <c r="BR299" s="124"/>
      <c r="BS299" s="124"/>
      <c r="BT299" s="124"/>
      <c r="BU299" s="124"/>
      <c r="BV299" s="124"/>
      <c r="BW299" s="124"/>
      <c r="BX299" s="124"/>
      <c r="BY299" s="124"/>
      <c r="BZ299" s="124"/>
      <c r="CA299" s="124"/>
    </row>
    <row r="300">
      <c r="D300" s="143"/>
      <c r="E300" s="129"/>
      <c r="F300" s="112"/>
      <c r="G300" s="112"/>
      <c r="H300" s="112"/>
      <c r="I300" s="112"/>
      <c r="J300" s="112"/>
      <c r="K300" s="112"/>
      <c r="L300" s="112"/>
      <c r="M300" s="112"/>
      <c r="N300" s="112"/>
      <c r="O300" s="112"/>
      <c r="P300" s="112"/>
      <c r="Q300" s="112"/>
      <c r="R300" s="112"/>
      <c r="S300" s="112"/>
      <c r="T300" s="112"/>
      <c r="U300" s="124"/>
      <c r="V300" s="124"/>
      <c r="W300" s="124"/>
      <c r="X300" s="124"/>
      <c r="Y300" s="124"/>
      <c r="Z300" s="112"/>
      <c r="AA300" s="112"/>
      <c r="AB300" s="112"/>
      <c r="AC300" s="112"/>
      <c r="AD300" s="112"/>
      <c r="AE300" s="112"/>
      <c r="AF300" s="112"/>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row>
    <row r="301">
      <c r="D301" s="143"/>
      <c r="E301" s="129"/>
      <c r="F301" s="112"/>
      <c r="G301" s="112"/>
      <c r="H301" s="112"/>
      <c r="I301" s="112"/>
      <c r="J301" s="112"/>
      <c r="K301" s="112"/>
      <c r="L301" s="112"/>
      <c r="M301" s="112"/>
      <c r="N301" s="112"/>
      <c r="O301" s="112"/>
      <c r="P301" s="112"/>
      <c r="Q301" s="112"/>
      <c r="R301" s="112"/>
      <c r="S301" s="112"/>
      <c r="T301" s="112"/>
      <c r="U301" s="124"/>
      <c r="V301" s="124"/>
      <c r="W301" s="124"/>
      <c r="X301" s="124"/>
      <c r="Y301" s="124"/>
      <c r="Z301" s="112"/>
      <c r="AA301" s="112"/>
      <c r="AB301" s="112"/>
      <c r="AC301" s="112"/>
      <c r="AD301" s="112"/>
      <c r="AE301" s="112"/>
      <c r="AF301" s="112"/>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row>
    <row r="302">
      <c r="D302" s="143"/>
      <c r="E302" s="129"/>
      <c r="F302" s="112"/>
      <c r="G302" s="112"/>
      <c r="H302" s="112"/>
      <c r="I302" s="112"/>
      <c r="J302" s="112"/>
      <c r="K302" s="112"/>
      <c r="L302" s="112"/>
      <c r="M302" s="112"/>
      <c r="N302" s="112"/>
      <c r="O302" s="112"/>
      <c r="P302" s="112"/>
      <c r="Q302" s="112"/>
      <c r="R302" s="112"/>
      <c r="S302" s="112"/>
      <c r="T302" s="112"/>
      <c r="U302" s="124"/>
      <c r="V302" s="124"/>
      <c r="W302" s="124"/>
      <c r="X302" s="124"/>
      <c r="Y302" s="124"/>
      <c r="Z302" s="112"/>
      <c r="AA302" s="112"/>
      <c r="AB302" s="112"/>
      <c r="AC302" s="112"/>
      <c r="AD302" s="112"/>
      <c r="AE302" s="112"/>
      <c r="AF302" s="112"/>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row>
    <row r="303">
      <c r="D303" s="143"/>
      <c r="E303" s="129"/>
      <c r="F303" s="112"/>
      <c r="G303" s="112"/>
      <c r="H303" s="112"/>
      <c r="I303" s="112"/>
      <c r="J303" s="112"/>
      <c r="K303" s="112"/>
      <c r="L303" s="112"/>
      <c r="M303" s="112"/>
      <c r="N303" s="112"/>
      <c r="O303" s="112"/>
      <c r="P303" s="112"/>
      <c r="Q303" s="112"/>
      <c r="R303" s="112"/>
      <c r="S303" s="112"/>
      <c r="T303" s="112"/>
      <c r="U303" s="124"/>
      <c r="V303" s="124"/>
      <c r="W303" s="124"/>
      <c r="X303" s="124"/>
      <c r="Y303" s="124"/>
      <c r="Z303" s="112"/>
      <c r="AA303" s="112"/>
      <c r="AB303" s="112"/>
      <c r="AC303" s="112"/>
      <c r="AD303" s="112"/>
      <c r="AE303" s="112"/>
      <c r="AF303" s="112"/>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row>
    <row r="304">
      <c r="D304" s="143"/>
      <c r="E304" s="129"/>
      <c r="F304" s="112"/>
      <c r="G304" s="112"/>
      <c r="H304" s="112"/>
      <c r="I304" s="112"/>
      <c r="J304" s="112"/>
      <c r="K304" s="112"/>
      <c r="L304" s="112"/>
      <c r="M304" s="112"/>
      <c r="N304" s="112"/>
      <c r="O304" s="112"/>
      <c r="P304" s="112"/>
      <c r="Q304" s="112"/>
      <c r="R304" s="112"/>
      <c r="S304" s="112"/>
      <c r="T304" s="112"/>
      <c r="U304" s="124"/>
      <c r="V304" s="124"/>
      <c r="W304" s="124"/>
      <c r="X304" s="124"/>
      <c r="Y304" s="124"/>
      <c r="Z304" s="112"/>
      <c r="AA304" s="112"/>
      <c r="AB304" s="112"/>
      <c r="AC304" s="112"/>
      <c r="AD304" s="112"/>
      <c r="AE304" s="112"/>
      <c r="AF304" s="112"/>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row>
    <row r="305">
      <c r="D305" s="143"/>
      <c r="E305" s="129"/>
      <c r="F305" s="112"/>
      <c r="G305" s="112"/>
      <c r="H305" s="112"/>
      <c r="I305" s="112"/>
      <c r="J305" s="112"/>
      <c r="K305" s="112"/>
      <c r="L305" s="112"/>
      <c r="M305" s="112"/>
      <c r="N305" s="112"/>
      <c r="O305" s="112"/>
      <c r="P305" s="112"/>
      <c r="Q305" s="112"/>
      <c r="R305" s="112"/>
      <c r="S305" s="112"/>
      <c r="T305" s="112"/>
      <c r="U305" s="124"/>
      <c r="V305" s="124"/>
      <c r="W305" s="124"/>
      <c r="X305" s="124"/>
      <c r="Y305" s="124"/>
      <c r="Z305" s="112"/>
      <c r="AA305" s="112"/>
      <c r="AB305" s="112"/>
      <c r="AC305" s="112"/>
      <c r="AD305" s="112"/>
      <c r="AE305" s="112"/>
      <c r="AF305" s="112"/>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row>
    <row r="306">
      <c r="D306" s="143"/>
      <c r="E306" s="129"/>
      <c r="F306" s="112"/>
      <c r="G306" s="112"/>
      <c r="H306" s="112"/>
      <c r="I306" s="112"/>
      <c r="J306" s="112"/>
      <c r="K306" s="112"/>
      <c r="L306" s="112"/>
      <c r="M306" s="112"/>
      <c r="N306" s="112"/>
      <c r="O306" s="112"/>
      <c r="P306" s="112"/>
      <c r="Q306" s="112"/>
      <c r="R306" s="112"/>
      <c r="S306" s="112"/>
      <c r="T306" s="112"/>
      <c r="U306" s="124"/>
      <c r="V306" s="124"/>
      <c r="W306" s="124"/>
      <c r="X306" s="124"/>
      <c r="Y306" s="124"/>
      <c r="Z306" s="112"/>
      <c r="AA306" s="112"/>
      <c r="AB306" s="112"/>
      <c r="AC306" s="112"/>
      <c r="AD306" s="112"/>
      <c r="AE306" s="112"/>
      <c r="AF306" s="112"/>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row>
    <row r="307">
      <c r="D307" s="143"/>
      <c r="E307" s="129"/>
      <c r="F307" s="112"/>
      <c r="G307" s="112"/>
      <c r="H307" s="112"/>
      <c r="I307" s="112"/>
      <c r="J307" s="112"/>
      <c r="K307" s="112"/>
      <c r="L307" s="112"/>
      <c r="M307" s="112"/>
      <c r="N307" s="112"/>
      <c r="O307" s="112"/>
      <c r="P307" s="112"/>
      <c r="Q307" s="112"/>
      <c r="R307" s="112"/>
      <c r="S307" s="112"/>
      <c r="T307" s="112"/>
      <c r="U307" s="124"/>
      <c r="V307" s="124"/>
      <c r="W307" s="124"/>
      <c r="X307" s="124"/>
      <c r="Y307" s="124"/>
      <c r="Z307" s="112"/>
      <c r="AA307" s="112"/>
      <c r="AB307" s="112"/>
      <c r="AC307" s="112"/>
      <c r="AD307" s="112"/>
      <c r="AE307" s="112"/>
      <c r="AF307" s="112"/>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row>
    <row r="308">
      <c r="D308" s="143"/>
      <c r="E308" s="129"/>
      <c r="F308" s="112"/>
      <c r="G308" s="112"/>
      <c r="H308" s="112"/>
      <c r="I308" s="112"/>
      <c r="J308" s="112"/>
      <c r="K308" s="112"/>
      <c r="L308" s="112"/>
      <c r="M308" s="112"/>
      <c r="N308" s="112"/>
      <c r="O308" s="112"/>
      <c r="P308" s="112"/>
      <c r="Q308" s="112"/>
      <c r="R308" s="112"/>
      <c r="S308" s="112"/>
      <c r="T308" s="112"/>
      <c r="U308" s="124"/>
      <c r="V308" s="124"/>
      <c r="W308" s="124"/>
      <c r="X308" s="124"/>
      <c r="Y308" s="124"/>
      <c r="Z308" s="112"/>
      <c r="AA308" s="112"/>
      <c r="AB308" s="112"/>
      <c r="AC308" s="112"/>
      <c r="AD308" s="112"/>
      <c r="AE308" s="112"/>
      <c r="AF308" s="112"/>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row>
    <row r="309">
      <c r="D309" s="143"/>
      <c r="E309" s="129"/>
      <c r="F309" s="112"/>
      <c r="G309" s="112"/>
      <c r="H309" s="112"/>
      <c r="I309" s="112"/>
      <c r="J309" s="112"/>
      <c r="K309" s="112"/>
      <c r="L309" s="112"/>
      <c r="M309" s="112"/>
      <c r="N309" s="112"/>
      <c r="O309" s="112"/>
      <c r="P309" s="112"/>
      <c r="Q309" s="112"/>
      <c r="R309" s="112"/>
      <c r="S309" s="112"/>
      <c r="T309" s="112"/>
      <c r="U309" s="124"/>
      <c r="V309" s="124"/>
      <c r="W309" s="124"/>
      <c r="X309" s="124"/>
      <c r="Y309" s="124"/>
      <c r="Z309" s="112"/>
      <c r="AA309" s="112"/>
      <c r="AB309" s="112"/>
      <c r="AC309" s="112"/>
      <c r="AD309" s="112"/>
      <c r="AE309" s="112"/>
      <c r="AF309" s="112"/>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row>
    <row r="310">
      <c r="D310" s="143"/>
      <c r="E310" s="129"/>
      <c r="F310" s="112"/>
      <c r="G310" s="112"/>
      <c r="H310" s="112"/>
      <c r="I310" s="112"/>
      <c r="J310" s="112"/>
      <c r="K310" s="112"/>
      <c r="L310" s="112"/>
      <c r="M310" s="112"/>
      <c r="N310" s="112"/>
      <c r="O310" s="112"/>
      <c r="P310" s="112"/>
      <c r="Q310" s="112"/>
      <c r="R310" s="112"/>
      <c r="S310" s="112"/>
      <c r="T310" s="112"/>
      <c r="U310" s="124"/>
      <c r="V310" s="124"/>
      <c r="W310" s="124"/>
      <c r="X310" s="124"/>
      <c r="Y310" s="124"/>
      <c r="Z310" s="112"/>
      <c r="AA310" s="112"/>
      <c r="AB310" s="112"/>
      <c r="AC310" s="112"/>
      <c r="AD310" s="112"/>
      <c r="AE310" s="112"/>
      <c r="AF310" s="112"/>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124"/>
      <c r="BO310" s="124"/>
      <c r="BP310" s="124"/>
      <c r="BQ310" s="124"/>
      <c r="BR310" s="124"/>
      <c r="BS310" s="124"/>
      <c r="BT310" s="124"/>
      <c r="BU310" s="124"/>
      <c r="BV310" s="124"/>
      <c r="BW310" s="124"/>
      <c r="BX310" s="124"/>
      <c r="BY310" s="124"/>
      <c r="BZ310" s="124"/>
      <c r="CA310" s="124"/>
    </row>
    <row r="311">
      <c r="D311" s="143"/>
      <c r="E311" s="129"/>
      <c r="F311" s="112"/>
      <c r="G311" s="112"/>
      <c r="H311" s="112"/>
      <c r="I311" s="112"/>
      <c r="J311" s="112"/>
      <c r="K311" s="112"/>
      <c r="L311" s="112"/>
      <c r="M311" s="112"/>
      <c r="N311" s="112"/>
      <c r="O311" s="112"/>
      <c r="P311" s="112"/>
      <c r="Q311" s="112"/>
      <c r="R311" s="112"/>
      <c r="S311" s="112"/>
      <c r="T311" s="112"/>
      <c r="U311" s="124"/>
      <c r="V311" s="124"/>
      <c r="W311" s="124"/>
      <c r="X311" s="124"/>
      <c r="Y311" s="124"/>
      <c r="Z311" s="112"/>
      <c r="AA311" s="112"/>
      <c r="AB311" s="112"/>
      <c r="AC311" s="112"/>
      <c r="AD311" s="112"/>
      <c r="AE311" s="112"/>
      <c r="AF311" s="112"/>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c r="BK311" s="124"/>
      <c r="BL311" s="124"/>
      <c r="BM311" s="124"/>
      <c r="BN311" s="124"/>
      <c r="BO311" s="124"/>
      <c r="BP311" s="124"/>
      <c r="BQ311" s="124"/>
      <c r="BR311" s="124"/>
      <c r="BS311" s="124"/>
      <c r="BT311" s="124"/>
      <c r="BU311" s="124"/>
      <c r="BV311" s="124"/>
      <c r="BW311" s="124"/>
      <c r="BX311" s="124"/>
      <c r="BY311" s="124"/>
      <c r="BZ311" s="124"/>
      <c r="CA311" s="124"/>
    </row>
    <row r="312">
      <c r="D312" s="143"/>
      <c r="E312" s="129"/>
      <c r="F312" s="112"/>
      <c r="G312" s="112"/>
      <c r="H312" s="112"/>
      <c r="I312" s="112"/>
      <c r="J312" s="112"/>
      <c r="K312" s="112"/>
      <c r="L312" s="112"/>
      <c r="M312" s="112"/>
      <c r="N312" s="112"/>
      <c r="O312" s="112"/>
      <c r="P312" s="112"/>
      <c r="Q312" s="112"/>
      <c r="R312" s="112"/>
      <c r="S312" s="112"/>
      <c r="T312" s="112"/>
      <c r="U312" s="124"/>
      <c r="V312" s="124"/>
      <c r="W312" s="124"/>
      <c r="X312" s="124"/>
      <c r="Y312" s="124"/>
      <c r="Z312" s="112"/>
      <c r="AA312" s="112"/>
      <c r="AB312" s="112"/>
      <c r="AC312" s="112"/>
      <c r="AD312" s="112"/>
      <c r="AE312" s="112"/>
      <c r="AF312" s="112"/>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124"/>
      <c r="BO312" s="124"/>
      <c r="BP312" s="124"/>
      <c r="BQ312" s="124"/>
      <c r="BR312" s="124"/>
      <c r="BS312" s="124"/>
      <c r="BT312" s="124"/>
      <c r="BU312" s="124"/>
      <c r="BV312" s="124"/>
      <c r="BW312" s="124"/>
      <c r="BX312" s="124"/>
      <c r="BY312" s="124"/>
      <c r="BZ312" s="124"/>
      <c r="CA312" s="124"/>
    </row>
    <row r="313">
      <c r="D313" s="143"/>
      <c r="E313" s="129"/>
      <c r="F313" s="112"/>
      <c r="G313" s="112"/>
      <c r="H313" s="112"/>
      <c r="I313" s="112"/>
      <c r="J313" s="112"/>
      <c r="K313" s="112"/>
      <c r="L313" s="112"/>
      <c r="M313" s="112"/>
      <c r="N313" s="112"/>
      <c r="O313" s="112"/>
      <c r="P313" s="112"/>
      <c r="Q313" s="112"/>
      <c r="R313" s="112"/>
      <c r="S313" s="112"/>
      <c r="T313" s="112"/>
      <c r="U313" s="124"/>
      <c r="V313" s="124"/>
      <c r="W313" s="124"/>
      <c r="X313" s="124"/>
      <c r="Y313" s="124"/>
      <c r="Z313" s="112"/>
      <c r="AA313" s="112"/>
      <c r="AB313" s="112"/>
      <c r="AC313" s="112"/>
      <c r="AD313" s="112"/>
      <c r="AE313" s="112"/>
      <c r="AF313" s="112"/>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124"/>
      <c r="BO313" s="124"/>
      <c r="BP313" s="124"/>
      <c r="BQ313" s="124"/>
      <c r="BR313" s="124"/>
      <c r="BS313" s="124"/>
      <c r="BT313" s="124"/>
      <c r="BU313" s="124"/>
      <c r="BV313" s="124"/>
      <c r="BW313" s="124"/>
      <c r="BX313" s="124"/>
      <c r="BY313" s="124"/>
      <c r="BZ313" s="124"/>
      <c r="CA313" s="124"/>
    </row>
    <row r="314">
      <c r="D314" s="143"/>
      <c r="E314" s="129"/>
      <c r="F314" s="112"/>
      <c r="G314" s="112"/>
      <c r="H314" s="112"/>
      <c r="I314" s="112"/>
      <c r="J314" s="112"/>
      <c r="K314" s="112"/>
      <c r="L314" s="112"/>
      <c r="M314" s="112"/>
      <c r="N314" s="112"/>
      <c r="O314" s="112"/>
      <c r="P314" s="112"/>
      <c r="Q314" s="112"/>
      <c r="R314" s="112"/>
      <c r="S314" s="112"/>
      <c r="T314" s="112"/>
      <c r="U314" s="124"/>
      <c r="V314" s="124"/>
      <c r="W314" s="124"/>
      <c r="X314" s="124"/>
      <c r="Y314" s="124"/>
      <c r="Z314" s="112"/>
      <c r="AA314" s="112"/>
      <c r="AB314" s="112"/>
      <c r="AC314" s="112"/>
      <c r="AD314" s="112"/>
      <c r="AE314" s="112"/>
      <c r="AF314" s="112"/>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row>
    <row r="315">
      <c r="D315" s="143"/>
      <c r="E315" s="129"/>
      <c r="F315" s="112"/>
      <c r="G315" s="112"/>
      <c r="H315" s="112"/>
      <c r="I315" s="112"/>
      <c r="J315" s="112"/>
      <c r="K315" s="112"/>
      <c r="L315" s="112"/>
      <c r="M315" s="112"/>
      <c r="N315" s="112"/>
      <c r="O315" s="112"/>
      <c r="P315" s="112"/>
      <c r="Q315" s="112"/>
      <c r="R315" s="112"/>
      <c r="S315" s="112"/>
      <c r="T315" s="112"/>
      <c r="U315" s="124"/>
      <c r="V315" s="124"/>
      <c r="W315" s="124"/>
      <c r="X315" s="124"/>
      <c r="Y315" s="124"/>
      <c r="Z315" s="112"/>
      <c r="AA315" s="112"/>
      <c r="AB315" s="112"/>
      <c r="AC315" s="112"/>
      <c r="AD315" s="112"/>
      <c r="AE315" s="112"/>
      <c r="AF315" s="112"/>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row>
    <row r="316">
      <c r="D316" s="143"/>
      <c r="E316" s="129"/>
      <c r="F316" s="112"/>
      <c r="G316" s="112"/>
      <c r="H316" s="112"/>
      <c r="I316" s="112"/>
      <c r="J316" s="112"/>
      <c r="K316" s="112"/>
      <c r="L316" s="112"/>
      <c r="M316" s="112"/>
      <c r="N316" s="112"/>
      <c r="O316" s="112"/>
      <c r="P316" s="112"/>
      <c r="Q316" s="112"/>
      <c r="R316" s="112"/>
      <c r="S316" s="112"/>
      <c r="T316" s="112"/>
      <c r="U316" s="124"/>
      <c r="V316" s="124"/>
      <c r="W316" s="124"/>
      <c r="X316" s="124"/>
      <c r="Y316" s="124"/>
      <c r="Z316" s="112"/>
      <c r="AA316" s="112"/>
      <c r="AB316" s="112"/>
      <c r="AC316" s="112"/>
      <c r="AD316" s="112"/>
      <c r="AE316" s="112"/>
      <c r="AF316" s="112"/>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124"/>
      <c r="BO316" s="124"/>
      <c r="BP316" s="124"/>
      <c r="BQ316" s="124"/>
      <c r="BR316" s="124"/>
      <c r="BS316" s="124"/>
      <c r="BT316" s="124"/>
      <c r="BU316" s="124"/>
      <c r="BV316" s="124"/>
      <c r="BW316" s="124"/>
      <c r="BX316" s="124"/>
      <c r="BY316" s="124"/>
      <c r="BZ316" s="124"/>
      <c r="CA316" s="124"/>
    </row>
    <row r="317">
      <c r="D317" s="143"/>
      <c r="E317" s="129"/>
      <c r="F317" s="112"/>
      <c r="G317" s="112"/>
      <c r="H317" s="112"/>
      <c r="I317" s="112"/>
      <c r="J317" s="112"/>
      <c r="K317" s="112"/>
      <c r="L317" s="112"/>
      <c r="M317" s="112"/>
      <c r="N317" s="112"/>
      <c r="O317" s="112"/>
      <c r="P317" s="112"/>
      <c r="Q317" s="112"/>
      <c r="R317" s="112"/>
      <c r="S317" s="112"/>
      <c r="T317" s="112"/>
      <c r="U317" s="124"/>
      <c r="V317" s="124"/>
      <c r="W317" s="124"/>
      <c r="X317" s="124"/>
      <c r="Y317" s="124"/>
      <c r="Z317" s="112"/>
      <c r="AA317" s="112"/>
      <c r="AB317" s="112"/>
      <c r="AC317" s="112"/>
      <c r="AD317" s="112"/>
      <c r="AE317" s="112"/>
      <c r="AF317" s="112"/>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124"/>
      <c r="BO317" s="124"/>
      <c r="BP317" s="124"/>
      <c r="BQ317" s="124"/>
      <c r="BR317" s="124"/>
      <c r="BS317" s="124"/>
      <c r="BT317" s="124"/>
      <c r="BU317" s="124"/>
      <c r="BV317" s="124"/>
      <c r="BW317" s="124"/>
      <c r="BX317" s="124"/>
      <c r="BY317" s="124"/>
      <c r="BZ317" s="124"/>
      <c r="CA317" s="124"/>
    </row>
    <row r="318">
      <c r="D318" s="143"/>
      <c r="E318" s="129"/>
      <c r="F318" s="112"/>
      <c r="G318" s="112"/>
      <c r="H318" s="112"/>
      <c r="I318" s="112"/>
      <c r="J318" s="112"/>
      <c r="K318" s="112"/>
      <c r="L318" s="112"/>
      <c r="M318" s="112"/>
      <c r="N318" s="112"/>
      <c r="O318" s="112"/>
      <c r="P318" s="112"/>
      <c r="Q318" s="112"/>
      <c r="R318" s="112"/>
      <c r="S318" s="112"/>
      <c r="T318" s="112"/>
      <c r="U318" s="124"/>
      <c r="V318" s="124"/>
      <c r="W318" s="124"/>
      <c r="X318" s="124"/>
      <c r="Y318" s="124"/>
      <c r="Z318" s="112"/>
      <c r="AA318" s="112"/>
      <c r="AB318" s="112"/>
      <c r="AC318" s="112"/>
      <c r="AD318" s="112"/>
      <c r="AE318" s="112"/>
      <c r="AF318" s="112"/>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c r="BK318" s="124"/>
      <c r="BL318" s="124"/>
      <c r="BM318" s="124"/>
      <c r="BN318" s="124"/>
      <c r="BO318" s="124"/>
      <c r="BP318" s="124"/>
      <c r="BQ318" s="124"/>
      <c r="BR318" s="124"/>
      <c r="BS318" s="124"/>
      <c r="BT318" s="124"/>
      <c r="BU318" s="124"/>
      <c r="BV318" s="124"/>
      <c r="BW318" s="124"/>
      <c r="BX318" s="124"/>
      <c r="BY318" s="124"/>
      <c r="BZ318" s="124"/>
      <c r="CA318" s="124"/>
    </row>
    <row r="319">
      <c r="D319" s="143"/>
      <c r="E319" s="129"/>
      <c r="F319" s="112"/>
      <c r="G319" s="112"/>
      <c r="H319" s="112"/>
      <c r="I319" s="112"/>
      <c r="J319" s="112"/>
      <c r="K319" s="112"/>
      <c r="L319" s="112"/>
      <c r="M319" s="112"/>
      <c r="N319" s="112"/>
      <c r="O319" s="112"/>
      <c r="P319" s="112"/>
      <c r="Q319" s="112"/>
      <c r="R319" s="112"/>
      <c r="S319" s="112"/>
      <c r="T319" s="112"/>
      <c r="U319" s="124"/>
      <c r="V319" s="124"/>
      <c r="W319" s="124"/>
      <c r="X319" s="124"/>
      <c r="Y319" s="124"/>
      <c r="Z319" s="112"/>
      <c r="AA319" s="112"/>
      <c r="AB319" s="112"/>
      <c r="AC319" s="112"/>
      <c r="AD319" s="112"/>
      <c r="AE319" s="112"/>
      <c r="AF319" s="112"/>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124"/>
      <c r="BO319" s="124"/>
      <c r="BP319" s="124"/>
      <c r="BQ319" s="124"/>
      <c r="BR319" s="124"/>
      <c r="BS319" s="124"/>
      <c r="BT319" s="124"/>
      <c r="BU319" s="124"/>
      <c r="BV319" s="124"/>
      <c r="BW319" s="124"/>
      <c r="BX319" s="124"/>
      <c r="BY319" s="124"/>
      <c r="BZ319" s="124"/>
      <c r="CA319" s="124"/>
    </row>
    <row r="320">
      <c r="D320" s="143"/>
      <c r="E320" s="129"/>
      <c r="F320" s="112"/>
      <c r="G320" s="112"/>
      <c r="H320" s="112"/>
      <c r="I320" s="112"/>
      <c r="J320" s="112"/>
      <c r="K320" s="112"/>
      <c r="L320" s="112"/>
      <c r="M320" s="112"/>
      <c r="N320" s="112"/>
      <c r="O320" s="112"/>
      <c r="P320" s="112"/>
      <c r="Q320" s="112"/>
      <c r="R320" s="112"/>
      <c r="S320" s="112"/>
      <c r="T320" s="112"/>
      <c r="U320" s="124"/>
      <c r="V320" s="124"/>
      <c r="W320" s="124"/>
      <c r="X320" s="124"/>
      <c r="Y320" s="124"/>
      <c r="Z320" s="112"/>
      <c r="AA320" s="112"/>
      <c r="AB320" s="112"/>
      <c r="AC320" s="112"/>
      <c r="AD320" s="112"/>
      <c r="AE320" s="112"/>
      <c r="AF320" s="112"/>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row>
    <row r="321">
      <c r="D321" s="143"/>
      <c r="E321" s="129"/>
      <c r="F321" s="112"/>
      <c r="G321" s="112"/>
      <c r="H321" s="112"/>
      <c r="I321" s="112"/>
      <c r="J321" s="112"/>
      <c r="K321" s="112"/>
      <c r="L321" s="112"/>
      <c r="M321" s="112"/>
      <c r="N321" s="112"/>
      <c r="O321" s="112"/>
      <c r="P321" s="112"/>
      <c r="Q321" s="112"/>
      <c r="R321" s="112"/>
      <c r="S321" s="112"/>
      <c r="T321" s="112"/>
      <c r="U321" s="124"/>
      <c r="V321" s="124"/>
      <c r="W321" s="124"/>
      <c r="X321" s="124"/>
      <c r="Y321" s="124"/>
      <c r="Z321" s="112"/>
      <c r="AA321" s="112"/>
      <c r="AB321" s="112"/>
      <c r="AC321" s="112"/>
      <c r="AD321" s="112"/>
      <c r="AE321" s="112"/>
      <c r="AF321" s="112"/>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c r="BZ321" s="124"/>
      <c r="CA321" s="124"/>
    </row>
    <row r="322">
      <c r="D322" s="143"/>
      <c r="E322" s="129"/>
      <c r="F322" s="112"/>
      <c r="G322" s="112"/>
      <c r="H322" s="112"/>
      <c r="I322" s="112"/>
      <c r="J322" s="112"/>
      <c r="K322" s="112"/>
      <c r="L322" s="112"/>
      <c r="M322" s="112"/>
      <c r="N322" s="112"/>
      <c r="O322" s="112"/>
      <c r="P322" s="112"/>
      <c r="Q322" s="112"/>
      <c r="R322" s="112"/>
      <c r="S322" s="112"/>
      <c r="T322" s="112"/>
      <c r="U322" s="124"/>
      <c r="V322" s="124"/>
      <c r="W322" s="124"/>
      <c r="X322" s="124"/>
      <c r="Y322" s="124"/>
      <c r="Z322" s="112"/>
      <c r="AA322" s="112"/>
      <c r="AB322" s="112"/>
      <c r="AC322" s="112"/>
      <c r="AD322" s="112"/>
      <c r="AE322" s="112"/>
      <c r="AF322" s="112"/>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124"/>
      <c r="BO322" s="124"/>
      <c r="BP322" s="124"/>
      <c r="BQ322" s="124"/>
      <c r="BR322" s="124"/>
      <c r="BS322" s="124"/>
      <c r="BT322" s="124"/>
      <c r="BU322" s="124"/>
      <c r="BV322" s="124"/>
      <c r="BW322" s="124"/>
      <c r="BX322" s="124"/>
      <c r="BY322" s="124"/>
      <c r="BZ322" s="124"/>
      <c r="CA322" s="124"/>
    </row>
    <row r="323">
      <c r="D323" s="143"/>
      <c r="E323" s="129"/>
      <c r="F323" s="112"/>
      <c r="G323" s="112"/>
      <c r="H323" s="112"/>
      <c r="I323" s="112"/>
      <c r="J323" s="112"/>
      <c r="K323" s="112"/>
      <c r="L323" s="112"/>
      <c r="M323" s="112"/>
      <c r="N323" s="112"/>
      <c r="O323" s="112"/>
      <c r="P323" s="112"/>
      <c r="Q323" s="112"/>
      <c r="R323" s="112"/>
      <c r="S323" s="112"/>
      <c r="T323" s="112"/>
      <c r="U323" s="124"/>
      <c r="V323" s="124"/>
      <c r="W323" s="124"/>
      <c r="X323" s="124"/>
      <c r="Y323" s="124"/>
      <c r="Z323" s="112"/>
      <c r="AA323" s="112"/>
      <c r="AB323" s="112"/>
      <c r="AC323" s="112"/>
      <c r="AD323" s="112"/>
      <c r="AE323" s="112"/>
      <c r="AF323" s="112"/>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4"/>
      <c r="BR323" s="124"/>
      <c r="BS323" s="124"/>
      <c r="BT323" s="124"/>
      <c r="BU323" s="124"/>
      <c r="BV323" s="124"/>
      <c r="BW323" s="124"/>
      <c r="BX323" s="124"/>
      <c r="BY323" s="124"/>
      <c r="BZ323" s="124"/>
      <c r="CA323" s="124"/>
    </row>
    <row r="324">
      <c r="D324" s="143"/>
      <c r="E324" s="129"/>
      <c r="F324" s="112"/>
      <c r="G324" s="112"/>
      <c r="H324" s="112"/>
      <c r="I324" s="112"/>
      <c r="J324" s="112"/>
      <c r="K324" s="112"/>
      <c r="L324" s="112"/>
      <c r="M324" s="112"/>
      <c r="N324" s="112"/>
      <c r="O324" s="112"/>
      <c r="P324" s="112"/>
      <c r="Q324" s="112"/>
      <c r="R324" s="112"/>
      <c r="S324" s="112"/>
      <c r="T324" s="112"/>
      <c r="U324" s="124"/>
      <c r="V324" s="124"/>
      <c r="W324" s="124"/>
      <c r="X324" s="124"/>
      <c r="Y324" s="124"/>
      <c r="Z324" s="112"/>
      <c r="AA324" s="112"/>
      <c r="AB324" s="112"/>
      <c r="AC324" s="112"/>
      <c r="AD324" s="112"/>
      <c r="AE324" s="112"/>
      <c r="AF324" s="112"/>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124"/>
      <c r="BO324" s="124"/>
      <c r="BP324" s="124"/>
      <c r="BQ324" s="124"/>
      <c r="BR324" s="124"/>
      <c r="BS324" s="124"/>
      <c r="BT324" s="124"/>
      <c r="BU324" s="124"/>
      <c r="BV324" s="124"/>
      <c r="BW324" s="124"/>
      <c r="BX324" s="124"/>
      <c r="BY324" s="124"/>
      <c r="BZ324" s="124"/>
      <c r="CA324" s="124"/>
    </row>
    <row r="325">
      <c r="D325" s="143"/>
      <c r="E325" s="129"/>
      <c r="F325" s="112"/>
      <c r="G325" s="112"/>
      <c r="H325" s="112"/>
      <c r="I325" s="112"/>
      <c r="J325" s="112"/>
      <c r="K325" s="112"/>
      <c r="L325" s="112"/>
      <c r="M325" s="112"/>
      <c r="N325" s="112"/>
      <c r="O325" s="112"/>
      <c r="P325" s="112"/>
      <c r="Q325" s="112"/>
      <c r="R325" s="112"/>
      <c r="S325" s="112"/>
      <c r="T325" s="112"/>
      <c r="U325" s="124"/>
      <c r="V325" s="124"/>
      <c r="W325" s="124"/>
      <c r="X325" s="124"/>
      <c r="Y325" s="124"/>
      <c r="Z325" s="112"/>
      <c r="AA325" s="112"/>
      <c r="AB325" s="112"/>
      <c r="AC325" s="112"/>
      <c r="AD325" s="112"/>
      <c r="AE325" s="112"/>
      <c r="AF325" s="112"/>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c r="BK325" s="124"/>
      <c r="BL325" s="124"/>
      <c r="BM325" s="124"/>
      <c r="BN325" s="124"/>
      <c r="BO325" s="124"/>
      <c r="BP325" s="124"/>
      <c r="BQ325" s="124"/>
      <c r="BR325" s="124"/>
      <c r="BS325" s="124"/>
      <c r="BT325" s="124"/>
      <c r="BU325" s="124"/>
      <c r="BV325" s="124"/>
      <c r="BW325" s="124"/>
      <c r="BX325" s="124"/>
      <c r="BY325" s="124"/>
      <c r="BZ325" s="124"/>
      <c r="CA325" s="124"/>
    </row>
    <row r="326">
      <c r="D326" s="143"/>
      <c r="E326" s="129"/>
      <c r="F326" s="112"/>
      <c r="G326" s="112"/>
      <c r="H326" s="112"/>
      <c r="I326" s="112"/>
      <c r="J326" s="112"/>
      <c r="K326" s="112"/>
      <c r="L326" s="112"/>
      <c r="M326" s="112"/>
      <c r="N326" s="112"/>
      <c r="O326" s="112"/>
      <c r="P326" s="112"/>
      <c r="Q326" s="112"/>
      <c r="R326" s="112"/>
      <c r="S326" s="112"/>
      <c r="T326" s="112"/>
      <c r="U326" s="124"/>
      <c r="V326" s="124"/>
      <c r="W326" s="124"/>
      <c r="X326" s="124"/>
      <c r="Y326" s="124"/>
      <c r="Z326" s="112"/>
      <c r="AA326" s="112"/>
      <c r="AB326" s="112"/>
      <c r="AC326" s="112"/>
      <c r="AD326" s="112"/>
      <c r="AE326" s="112"/>
      <c r="AF326" s="112"/>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row>
    <row r="327">
      <c r="D327" s="143"/>
      <c r="E327" s="129"/>
      <c r="F327" s="112"/>
      <c r="G327" s="112"/>
      <c r="H327" s="112"/>
      <c r="I327" s="112"/>
      <c r="J327" s="112"/>
      <c r="K327" s="112"/>
      <c r="L327" s="112"/>
      <c r="M327" s="112"/>
      <c r="N327" s="112"/>
      <c r="O327" s="112"/>
      <c r="P327" s="112"/>
      <c r="Q327" s="112"/>
      <c r="R327" s="112"/>
      <c r="S327" s="112"/>
      <c r="T327" s="112"/>
      <c r="U327" s="124"/>
      <c r="V327" s="124"/>
      <c r="W327" s="124"/>
      <c r="X327" s="124"/>
      <c r="Y327" s="124"/>
      <c r="Z327" s="112"/>
      <c r="AA327" s="112"/>
      <c r="AB327" s="112"/>
      <c r="AC327" s="112"/>
      <c r="AD327" s="112"/>
      <c r="AE327" s="112"/>
      <c r="AF327" s="112"/>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c r="BK327" s="124"/>
      <c r="BL327" s="124"/>
      <c r="BM327" s="124"/>
      <c r="BN327" s="124"/>
      <c r="BO327" s="124"/>
      <c r="BP327" s="124"/>
      <c r="BQ327" s="124"/>
      <c r="BR327" s="124"/>
      <c r="BS327" s="124"/>
      <c r="BT327" s="124"/>
      <c r="BU327" s="124"/>
      <c r="BV327" s="124"/>
      <c r="BW327" s="124"/>
      <c r="BX327" s="124"/>
      <c r="BY327" s="124"/>
      <c r="BZ327" s="124"/>
      <c r="CA327" s="124"/>
    </row>
    <row r="328">
      <c r="D328" s="143"/>
      <c r="E328" s="129"/>
      <c r="F328" s="112"/>
      <c r="G328" s="112"/>
      <c r="H328" s="112"/>
      <c r="I328" s="112"/>
      <c r="J328" s="112"/>
      <c r="K328" s="112"/>
      <c r="L328" s="112"/>
      <c r="M328" s="112"/>
      <c r="N328" s="112"/>
      <c r="O328" s="112"/>
      <c r="P328" s="112"/>
      <c r="Q328" s="112"/>
      <c r="R328" s="112"/>
      <c r="S328" s="112"/>
      <c r="T328" s="112"/>
      <c r="U328" s="124"/>
      <c r="V328" s="124"/>
      <c r="W328" s="124"/>
      <c r="X328" s="124"/>
      <c r="Y328" s="124"/>
      <c r="Z328" s="112"/>
      <c r="AA328" s="112"/>
      <c r="AB328" s="112"/>
      <c r="AC328" s="112"/>
      <c r="AD328" s="112"/>
      <c r="AE328" s="112"/>
      <c r="AF328" s="112"/>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124"/>
      <c r="BO328" s="124"/>
      <c r="BP328" s="124"/>
      <c r="BQ328" s="124"/>
      <c r="BR328" s="124"/>
      <c r="BS328" s="124"/>
      <c r="BT328" s="124"/>
      <c r="BU328" s="124"/>
      <c r="BV328" s="124"/>
      <c r="BW328" s="124"/>
      <c r="BX328" s="124"/>
      <c r="BY328" s="124"/>
      <c r="BZ328" s="124"/>
      <c r="CA328" s="124"/>
    </row>
    <row r="329">
      <c r="D329" s="143"/>
      <c r="E329" s="129"/>
      <c r="F329" s="112"/>
      <c r="G329" s="112"/>
      <c r="H329" s="112"/>
      <c r="I329" s="112"/>
      <c r="J329" s="112"/>
      <c r="K329" s="112"/>
      <c r="L329" s="112"/>
      <c r="M329" s="112"/>
      <c r="N329" s="112"/>
      <c r="O329" s="112"/>
      <c r="P329" s="112"/>
      <c r="Q329" s="112"/>
      <c r="R329" s="112"/>
      <c r="S329" s="112"/>
      <c r="T329" s="112"/>
      <c r="U329" s="124"/>
      <c r="V329" s="124"/>
      <c r="W329" s="124"/>
      <c r="X329" s="124"/>
      <c r="Y329" s="124"/>
      <c r="Z329" s="112"/>
      <c r="AA329" s="112"/>
      <c r="AB329" s="112"/>
      <c r="AC329" s="112"/>
      <c r="AD329" s="112"/>
      <c r="AE329" s="112"/>
      <c r="AF329" s="112"/>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row>
    <row r="330">
      <c r="D330" s="143"/>
      <c r="E330" s="129"/>
      <c r="F330" s="112"/>
      <c r="G330" s="112"/>
      <c r="H330" s="112"/>
      <c r="I330" s="112"/>
      <c r="J330" s="112"/>
      <c r="K330" s="112"/>
      <c r="L330" s="112"/>
      <c r="M330" s="112"/>
      <c r="N330" s="112"/>
      <c r="O330" s="112"/>
      <c r="P330" s="112"/>
      <c r="Q330" s="112"/>
      <c r="R330" s="112"/>
      <c r="S330" s="112"/>
      <c r="T330" s="112"/>
      <c r="U330" s="124"/>
      <c r="V330" s="124"/>
      <c r="W330" s="124"/>
      <c r="X330" s="124"/>
      <c r="Y330" s="124"/>
      <c r="Z330" s="112"/>
      <c r="AA330" s="112"/>
      <c r="AB330" s="112"/>
      <c r="AC330" s="112"/>
      <c r="AD330" s="112"/>
      <c r="AE330" s="112"/>
      <c r="AF330" s="112"/>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124"/>
      <c r="BO330" s="124"/>
      <c r="BP330" s="124"/>
      <c r="BQ330" s="124"/>
      <c r="BR330" s="124"/>
      <c r="BS330" s="124"/>
      <c r="BT330" s="124"/>
      <c r="BU330" s="124"/>
      <c r="BV330" s="124"/>
      <c r="BW330" s="124"/>
      <c r="BX330" s="124"/>
      <c r="BY330" s="124"/>
      <c r="BZ330" s="124"/>
      <c r="CA330" s="124"/>
    </row>
    <row r="331">
      <c r="D331" s="143"/>
      <c r="E331" s="129"/>
      <c r="F331" s="112"/>
      <c r="G331" s="112"/>
      <c r="H331" s="112"/>
      <c r="I331" s="112"/>
      <c r="J331" s="112"/>
      <c r="K331" s="112"/>
      <c r="L331" s="112"/>
      <c r="M331" s="112"/>
      <c r="N331" s="112"/>
      <c r="O331" s="112"/>
      <c r="P331" s="112"/>
      <c r="Q331" s="112"/>
      <c r="R331" s="112"/>
      <c r="S331" s="112"/>
      <c r="T331" s="112"/>
      <c r="U331" s="124"/>
      <c r="V331" s="124"/>
      <c r="W331" s="124"/>
      <c r="X331" s="124"/>
      <c r="Y331" s="124"/>
      <c r="Z331" s="112"/>
      <c r="AA331" s="112"/>
      <c r="AB331" s="112"/>
      <c r="AC331" s="112"/>
      <c r="AD331" s="112"/>
      <c r="AE331" s="112"/>
      <c r="AF331" s="112"/>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c r="BK331" s="124"/>
      <c r="BL331" s="124"/>
      <c r="BM331" s="124"/>
      <c r="BN331" s="124"/>
      <c r="BO331" s="124"/>
      <c r="BP331" s="124"/>
      <c r="BQ331" s="124"/>
      <c r="BR331" s="124"/>
      <c r="BS331" s="124"/>
      <c r="BT331" s="124"/>
      <c r="BU331" s="124"/>
      <c r="BV331" s="124"/>
      <c r="BW331" s="124"/>
      <c r="BX331" s="124"/>
      <c r="BY331" s="124"/>
      <c r="BZ331" s="124"/>
      <c r="CA331" s="124"/>
    </row>
    <row r="332">
      <c r="D332" s="143"/>
      <c r="E332" s="129"/>
      <c r="F332" s="112"/>
      <c r="G332" s="112"/>
      <c r="H332" s="112"/>
      <c r="I332" s="112"/>
      <c r="J332" s="112"/>
      <c r="K332" s="112"/>
      <c r="L332" s="112"/>
      <c r="M332" s="112"/>
      <c r="N332" s="112"/>
      <c r="O332" s="112"/>
      <c r="P332" s="112"/>
      <c r="Q332" s="112"/>
      <c r="R332" s="112"/>
      <c r="S332" s="112"/>
      <c r="T332" s="112"/>
      <c r="U332" s="124"/>
      <c r="V332" s="124"/>
      <c r="W332" s="124"/>
      <c r="X332" s="124"/>
      <c r="Y332" s="124"/>
      <c r="Z332" s="112"/>
      <c r="AA332" s="112"/>
      <c r="AB332" s="112"/>
      <c r="AC332" s="112"/>
      <c r="AD332" s="112"/>
      <c r="AE332" s="112"/>
      <c r="AF332" s="112"/>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row>
    <row r="333">
      <c r="D333" s="143"/>
      <c r="E333" s="129"/>
      <c r="F333" s="112"/>
      <c r="G333" s="112"/>
      <c r="H333" s="112"/>
      <c r="I333" s="112"/>
      <c r="J333" s="112"/>
      <c r="K333" s="112"/>
      <c r="L333" s="112"/>
      <c r="M333" s="112"/>
      <c r="N333" s="112"/>
      <c r="O333" s="112"/>
      <c r="P333" s="112"/>
      <c r="Q333" s="112"/>
      <c r="R333" s="112"/>
      <c r="S333" s="112"/>
      <c r="T333" s="112"/>
      <c r="U333" s="124"/>
      <c r="V333" s="124"/>
      <c r="W333" s="124"/>
      <c r="X333" s="124"/>
      <c r="Y333" s="124"/>
      <c r="Z333" s="112"/>
      <c r="AA333" s="112"/>
      <c r="AB333" s="112"/>
      <c r="AC333" s="112"/>
      <c r="AD333" s="112"/>
      <c r="AE333" s="112"/>
      <c r="AF333" s="112"/>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c r="BK333" s="124"/>
      <c r="BL333" s="124"/>
      <c r="BM333" s="124"/>
      <c r="BN333" s="124"/>
      <c r="BO333" s="124"/>
      <c r="BP333" s="124"/>
      <c r="BQ333" s="124"/>
      <c r="BR333" s="124"/>
      <c r="BS333" s="124"/>
      <c r="BT333" s="124"/>
      <c r="BU333" s="124"/>
      <c r="BV333" s="124"/>
      <c r="BW333" s="124"/>
      <c r="BX333" s="124"/>
      <c r="BY333" s="124"/>
      <c r="BZ333" s="124"/>
      <c r="CA333" s="124"/>
    </row>
    <row r="334">
      <c r="D334" s="143"/>
      <c r="E334" s="129"/>
      <c r="F334" s="112"/>
      <c r="G334" s="112"/>
      <c r="H334" s="112"/>
      <c r="I334" s="112"/>
      <c r="J334" s="112"/>
      <c r="K334" s="112"/>
      <c r="L334" s="112"/>
      <c r="M334" s="112"/>
      <c r="N334" s="112"/>
      <c r="O334" s="112"/>
      <c r="P334" s="112"/>
      <c r="Q334" s="112"/>
      <c r="R334" s="112"/>
      <c r="S334" s="112"/>
      <c r="T334" s="112"/>
      <c r="U334" s="124"/>
      <c r="V334" s="124"/>
      <c r="W334" s="124"/>
      <c r="X334" s="124"/>
      <c r="Y334" s="124"/>
      <c r="Z334" s="112"/>
      <c r="AA334" s="112"/>
      <c r="AB334" s="112"/>
      <c r="AC334" s="112"/>
      <c r="AD334" s="112"/>
      <c r="AE334" s="112"/>
      <c r="AF334" s="112"/>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c r="BK334" s="124"/>
      <c r="BL334" s="124"/>
      <c r="BM334" s="124"/>
      <c r="BN334" s="124"/>
      <c r="BO334" s="124"/>
      <c r="BP334" s="124"/>
      <c r="BQ334" s="124"/>
      <c r="BR334" s="124"/>
      <c r="BS334" s="124"/>
      <c r="BT334" s="124"/>
      <c r="BU334" s="124"/>
      <c r="BV334" s="124"/>
      <c r="BW334" s="124"/>
      <c r="BX334" s="124"/>
      <c r="BY334" s="124"/>
      <c r="BZ334" s="124"/>
      <c r="CA334" s="124"/>
    </row>
    <row r="335">
      <c r="D335" s="143"/>
      <c r="E335" s="129"/>
      <c r="F335" s="112"/>
      <c r="G335" s="112"/>
      <c r="H335" s="112"/>
      <c r="I335" s="112"/>
      <c r="J335" s="112"/>
      <c r="K335" s="112"/>
      <c r="L335" s="112"/>
      <c r="M335" s="112"/>
      <c r="N335" s="112"/>
      <c r="O335" s="112"/>
      <c r="P335" s="112"/>
      <c r="Q335" s="112"/>
      <c r="R335" s="112"/>
      <c r="S335" s="112"/>
      <c r="T335" s="112"/>
      <c r="U335" s="124"/>
      <c r="V335" s="124"/>
      <c r="W335" s="124"/>
      <c r="X335" s="124"/>
      <c r="Y335" s="124"/>
      <c r="Z335" s="112"/>
      <c r="AA335" s="112"/>
      <c r="AB335" s="112"/>
      <c r="AC335" s="112"/>
      <c r="AD335" s="112"/>
      <c r="AE335" s="112"/>
      <c r="AF335" s="112"/>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c r="BK335" s="124"/>
      <c r="BL335" s="124"/>
      <c r="BM335" s="124"/>
      <c r="BN335" s="124"/>
      <c r="BO335" s="124"/>
      <c r="BP335" s="124"/>
      <c r="BQ335" s="124"/>
      <c r="BR335" s="124"/>
      <c r="BS335" s="124"/>
      <c r="BT335" s="124"/>
      <c r="BU335" s="124"/>
      <c r="BV335" s="124"/>
      <c r="BW335" s="124"/>
      <c r="BX335" s="124"/>
      <c r="BY335" s="124"/>
      <c r="BZ335" s="124"/>
      <c r="CA335" s="124"/>
    </row>
    <row r="336">
      <c r="D336" s="143"/>
      <c r="E336" s="129"/>
      <c r="F336" s="112"/>
      <c r="G336" s="112"/>
      <c r="H336" s="112"/>
      <c r="I336" s="112"/>
      <c r="J336" s="112"/>
      <c r="K336" s="112"/>
      <c r="L336" s="112"/>
      <c r="M336" s="112"/>
      <c r="N336" s="112"/>
      <c r="O336" s="112"/>
      <c r="P336" s="112"/>
      <c r="Q336" s="112"/>
      <c r="R336" s="112"/>
      <c r="S336" s="112"/>
      <c r="T336" s="112"/>
      <c r="U336" s="124"/>
      <c r="V336" s="124"/>
      <c r="W336" s="124"/>
      <c r="X336" s="124"/>
      <c r="Y336" s="124"/>
      <c r="Z336" s="112"/>
      <c r="AA336" s="112"/>
      <c r="AB336" s="112"/>
      <c r="AC336" s="112"/>
      <c r="AD336" s="112"/>
      <c r="AE336" s="112"/>
      <c r="AF336" s="112"/>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c r="BK336" s="124"/>
      <c r="BL336" s="124"/>
      <c r="BM336" s="124"/>
      <c r="BN336" s="124"/>
      <c r="BO336" s="124"/>
      <c r="BP336" s="124"/>
      <c r="BQ336" s="124"/>
      <c r="BR336" s="124"/>
      <c r="BS336" s="124"/>
      <c r="BT336" s="124"/>
      <c r="BU336" s="124"/>
      <c r="BV336" s="124"/>
      <c r="BW336" s="124"/>
      <c r="BX336" s="124"/>
      <c r="BY336" s="124"/>
      <c r="BZ336" s="124"/>
      <c r="CA336" s="124"/>
    </row>
    <row r="337">
      <c r="D337" s="143"/>
      <c r="E337" s="129"/>
      <c r="F337" s="112"/>
      <c r="G337" s="112"/>
      <c r="H337" s="112"/>
      <c r="I337" s="112"/>
      <c r="J337" s="112"/>
      <c r="K337" s="112"/>
      <c r="L337" s="112"/>
      <c r="M337" s="112"/>
      <c r="N337" s="112"/>
      <c r="O337" s="112"/>
      <c r="P337" s="112"/>
      <c r="Q337" s="112"/>
      <c r="R337" s="112"/>
      <c r="S337" s="112"/>
      <c r="T337" s="112"/>
      <c r="U337" s="124"/>
      <c r="V337" s="124"/>
      <c r="W337" s="124"/>
      <c r="X337" s="124"/>
      <c r="Y337" s="124"/>
      <c r="Z337" s="112"/>
      <c r="AA337" s="112"/>
      <c r="AB337" s="112"/>
      <c r="AC337" s="112"/>
      <c r="AD337" s="112"/>
      <c r="AE337" s="112"/>
      <c r="AF337" s="112"/>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c r="BK337" s="124"/>
      <c r="BL337" s="124"/>
      <c r="BM337" s="124"/>
      <c r="BN337" s="124"/>
      <c r="BO337" s="124"/>
      <c r="BP337" s="124"/>
      <c r="BQ337" s="124"/>
      <c r="BR337" s="124"/>
      <c r="BS337" s="124"/>
      <c r="BT337" s="124"/>
      <c r="BU337" s="124"/>
      <c r="BV337" s="124"/>
      <c r="BW337" s="124"/>
      <c r="BX337" s="124"/>
      <c r="BY337" s="124"/>
      <c r="BZ337" s="124"/>
      <c r="CA337" s="124"/>
    </row>
    <row r="338">
      <c r="D338" s="143"/>
      <c r="E338" s="129"/>
      <c r="F338" s="112"/>
      <c r="G338" s="112"/>
      <c r="H338" s="112"/>
      <c r="I338" s="112"/>
      <c r="J338" s="112"/>
      <c r="K338" s="112"/>
      <c r="L338" s="112"/>
      <c r="M338" s="112"/>
      <c r="N338" s="112"/>
      <c r="O338" s="112"/>
      <c r="P338" s="112"/>
      <c r="Q338" s="112"/>
      <c r="R338" s="112"/>
      <c r="S338" s="112"/>
      <c r="T338" s="112"/>
      <c r="U338" s="124"/>
      <c r="V338" s="124"/>
      <c r="W338" s="124"/>
      <c r="X338" s="124"/>
      <c r="Y338" s="124"/>
      <c r="Z338" s="112"/>
      <c r="AA338" s="112"/>
      <c r="AB338" s="112"/>
      <c r="AC338" s="112"/>
      <c r="AD338" s="112"/>
      <c r="AE338" s="112"/>
      <c r="AF338" s="112"/>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row>
    <row r="339">
      <c r="D339" s="143"/>
      <c r="E339" s="129"/>
      <c r="F339" s="112"/>
      <c r="G339" s="112"/>
      <c r="H339" s="112"/>
      <c r="I339" s="112"/>
      <c r="J339" s="112"/>
      <c r="K339" s="112"/>
      <c r="L339" s="112"/>
      <c r="M339" s="112"/>
      <c r="N339" s="112"/>
      <c r="O339" s="112"/>
      <c r="P339" s="112"/>
      <c r="Q339" s="112"/>
      <c r="R339" s="112"/>
      <c r="S339" s="112"/>
      <c r="T339" s="112"/>
      <c r="U339" s="124"/>
      <c r="V339" s="124"/>
      <c r="W339" s="124"/>
      <c r="X339" s="124"/>
      <c r="Y339" s="124"/>
      <c r="Z339" s="112"/>
      <c r="AA339" s="112"/>
      <c r="AB339" s="112"/>
      <c r="AC339" s="112"/>
      <c r="AD339" s="112"/>
      <c r="AE339" s="112"/>
      <c r="AF339" s="112"/>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c r="BK339" s="124"/>
      <c r="BL339" s="124"/>
      <c r="BM339" s="124"/>
      <c r="BN339" s="124"/>
      <c r="BO339" s="124"/>
      <c r="BP339" s="124"/>
      <c r="BQ339" s="124"/>
      <c r="BR339" s="124"/>
      <c r="BS339" s="124"/>
      <c r="BT339" s="124"/>
      <c r="BU339" s="124"/>
      <c r="BV339" s="124"/>
      <c r="BW339" s="124"/>
      <c r="BX339" s="124"/>
      <c r="BY339" s="124"/>
      <c r="BZ339" s="124"/>
      <c r="CA339" s="124"/>
    </row>
    <row r="340">
      <c r="D340" s="143"/>
      <c r="E340" s="129"/>
      <c r="F340" s="112"/>
      <c r="G340" s="112"/>
      <c r="H340" s="112"/>
      <c r="I340" s="112"/>
      <c r="J340" s="112"/>
      <c r="K340" s="112"/>
      <c r="L340" s="112"/>
      <c r="M340" s="112"/>
      <c r="N340" s="112"/>
      <c r="O340" s="112"/>
      <c r="P340" s="112"/>
      <c r="Q340" s="112"/>
      <c r="R340" s="112"/>
      <c r="S340" s="112"/>
      <c r="T340" s="112"/>
      <c r="U340" s="124"/>
      <c r="V340" s="124"/>
      <c r="W340" s="124"/>
      <c r="X340" s="124"/>
      <c r="Y340" s="124"/>
      <c r="Z340" s="112"/>
      <c r="AA340" s="112"/>
      <c r="AB340" s="112"/>
      <c r="AC340" s="112"/>
      <c r="AD340" s="112"/>
      <c r="AE340" s="112"/>
      <c r="AF340" s="112"/>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c r="BK340" s="124"/>
      <c r="BL340" s="124"/>
      <c r="BM340" s="124"/>
      <c r="BN340" s="124"/>
      <c r="BO340" s="124"/>
      <c r="BP340" s="124"/>
      <c r="BQ340" s="124"/>
      <c r="BR340" s="124"/>
      <c r="BS340" s="124"/>
      <c r="BT340" s="124"/>
      <c r="BU340" s="124"/>
      <c r="BV340" s="124"/>
      <c r="BW340" s="124"/>
      <c r="BX340" s="124"/>
      <c r="BY340" s="124"/>
      <c r="BZ340" s="124"/>
      <c r="CA340" s="124"/>
    </row>
    <row r="341">
      <c r="D341" s="143"/>
      <c r="E341" s="129"/>
      <c r="F341" s="112"/>
      <c r="G341" s="112"/>
      <c r="H341" s="112"/>
      <c r="I341" s="112"/>
      <c r="J341" s="112"/>
      <c r="K341" s="112"/>
      <c r="L341" s="112"/>
      <c r="M341" s="112"/>
      <c r="N341" s="112"/>
      <c r="O341" s="112"/>
      <c r="P341" s="112"/>
      <c r="Q341" s="112"/>
      <c r="R341" s="112"/>
      <c r="S341" s="112"/>
      <c r="T341" s="112"/>
      <c r="U341" s="124"/>
      <c r="V341" s="124"/>
      <c r="W341" s="124"/>
      <c r="X341" s="124"/>
      <c r="Y341" s="124"/>
      <c r="Z341" s="112"/>
      <c r="AA341" s="112"/>
      <c r="AB341" s="112"/>
      <c r="AC341" s="112"/>
      <c r="AD341" s="112"/>
      <c r="AE341" s="112"/>
      <c r="AF341" s="112"/>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c r="BK341" s="124"/>
      <c r="BL341" s="124"/>
      <c r="BM341" s="124"/>
      <c r="BN341" s="124"/>
      <c r="BO341" s="124"/>
      <c r="BP341" s="124"/>
      <c r="BQ341" s="124"/>
      <c r="BR341" s="124"/>
      <c r="BS341" s="124"/>
      <c r="BT341" s="124"/>
      <c r="BU341" s="124"/>
      <c r="BV341" s="124"/>
      <c r="BW341" s="124"/>
      <c r="BX341" s="124"/>
      <c r="BY341" s="124"/>
      <c r="BZ341" s="124"/>
      <c r="CA341" s="124"/>
    </row>
    <row r="342">
      <c r="D342" s="143"/>
      <c r="E342" s="129"/>
      <c r="F342" s="112"/>
      <c r="G342" s="112"/>
      <c r="H342" s="112"/>
      <c r="I342" s="112"/>
      <c r="J342" s="112"/>
      <c r="K342" s="112"/>
      <c r="L342" s="112"/>
      <c r="M342" s="112"/>
      <c r="N342" s="112"/>
      <c r="O342" s="112"/>
      <c r="P342" s="112"/>
      <c r="Q342" s="112"/>
      <c r="R342" s="112"/>
      <c r="S342" s="112"/>
      <c r="T342" s="112"/>
      <c r="U342" s="124"/>
      <c r="V342" s="124"/>
      <c r="W342" s="124"/>
      <c r="X342" s="124"/>
      <c r="Y342" s="124"/>
      <c r="Z342" s="112"/>
      <c r="AA342" s="112"/>
      <c r="AB342" s="112"/>
      <c r="AC342" s="112"/>
      <c r="AD342" s="112"/>
      <c r="AE342" s="112"/>
      <c r="AF342" s="112"/>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c r="BK342" s="124"/>
      <c r="BL342" s="124"/>
      <c r="BM342" s="124"/>
      <c r="BN342" s="124"/>
      <c r="BO342" s="124"/>
      <c r="BP342" s="124"/>
      <c r="BQ342" s="124"/>
      <c r="BR342" s="124"/>
      <c r="BS342" s="124"/>
      <c r="BT342" s="124"/>
      <c r="BU342" s="124"/>
      <c r="BV342" s="124"/>
      <c r="BW342" s="124"/>
      <c r="BX342" s="124"/>
      <c r="BY342" s="124"/>
      <c r="BZ342" s="124"/>
      <c r="CA342" s="124"/>
    </row>
    <row r="343">
      <c r="D343" s="143"/>
      <c r="E343" s="129"/>
      <c r="F343" s="112"/>
      <c r="G343" s="112"/>
      <c r="H343" s="112"/>
      <c r="I343" s="112"/>
      <c r="J343" s="112"/>
      <c r="K343" s="112"/>
      <c r="L343" s="112"/>
      <c r="M343" s="112"/>
      <c r="N343" s="112"/>
      <c r="O343" s="112"/>
      <c r="P343" s="112"/>
      <c r="Q343" s="112"/>
      <c r="R343" s="112"/>
      <c r="S343" s="112"/>
      <c r="T343" s="112"/>
      <c r="U343" s="124"/>
      <c r="V343" s="124"/>
      <c r="W343" s="124"/>
      <c r="X343" s="124"/>
      <c r="Y343" s="124"/>
      <c r="Z343" s="112"/>
      <c r="AA343" s="112"/>
      <c r="AB343" s="112"/>
      <c r="AC343" s="112"/>
      <c r="AD343" s="112"/>
      <c r="AE343" s="112"/>
      <c r="AF343" s="112"/>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c r="BK343" s="124"/>
      <c r="BL343" s="124"/>
      <c r="BM343" s="124"/>
      <c r="BN343" s="124"/>
      <c r="BO343" s="124"/>
      <c r="BP343" s="124"/>
      <c r="BQ343" s="124"/>
      <c r="BR343" s="124"/>
      <c r="BS343" s="124"/>
      <c r="BT343" s="124"/>
      <c r="BU343" s="124"/>
      <c r="BV343" s="124"/>
      <c r="BW343" s="124"/>
      <c r="BX343" s="124"/>
      <c r="BY343" s="124"/>
      <c r="BZ343" s="124"/>
      <c r="CA343" s="124"/>
    </row>
    <row r="344">
      <c r="D344" s="143"/>
      <c r="E344" s="129"/>
      <c r="F344" s="112"/>
      <c r="G344" s="112"/>
      <c r="H344" s="112"/>
      <c r="I344" s="112"/>
      <c r="J344" s="112"/>
      <c r="K344" s="112"/>
      <c r="L344" s="112"/>
      <c r="M344" s="112"/>
      <c r="N344" s="112"/>
      <c r="O344" s="112"/>
      <c r="P344" s="112"/>
      <c r="Q344" s="112"/>
      <c r="R344" s="112"/>
      <c r="S344" s="112"/>
      <c r="T344" s="112"/>
      <c r="U344" s="124"/>
      <c r="V344" s="124"/>
      <c r="W344" s="124"/>
      <c r="X344" s="124"/>
      <c r="Y344" s="124"/>
      <c r="Z344" s="112"/>
      <c r="AA344" s="112"/>
      <c r="AB344" s="112"/>
      <c r="AC344" s="112"/>
      <c r="AD344" s="112"/>
      <c r="AE344" s="112"/>
      <c r="AF344" s="112"/>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c r="BK344" s="124"/>
      <c r="BL344" s="124"/>
      <c r="BM344" s="124"/>
      <c r="BN344" s="124"/>
      <c r="BO344" s="124"/>
      <c r="BP344" s="124"/>
      <c r="BQ344" s="124"/>
      <c r="BR344" s="124"/>
      <c r="BS344" s="124"/>
      <c r="BT344" s="124"/>
      <c r="BU344" s="124"/>
      <c r="BV344" s="124"/>
      <c r="BW344" s="124"/>
      <c r="BX344" s="124"/>
      <c r="BY344" s="124"/>
      <c r="BZ344" s="124"/>
      <c r="CA344" s="124"/>
    </row>
    <row r="345">
      <c r="D345" s="143"/>
      <c r="E345" s="129"/>
      <c r="F345" s="112"/>
      <c r="G345" s="112"/>
      <c r="H345" s="112"/>
      <c r="I345" s="112"/>
      <c r="J345" s="112"/>
      <c r="K345" s="112"/>
      <c r="L345" s="112"/>
      <c r="M345" s="112"/>
      <c r="N345" s="112"/>
      <c r="O345" s="112"/>
      <c r="P345" s="112"/>
      <c r="Q345" s="112"/>
      <c r="R345" s="112"/>
      <c r="S345" s="112"/>
      <c r="T345" s="112"/>
      <c r="U345" s="124"/>
      <c r="V345" s="124"/>
      <c r="W345" s="124"/>
      <c r="X345" s="124"/>
      <c r="Y345" s="124"/>
      <c r="Z345" s="112"/>
      <c r="AA345" s="112"/>
      <c r="AB345" s="112"/>
      <c r="AC345" s="112"/>
      <c r="AD345" s="112"/>
      <c r="AE345" s="112"/>
      <c r="AF345" s="112"/>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row>
    <row r="346">
      <c r="D346" s="143"/>
      <c r="E346" s="129"/>
      <c r="F346" s="112"/>
      <c r="G346" s="112"/>
      <c r="H346" s="112"/>
      <c r="I346" s="112"/>
      <c r="J346" s="112"/>
      <c r="K346" s="112"/>
      <c r="L346" s="112"/>
      <c r="M346" s="112"/>
      <c r="N346" s="112"/>
      <c r="O346" s="112"/>
      <c r="P346" s="112"/>
      <c r="Q346" s="112"/>
      <c r="R346" s="112"/>
      <c r="S346" s="112"/>
      <c r="T346" s="112"/>
      <c r="U346" s="124"/>
      <c r="V346" s="124"/>
      <c r="W346" s="124"/>
      <c r="X346" s="124"/>
      <c r="Y346" s="124"/>
      <c r="Z346" s="112"/>
      <c r="AA346" s="112"/>
      <c r="AB346" s="112"/>
      <c r="AC346" s="112"/>
      <c r="AD346" s="112"/>
      <c r="AE346" s="112"/>
      <c r="AF346" s="112"/>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c r="BK346" s="124"/>
      <c r="BL346" s="124"/>
      <c r="BM346" s="124"/>
      <c r="BN346" s="124"/>
      <c r="BO346" s="124"/>
      <c r="BP346" s="124"/>
      <c r="BQ346" s="124"/>
      <c r="BR346" s="124"/>
      <c r="BS346" s="124"/>
      <c r="BT346" s="124"/>
      <c r="BU346" s="124"/>
      <c r="BV346" s="124"/>
      <c r="BW346" s="124"/>
      <c r="BX346" s="124"/>
      <c r="BY346" s="124"/>
      <c r="BZ346" s="124"/>
      <c r="CA346" s="124"/>
    </row>
    <row r="347">
      <c r="D347" s="143"/>
      <c r="E347" s="129"/>
      <c r="F347" s="112"/>
      <c r="G347" s="112"/>
      <c r="H347" s="112"/>
      <c r="I347" s="112"/>
      <c r="J347" s="112"/>
      <c r="K347" s="112"/>
      <c r="L347" s="112"/>
      <c r="M347" s="112"/>
      <c r="N347" s="112"/>
      <c r="O347" s="112"/>
      <c r="P347" s="112"/>
      <c r="Q347" s="112"/>
      <c r="R347" s="112"/>
      <c r="S347" s="112"/>
      <c r="T347" s="112"/>
      <c r="U347" s="124"/>
      <c r="V347" s="124"/>
      <c r="W347" s="124"/>
      <c r="X347" s="124"/>
      <c r="Y347" s="124"/>
      <c r="Z347" s="112"/>
      <c r="AA347" s="112"/>
      <c r="AB347" s="112"/>
      <c r="AC347" s="112"/>
      <c r="AD347" s="112"/>
      <c r="AE347" s="112"/>
      <c r="AF347" s="112"/>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c r="BK347" s="124"/>
      <c r="BL347" s="124"/>
      <c r="BM347" s="124"/>
      <c r="BN347" s="124"/>
      <c r="BO347" s="124"/>
      <c r="BP347" s="124"/>
      <c r="BQ347" s="124"/>
      <c r="BR347" s="124"/>
      <c r="BS347" s="124"/>
      <c r="BT347" s="124"/>
      <c r="BU347" s="124"/>
      <c r="BV347" s="124"/>
      <c r="BW347" s="124"/>
      <c r="BX347" s="124"/>
      <c r="BY347" s="124"/>
      <c r="BZ347" s="124"/>
      <c r="CA347" s="124"/>
    </row>
    <row r="348">
      <c r="D348" s="143"/>
      <c r="E348" s="129"/>
      <c r="F348" s="112"/>
      <c r="G348" s="112"/>
      <c r="H348" s="112"/>
      <c r="I348" s="112"/>
      <c r="J348" s="112"/>
      <c r="K348" s="112"/>
      <c r="L348" s="112"/>
      <c r="M348" s="112"/>
      <c r="N348" s="112"/>
      <c r="O348" s="112"/>
      <c r="P348" s="112"/>
      <c r="Q348" s="112"/>
      <c r="R348" s="112"/>
      <c r="S348" s="112"/>
      <c r="T348" s="112"/>
      <c r="U348" s="124"/>
      <c r="V348" s="124"/>
      <c r="W348" s="124"/>
      <c r="X348" s="124"/>
      <c r="Y348" s="124"/>
      <c r="Z348" s="112"/>
      <c r="AA348" s="112"/>
      <c r="AB348" s="112"/>
      <c r="AC348" s="112"/>
      <c r="AD348" s="112"/>
      <c r="AE348" s="112"/>
      <c r="AF348" s="112"/>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c r="BK348" s="124"/>
      <c r="BL348" s="124"/>
      <c r="BM348" s="124"/>
      <c r="BN348" s="124"/>
      <c r="BO348" s="124"/>
      <c r="BP348" s="124"/>
      <c r="BQ348" s="124"/>
      <c r="BR348" s="124"/>
      <c r="BS348" s="124"/>
      <c r="BT348" s="124"/>
      <c r="BU348" s="124"/>
      <c r="BV348" s="124"/>
      <c r="BW348" s="124"/>
      <c r="BX348" s="124"/>
      <c r="BY348" s="124"/>
      <c r="BZ348" s="124"/>
      <c r="CA348" s="124"/>
    </row>
    <row r="349">
      <c r="D349" s="143"/>
      <c r="E349" s="129"/>
      <c r="F349" s="112"/>
      <c r="G349" s="112"/>
      <c r="H349" s="112"/>
      <c r="I349" s="112"/>
      <c r="J349" s="112"/>
      <c r="K349" s="112"/>
      <c r="L349" s="112"/>
      <c r="M349" s="112"/>
      <c r="N349" s="112"/>
      <c r="O349" s="112"/>
      <c r="P349" s="112"/>
      <c r="Q349" s="112"/>
      <c r="R349" s="112"/>
      <c r="S349" s="112"/>
      <c r="T349" s="112"/>
      <c r="U349" s="124"/>
      <c r="V349" s="124"/>
      <c r="W349" s="124"/>
      <c r="X349" s="124"/>
      <c r="Y349" s="124"/>
      <c r="Z349" s="112"/>
      <c r="AA349" s="112"/>
      <c r="AB349" s="112"/>
      <c r="AC349" s="112"/>
      <c r="AD349" s="112"/>
      <c r="AE349" s="112"/>
      <c r="AF349" s="112"/>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c r="BK349" s="124"/>
      <c r="BL349" s="124"/>
      <c r="BM349" s="124"/>
      <c r="BN349" s="124"/>
      <c r="BO349" s="124"/>
      <c r="BP349" s="124"/>
      <c r="BQ349" s="124"/>
      <c r="BR349" s="124"/>
      <c r="BS349" s="124"/>
      <c r="BT349" s="124"/>
      <c r="BU349" s="124"/>
      <c r="BV349" s="124"/>
      <c r="BW349" s="124"/>
      <c r="BX349" s="124"/>
      <c r="BY349" s="124"/>
      <c r="BZ349" s="124"/>
      <c r="CA349" s="124"/>
    </row>
    <row r="350">
      <c r="D350" s="143"/>
      <c r="E350" s="129"/>
      <c r="F350" s="112"/>
      <c r="G350" s="112"/>
      <c r="H350" s="112"/>
      <c r="I350" s="112"/>
      <c r="J350" s="112"/>
      <c r="K350" s="112"/>
      <c r="L350" s="112"/>
      <c r="M350" s="112"/>
      <c r="N350" s="112"/>
      <c r="O350" s="112"/>
      <c r="P350" s="112"/>
      <c r="Q350" s="112"/>
      <c r="R350" s="112"/>
      <c r="S350" s="112"/>
      <c r="T350" s="112"/>
      <c r="U350" s="124"/>
      <c r="V350" s="124"/>
      <c r="W350" s="124"/>
      <c r="X350" s="124"/>
      <c r="Y350" s="124"/>
      <c r="Z350" s="112"/>
      <c r="AA350" s="112"/>
      <c r="AB350" s="112"/>
      <c r="AC350" s="112"/>
      <c r="AD350" s="112"/>
      <c r="AE350" s="112"/>
      <c r="AF350" s="112"/>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c r="BK350" s="124"/>
      <c r="BL350" s="124"/>
      <c r="BM350" s="124"/>
      <c r="BN350" s="124"/>
      <c r="BO350" s="124"/>
      <c r="BP350" s="124"/>
      <c r="BQ350" s="124"/>
      <c r="BR350" s="124"/>
      <c r="BS350" s="124"/>
      <c r="BT350" s="124"/>
      <c r="BU350" s="124"/>
      <c r="BV350" s="124"/>
      <c r="BW350" s="124"/>
      <c r="BX350" s="124"/>
      <c r="BY350" s="124"/>
      <c r="BZ350" s="124"/>
      <c r="CA350" s="124"/>
    </row>
    <row r="351">
      <c r="D351" s="143"/>
      <c r="E351" s="129"/>
      <c r="F351" s="112"/>
      <c r="G351" s="112"/>
      <c r="H351" s="112"/>
      <c r="I351" s="112"/>
      <c r="J351" s="112"/>
      <c r="K351" s="112"/>
      <c r="L351" s="112"/>
      <c r="M351" s="112"/>
      <c r="N351" s="112"/>
      <c r="O351" s="112"/>
      <c r="P351" s="112"/>
      <c r="Q351" s="112"/>
      <c r="R351" s="112"/>
      <c r="S351" s="112"/>
      <c r="T351" s="112"/>
      <c r="U351" s="124"/>
      <c r="V351" s="124"/>
      <c r="W351" s="124"/>
      <c r="X351" s="124"/>
      <c r="Y351" s="124"/>
      <c r="Z351" s="112"/>
      <c r="AA351" s="112"/>
      <c r="AB351" s="112"/>
      <c r="AC351" s="112"/>
      <c r="AD351" s="112"/>
      <c r="AE351" s="112"/>
      <c r="AF351" s="112"/>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c r="BK351" s="124"/>
      <c r="BL351" s="124"/>
      <c r="BM351" s="124"/>
      <c r="BN351" s="124"/>
      <c r="BO351" s="124"/>
      <c r="BP351" s="124"/>
      <c r="BQ351" s="124"/>
      <c r="BR351" s="124"/>
      <c r="BS351" s="124"/>
      <c r="BT351" s="124"/>
      <c r="BU351" s="124"/>
      <c r="BV351" s="124"/>
      <c r="BW351" s="124"/>
      <c r="BX351" s="124"/>
      <c r="BY351" s="124"/>
      <c r="BZ351" s="124"/>
      <c r="CA351" s="124"/>
    </row>
    <row r="352">
      <c r="D352" s="143"/>
      <c r="E352" s="129"/>
      <c r="F352" s="112"/>
      <c r="G352" s="112"/>
      <c r="H352" s="112"/>
      <c r="I352" s="112"/>
      <c r="J352" s="112"/>
      <c r="K352" s="112"/>
      <c r="L352" s="112"/>
      <c r="M352" s="112"/>
      <c r="N352" s="112"/>
      <c r="O352" s="112"/>
      <c r="P352" s="112"/>
      <c r="Q352" s="112"/>
      <c r="R352" s="112"/>
      <c r="S352" s="112"/>
      <c r="T352" s="112"/>
      <c r="U352" s="124"/>
      <c r="V352" s="124"/>
      <c r="W352" s="124"/>
      <c r="X352" s="124"/>
      <c r="Y352" s="124"/>
      <c r="Z352" s="112"/>
      <c r="AA352" s="112"/>
      <c r="AB352" s="112"/>
      <c r="AC352" s="112"/>
      <c r="AD352" s="112"/>
      <c r="AE352" s="112"/>
      <c r="AF352" s="112"/>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c r="BK352" s="124"/>
      <c r="BL352" s="124"/>
      <c r="BM352" s="124"/>
      <c r="BN352" s="124"/>
      <c r="BO352" s="124"/>
      <c r="BP352" s="124"/>
      <c r="BQ352" s="124"/>
      <c r="BR352" s="124"/>
      <c r="BS352" s="124"/>
      <c r="BT352" s="124"/>
      <c r="BU352" s="124"/>
      <c r="BV352" s="124"/>
      <c r="BW352" s="124"/>
      <c r="BX352" s="124"/>
      <c r="BY352" s="124"/>
      <c r="BZ352" s="124"/>
      <c r="CA352" s="124"/>
    </row>
    <row r="353">
      <c r="D353" s="143"/>
      <c r="E353" s="129"/>
      <c r="F353" s="112"/>
      <c r="G353" s="112"/>
      <c r="H353" s="112"/>
      <c r="I353" s="112"/>
      <c r="J353" s="112"/>
      <c r="K353" s="112"/>
      <c r="L353" s="112"/>
      <c r="M353" s="112"/>
      <c r="N353" s="112"/>
      <c r="O353" s="112"/>
      <c r="P353" s="112"/>
      <c r="Q353" s="112"/>
      <c r="R353" s="112"/>
      <c r="S353" s="112"/>
      <c r="T353" s="112"/>
      <c r="U353" s="124"/>
      <c r="V353" s="124"/>
      <c r="W353" s="124"/>
      <c r="X353" s="124"/>
      <c r="Y353" s="124"/>
      <c r="Z353" s="112"/>
      <c r="AA353" s="112"/>
      <c r="AB353" s="112"/>
      <c r="AC353" s="112"/>
      <c r="AD353" s="112"/>
      <c r="AE353" s="112"/>
      <c r="AF353" s="112"/>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c r="BK353" s="124"/>
      <c r="BL353" s="124"/>
      <c r="BM353" s="124"/>
      <c r="BN353" s="124"/>
      <c r="BO353" s="124"/>
      <c r="BP353" s="124"/>
      <c r="BQ353" s="124"/>
      <c r="BR353" s="124"/>
      <c r="BS353" s="124"/>
      <c r="BT353" s="124"/>
      <c r="BU353" s="124"/>
      <c r="BV353" s="124"/>
      <c r="BW353" s="124"/>
      <c r="BX353" s="124"/>
      <c r="BY353" s="124"/>
      <c r="BZ353" s="124"/>
      <c r="CA353" s="124"/>
    </row>
    <row r="354">
      <c r="D354" s="143"/>
      <c r="E354" s="129"/>
      <c r="F354" s="112"/>
      <c r="G354" s="112"/>
      <c r="H354" s="112"/>
      <c r="I354" s="112"/>
      <c r="J354" s="112"/>
      <c r="K354" s="112"/>
      <c r="L354" s="112"/>
      <c r="M354" s="112"/>
      <c r="N354" s="112"/>
      <c r="O354" s="112"/>
      <c r="P354" s="112"/>
      <c r="Q354" s="112"/>
      <c r="R354" s="112"/>
      <c r="S354" s="112"/>
      <c r="T354" s="112"/>
      <c r="U354" s="124"/>
      <c r="V354" s="124"/>
      <c r="W354" s="124"/>
      <c r="X354" s="124"/>
      <c r="Y354" s="124"/>
      <c r="Z354" s="112"/>
      <c r="AA354" s="112"/>
      <c r="AB354" s="112"/>
      <c r="AC354" s="112"/>
      <c r="AD354" s="112"/>
      <c r="AE354" s="112"/>
      <c r="AF354" s="112"/>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row>
    <row r="355">
      <c r="D355" s="143"/>
      <c r="E355" s="129"/>
      <c r="F355" s="112"/>
      <c r="G355" s="112"/>
      <c r="H355" s="112"/>
      <c r="I355" s="112"/>
      <c r="J355" s="112"/>
      <c r="K355" s="112"/>
      <c r="L355" s="112"/>
      <c r="M355" s="112"/>
      <c r="N355" s="112"/>
      <c r="O355" s="112"/>
      <c r="P355" s="112"/>
      <c r="Q355" s="112"/>
      <c r="R355" s="112"/>
      <c r="S355" s="112"/>
      <c r="T355" s="112"/>
      <c r="U355" s="124"/>
      <c r="V355" s="124"/>
      <c r="W355" s="124"/>
      <c r="X355" s="124"/>
      <c r="Y355" s="124"/>
      <c r="Z355" s="112"/>
      <c r="AA355" s="112"/>
      <c r="AB355" s="112"/>
      <c r="AC355" s="112"/>
      <c r="AD355" s="112"/>
      <c r="AE355" s="112"/>
      <c r="AF355" s="112"/>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c r="BK355" s="124"/>
      <c r="BL355" s="124"/>
      <c r="BM355" s="124"/>
      <c r="BN355" s="124"/>
      <c r="BO355" s="124"/>
      <c r="BP355" s="124"/>
      <c r="BQ355" s="124"/>
      <c r="BR355" s="124"/>
      <c r="BS355" s="124"/>
      <c r="BT355" s="124"/>
      <c r="BU355" s="124"/>
      <c r="BV355" s="124"/>
      <c r="BW355" s="124"/>
      <c r="BX355" s="124"/>
      <c r="BY355" s="124"/>
      <c r="BZ355" s="124"/>
      <c r="CA355" s="124"/>
    </row>
    <row r="356">
      <c r="D356" s="143"/>
      <c r="E356" s="129"/>
      <c r="F356" s="112"/>
      <c r="G356" s="112"/>
      <c r="H356" s="112"/>
      <c r="I356" s="112"/>
      <c r="J356" s="112"/>
      <c r="K356" s="112"/>
      <c r="L356" s="112"/>
      <c r="M356" s="112"/>
      <c r="N356" s="112"/>
      <c r="O356" s="112"/>
      <c r="P356" s="112"/>
      <c r="Q356" s="112"/>
      <c r="R356" s="112"/>
      <c r="S356" s="112"/>
      <c r="T356" s="112"/>
      <c r="U356" s="124"/>
      <c r="V356" s="124"/>
      <c r="W356" s="124"/>
      <c r="X356" s="124"/>
      <c r="Y356" s="124"/>
      <c r="Z356" s="112"/>
      <c r="AA356" s="112"/>
      <c r="AB356" s="112"/>
      <c r="AC356" s="112"/>
      <c r="AD356" s="112"/>
      <c r="AE356" s="112"/>
      <c r="AF356" s="112"/>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row>
    <row r="357">
      <c r="D357" s="143"/>
      <c r="E357" s="129"/>
      <c r="F357" s="112"/>
      <c r="G357" s="112"/>
      <c r="H357" s="112"/>
      <c r="I357" s="112"/>
      <c r="J357" s="112"/>
      <c r="K357" s="112"/>
      <c r="L357" s="112"/>
      <c r="M357" s="112"/>
      <c r="N357" s="112"/>
      <c r="O357" s="112"/>
      <c r="P357" s="112"/>
      <c r="Q357" s="112"/>
      <c r="R357" s="112"/>
      <c r="S357" s="112"/>
      <c r="T357" s="112"/>
      <c r="U357" s="124"/>
      <c r="V357" s="124"/>
      <c r="W357" s="124"/>
      <c r="X357" s="124"/>
      <c r="Y357" s="124"/>
      <c r="Z357" s="112"/>
      <c r="AA357" s="112"/>
      <c r="AB357" s="112"/>
      <c r="AC357" s="112"/>
      <c r="AD357" s="112"/>
      <c r="AE357" s="112"/>
      <c r="AF357" s="112"/>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c r="BK357" s="124"/>
      <c r="BL357" s="124"/>
      <c r="BM357" s="124"/>
      <c r="BN357" s="124"/>
      <c r="BO357" s="124"/>
      <c r="BP357" s="124"/>
      <c r="BQ357" s="124"/>
      <c r="BR357" s="124"/>
      <c r="BS357" s="124"/>
      <c r="BT357" s="124"/>
      <c r="BU357" s="124"/>
      <c r="BV357" s="124"/>
      <c r="BW357" s="124"/>
      <c r="BX357" s="124"/>
      <c r="BY357" s="124"/>
      <c r="BZ357" s="124"/>
      <c r="CA357" s="124"/>
    </row>
    <row r="358">
      <c r="D358" s="143"/>
      <c r="E358" s="129"/>
      <c r="F358" s="112"/>
      <c r="G358" s="112"/>
      <c r="H358" s="112"/>
      <c r="I358" s="112"/>
      <c r="J358" s="112"/>
      <c r="K358" s="112"/>
      <c r="L358" s="112"/>
      <c r="M358" s="112"/>
      <c r="N358" s="112"/>
      <c r="O358" s="112"/>
      <c r="P358" s="112"/>
      <c r="Q358" s="112"/>
      <c r="R358" s="112"/>
      <c r="S358" s="112"/>
      <c r="T358" s="112"/>
      <c r="U358" s="124"/>
      <c r="V358" s="124"/>
      <c r="W358" s="124"/>
      <c r="X358" s="124"/>
      <c r="Y358" s="124"/>
      <c r="Z358" s="112"/>
      <c r="AA358" s="112"/>
      <c r="AB358" s="112"/>
      <c r="AC358" s="112"/>
      <c r="AD358" s="112"/>
      <c r="AE358" s="112"/>
      <c r="AF358" s="112"/>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c r="BK358" s="124"/>
      <c r="BL358" s="124"/>
      <c r="BM358" s="124"/>
      <c r="BN358" s="124"/>
      <c r="BO358" s="124"/>
      <c r="BP358" s="124"/>
      <c r="BQ358" s="124"/>
      <c r="BR358" s="124"/>
      <c r="BS358" s="124"/>
      <c r="BT358" s="124"/>
      <c r="BU358" s="124"/>
      <c r="BV358" s="124"/>
      <c r="BW358" s="124"/>
      <c r="BX358" s="124"/>
      <c r="BY358" s="124"/>
      <c r="BZ358" s="124"/>
      <c r="CA358" s="124"/>
    </row>
    <row r="359">
      <c r="D359" s="143"/>
      <c r="E359" s="129"/>
      <c r="F359" s="112"/>
      <c r="G359" s="112"/>
      <c r="H359" s="112"/>
      <c r="I359" s="112"/>
      <c r="J359" s="112"/>
      <c r="K359" s="112"/>
      <c r="L359" s="112"/>
      <c r="M359" s="112"/>
      <c r="N359" s="112"/>
      <c r="O359" s="112"/>
      <c r="P359" s="112"/>
      <c r="Q359" s="112"/>
      <c r="R359" s="112"/>
      <c r="S359" s="112"/>
      <c r="T359" s="112"/>
      <c r="U359" s="124"/>
      <c r="V359" s="124"/>
      <c r="W359" s="124"/>
      <c r="X359" s="124"/>
      <c r="Y359" s="124"/>
      <c r="Z359" s="112"/>
      <c r="AA359" s="112"/>
      <c r="AB359" s="112"/>
      <c r="AC359" s="112"/>
      <c r="AD359" s="112"/>
      <c r="AE359" s="112"/>
      <c r="AF359" s="112"/>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c r="BK359" s="124"/>
      <c r="BL359" s="124"/>
      <c r="BM359" s="124"/>
      <c r="BN359" s="124"/>
      <c r="BO359" s="124"/>
      <c r="BP359" s="124"/>
      <c r="BQ359" s="124"/>
      <c r="BR359" s="124"/>
      <c r="BS359" s="124"/>
      <c r="BT359" s="124"/>
      <c r="BU359" s="124"/>
      <c r="BV359" s="124"/>
      <c r="BW359" s="124"/>
      <c r="BX359" s="124"/>
      <c r="BY359" s="124"/>
      <c r="BZ359" s="124"/>
      <c r="CA359" s="124"/>
    </row>
    <row r="360">
      <c r="D360" s="143"/>
      <c r="E360" s="129"/>
      <c r="F360" s="112"/>
      <c r="G360" s="112"/>
      <c r="H360" s="112"/>
      <c r="I360" s="112"/>
      <c r="J360" s="112"/>
      <c r="K360" s="112"/>
      <c r="L360" s="112"/>
      <c r="M360" s="112"/>
      <c r="N360" s="112"/>
      <c r="O360" s="112"/>
      <c r="P360" s="112"/>
      <c r="Q360" s="112"/>
      <c r="R360" s="112"/>
      <c r="S360" s="112"/>
      <c r="T360" s="112"/>
      <c r="U360" s="124"/>
      <c r="V360" s="124"/>
      <c r="W360" s="124"/>
      <c r="X360" s="124"/>
      <c r="Y360" s="124"/>
      <c r="Z360" s="112"/>
      <c r="AA360" s="112"/>
      <c r="AB360" s="112"/>
      <c r="AC360" s="112"/>
      <c r="AD360" s="112"/>
      <c r="AE360" s="112"/>
      <c r="AF360" s="112"/>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row>
    <row r="361">
      <c r="D361" s="143"/>
      <c r="E361" s="129"/>
      <c r="F361" s="112"/>
      <c r="G361" s="112"/>
      <c r="H361" s="112"/>
      <c r="I361" s="112"/>
      <c r="J361" s="112"/>
      <c r="K361" s="112"/>
      <c r="L361" s="112"/>
      <c r="M361" s="112"/>
      <c r="N361" s="112"/>
      <c r="O361" s="112"/>
      <c r="P361" s="112"/>
      <c r="Q361" s="112"/>
      <c r="R361" s="112"/>
      <c r="S361" s="112"/>
      <c r="T361" s="112"/>
      <c r="U361" s="124"/>
      <c r="V361" s="124"/>
      <c r="W361" s="124"/>
      <c r="X361" s="124"/>
      <c r="Y361" s="124"/>
      <c r="Z361" s="112"/>
      <c r="AA361" s="112"/>
      <c r="AB361" s="112"/>
      <c r="AC361" s="112"/>
      <c r="AD361" s="112"/>
      <c r="AE361" s="112"/>
      <c r="AF361" s="112"/>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c r="BK361" s="124"/>
      <c r="BL361" s="124"/>
      <c r="BM361" s="124"/>
      <c r="BN361" s="124"/>
      <c r="BO361" s="124"/>
      <c r="BP361" s="124"/>
      <c r="BQ361" s="124"/>
      <c r="BR361" s="124"/>
      <c r="BS361" s="124"/>
      <c r="BT361" s="124"/>
      <c r="BU361" s="124"/>
      <c r="BV361" s="124"/>
      <c r="BW361" s="124"/>
      <c r="BX361" s="124"/>
      <c r="BY361" s="124"/>
      <c r="BZ361" s="124"/>
      <c r="CA361" s="124"/>
    </row>
    <row r="362">
      <c r="D362" s="143"/>
      <c r="E362" s="129"/>
      <c r="F362" s="112"/>
      <c r="G362" s="112"/>
      <c r="H362" s="112"/>
      <c r="I362" s="112"/>
      <c r="J362" s="112"/>
      <c r="K362" s="112"/>
      <c r="L362" s="112"/>
      <c r="M362" s="112"/>
      <c r="N362" s="112"/>
      <c r="O362" s="112"/>
      <c r="P362" s="112"/>
      <c r="Q362" s="112"/>
      <c r="R362" s="112"/>
      <c r="S362" s="112"/>
      <c r="T362" s="112"/>
      <c r="U362" s="124"/>
      <c r="V362" s="124"/>
      <c r="W362" s="124"/>
      <c r="X362" s="124"/>
      <c r="Y362" s="124"/>
      <c r="Z362" s="112"/>
      <c r="AA362" s="112"/>
      <c r="AB362" s="112"/>
      <c r="AC362" s="112"/>
      <c r="AD362" s="112"/>
      <c r="AE362" s="112"/>
      <c r="AF362" s="112"/>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row>
    <row r="363">
      <c r="D363" s="143"/>
      <c r="E363" s="129"/>
      <c r="F363" s="112"/>
      <c r="G363" s="112"/>
      <c r="H363" s="112"/>
      <c r="I363" s="112"/>
      <c r="J363" s="112"/>
      <c r="K363" s="112"/>
      <c r="L363" s="112"/>
      <c r="M363" s="112"/>
      <c r="N363" s="112"/>
      <c r="O363" s="112"/>
      <c r="P363" s="112"/>
      <c r="Q363" s="112"/>
      <c r="R363" s="112"/>
      <c r="S363" s="112"/>
      <c r="T363" s="112"/>
      <c r="U363" s="124"/>
      <c r="V363" s="124"/>
      <c r="W363" s="124"/>
      <c r="X363" s="124"/>
      <c r="Y363" s="124"/>
      <c r="Z363" s="112"/>
      <c r="AA363" s="112"/>
      <c r="AB363" s="112"/>
      <c r="AC363" s="112"/>
      <c r="AD363" s="112"/>
      <c r="AE363" s="112"/>
      <c r="AF363" s="112"/>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c r="BK363" s="124"/>
      <c r="BL363" s="124"/>
      <c r="BM363" s="124"/>
      <c r="BN363" s="124"/>
      <c r="BO363" s="124"/>
      <c r="BP363" s="124"/>
      <c r="BQ363" s="124"/>
      <c r="BR363" s="124"/>
      <c r="BS363" s="124"/>
      <c r="BT363" s="124"/>
      <c r="BU363" s="124"/>
      <c r="BV363" s="124"/>
      <c r="BW363" s="124"/>
      <c r="BX363" s="124"/>
      <c r="BY363" s="124"/>
      <c r="BZ363" s="124"/>
      <c r="CA363" s="124"/>
    </row>
    <row r="364">
      <c r="D364" s="143"/>
      <c r="E364" s="129"/>
      <c r="F364" s="112"/>
      <c r="G364" s="112"/>
      <c r="H364" s="112"/>
      <c r="I364" s="112"/>
      <c r="J364" s="112"/>
      <c r="K364" s="112"/>
      <c r="L364" s="112"/>
      <c r="M364" s="112"/>
      <c r="N364" s="112"/>
      <c r="O364" s="112"/>
      <c r="P364" s="112"/>
      <c r="Q364" s="112"/>
      <c r="R364" s="112"/>
      <c r="S364" s="112"/>
      <c r="T364" s="112"/>
      <c r="U364" s="124"/>
      <c r="V364" s="124"/>
      <c r="W364" s="124"/>
      <c r="X364" s="124"/>
      <c r="Y364" s="124"/>
      <c r="Z364" s="112"/>
      <c r="AA364" s="112"/>
      <c r="AB364" s="112"/>
      <c r="AC364" s="112"/>
      <c r="AD364" s="112"/>
      <c r="AE364" s="112"/>
      <c r="AF364" s="112"/>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124"/>
      <c r="BY364" s="124"/>
      <c r="BZ364" s="124"/>
      <c r="CA364" s="124"/>
    </row>
    <row r="365">
      <c r="D365" s="143"/>
      <c r="E365" s="129"/>
      <c r="F365" s="112"/>
      <c r="G365" s="112"/>
      <c r="H365" s="112"/>
      <c r="I365" s="112"/>
      <c r="J365" s="112"/>
      <c r="K365" s="112"/>
      <c r="L365" s="112"/>
      <c r="M365" s="112"/>
      <c r="N365" s="112"/>
      <c r="O365" s="112"/>
      <c r="P365" s="112"/>
      <c r="Q365" s="112"/>
      <c r="R365" s="112"/>
      <c r="S365" s="112"/>
      <c r="T365" s="112"/>
      <c r="U365" s="124"/>
      <c r="V365" s="124"/>
      <c r="W365" s="124"/>
      <c r="X365" s="124"/>
      <c r="Y365" s="124"/>
      <c r="Z365" s="112"/>
      <c r="AA365" s="112"/>
      <c r="AB365" s="112"/>
      <c r="AC365" s="112"/>
      <c r="AD365" s="112"/>
      <c r="AE365" s="112"/>
      <c r="AF365" s="112"/>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c r="BK365" s="124"/>
      <c r="BL365" s="124"/>
      <c r="BM365" s="124"/>
      <c r="BN365" s="124"/>
      <c r="BO365" s="124"/>
      <c r="BP365" s="124"/>
      <c r="BQ365" s="124"/>
      <c r="BR365" s="124"/>
      <c r="BS365" s="124"/>
      <c r="BT365" s="124"/>
      <c r="BU365" s="124"/>
      <c r="BV365" s="124"/>
      <c r="BW365" s="124"/>
      <c r="BX365" s="124"/>
      <c r="BY365" s="124"/>
      <c r="BZ365" s="124"/>
      <c r="CA365" s="124"/>
    </row>
    <row r="366">
      <c r="D366" s="143"/>
      <c r="E366" s="129"/>
      <c r="F366" s="112"/>
      <c r="G366" s="112"/>
      <c r="H366" s="112"/>
      <c r="I366" s="112"/>
      <c r="J366" s="112"/>
      <c r="K366" s="112"/>
      <c r="L366" s="112"/>
      <c r="M366" s="112"/>
      <c r="N366" s="112"/>
      <c r="O366" s="112"/>
      <c r="P366" s="112"/>
      <c r="Q366" s="112"/>
      <c r="R366" s="112"/>
      <c r="S366" s="112"/>
      <c r="T366" s="112"/>
      <c r="U366" s="124"/>
      <c r="V366" s="124"/>
      <c r="W366" s="124"/>
      <c r="X366" s="124"/>
      <c r="Y366" s="124"/>
      <c r="Z366" s="112"/>
      <c r="AA366" s="112"/>
      <c r="AB366" s="112"/>
      <c r="AC366" s="112"/>
      <c r="AD366" s="112"/>
      <c r="AE366" s="112"/>
      <c r="AF366" s="112"/>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row>
    <row r="367">
      <c r="D367" s="143"/>
      <c r="E367" s="129"/>
      <c r="F367" s="112"/>
      <c r="G367" s="112"/>
      <c r="H367" s="112"/>
      <c r="I367" s="112"/>
      <c r="J367" s="112"/>
      <c r="K367" s="112"/>
      <c r="L367" s="112"/>
      <c r="M367" s="112"/>
      <c r="N367" s="112"/>
      <c r="O367" s="112"/>
      <c r="P367" s="112"/>
      <c r="Q367" s="112"/>
      <c r="R367" s="112"/>
      <c r="S367" s="112"/>
      <c r="T367" s="112"/>
      <c r="U367" s="124"/>
      <c r="V367" s="124"/>
      <c r="W367" s="124"/>
      <c r="X367" s="124"/>
      <c r="Y367" s="124"/>
      <c r="Z367" s="112"/>
      <c r="AA367" s="112"/>
      <c r="AB367" s="112"/>
      <c r="AC367" s="112"/>
      <c r="AD367" s="112"/>
      <c r="AE367" s="112"/>
      <c r="AF367" s="112"/>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c r="BK367" s="124"/>
      <c r="BL367" s="124"/>
      <c r="BM367" s="124"/>
      <c r="BN367" s="124"/>
      <c r="BO367" s="124"/>
      <c r="BP367" s="124"/>
      <c r="BQ367" s="124"/>
      <c r="BR367" s="124"/>
      <c r="BS367" s="124"/>
      <c r="BT367" s="124"/>
      <c r="BU367" s="124"/>
      <c r="BV367" s="124"/>
      <c r="BW367" s="124"/>
      <c r="BX367" s="124"/>
      <c r="BY367" s="124"/>
      <c r="BZ367" s="124"/>
      <c r="CA367" s="124"/>
    </row>
    <row r="368">
      <c r="D368" s="143"/>
      <c r="E368" s="129"/>
      <c r="F368" s="112"/>
      <c r="G368" s="112"/>
      <c r="H368" s="112"/>
      <c r="I368" s="112"/>
      <c r="J368" s="112"/>
      <c r="K368" s="112"/>
      <c r="L368" s="112"/>
      <c r="M368" s="112"/>
      <c r="N368" s="112"/>
      <c r="O368" s="112"/>
      <c r="P368" s="112"/>
      <c r="Q368" s="112"/>
      <c r="R368" s="112"/>
      <c r="S368" s="112"/>
      <c r="T368" s="112"/>
      <c r="U368" s="124"/>
      <c r="V368" s="124"/>
      <c r="W368" s="124"/>
      <c r="X368" s="124"/>
      <c r="Y368" s="124"/>
      <c r="Z368" s="112"/>
      <c r="AA368" s="112"/>
      <c r="AB368" s="112"/>
      <c r="AC368" s="112"/>
      <c r="AD368" s="112"/>
      <c r="AE368" s="112"/>
      <c r="AF368" s="112"/>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row>
    <row r="369">
      <c r="D369" s="143"/>
      <c r="E369" s="129"/>
      <c r="F369" s="112"/>
      <c r="G369" s="112"/>
      <c r="H369" s="112"/>
      <c r="I369" s="112"/>
      <c r="J369" s="112"/>
      <c r="K369" s="112"/>
      <c r="L369" s="112"/>
      <c r="M369" s="112"/>
      <c r="N369" s="112"/>
      <c r="O369" s="112"/>
      <c r="P369" s="112"/>
      <c r="Q369" s="112"/>
      <c r="R369" s="112"/>
      <c r="S369" s="112"/>
      <c r="T369" s="112"/>
      <c r="U369" s="124"/>
      <c r="V369" s="124"/>
      <c r="W369" s="124"/>
      <c r="X369" s="124"/>
      <c r="Y369" s="124"/>
      <c r="Z369" s="112"/>
      <c r="AA369" s="112"/>
      <c r="AB369" s="112"/>
      <c r="AC369" s="112"/>
      <c r="AD369" s="112"/>
      <c r="AE369" s="112"/>
      <c r="AF369" s="112"/>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row>
    <row r="370">
      <c r="D370" s="143"/>
      <c r="E370" s="129"/>
      <c r="F370" s="112"/>
      <c r="G370" s="112"/>
      <c r="H370" s="112"/>
      <c r="I370" s="112"/>
      <c r="J370" s="112"/>
      <c r="K370" s="112"/>
      <c r="L370" s="112"/>
      <c r="M370" s="112"/>
      <c r="N370" s="112"/>
      <c r="O370" s="112"/>
      <c r="P370" s="112"/>
      <c r="Q370" s="112"/>
      <c r="R370" s="112"/>
      <c r="S370" s="112"/>
      <c r="T370" s="112"/>
      <c r="U370" s="124"/>
      <c r="V370" s="124"/>
      <c r="W370" s="124"/>
      <c r="X370" s="124"/>
      <c r="Y370" s="124"/>
      <c r="Z370" s="112"/>
      <c r="AA370" s="112"/>
      <c r="AB370" s="112"/>
      <c r="AC370" s="112"/>
      <c r="AD370" s="112"/>
      <c r="AE370" s="112"/>
      <c r="AF370" s="112"/>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c r="BK370" s="124"/>
      <c r="BL370" s="124"/>
      <c r="BM370" s="124"/>
      <c r="BN370" s="124"/>
      <c r="BO370" s="124"/>
      <c r="BP370" s="124"/>
      <c r="BQ370" s="124"/>
      <c r="BR370" s="124"/>
      <c r="BS370" s="124"/>
      <c r="BT370" s="124"/>
      <c r="BU370" s="124"/>
      <c r="BV370" s="124"/>
      <c r="BW370" s="124"/>
      <c r="BX370" s="124"/>
      <c r="BY370" s="124"/>
      <c r="BZ370" s="124"/>
      <c r="CA370" s="124"/>
    </row>
    <row r="371">
      <c r="D371" s="143"/>
      <c r="E371" s="129"/>
      <c r="F371" s="112"/>
      <c r="G371" s="112"/>
      <c r="H371" s="112"/>
      <c r="I371" s="112"/>
      <c r="J371" s="112"/>
      <c r="K371" s="112"/>
      <c r="L371" s="112"/>
      <c r="M371" s="112"/>
      <c r="N371" s="112"/>
      <c r="O371" s="112"/>
      <c r="P371" s="112"/>
      <c r="Q371" s="112"/>
      <c r="R371" s="112"/>
      <c r="S371" s="112"/>
      <c r="T371" s="112"/>
      <c r="U371" s="124"/>
      <c r="V371" s="124"/>
      <c r="W371" s="124"/>
      <c r="X371" s="124"/>
      <c r="Y371" s="124"/>
      <c r="Z371" s="112"/>
      <c r="AA371" s="112"/>
      <c r="AB371" s="112"/>
      <c r="AC371" s="112"/>
      <c r="AD371" s="112"/>
      <c r="AE371" s="112"/>
      <c r="AF371" s="112"/>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c r="BK371" s="124"/>
      <c r="BL371" s="124"/>
      <c r="BM371" s="124"/>
      <c r="BN371" s="124"/>
      <c r="BO371" s="124"/>
      <c r="BP371" s="124"/>
      <c r="BQ371" s="124"/>
      <c r="BR371" s="124"/>
      <c r="BS371" s="124"/>
      <c r="BT371" s="124"/>
      <c r="BU371" s="124"/>
      <c r="BV371" s="124"/>
      <c r="BW371" s="124"/>
      <c r="BX371" s="124"/>
      <c r="BY371" s="124"/>
      <c r="BZ371" s="124"/>
      <c r="CA371" s="124"/>
    </row>
    <row r="372">
      <c r="D372" s="143"/>
      <c r="E372" s="129"/>
      <c r="F372" s="112"/>
      <c r="G372" s="112"/>
      <c r="H372" s="112"/>
      <c r="I372" s="112"/>
      <c r="J372" s="112"/>
      <c r="K372" s="112"/>
      <c r="L372" s="112"/>
      <c r="M372" s="112"/>
      <c r="N372" s="112"/>
      <c r="O372" s="112"/>
      <c r="P372" s="112"/>
      <c r="Q372" s="112"/>
      <c r="R372" s="112"/>
      <c r="S372" s="112"/>
      <c r="T372" s="112"/>
      <c r="U372" s="124"/>
      <c r="V372" s="124"/>
      <c r="W372" s="124"/>
      <c r="X372" s="124"/>
      <c r="Y372" s="124"/>
      <c r="Z372" s="112"/>
      <c r="AA372" s="112"/>
      <c r="AB372" s="112"/>
      <c r="AC372" s="112"/>
      <c r="AD372" s="112"/>
      <c r="AE372" s="112"/>
      <c r="AF372" s="112"/>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row>
    <row r="373">
      <c r="D373" s="143"/>
      <c r="E373" s="129"/>
      <c r="F373" s="112"/>
      <c r="G373" s="112"/>
      <c r="H373" s="112"/>
      <c r="I373" s="112"/>
      <c r="J373" s="112"/>
      <c r="K373" s="112"/>
      <c r="L373" s="112"/>
      <c r="M373" s="112"/>
      <c r="N373" s="112"/>
      <c r="O373" s="112"/>
      <c r="P373" s="112"/>
      <c r="Q373" s="112"/>
      <c r="R373" s="112"/>
      <c r="S373" s="112"/>
      <c r="T373" s="112"/>
      <c r="U373" s="124"/>
      <c r="V373" s="124"/>
      <c r="W373" s="124"/>
      <c r="X373" s="124"/>
      <c r="Y373" s="124"/>
      <c r="Z373" s="112"/>
      <c r="AA373" s="112"/>
      <c r="AB373" s="112"/>
      <c r="AC373" s="112"/>
      <c r="AD373" s="112"/>
      <c r="AE373" s="112"/>
      <c r="AF373" s="112"/>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c r="BK373" s="124"/>
      <c r="BL373" s="124"/>
      <c r="BM373" s="124"/>
      <c r="BN373" s="124"/>
      <c r="BO373" s="124"/>
      <c r="BP373" s="124"/>
      <c r="BQ373" s="124"/>
      <c r="BR373" s="124"/>
      <c r="BS373" s="124"/>
      <c r="BT373" s="124"/>
      <c r="BU373" s="124"/>
      <c r="BV373" s="124"/>
      <c r="BW373" s="124"/>
      <c r="BX373" s="124"/>
      <c r="BY373" s="124"/>
      <c r="BZ373" s="124"/>
      <c r="CA373" s="124"/>
    </row>
    <row r="374">
      <c r="D374" s="143"/>
      <c r="E374" s="129"/>
      <c r="F374" s="112"/>
      <c r="G374" s="112"/>
      <c r="H374" s="112"/>
      <c r="I374" s="112"/>
      <c r="J374" s="112"/>
      <c r="K374" s="112"/>
      <c r="L374" s="112"/>
      <c r="M374" s="112"/>
      <c r="N374" s="112"/>
      <c r="O374" s="112"/>
      <c r="P374" s="112"/>
      <c r="Q374" s="112"/>
      <c r="R374" s="112"/>
      <c r="S374" s="112"/>
      <c r="T374" s="112"/>
      <c r="U374" s="124"/>
      <c r="V374" s="124"/>
      <c r="W374" s="124"/>
      <c r="X374" s="124"/>
      <c r="Y374" s="124"/>
      <c r="Z374" s="112"/>
      <c r="AA374" s="112"/>
      <c r="AB374" s="112"/>
      <c r="AC374" s="112"/>
      <c r="AD374" s="112"/>
      <c r="AE374" s="112"/>
      <c r="AF374" s="112"/>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row>
    <row r="375">
      <c r="D375" s="143"/>
      <c r="E375" s="129"/>
      <c r="F375" s="112"/>
      <c r="G375" s="112"/>
      <c r="H375" s="112"/>
      <c r="I375" s="112"/>
      <c r="J375" s="112"/>
      <c r="K375" s="112"/>
      <c r="L375" s="112"/>
      <c r="M375" s="112"/>
      <c r="N375" s="112"/>
      <c r="O375" s="112"/>
      <c r="P375" s="112"/>
      <c r="Q375" s="112"/>
      <c r="R375" s="112"/>
      <c r="S375" s="112"/>
      <c r="T375" s="112"/>
      <c r="U375" s="124"/>
      <c r="V375" s="124"/>
      <c r="W375" s="124"/>
      <c r="X375" s="124"/>
      <c r="Y375" s="124"/>
      <c r="Z375" s="112"/>
      <c r="AA375" s="112"/>
      <c r="AB375" s="112"/>
      <c r="AC375" s="112"/>
      <c r="AD375" s="112"/>
      <c r="AE375" s="112"/>
      <c r="AF375" s="112"/>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c r="BK375" s="124"/>
      <c r="BL375" s="124"/>
      <c r="BM375" s="124"/>
      <c r="BN375" s="124"/>
      <c r="BO375" s="124"/>
      <c r="BP375" s="124"/>
      <c r="BQ375" s="124"/>
      <c r="BR375" s="124"/>
      <c r="BS375" s="124"/>
      <c r="BT375" s="124"/>
      <c r="BU375" s="124"/>
      <c r="BV375" s="124"/>
      <c r="BW375" s="124"/>
      <c r="BX375" s="124"/>
      <c r="BY375" s="124"/>
      <c r="BZ375" s="124"/>
      <c r="CA375" s="124"/>
    </row>
    <row r="376">
      <c r="D376" s="143"/>
      <c r="E376" s="129"/>
      <c r="F376" s="112"/>
      <c r="G376" s="112"/>
      <c r="H376" s="112"/>
      <c r="I376" s="112"/>
      <c r="J376" s="112"/>
      <c r="K376" s="112"/>
      <c r="L376" s="112"/>
      <c r="M376" s="112"/>
      <c r="N376" s="112"/>
      <c r="O376" s="112"/>
      <c r="P376" s="112"/>
      <c r="Q376" s="112"/>
      <c r="R376" s="112"/>
      <c r="S376" s="112"/>
      <c r="T376" s="112"/>
      <c r="U376" s="124"/>
      <c r="V376" s="124"/>
      <c r="W376" s="124"/>
      <c r="X376" s="124"/>
      <c r="Y376" s="124"/>
      <c r="Z376" s="112"/>
      <c r="AA376" s="112"/>
      <c r="AB376" s="112"/>
      <c r="AC376" s="112"/>
      <c r="AD376" s="112"/>
      <c r="AE376" s="112"/>
      <c r="AF376" s="112"/>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c r="BK376" s="124"/>
      <c r="BL376" s="124"/>
      <c r="BM376" s="124"/>
      <c r="BN376" s="124"/>
      <c r="BO376" s="124"/>
      <c r="BP376" s="124"/>
      <c r="BQ376" s="124"/>
      <c r="BR376" s="124"/>
      <c r="BS376" s="124"/>
      <c r="BT376" s="124"/>
      <c r="BU376" s="124"/>
      <c r="BV376" s="124"/>
      <c r="BW376" s="124"/>
      <c r="BX376" s="124"/>
      <c r="BY376" s="124"/>
      <c r="BZ376" s="124"/>
      <c r="CA376" s="124"/>
    </row>
    <row r="377">
      <c r="D377" s="143"/>
      <c r="E377" s="129"/>
      <c r="F377" s="112"/>
      <c r="G377" s="112"/>
      <c r="H377" s="112"/>
      <c r="I377" s="112"/>
      <c r="J377" s="112"/>
      <c r="K377" s="112"/>
      <c r="L377" s="112"/>
      <c r="M377" s="112"/>
      <c r="N377" s="112"/>
      <c r="O377" s="112"/>
      <c r="P377" s="112"/>
      <c r="Q377" s="112"/>
      <c r="R377" s="112"/>
      <c r="S377" s="112"/>
      <c r="T377" s="112"/>
      <c r="U377" s="124"/>
      <c r="V377" s="124"/>
      <c r="W377" s="124"/>
      <c r="X377" s="124"/>
      <c r="Y377" s="124"/>
      <c r="Z377" s="112"/>
      <c r="AA377" s="112"/>
      <c r="AB377" s="112"/>
      <c r="AC377" s="112"/>
      <c r="AD377" s="112"/>
      <c r="AE377" s="112"/>
      <c r="AF377" s="112"/>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c r="BK377" s="124"/>
      <c r="BL377" s="124"/>
      <c r="BM377" s="124"/>
      <c r="BN377" s="124"/>
      <c r="BO377" s="124"/>
      <c r="BP377" s="124"/>
      <c r="BQ377" s="124"/>
      <c r="BR377" s="124"/>
      <c r="BS377" s="124"/>
      <c r="BT377" s="124"/>
      <c r="BU377" s="124"/>
      <c r="BV377" s="124"/>
      <c r="BW377" s="124"/>
      <c r="BX377" s="124"/>
      <c r="BY377" s="124"/>
      <c r="BZ377" s="124"/>
      <c r="CA377" s="124"/>
    </row>
    <row r="378">
      <c r="D378" s="143"/>
      <c r="E378" s="129"/>
      <c r="F378" s="112"/>
      <c r="G378" s="112"/>
      <c r="H378" s="112"/>
      <c r="I378" s="112"/>
      <c r="J378" s="112"/>
      <c r="K378" s="112"/>
      <c r="L378" s="112"/>
      <c r="M378" s="112"/>
      <c r="N378" s="112"/>
      <c r="O378" s="112"/>
      <c r="P378" s="112"/>
      <c r="Q378" s="112"/>
      <c r="R378" s="112"/>
      <c r="S378" s="112"/>
      <c r="T378" s="112"/>
      <c r="U378" s="124"/>
      <c r="V378" s="124"/>
      <c r="W378" s="124"/>
      <c r="X378" s="124"/>
      <c r="Y378" s="124"/>
      <c r="Z378" s="112"/>
      <c r="AA378" s="112"/>
      <c r="AB378" s="112"/>
      <c r="AC378" s="112"/>
      <c r="AD378" s="112"/>
      <c r="AE378" s="112"/>
      <c r="AF378" s="112"/>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row>
    <row r="379">
      <c r="D379" s="143"/>
      <c r="E379" s="129"/>
      <c r="F379" s="112"/>
      <c r="G379" s="112"/>
      <c r="H379" s="112"/>
      <c r="I379" s="112"/>
      <c r="J379" s="112"/>
      <c r="K379" s="112"/>
      <c r="L379" s="112"/>
      <c r="M379" s="112"/>
      <c r="N379" s="112"/>
      <c r="O379" s="112"/>
      <c r="P379" s="112"/>
      <c r="Q379" s="112"/>
      <c r="R379" s="112"/>
      <c r="S379" s="112"/>
      <c r="T379" s="112"/>
      <c r="U379" s="124"/>
      <c r="V379" s="124"/>
      <c r="W379" s="124"/>
      <c r="X379" s="124"/>
      <c r="Y379" s="124"/>
      <c r="Z379" s="112"/>
      <c r="AA379" s="112"/>
      <c r="AB379" s="112"/>
      <c r="AC379" s="112"/>
      <c r="AD379" s="112"/>
      <c r="AE379" s="112"/>
      <c r="AF379" s="112"/>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c r="BK379" s="124"/>
      <c r="BL379" s="124"/>
      <c r="BM379" s="124"/>
      <c r="BN379" s="124"/>
      <c r="BO379" s="124"/>
      <c r="BP379" s="124"/>
      <c r="BQ379" s="124"/>
      <c r="BR379" s="124"/>
      <c r="BS379" s="124"/>
      <c r="BT379" s="124"/>
      <c r="BU379" s="124"/>
      <c r="BV379" s="124"/>
      <c r="BW379" s="124"/>
      <c r="BX379" s="124"/>
      <c r="BY379" s="124"/>
      <c r="BZ379" s="124"/>
      <c r="CA379" s="124"/>
    </row>
    <row r="380">
      <c r="D380" s="143"/>
      <c r="E380" s="129"/>
      <c r="F380" s="112"/>
      <c r="G380" s="112"/>
      <c r="H380" s="112"/>
      <c r="I380" s="112"/>
      <c r="J380" s="112"/>
      <c r="K380" s="112"/>
      <c r="L380" s="112"/>
      <c r="M380" s="112"/>
      <c r="N380" s="112"/>
      <c r="O380" s="112"/>
      <c r="P380" s="112"/>
      <c r="Q380" s="112"/>
      <c r="R380" s="112"/>
      <c r="S380" s="112"/>
      <c r="T380" s="112"/>
      <c r="U380" s="124"/>
      <c r="V380" s="124"/>
      <c r="W380" s="124"/>
      <c r="X380" s="124"/>
      <c r="Y380" s="124"/>
      <c r="Z380" s="112"/>
      <c r="AA380" s="112"/>
      <c r="AB380" s="112"/>
      <c r="AC380" s="112"/>
      <c r="AD380" s="112"/>
      <c r="AE380" s="112"/>
      <c r="AF380" s="112"/>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c r="BK380" s="124"/>
      <c r="BL380" s="124"/>
      <c r="BM380" s="124"/>
      <c r="BN380" s="124"/>
      <c r="BO380" s="124"/>
      <c r="BP380" s="124"/>
      <c r="BQ380" s="124"/>
      <c r="BR380" s="124"/>
      <c r="BS380" s="124"/>
      <c r="BT380" s="124"/>
      <c r="BU380" s="124"/>
      <c r="BV380" s="124"/>
      <c r="BW380" s="124"/>
      <c r="BX380" s="124"/>
      <c r="BY380" s="124"/>
      <c r="BZ380" s="124"/>
      <c r="CA380" s="124"/>
    </row>
    <row r="381">
      <c r="D381" s="143"/>
      <c r="E381" s="129"/>
      <c r="F381" s="112"/>
      <c r="G381" s="112"/>
      <c r="H381" s="112"/>
      <c r="I381" s="112"/>
      <c r="J381" s="112"/>
      <c r="K381" s="112"/>
      <c r="L381" s="112"/>
      <c r="M381" s="112"/>
      <c r="N381" s="112"/>
      <c r="O381" s="112"/>
      <c r="P381" s="112"/>
      <c r="Q381" s="112"/>
      <c r="R381" s="112"/>
      <c r="S381" s="112"/>
      <c r="T381" s="112"/>
      <c r="U381" s="124"/>
      <c r="V381" s="124"/>
      <c r="W381" s="124"/>
      <c r="X381" s="124"/>
      <c r="Y381" s="124"/>
      <c r="Z381" s="112"/>
      <c r="AA381" s="112"/>
      <c r="AB381" s="112"/>
      <c r="AC381" s="112"/>
      <c r="AD381" s="112"/>
      <c r="AE381" s="112"/>
      <c r="AF381" s="112"/>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c r="BK381" s="124"/>
      <c r="BL381" s="124"/>
      <c r="BM381" s="124"/>
      <c r="BN381" s="124"/>
      <c r="BO381" s="124"/>
      <c r="BP381" s="124"/>
      <c r="BQ381" s="124"/>
      <c r="BR381" s="124"/>
      <c r="BS381" s="124"/>
      <c r="BT381" s="124"/>
      <c r="BU381" s="124"/>
      <c r="BV381" s="124"/>
      <c r="BW381" s="124"/>
      <c r="BX381" s="124"/>
      <c r="BY381" s="124"/>
      <c r="BZ381" s="124"/>
      <c r="CA381" s="124"/>
    </row>
    <row r="382">
      <c r="D382" s="143"/>
      <c r="E382" s="129"/>
      <c r="F382" s="112"/>
      <c r="G382" s="112"/>
      <c r="H382" s="112"/>
      <c r="I382" s="112"/>
      <c r="J382" s="112"/>
      <c r="K382" s="112"/>
      <c r="L382" s="112"/>
      <c r="M382" s="112"/>
      <c r="N382" s="112"/>
      <c r="O382" s="112"/>
      <c r="P382" s="112"/>
      <c r="Q382" s="112"/>
      <c r="R382" s="112"/>
      <c r="S382" s="112"/>
      <c r="T382" s="112"/>
      <c r="U382" s="124"/>
      <c r="V382" s="124"/>
      <c r="W382" s="124"/>
      <c r="X382" s="124"/>
      <c r="Y382" s="124"/>
      <c r="Z382" s="112"/>
      <c r="AA382" s="112"/>
      <c r="AB382" s="112"/>
      <c r="AC382" s="112"/>
      <c r="AD382" s="112"/>
      <c r="AE382" s="112"/>
      <c r="AF382" s="112"/>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row>
    <row r="383">
      <c r="D383" s="143"/>
      <c r="E383" s="129"/>
      <c r="F383" s="112"/>
      <c r="G383" s="112"/>
      <c r="H383" s="112"/>
      <c r="I383" s="112"/>
      <c r="J383" s="112"/>
      <c r="K383" s="112"/>
      <c r="L383" s="112"/>
      <c r="M383" s="112"/>
      <c r="N383" s="112"/>
      <c r="O383" s="112"/>
      <c r="P383" s="112"/>
      <c r="Q383" s="112"/>
      <c r="R383" s="112"/>
      <c r="S383" s="112"/>
      <c r="T383" s="112"/>
      <c r="U383" s="124"/>
      <c r="V383" s="124"/>
      <c r="W383" s="124"/>
      <c r="X383" s="124"/>
      <c r="Y383" s="124"/>
      <c r="Z383" s="112"/>
      <c r="AA383" s="112"/>
      <c r="AB383" s="112"/>
      <c r="AC383" s="112"/>
      <c r="AD383" s="112"/>
      <c r="AE383" s="112"/>
      <c r="AF383" s="112"/>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c r="BK383" s="124"/>
      <c r="BL383" s="124"/>
      <c r="BM383" s="124"/>
      <c r="BN383" s="124"/>
      <c r="BO383" s="124"/>
      <c r="BP383" s="124"/>
      <c r="BQ383" s="124"/>
      <c r="BR383" s="124"/>
      <c r="BS383" s="124"/>
      <c r="BT383" s="124"/>
      <c r="BU383" s="124"/>
      <c r="BV383" s="124"/>
      <c r="BW383" s="124"/>
      <c r="BX383" s="124"/>
      <c r="BY383" s="124"/>
      <c r="BZ383" s="124"/>
      <c r="CA383" s="124"/>
    </row>
    <row r="384">
      <c r="D384" s="143"/>
      <c r="E384" s="129"/>
      <c r="F384" s="112"/>
      <c r="G384" s="112"/>
      <c r="H384" s="112"/>
      <c r="I384" s="112"/>
      <c r="J384" s="112"/>
      <c r="K384" s="112"/>
      <c r="L384" s="112"/>
      <c r="M384" s="112"/>
      <c r="N384" s="112"/>
      <c r="O384" s="112"/>
      <c r="P384" s="112"/>
      <c r="Q384" s="112"/>
      <c r="R384" s="112"/>
      <c r="S384" s="112"/>
      <c r="T384" s="112"/>
      <c r="U384" s="124"/>
      <c r="V384" s="124"/>
      <c r="W384" s="124"/>
      <c r="X384" s="124"/>
      <c r="Y384" s="124"/>
      <c r="Z384" s="112"/>
      <c r="AA384" s="112"/>
      <c r="AB384" s="112"/>
      <c r="AC384" s="112"/>
      <c r="AD384" s="112"/>
      <c r="AE384" s="112"/>
      <c r="AF384" s="112"/>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row>
    <row r="385">
      <c r="D385" s="143"/>
      <c r="E385" s="129"/>
      <c r="F385" s="112"/>
      <c r="G385" s="112"/>
      <c r="H385" s="112"/>
      <c r="I385" s="112"/>
      <c r="J385" s="112"/>
      <c r="K385" s="112"/>
      <c r="L385" s="112"/>
      <c r="M385" s="112"/>
      <c r="N385" s="112"/>
      <c r="O385" s="112"/>
      <c r="P385" s="112"/>
      <c r="Q385" s="112"/>
      <c r="R385" s="112"/>
      <c r="S385" s="112"/>
      <c r="T385" s="112"/>
      <c r="U385" s="124"/>
      <c r="V385" s="124"/>
      <c r="W385" s="124"/>
      <c r="X385" s="124"/>
      <c r="Y385" s="124"/>
      <c r="Z385" s="112"/>
      <c r="AA385" s="112"/>
      <c r="AB385" s="112"/>
      <c r="AC385" s="112"/>
      <c r="AD385" s="112"/>
      <c r="AE385" s="112"/>
      <c r="AF385" s="112"/>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c r="BK385" s="124"/>
      <c r="BL385" s="124"/>
      <c r="BM385" s="124"/>
      <c r="BN385" s="124"/>
      <c r="BO385" s="124"/>
      <c r="BP385" s="124"/>
      <c r="BQ385" s="124"/>
      <c r="BR385" s="124"/>
      <c r="BS385" s="124"/>
      <c r="BT385" s="124"/>
      <c r="BU385" s="124"/>
      <c r="BV385" s="124"/>
      <c r="BW385" s="124"/>
      <c r="BX385" s="124"/>
      <c r="BY385" s="124"/>
      <c r="BZ385" s="124"/>
      <c r="CA385" s="124"/>
    </row>
    <row r="386">
      <c r="D386" s="143"/>
      <c r="E386" s="129"/>
      <c r="F386" s="112"/>
      <c r="G386" s="112"/>
      <c r="H386" s="112"/>
      <c r="I386" s="112"/>
      <c r="J386" s="112"/>
      <c r="K386" s="112"/>
      <c r="L386" s="112"/>
      <c r="M386" s="112"/>
      <c r="N386" s="112"/>
      <c r="O386" s="112"/>
      <c r="P386" s="112"/>
      <c r="Q386" s="112"/>
      <c r="R386" s="112"/>
      <c r="S386" s="112"/>
      <c r="T386" s="112"/>
      <c r="U386" s="124"/>
      <c r="V386" s="124"/>
      <c r="W386" s="124"/>
      <c r="X386" s="124"/>
      <c r="Y386" s="124"/>
      <c r="Z386" s="112"/>
      <c r="AA386" s="112"/>
      <c r="AB386" s="112"/>
      <c r="AC386" s="112"/>
      <c r="AD386" s="112"/>
      <c r="AE386" s="112"/>
      <c r="AF386" s="112"/>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c r="BK386" s="124"/>
      <c r="BL386" s="124"/>
      <c r="BM386" s="124"/>
      <c r="BN386" s="124"/>
      <c r="BO386" s="124"/>
      <c r="BP386" s="124"/>
      <c r="BQ386" s="124"/>
      <c r="BR386" s="124"/>
      <c r="BS386" s="124"/>
      <c r="BT386" s="124"/>
      <c r="BU386" s="124"/>
      <c r="BV386" s="124"/>
      <c r="BW386" s="124"/>
      <c r="BX386" s="124"/>
      <c r="BY386" s="124"/>
      <c r="BZ386" s="124"/>
      <c r="CA386" s="124"/>
    </row>
    <row r="387">
      <c r="D387" s="143"/>
      <c r="E387" s="129"/>
      <c r="F387" s="112"/>
      <c r="G387" s="112"/>
      <c r="H387" s="112"/>
      <c r="I387" s="112"/>
      <c r="J387" s="112"/>
      <c r="K387" s="112"/>
      <c r="L387" s="112"/>
      <c r="M387" s="112"/>
      <c r="N387" s="112"/>
      <c r="O387" s="112"/>
      <c r="P387" s="112"/>
      <c r="Q387" s="112"/>
      <c r="R387" s="112"/>
      <c r="S387" s="112"/>
      <c r="T387" s="112"/>
      <c r="U387" s="124"/>
      <c r="V387" s="124"/>
      <c r="W387" s="124"/>
      <c r="X387" s="124"/>
      <c r="Y387" s="124"/>
      <c r="Z387" s="112"/>
      <c r="AA387" s="112"/>
      <c r="AB387" s="112"/>
      <c r="AC387" s="112"/>
      <c r="AD387" s="112"/>
      <c r="AE387" s="112"/>
      <c r="AF387" s="112"/>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c r="BK387" s="124"/>
      <c r="BL387" s="124"/>
      <c r="BM387" s="124"/>
      <c r="BN387" s="124"/>
      <c r="BO387" s="124"/>
      <c r="BP387" s="124"/>
      <c r="BQ387" s="124"/>
      <c r="BR387" s="124"/>
      <c r="BS387" s="124"/>
      <c r="BT387" s="124"/>
      <c r="BU387" s="124"/>
      <c r="BV387" s="124"/>
      <c r="BW387" s="124"/>
      <c r="BX387" s="124"/>
      <c r="BY387" s="124"/>
      <c r="BZ387" s="124"/>
      <c r="CA387" s="124"/>
    </row>
    <row r="388">
      <c r="D388" s="143"/>
      <c r="E388" s="129"/>
      <c r="F388" s="112"/>
      <c r="G388" s="112"/>
      <c r="H388" s="112"/>
      <c r="I388" s="112"/>
      <c r="J388" s="112"/>
      <c r="K388" s="112"/>
      <c r="L388" s="112"/>
      <c r="M388" s="112"/>
      <c r="N388" s="112"/>
      <c r="O388" s="112"/>
      <c r="P388" s="112"/>
      <c r="Q388" s="112"/>
      <c r="R388" s="112"/>
      <c r="S388" s="112"/>
      <c r="T388" s="112"/>
      <c r="U388" s="124"/>
      <c r="V388" s="124"/>
      <c r="W388" s="124"/>
      <c r="X388" s="124"/>
      <c r="Y388" s="124"/>
      <c r="Z388" s="112"/>
      <c r="AA388" s="112"/>
      <c r="AB388" s="112"/>
      <c r="AC388" s="112"/>
      <c r="AD388" s="112"/>
      <c r="AE388" s="112"/>
      <c r="AF388" s="112"/>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c r="BK388" s="124"/>
      <c r="BL388" s="124"/>
      <c r="BM388" s="124"/>
      <c r="BN388" s="124"/>
      <c r="BO388" s="124"/>
      <c r="BP388" s="124"/>
      <c r="BQ388" s="124"/>
      <c r="BR388" s="124"/>
      <c r="BS388" s="124"/>
      <c r="BT388" s="124"/>
      <c r="BU388" s="124"/>
      <c r="BV388" s="124"/>
      <c r="BW388" s="124"/>
      <c r="BX388" s="124"/>
      <c r="BY388" s="124"/>
      <c r="BZ388" s="124"/>
      <c r="CA388" s="124"/>
    </row>
    <row r="389">
      <c r="D389" s="143"/>
      <c r="E389" s="129"/>
      <c r="F389" s="112"/>
      <c r="G389" s="112"/>
      <c r="H389" s="112"/>
      <c r="I389" s="112"/>
      <c r="J389" s="112"/>
      <c r="K389" s="112"/>
      <c r="L389" s="112"/>
      <c r="M389" s="112"/>
      <c r="N389" s="112"/>
      <c r="O389" s="112"/>
      <c r="P389" s="112"/>
      <c r="Q389" s="112"/>
      <c r="R389" s="112"/>
      <c r="S389" s="112"/>
      <c r="T389" s="112"/>
      <c r="U389" s="124"/>
      <c r="V389" s="124"/>
      <c r="W389" s="124"/>
      <c r="X389" s="124"/>
      <c r="Y389" s="124"/>
      <c r="Z389" s="112"/>
      <c r="AA389" s="112"/>
      <c r="AB389" s="112"/>
      <c r="AC389" s="112"/>
      <c r="AD389" s="112"/>
      <c r="AE389" s="112"/>
      <c r="AF389" s="112"/>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c r="BK389" s="124"/>
      <c r="BL389" s="124"/>
      <c r="BM389" s="124"/>
      <c r="BN389" s="124"/>
      <c r="BO389" s="124"/>
      <c r="BP389" s="124"/>
      <c r="BQ389" s="124"/>
      <c r="BR389" s="124"/>
      <c r="BS389" s="124"/>
      <c r="BT389" s="124"/>
      <c r="BU389" s="124"/>
      <c r="BV389" s="124"/>
      <c r="BW389" s="124"/>
      <c r="BX389" s="124"/>
      <c r="BY389" s="124"/>
      <c r="BZ389" s="124"/>
      <c r="CA389" s="124"/>
    </row>
    <row r="390">
      <c r="D390" s="143"/>
      <c r="E390" s="129"/>
      <c r="F390" s="112"/>
      <c r="G390" s="112"/>
      <c r="H390" s="112"/>
      <c r="I390" s="112"/>
      <c r="J390" s="112"/>
      <c r="K390" s="112"/>
      <c r="L390" s="112"/>
      <c r="M390" s="112"/>
      <c r="N390" s="112"/>
      <c r="O390" s="112"/>
      <c r="P390" s="112"/>
      <c r="Q390" s="112"/>
      <c r="R390" s="112"/>
      <c r="S390" s="112"/>
      <c r="T390" s="112"/>
      <c r="U390" s="124"/>
      <c r="V390" s="124"/>
      <c r="W390" s="124"/>
      <c r="X390" s="124"/>
      <c r="Y390" s="124"/>
      <c r="Z390" s="112"/>
      <c r="AA390" s="112"/>
      <c r="AB390" s="112"/>
      <c r="AC390" s="112"/>
      <c r="AD390" s="112"/>
      <c r="AE390" s="112"/>
      <c r="AF390" s="112"/>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row>
    <row r="391">
      <c r="D391" s="143"/>
      <c r="E391" s="129"/>
      <c r="F391" s="112"/>
      <c r="G391" s="112"/>
      <c r="H391" s="112"/>
      <c r="I391" s="112"/>
      <c r="J391" s="112"/>
      <c r="K391" s="112"/>
      <c r="L391" s="112"/>
      <c r="M391" s="112"/>
      <c r="N391" s="112"/>
      <c r="O391" s="112"/>
      <c r="P391" s="112"/>
      <c r="Q391" s="112"/>
      <c r="R391" s="112"/>
      <c r="S391" s="112"/>
      <c r="T391" s="112"/>
      <c r="U391" s="124"/>
      <c r="V391" s="124"/>
      <c r="W391" s="124"/>
      <c r="X391" s="124"/>
      <c r="Y391" s="124"/>
      <c r="Z391" s="112"/>
      <c r="AA391" s="112"/>
      <c r="AB391" s="112"/>
      <c r="AC391" s="112"/>
      <c r="AD391" s="112"/>
      <c r="AE391" s="112"/>
      <c r="AF391" s="112"/>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c r="BK391" s="124"/>
      <c r="BL391" s="124"/>
      <c r="BM391" s="124"/>
      <c r="BN391" s="124"/>
      <c r="BO391" s="124"/>
      <c r="BP391" s="124"/>
      <c r="BQ391" s="124"/>
      <c r="BR391" s="124"/>
      <c r="BS391" s="124"/>
      <c r="BT391" s="124"/>
      <c r="BU391" s="124"/>
      <c r="BV391" s="124"/>
      <c r="BW391" s="124"/>
      <c r="BX391" s="124"/>
      <c r="BY391" s="124"/>
      <c r="BZ391" s="124"/>
      <c r="CA391" s="124"/>
    </row>
    <row r="392">
      <c r="D392" s="143"/>
      <c r="E392" s="129"/>
      <c r="F392" s="112"/>
      <c r="G392" s="112"/>
      <c r="H392" s="112"/>
      <c r="I392" s="112"/>
      <c r="J392" s="112"/>
      <c r="K392" s="112"/>
      <c r="L392" s="112"/>
      <c r="M392" s="112"/>
      <c r="N392" s="112"/>
      <c r="O392" s="112"/>
      <c r="P392" s="112"/>
      <c r="Q392" s="112"/>
      <c r="R392" s="112"/>
      <c r="S392" s="112"/>
      <c r="T392" s="112"/>
      <c r="U392" s="124"/>
      <c r="V392" s="124"/>
      <c r="W392" s="124"/>
      <c r="X392" s="124"/>
      <c r="Y392" s="124"/>
      <c r="Z392" s="112"/>
      <c r="AA392" s="112"/>
      <c r="AB392" s="112"/>
      <c r="AC392" s="112"/>
      <c r="AD392" s="112"/>
      <c r="AE392" s="112"/>
      <c r="AF392" s="112"/>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c r="BK392" s="124"/>
      <c r="BL392" s="124"/>
      <c r="BM392" s="124"/>
      <c r="BN392" s="124"/>
      <c r="BO392" s="124"/>
      <c r="BP392" s="124"/>
      <c r="BQ392" s="124"/>
      <c r="BR392" s="124"/>
      <c r="BS392" s="124"/>
      <c r="BT392" s="124"/>
      <c r="BU392" s="124"/>
      <c r="BV392" s="124"/>
      <c r="BW392" s="124"/>
      <c r="BX392" s="124"/>
      <c r="BY392" s="124"/>
      <c r="BZ392" s="124"/>
      <c r="CA392" s="124"/>
    </row>
    <row r="393">
      <c r="D393" s="143"/>
      <c r="E393" s="129"/>
      <c r="F393" s="112"/>
      <c r="G393" s="112"/>
      <c r="H393" s="112"/>
      <c r="I393" s="112"/>
      <c r="J393" s="112"/>
      <c r="K393" s="112"/>
      <c r="L393" s="112"/>
      <c r="M393" s="112"/>
      <c r="N393" s="112"/>
      <c r="O393" s="112"/>
      <c r="P393" s="112"/>
      <c r="Q393" s="112"/>
      <c r="R393" s="112"/>
      <c r="S393" s="112"/>
      <c r="T393" s="112"/>
      <c r="U393" s="124"/>
      <c r="V393" s="124"/>
      <c r="W393" s="124"/>
      <c r="X393" s="124"/>
      <c r="Y393" s="124"/>
      <c r="Z393" s="112"/>
      <c r="AA393" s="112"/>
      <c r="AB393" s="112"/>
      <c r="AC393" s="112"/>
      <c r="AD393" s="112"/>
      <c r="AE393" s="112"/>
      <c r="AF393" s="112"/>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row>
    <row r="394">
      <c r="D394" s="143"/>
      <c r="E394" s="129"/>
      <c r="F394" s="112"/>
      <c r="G394" s="112"/>
      <c r="H394" s="112"/>
      <c r="I394" s="112"/>
      <c r="J394" s="112"/>
      <c r="K394" s="112"/>
      <c r="L394" s="112"/>
      <c r="M394" s="112"/>
      <c r="N394" s="112"/>
      <c r="O394" s="112"/>
      <c r="P394" s="112"/>
      <c r="Q394" s="112"/>
      <c r="R394" s="112"/>
      <c r="S394" s="112"/>
      <c r="T394" s="112"/>
      <c r="U394" s="124"/>
      <c r="V394" s="124"/>
      <c r="W394" s="124"/>
      <c r="X394" s="124"/>
      <c r="Y394" s="124"/>
      <c r="Z394" s="112"/>
      <c r="AA394" s="112"/>
      <c r="AB394" s="112"/>
      <c r="AC394" s="112"/>
      <c r="AD394" s="112"/>
      <c r="AE394" s="112"/>
      <c r="AF394" s="112"/>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row>
    <row r="395">
      <c r="D395" s="143"/>
      <c r="E395" s="129"/>
      <c r="F395" s="112"/>
      <c r="G395" s="112"/>
      <c r="H395" s="112"/>
      <c r="I395" s="112"/>
      <c r="J395" s="112"/>
      <c r="K395" s="112"/>
      <c r="L395" s="112"/>
      <c r="M395" s="112"/>
      <c r="N395" s="112"/>
      <c r="O395" s="112"/>
      <c r="P395" s="112"/>
      <c r="Q395" s="112"/>
      <c r="R395" s="112"/>
      <c r="S395" s="112"/>
      <c r="T395" s="112"/>
      <c r="U395" s="124"/>
      <c r="V395" s="124"/>
      <c r="W395" s="124"/>
      <c r="X395" s="124"/>
      <c r="Y395" s="124"/>
      <c r="Z395" s="112"/>
      <c r="AA395" s="112"/>
      <c r="AB395" s="112"/>
      <c r="AC395" s="112"/>
      <c r="AD395" s="112"/>
      <c r="AE395" s="112"/>
      <c r="AF395" s="112"/>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c r="BK395" s="124"/>
      <c r="BL395" s="124"/>
      <c r="BM395" s="124"/>
      <c r="BN395" s="124"/>
      <c r="BO395" s="124"/>
      <c r="BP395" s="124"/>
      <c r="BQ395" s="124"/>
      <c r="BR395" s="124"/>
      <c r="BS395" s="124"/>
      <c r="BT395" s="124"/>
      <c r="BU395" s="124"/>
      <c r="BV395" s="124"/>
      <c r="BW395" s="124"/>
      <c r="BX395" s="124"/>
      <c r="BY395" s="124"/>
      <c r="BZ395" s="124"/>
      <c r="CA395" s="124"/>
    </row>
    <row r="396">
      <c r="D396" s="143"/>
      <c r="E396" s="129"/>
      <c r="F396" s="112"/>
      <c r="G396" s="112"/>
      <c r="H396" s="112"/>
      <c r="I396" s="112"/>
      <c r="J396" s="112"/>
      <c r="K396" s="112"/>
      <c r="L396" s="112"/>
      <c r="M396" s="112"/>
      <c r="N396" s="112"/>
      <c r="O396" s="112"/>
      <c r="P396" s="112"/>
      <c r="Q396" s="112"/>
      <c r="R396" s="112"/>
      <c r="S396" s="112"/>
      <c r="T396" s="112"/>
      <c r="U396" s="124"/>
      <c r="V396" s="124"/>
      <c r="W396" s="124"/>
      <c r="X396" s="124"/>
      <c r="Y396" s="124"/>
      <c r="Z396" s="112"/>
      <c r="AA396" s="112"/>
      <c r="AB396" s="112"/>
      <c r="AC396" s="112"/>
      <c r="AD396" s="112"/>
      <c r="AE396" s="112"/>
      <c r="AF396" s="112"/>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row>
    <row r="397">
      <c r="D397" s="143"/>
      <c r="E397" s="129"/>
      <c r="F397" s="112"/>
      <c r="G397" s="112"/>
      <c r="H397" s="112"/>
      <c r="I397" s="112"/>
      <c r="J397" s="112"/>
      <c r="K397" s="112"/>
      <c r="L397" s="112"/>
      <c r="M397" s="112"/>
      <c r="N397" s="112"/>
      <c r="O397" s="112"/>
      <c r="P397" s="112"/>
      <c r="Q397" s="112"/>
      <c r="R397" s="112"/>
      <c r="S397" s="112"/>
      <c r="T397" s="112"/>
      <c r="U397" s="124"/>
      <c r="V397" s="124"/>
      <c r="W397" s="124"/>
      <c r="X397" s="124"/>
      <c r="Y397" s="124"/>
      <c r="Z397" s="112"/>
      <c r="AA397" s="112"/>
      <c r="AB397" s="112"/>
      <c r="AC397" s="112"/>
      <c r="AD397" s="112"/>
      <c r="AE397" s="112"/>
      <c r="AF397" s="112"/>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row>
    <row r="398">
      <c r="D398" s="143"/>
      <c r="E398" s="129"/>
      <c r="F398" s="112"/>
      <c r="G398" s="112"/>
      <c r="H398" s="112"/>
      <c r="I398" s="112"/>
      <c r="J398" s="112"/>
      <c r="K398" s="112"/>
      <c r="L398" s="112"/>
      <c r="M398" s="112"/>
      <c r="N398" s="112"/>
      <c r="O398" s="112"/>
      <c r="P398" s="112"/>
      <c r="Q398" s="112"/>
      <c r="R398" s="112"/>
      <c r="S398" s="112"/>
      <c r="T398" s="112"/>
      <c r="U398" s="124"/>
      <c r="V398" s="124"/>
      <c r="W398" s="124"/>
      <c r="X398" s="124"/>
      <c r="Y398" s="124"/>
      <c r="Z398" s="112"/>
      <c r="AA398" s="112"/>
      <c r="AB398" s="112"/>
      <c r="AC398" s="112"/>
      <c r="AD398" s="112"/>
      <c r="AE398" s="112"/>
      <c r="AF398" s="112"/>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row>
    <row r="399">
      <c r="D399" s="143"/>
      <c r="E399" s="129"/>
      <c r="F399" s="112"/>
      <c r="G399" s="112"/>
      <c r="H399" s="112"/>
      <c r="I399" s="112"/>
      <c r="J399" s="112"/>
      <c r="K399" s="112"/>
      <c r="L399" s="112"/>
      <c r="M399" s="112"/>
      <c r="N399" s="112"/>
      <c r="O399" s="112"/>
      <c r="P399" s="112"/>
      <c r="Q399" s="112"/>
      <c r="R399" s="112"/>
      <c r="S399" s="112"/>
      <c r="T399" s="112"/>
      <c r="U399" s="124"/>
      <c r="V399" s="124"/>
      <c r="W399" s="124"/>
      <c r="X399" s="124"/>
      <c r="Y399" s="124"/>
      <c r="Z399" s="112"/>
      <c r="AA399" s="112"/>
      <c r="AB399" s="112"/>
      <c r="AC399" s="112"/>
      <c r="AD399" s="112"/>
      <c r="AE399" s="112"/>
      <c r="AF399" s="112"/>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c r="BK399" s="124"/>
      <c r="BL399" s="124"/>
      <c r="BM399" s="124"/>
      <c r="BN399" s="124"/>
      <c r="BO399" s="124"/>
      <c r="BP399" s="124"/>
      <c r="BQ399" s="124"/>
      <c r="BR399" s="124"/>
      <c r="BS399" s="124"/>
      <c r="BT399" s="124"/>
      <c r="BU399" s="124"/>
      <c r="BV399" s="124"/>
      <c r="BW399" s="124"/>
      <c r="BX399" s="124"/>
      <c r="BY399" s="124"/>
      <c r="BZ399" s="124"/>
      <c r="CA399" s="124"/>
    </row>
    <row r="400">
      <c r="D400" s="143"/>
      <c r="E400" s="129"/>
      <c r="F400" s="112"/>
      <c r="G400" s="112"/>
      <c r="H400" s="112"/>
      <c r="I400" s="112"/>
      <c r="J400" s="112"/>
      <c r="K400" s="112"/>
      <c r="L400" s="112"/>
      <c r="M400" s="112"/>
      <c r="N400" s="112"/>
      <c r="O400" s="112"/>
      <c r="P400" s="112"/>
      <c r="Q400" s="112"/>
      <c r="R400" s="112"/>
      <c r="S400" s="112"/>
      <c r="T400" s="112"/>
      <c r="U400" s="124"/>
      <c r="V400" s="124"/>
      <c r="W400" s="124"/>
      <c r="X400" s="124"/>
      <c r="Y400" s="124"/>
      <c r="Z400" s="112"/>
      <c r="AA400" s="112"/>
      <c r="AB400" s="112"/>
      <c r="AC400" s="112"/>
      <c r="AD400" s="112"/>
      <c r="AE400" s="112"/>
      <c r="AF400" s="112"/>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row>
    <row r="401">
      <c r="D401" s="143"/>
      <c r="E401" s="129"/>
      <c r="F401" s="112"/>
      <c r="G401" s="112"/>
      <c r="H401" s="112"/>
      <c r="I401" s="112"/>
      <c r="J401" s="112"/>
      <c r="K401" s="112"/>
      <c r="L401" s="112"/>
      <c r="M401" s="112"/>
      <c r="N401" s="112"/>
      <c r="O401" s="112"/>
      <c r="P401" s="112"/>
      <c r="Q401" s="112"/>
      <c r="R401" s="112"/>
      <c r="S401" s="112"/>
      <c r="T401" s="112"/>
      <c r="U401" s="124"/>
      <c r="V401" s="124"/>
      <c r="W401" s="124"/>
      <c r="X401" s="124"/>
      <c r="Y401" s="124"/>
      <c r="Z401" s="112"/>
      <c r="AA401" s="112"/>
      <c r="AB401" s="112"/>
      <c r="AC401" s="112"/>
      <c r="AD401" s="112"/>
      <c r="AE401" s="112"/>
      <c r="AF401" s="112"/>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row>
    <row r="402">
      <c r="D402" s="143"/>
      <c r="E402" s="129"/>
      <c r="F402" s="112"/>
      <c r="G402" s="112"/>
      <c r="H402" s="112"/>
      <c r="I402" s="112"/>
      <c r="J402" s="112"/>
      <c r="K402" s="112"/>
      <c r="L402" s="112"/>
      <c r="M402" s="112"/>
      <c r="N402" s="112"/>
      <c r="O402" s="112"/>
      <c r="P402" s="112"/>
      <c r="Q402" s="112"/>
      <c r="R402" s="112"/>
      <c r="S402" s="112"/>
      <c r="T402" s="112"/>
      <c r="U402" s="124"/>
      <c r="V402" s="124"/>
      <c r="W402" s="124"/>
      <c r="X402" s="124"/>
      <c r="Y402" s="124"/>
      <c r="Z402" s="112"/>
      <c r="AA402" s="112"/>
      <c r="AB402" s="112"/>
      <c r="AC402" s="112"/>
      <c r="AD402" s="112"/>
      <c r="AE402" s="112"/>
      <c r="AF402" s="112"/>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row>
    <row r="403">
      <c r="D403" s="143"/>
      <c r="E403" s="129"/>
      <c r="F403" s="112"/>
      <c r="G403" s="112"/>
      <c r="H403" s="112"/>
      <c r="I403" s="112"/>
      <c r="J403" s="112"/>
      <c r="K403" s="112"/>
      <c r="L403" s="112"/>
      <c r="M403" s="112"/>
      <c r="N403" s="112"/>
      <c r="O403" s="112"/>
      <c r="P403" s="112"/>
      <c r="Q403" s="112"/>
      <c r="R403" s="112"/>
      <c r="S403" s="112"/>
      <c r="T403" s="112"/>
      <c r="U403" s="124"/>
      <c r="V403" s="124"/>
      <c r="W403" s="124"/>
      <c r="X403" s="124"/>
      <c r="Y403" s="124"/>
      <c r="Z403" s="112"/>
      <c r="AA403" s="112"/>
      <c r="AB403" s="112"/>
      <c r="AC403" s="112"/>
      <c r="AD403" s="112"/>
      <c r="AE403" s="112"/>
      <c r="AF403" s="112"/>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c r="BK403" s="124"/>
      <c r="BL403" s="124"/>
      <c r="BM403" s="124"/>
      <c r="BN403" s="124"/>
      <c r="BO403" s="124"/>
      <c r="BP403" s="124"/>
      <c r="BQ403" s="124"/>
      <c r="BR403" s="124"/>
      <c r="BS403" s="124"/>
      <c r="BT403" s="124"/>
      <c r="BU403" s="124"/>
      <c r="BV403" s="124"/>
      <c r="BW403" s="124"/>
      <c r="BX403" s="124"/>
      <c r="BY403" s="124"/>
      <c r="BZ403" s="124"/>
      <c r="CA403" s="124"/>
    </row>
    <row r="404">
      <c r="D404" s="143"/>
      <c r="E404" s="129"/>
      <c r="F404" s="112"/>
      <c r="G404" s="112"/>
      <c r="H404" s="112"/>
      <c r="I404" s="112"/>
      <c r="J404" s="112"/>
      <c r="K404" s="112"/>
      <c r="L404" s="112"/>
      <c r="M404" s="112"/>
      <c r="N404" s="112"/>
      <c r="O404" s="112"/>
      <c r="P404" s="112"/>
      <c r="Q404" s="112"/>
      <c r="R404" s="112"/>
      <c r="S404" s="112"/>
      <c r="T404" s="112"/>
      <c r="U404" s="124"/>
      <c r="V404" s="124"/>
      <c r="W404" s="124"/>
      <c r="X404" s="124"/>
      <c r="Y404" s="124"/>
      <c r="Z404" s="112"/>
      <c r="AA404" s="112"/>
      <c r="AB404" s="112"/>
      <c r="AC404" s="112"/>
      <c r="AD404" s="112"/>
      <c r="AE404" s="112"/>
      <c r="AF404" s="112"/>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row>
    <row r="405">
      <c r="D405" s="143"/>
      <c r="E405" s="129"/>
      <c r="F405" s="112"/>
      <c r="G405" s="112"/>
      <c r="H405" s="112"/>
      <c r="I405" s="112"/>
      <c r="J405" s="112"/>
      <c r="K405" s="112"/>
      <c r="L405" s="112"/>
      <c r="M405" s="112"/>
      <c r="N405" s="112"/>
      <c r="O405" s="112"/>
      <c r="P405" s="112"/>
      <c r="Q405" s="112"/>
      <c r="R405" s="112"/>
      <c r="S405" s="112"/>
      <c r="T405" s="112"/>
      <c r="U405" s="124"/>
      <c r="V405" s="124"/>
      <c r="W405" s="124"/>
      <c r="X405" s="124"/>
      <c r="Y405" s="124"/>
      <c r="Z405" s="112"/>
      <c r="AA405" s="112"/>
      <c r="AB405" s="112"/>
      <c r="AC405" s="112"/>
      <c r="AD405" s="112"/>
      <c r="AE405" s="112"/>
      <c r="AF405" s="112"/>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row>
    <row r="406">
      <c r="D406" s="143"/>
      <c r="E406" s="129"/>
      <c r="F406" s="112"/>
      <c r="G406" s="112"/>
      <c r="H406" s="112"/>
      <c r="I406" s="112"/>
      <c r="J406" s="112"/>
      <c r="K406" s="112"/>
      <c r="L406" s="112"/>
      <c r="M406" s="112"/>
      <c r="N406" s="112"/>
      <c r="O406" s="112"/>
      <c r="P406" s="112"/>
      <c r="Q406" s="112"/>
      <c r="R406" s="112"/>
      <c r="S406" s="112"/>
      <c r="T406" s="112"/>
      <c r="U406" s="124"/>
      <c r="V406" s="124"/>
      <c r="W406" s="124"/>
      <c r="X406" s="124"/>
      <c r="Y406" s="124"/>
      <c r="Z406" s="112"/>
      <c r="AA406" s="112"/>
      <c r="AB406" s="112"/>
      <c r="AC406" s="112"/>
      <c r="AD406" s="112"/>
      <c r="AE406" s="112"/>
      <c r="AF406" s="112"/>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row>
    <row r="407">
      <c r="D407" s="143"/>
      <c r="E407" s="129"/>
      <c r="F407" s="112"/>
      <c r="G407" s="112"/>
      <c r="H407" s="112"/>
      <c r="I407" s="112"/>
      <c r="J407" s="112"/>
      <c r="K407" s="112"/>
      <c r="L407" s="112"/>
      <c r="M407" s="112"/>
      <c r="N407" s="112"/>
      <c r="O407" s="112"/>
      <c r="P407" s="112"/>
      <c r="Q407" s="112"/>
      <c r="R407" s="112"/>
      <c r="S407" s="112"/>
      <c r="T407" s="112"/>
      <c r="U407" s="124"/>
      <c r="V407" s="124"/>
      <c r="W407" s="124"/>
      <c r="X407" s="124"/>
      <c r="Y407" s="124"/>
      <c r="Z407" s="112"/>
      <c r="AA407" s="112"/>
      <c r="AB407" s="112"/>
      <c r="AC407" s="112"/>
      <c r="AD407" s="112"/>
      <c r="AE407" s="112"/>
      <c r="AF407" s="112"/>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row>
    <row r="408">
      <c r="D408" s="143"/>
      <c r="E408" s="129"/>
      <c r="F408" s="112"/>
      <c r="G408" s="112"/>
      <c r="H408" s="112"/>
      <c r="I408" s="112"/>
      <c r="J408" s="112"/>
      <c r="K408" s="112"/>
      <c r="L408" s="112"/>
      <c r="M408" s="112"/>
      <c r="N408" s="112"/>
      <c r="O408" s="112"/>
      <c r="P408" s="112"/>
      <c r="Q408" s="112"/>
      <c r="R408" s="112"/>
      <c r="S408" s="112"/>
      <c r="T408" s="112"/>
      <c r="U408" s="124"/>
      <c r="V408" s="124"/>
      <c r="W408" s="124"/>
      <c r="X408" s="124"/>
      <c r="Y408" s="124"/>
      <c r="Z408" s="112"/>
      <c r="AA408" s="112"/>
      <c r="AB408" s="112"/>
      <c r="AC408" s="112"/>
      <c r="AD408" s="112"/>
      <c r="AE408" s="112"/>
      <c r="AF408" s="112"/>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24"/>
      <c r="BP408" s="124"/>
      <c r="BQ408" s="124"/>
      <c r="BR408" s="124"/>
      <c r="BS408" s="124"/>
      <c r="BT408" s="124"/>
      <c r="BU408" s="124"/>
      <c r="BV408" s="124"/>
      <c r="BW408" s="124"/>
      <c r="BX408" s="124"/>
      <c r="BY408" s="124"/>
      <c r="BZ408" s="124"/>
      <c r="CA408" s="124"/>
    </row>
    <row r="409">
      <c r="D409" s="143"/>
      <c r="E409" s="129"/>
      <c r="F409" s="112"/>
      <c r="G409" s="112"/>
      <c r="H409" s="112"/>
      <c r="I409" s="112"/>
      <c r="J409" s="112"/>
      <c r="K409" s="112"/>
      <c r="L409" s="112"/>
      <c r="M409" s="112"/>
      <c r="N409" s="112"/>
      <c r="O409" s="112"/>
      <c r="P409" s="112"/>
      <c r="Q409" s="112"/>
      <c r="R409" s="112"/>
      <c r="S409" s="112"/>
      <c r="T409" s="112"/>
      <c r="U409" s="124"/>
      <c r="V409" s="124"/>
      <c r="W409" s="124"/>
      <c r="X409" s="124"/>
      <c r="Y409" s="124"/>
      <c r="Z409" s="112"/>
      <c r="AA409" s="112"/>
      <c r="AB409" s="112"/>
      <c r="AC409" s="112"/>
      <c r="AD409" s="112"/>
      <c r="AE409" s="112"/>
      <c r="AF409" s="112"/>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row>
    <row r="410">
      <c r="D410" s="143"/>
      <c r="E410" s="129"/>
      <c r="F410" s="112"/>
      <c r="G410" s="112"/>
      <c r="H410" s="112"/>
      <c r="I410" s="112"/>
      <c r="J410" s="112"/>
      <c r="K410" s="112"/>
      <c r="L410" s="112"/>
      <c r="M410" s="112"/>
      <c r="N410" s="112"/>
      <c r="O410" s="112"/>
      <c r="P410" s="112"/>
      <c r="Q410" s="112"/>
      <c r="R410" s="112"/>
      <c r="S410" s="112"/>
      <c r="T410" s="112"/>
      <c r="U410" s="124"/>
      <c r="V410" s="124"/>
      <c r="W410" s="124"/>
      <c r="X410" s="124"/>
      <c r="Y410" s="124"/>
      <c r="Z410" s="112"/>
      <c r="AA410" s="112"/>
      <c r="AB410" s="112"/>
      <c r="AC410" s="112"/>
      <c r="AD410" s="112"/>
      <c r="AE410" s="112"/>
      <c r="AF410" s="112"/>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row>
    <row r="411">
      <c r="D411" s="143"/>
      <c r="E411" s="129"/>
      <c r="F411" s="112"/>
      <c r="G411" s="112"/>
      <c r="H411" s="112"/>
      <c r="I411" s="112"/>
      <c r="J411" s="112"/>
      <c r="K411" s="112"/>
      <c r="L411" s="112"/>
      <c r="M411" s="112"/>
      <c r="N411" s="112"/>
      <c r="O411" s="112"/>
      <c r="P411" s="112"/>
      <c r="Q411" s="112"/>
      <c r="R411" s="112"/>
      <c r="S411" s="112"/>
      <c r="T411" s="112"/>
      <c r="U411" s="124"/>
      <c r="V411" s="124"/>
      <c r="W411" s="124"/>
      <c r="X411" s="124"/>
      <c r="Y411" s="124"/>
      <c r="Z411" s="112"/>
      <c r="AA411" s="112"/>
      <c r="AB411" s="112"/>
      <c r="AC411" s="112"/>
      <c r="AD411" s="112"/>
      <c r="AE411" s="112"/>
      <c r="AF411" s="112"/>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c r="BK411" s="124"/>
      <c r="BL411" s="124"/>
      <c r="BM411" s="124"/>
      <c r="BN411" s="124"/>
      <c r="BO411" s="124"/>
      <c r="BP411" s="124"/>
      <c r="BQ411" s="124"/>
      <c r="BR411" s="124"/>
      <c r="BS411" s="124"/>
      <c r="BT411" s="124"/>
      <c r="BU411" s="124"/>
      <c r="BV411" s="124"/>
      <c r="BW411" s="124"/>
      <c r="BX411" s="124"/>
      <c r="BY411" s="124"/>
      <c r="BZ411" s="124"/>
      <c r="CA411" s="124"/>
    </row>
    <row r="412">
      <c r="D412" s="143"/>
      <c r="E412" s="129"/>
      <c r="F412" s="112"/>
      <c r="G412" s="112"/>
      <c r="H412" s="112"/>
      <c r="I412" s="112"/>
      <c r="J412" s="112"/>
      <c r="K412" s="112"/>
      <c r="L412" s="112"/>
      <c r="M412" s="112"/>
      <c r="N412" s="112"/>
      <c r="O412" s="112"/>
      <c r="P412" s="112"/>
      <c r="Q412" s="112"/>
      <c r="R412" s="112"/>
      <c r="S412" s="112"/>
      <c r="T412" s="112"/>
      <c r="U412" s="124"/>
      <c r="V412" s="124"/>
      <c r="W412" s="124"/>
      <c r="X412" s="124"/>
      <c r="Y412" s="124"/>
      <c r="Z412" s="112"/>
      <c r="AA412" s="112"/>
      <c r="AB412" s="112"/>
      <c r="AC412" s="112"/>
      <c r="AD412" s="112"/>
      <c r="AE412" s="112"/>
      <c r="AF412" s="112"/>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row>
    <row r="413">
      <c r="D413" s="143"/>
      <c r="E413" s="129"/>
      <c r="F413" s="112"/>
      <c r="G413" s="112"/>
      <c r="H413" s="112"/>
      <c r="I413" s="112"/>
      <c r="J413" s="112"/>
      <c r="K413" s="112"/>
      <c r="L413" s="112"/>
      <c r="M413" s="112"/>
      <c r="N413" s="112"/>
      <c r="O413" s="112"/>
      <c r="P413" s="112"/>
      <c r="Q413" s="112"/>
      <c r="R413" s="112"/>
      <c r="S413" s="112"/>
      <c r="T413" s="112"/>
      <c r="U413" s="124"/>
      <c r="V413" s="124"/>
      <c r="W413" s="124"/>
      <c r="X413" s="124"/>
      <c r="Y413" s="124"/>
      <c r="Z413" s="112"/>
      <c r="AA413" s="112"/>
      <c r="AB413" s="112"/>
      <c r="AC413" s="112"/>
      <c r="AD413" s="112"/>
      <c r="AE413" s="112"/>
      <c r="AF413" s="112"/>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c r="BK413" s="124"/>
      <c r="BL413" s="124"/>
      <c r="BM413" s="124"/>
      <c r="BN413" s="124"/>
      <c r="BO413" s="124"/>
      <c r="BP413" s="124"/>
      <c r="BQ413" s="124"/>
      <c r="BR413" s="124"/>
      <c r="BS413" s="124"/>
      <c r="BT413" s="124"/>
      <c r="BU413" s="124"/>
      <c r="BV413" s="124"/>
      <c r="BW413" s="124"/>
      <c r="BX413" s="124"/>
      <c r="BY413" s="124"/>
      <c r="BZ413" s="124"/>
      <c r="CA413" s="124"/>
    </row>
    <row r="414">
      <c r="D414" s="143"/>
      <c r="E414" s="129"/>
      <c r="F414" s="112"/>
      <c r="G414" s="112"/>
      <c r="H414" s="112"/>
      <c r="I414" s="112"/>
      <c r="J414" s="112"/>
      <c r="K414" s="112"/>
      <c r="L414" s="112"/>
      <c r="M414" s="112"/>
      <c r="N414" s="112"/>
      <c r="O414" s="112"/>
      <c r="P414" s="112"/>
      <c r="Q414" s="112"/>
      <c r="R414" s="112"/>
      <c r="S414" s="112"/>
      <c r="T414" s="112"/>
      <c r="U414" s="124"/>
      <c r="V414" s="124"/>
      <c r="W414" s="124"/>
      <c r="X414" s="124"/>
      <c r="Y414" s="124"/>
      <c r="Z414" s="112"/>
      <c r="AA414" s="112"/>
      <c r="AB414" s="112"/>
      <c r="AC414" s="112"/>
      <c r="AD414" s="112"/>
      <c r="AE414" s="112"/>
      <c r="AF414" s="112"/>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c r="BK414" s="124"/>
      <c r="BL414" s="124"/>
      <c r="BM414" s="124"/>
      <c r="BN414" s="124"/>
      <c r="BO414" s="124"/>
      <c r="BP414" s="124"/>
      <c r="BQ414" s="124"/>
      <c r="BR414" s="124"/>
      <c r="BS414" s="124"/>
      <c r="BT414" s="124"/>
      <c r="BU414" s="124"/>
      <c r="BV414" s="124"/>
      <c r="BW414" s="124"/>
      <c r="BX414" s="124"/>
      <c r="BY414" s="124"/>
      <c r="BZ414" s="124"/>
      <c r="CA414" s="124"/>
    </row>
    <row r="415">
      <c r="D415" s="143"/>
      <c r="E415" s="129"/>
      <c r="F415" s="112"/>
      <c r="G415" s="112"/>
      <c r="H415" s="112"/>
      <c r="I415" s="112"/>
      <c r="J415" s="112"/>
      <c r="K415" s="112"/>
      <c r="L415" s="112"/>
      <c r="M415" s="112"/>
      <c r="N415" s="112"/>
      <c r="O415" s="112"/>
      <c r="P415" s="112"/>
      <c r="Q415" s="112"/>
      <c r="R415" s="112"/>
      <c r="S415" s="112"/>
      <c r="T415" s="112"/>
      <c r="U415" s="124"/>
      <c r="V415" s="124"/>
      <c r="W415" s="124"/>
      <c r="X415" s="124"/>
      <c r="Y415" s="124"/>
      <c r="Z415" s="112"/>
      <c r="AA415" s="112"/>
      <c r="AB415" s="112"/>
      <c r="AC415" s="112"/>
      <c r="AD415" s="112"/>
      <c r="AE415" s="112"/>
      <c r="AF415" s="112"/>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row>
    <row r="416">
      <c r="D416" s="143"/>
      <c r="E416" s="129"/>
      <c r="F416" s="112"/>
      <c r="G416" s="112"/>
      <c r="H416" s="112"/>
      <c r="I416" s="112"/>
      <c r="J416" s="112"/>
      <c r="K416" s="112"/>
      <c r="L416" s="112"/>
      <c r="M416" s="112"/>
      <c r="N416" s="112"/>
      <c r="O416" s="112"/>
      <c r="P416" s="112"/>
      <c r="Q416" s="112"/>
      <c r="R416" s="112"/>
      <c r="S416" s="112"/>
      <c r="T416" s="112"/>
      <c r="U416" s="124"/>
      <c r="V416" s="124"/>
      <c r="W416" s="124"/>
      <c r="X416" s="124"/>
      <c r="Y416" s="124"/>
      <c r="Z416" s="112"/>
      <c r="AA416" s="112"/>
      <c r="AB416" s="112"/>
      <c r="AC416" s="112"/>
      <c r="AD416" s="112"/>
      <c r="AE416" s="112"/>
      <c r="AF416" s="112"/>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c r="BK416" s="124"/>
      <c r="BL416" s="124"/>
      <c r="BM416" s="124"/>
      <c r="BN416" s="124"/>
      <c r="BO416" s="124"/>
      <c r="BP416" s="124"/>
      <c r="BQ416" s="124"/>
      <c r="BR416" s="124"/>
      <c r="BS416" s="124"/>
      <c r="BT416" s="124"/>
      <c r="BU416" s="124"/>
      <c r="BV416" s="124"/>
      <c r="BW416" s="124"/>
      <c r="BX416" s="124"/>
      <c r="BY416" s="124"/>
      <c r="BZ416" s="124"/>
      <c r="CA416" s="124"/>
    </row>
    <row r="417">
      <c r="D417" s="143"/>
      <c r="E417" s="129"/>
      <c r="F417" s="112"/>
      <c r="G417" s="112"/>
      <c r="H417" s="112"/>
      <c r="I417" s="112"/>
      <c r="J417" s="112"/>
      <c r="K417" s="112"/>
      <c r="L417" s="112"/>
      <c r="M417" s="112"/>
      <c r="N417" s="112"/>
      <c r="O417" s="112"/>
      <c r="P417" s="112"/>
      <c r="Q417" s="112"/>
      <c r="R417" s="112"/>
      <c r="S417" s="112"/>
      <c r="T417" s="112"/>
      <c r="U417" s="124"/>
      <c r="V417" s="124"/>
      <c r="W417" s="124"/>
      <c r="X417" s="124"/>
      <c r="Y417" s="124"/>
      <c r="Z417" s="112"/>
      <c r="AA417" s="112"/>
      <c r="AB417" s="112"/>
      <c r="AC417" s="112"/>
      <c r="AD417" s="112"/>
      <c r="AE417" s="112"/>
      <c r="AF417" s="112"/>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4"/>
      <c r="BR417" s="124"/>
      <c r="BS417" s="124"/>
      <c r="BT417" s="124"/>
      <c r="BU417" s="124"/>
      <c r="BV417" s="124"/>
      <c r="BW417" s="124"/>
      <c r="BX417" s="124"/>
      <c r="BY417" s="124"/>
      <c r="BZ417" s="124"/>
      <c r="CA417" s="124"/>
    </row>
    <row r="418">
      <c r="D418" s="143"/>
      <c r="E418" s="129"/>
      <c r="F418" s="112"/>
      <c r="G418" s="112"/>
      <c r="H418" s="112"/>
      <c r="I418" s="112"/>
      <c r="J418" s="112"/>
      <c r="K418" s="112"/>
      <c r="L418" s="112"/>
      <c r="M418" s="112"/>
      <c r="N418" s="112"/>
      <c r="O418" s="112"/>
      <c r="P418" s="112"/>
      <c r="Q418" s="112"/>
      <c r="R418" s="112"/>
      <c r="S418" s="112"/>
      <c r="T418" s="112"/>
      <c r="U418" s="124"/>
      <c r="V418" s="124"/>
      <c r="W418" s="124"/>
      <c r="X418" s="124"/>
      <c r="Y418" s="124"/>
      <c r="Z418" s="112"/>
      <c r="AA418" s="112"/>
      <c r="AB418" s="112"/>
      <c r="AC418" s="112"/>
      <c r="AD418" s="112"/>
      <c r="AE418" s="112"/>
      <c r="AF418" s="112"/>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c r="BK418" s="124"/>
      <c r="BL418" s="124"/>
      <c r="BM418" s="124"/>
      <c r="BN418" s="124"/>
      <c r="BO418" s="124"/>
      <c r="BP418" s="124"/>
      <c r="BQ418" s="124"/>
      <c r="BR418" s="124"/>
      <c r="BS418" s="124"/>
      <c r="BT418" s="124"/>
      <c r="BU418" s="124"/>
      <c r="BV418" s="124"/>
      <c r="BW418" s="124"/>
      <c r="BX418" s="124"/>
      <c r="BY418" s="124"/>
      <c r="BZ418" s="124"/>
      <c r="CA418" s="124"/>
    </row>
    <row r="419">
      <c r="D419" s="143"/>
      <c r="E419" s="129"/>
      <c r="F419" s="112"/>
      <c r="G419" s="112"/>
      <c r="H419" s="112"/>
      <c r="I419" s="112"/>
      <c r="J419" s="112"/>
      <c r="K419" s="112"/>
      <c r="L419" s="112"/>
      <c r="M419" s="112"/>
      <c r="N419" s="112"/>
      <c r="O419" s="112"/>
      <c r="P419" s="112"/>
      <c r="Q419" s="112"/>
      <c r="R419" s="112"/>
      <c r="S419" s="112"/>
      <c r="T419" s="112"/>
      <c r="U419" s="124"/>
      <c r="V419" s="124"/>
      <c r="W419" s="124"/>
      <c r="X419" s="124"/>
      <c r="Y419" s="124"/>
      <c r="Z419" s="112"/>
      <c r="AA419" s="112"/>
      <c r="AB419" s="112"/>
      <c r="AC419" s="112"/>
      <c r="AD419" s="112"/>
      <c r="AE419" s="112"/>
      <c r="AF419" s="112"/>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c r="BK419" s="124"/>
      <c r="BL419" s="124"/>
      <c r="BM419" s="124"/>
      <c r="BN419" s="124"/>
      <c r="BO419" s="124"/>
      <c r="BP419" s="124"/>
      <c r="BQ419" s="124"/>
      <c r="BR419" s="124"/>
      <c r="BS419" s="124"/>
      <c r="BT419" s="124"/>
      <c r="BU419" s="124"/>
      <c r="BV419" s="124"/>
      <c r="BW419" s="124"/>
      <c r="BX419" s="124"/>
      <c r="BY419" s="124"/>
      <c r="BZ419" s="124"/>
      <c r="CA419" s="124"/>
    </row>
    <row r="420">
      <c r="D420" s="143"/>
      <c r="E420" s="129"/>
      <c r="F420" s="112"/>
      <c r="G420" s="112"/>
      <c r="H420" s="112"/>
      <c r="I420" s="112"/>
      <c r="J420" s="112"/>
      <c r="K420" s="112"/>
      <c r="L420" s="112"/>
      <c r="M420" s="112"/>
      <c r="N420" s="112"/>
      <c r="O420" s="112"/>
      <c r="P420" s="112"/>
      <c r="Q420" s="112"/>
      <c r="R420" s="112"/>
      <c r="S420" s="112"/>
      <c r="T420" s="112"/>
      <c r="U420" s="124"/>
      <c r="V420" s="124"/>
      <c r="W420" s="124"/>
      <c r="X420" s="124"/>
      <c r="Y420" s="124"/>
      <c r="Z420" s="112"/>
      <c r="AA420" s="112"/>
      <c r="AB420" s="112"/>
      <c r="AC420" s="112"/>
      <c r="AD420" s="112"/>
      <c r="AE420" s="112"/>
      <c r="AF420" s="112"/>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row>
    <row r="421">
      <c r="D421" s="143"/>
      <c r="E421" s="129"/>
      <c r="F421" s="112"/>
      <c r="G421" s="112"/>
      <c r="H421" s="112"/>
      <c r="I421" s="112"/>
      <c r="J421" s="112"/>
      <c r="K421" s="112"/>
      <c r="L421" s="112"/>
      <c r="M421" s="112"/>
      <c r="N421" s="112"/>
      <c r="O421" s="112"/>
      <c r="P421" s="112"/>
      <c r="Q421" s="112"/>
      <c r="R421" s="112"/>
      <c r="S421" s="112"/>
      <c r="T421" s="112"/>
      <c r="U421" s="124"/>
      <c r="V421" s="124"/>
      <c r="W421" s="124"/>
      <c r="X421" s="124"/>
      <c r="Y421" s="124"/>
      <c r="Z421" s="112"/>
      <c r="AA421" s="112"/>
      <c r="AB421" s="112"/>
      <c r="AC421" s="112"/>
      <c r="AD421" s="112"/>
      <c r="AE421" s="112"/>
      <c r="AF421" s="112"/>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row>
    <row r="422">
      <c r="D422" s="143"/>
      <c r="E422" s="129"/>
      <c r="F422" s="112"/>
      <c r="G422" s="112"/>
      <c r="H422" s="112"/>
      <c r="I422" s="112"/>
      <c r="J422" s="112"/>
      <c r="K422" s="112"/>
      <c r="L422" s="112"/>
      <c r="M422" s="112"/>
      <c r="N422" s="112"/>
      <c r="O422" s="112"/>
      <c r="P422" s="112"/>
      <c r="Q422" s="112"/>
      <c r="R422" s="112"/>
      <c r="S422" s="112"/>
      <c r="T422" s="112"/>
      <c r="U422" s="124"/>
      <c r="V422" s="124"/>
      <c r="W422" s="124"/>
      <c r="X422" s="124"/>
      <c r="Y422" s="124"/>
      <c r="Z422" s="112"/>
      <c r="AA422" s="112"/>
      <c r="AB422" s="112"/>
      <c r="AC422" s="112"/>
      <c r="AD422" s="112"/>
      <c r="AE422" s="112"/>
      <c r="AF422" s="112"/>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c r="BK422" s="124"/>
      <c r="BL422" s="124"/>
      <c r="BM422" s="124"/>
      <c r="BN422" s="124"/>
      <c r="BO422" s="124"/>
      <c r="BP422" s="124"/>
      <c r="BQ422" s="124"/>
      <c r="BR422" s="124"/>
      <c r="BS422" s="124"/>
      <c r="BT422" s="124"/>
      <c r="BU422" s="124"/>
      <c r="BV422" s="124"/>
      <c r="BW422" s="124"/>
      <c r="BX422" s="124"/>
      <c r="BY422" s="124"/>
      <c r="BZ422" s="124"/>
      <c r="CA422" s="124"/>
    </row>
    <row r="423">
      <c r="D423" s="143"/>
      <c r="E423" s="129"/>
      <c r="F423" s="112"/>
      <c r="G423" s="112"/>
      <c r="H423" s="112"/>
      <c r="I423" s="112"/>
      <c r="J423" s="112"/>
      <c r="K423" s="112"/>
      <c r="L423" s="112"/>
      <c r="M423" s="112"/>
      <c r="N423" s="112"/>
      <c r="O423" s="112"/>
      <c r="P423" s="112"/>
      <c r="Q423" s="112"/>
      <c r="R423" s="112"/>
      <c r="S423" s="112"/>
      <c r="T423" s="112"/>
      <c r="U423" s="124"/>
      <c r="V423" s="124"/>
      <c r="W423" s="124"/>
      <c r="X423" s="124"/>
      <c r="Y423" s="124"/>
      <c r="Z423" s="112"/>
      <c r="AA423" s="112"/>
      <c r="AB423" s="112"/>
      <c r="AC423" s="112"/>
      <c r="AD423" s="112"/>
      <c r="AE423" s="112"/>
      <c r="AF423" s="112"/>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4"/>
      <c r="BV423" s="124"/>
      <c r="BW423" s="124"/>
      <c r="BX423" s="124"/>
      <c r="BY423" s="124"/>
      <c r="BZ423" s="124"/>
      <c r="CA423" s="124"/>
    </row>
    <row r="424">
      <c r="D424" s="143"/>
      <c r="E424" s="129"/>
      <c r="F424" s="112"/>
      <c r="G424" s="112"/>
      <c r="H424" s="112"/>
      <c r="I424" s="112"/>
      <c r="J424" s="112"/>
      <c r="K424" s="112"/>
      <c r="L424" s="112"/>
      <c r="M424" s="112"/>
      <c r="N424" s="112"/>
      <c r="O424" s="112"/>
      <c r="P424" s="112"/>
      <c r="Q424" s="112"/>
      <c r="R424" s="112"/>
      <c r="S424" s="112"/>
      <c r="T424" s="112"/>
      <c r="U424" s="124"/>
      <c r="V424" s="124"/>
      <c r="W424" s="124"/>
      <c r="X424" s="124"/>
      <c r="Y424" s="124"/>
      <c r="Z424" s="112"/>
      <c r="AA424" s="112"/>
      <c r="AB424" s="112"/>
      <c r="AC424" s="112"/>
      <c r="AD424" s="112"/>
      <c r="AE424" s="112"/>
      <c r="AF424" s="112"/>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c r="BK424" s="124"/>
      <c r="BL424" s="124"/>
      <c r="BM424" s="124"/>
      <c r="BN424" s="124"/>
      <c r="BO424" s="124"/>
      <c r="BP424" s="124"/>
      <c r="BQ424" s="124"/>
      <c r="BR424" s="124"/>
      <c r="BS424" s="124"/>
      <c r="BT424" s="124"/>
      <c r="BU424" s="124"/>
      <c r="BV424" s="124"/>
      <c r="BW424" s="124"/>
      <c r="BX424" s="124"/>
      <c r="BY424" s="124"/>
      <c r="BZ424" s="124"/>
      <c r="CA424" s="124"/>
    </row>
    <row r="425">
      <c r="D425" s="143"/>
      <c r="E425" s="129"/>
      <c r="F425" s="112"/>
      <c r="G425" s="112"/>
      <c r="H425" s="112"/>
      <c r="I425" s="112"/>
      <c r="J425" s="112"/>
      <c r="K425" s="112"/>
      <c r="L425" s="112"/>
      <c r="M425" s="112"/>
      <c r="N425" s="112"/>
      <c r="O425" s="112"/>
      <c r="P425" s="112"/>
      <c r="Q425" s="112"/>
      <c r="R425" s="112"/>
      <c r="S425" s="112"/>
      <c r="T425" s="112"/>
      <c r="U425" s="124"/>
      <c r="V425" s="124"/>
      <c r="W425" s="124"/>
      <c r="X425" s="124"/>
      <c r="Y425" s="124"/>
      <c r="Z425" s="112"/>
      <c r="AA425" s="112"/>
      <c r="AB425" s="112"/>
      <c r="AC425" s="112"/>
      <c r="AD425" s="112"/>
      <c r="AE425" s="112"/>
      <c r="AF425" s="112"/>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c r="BK425" s="124"/>
      <c r="BL425" s="124"/>
      <c r="BM425" s="124"/>
      <c r="BN425" s="124"/>
      <c r="BO425" s="124"/>
      <c r="BP425" s="124"/>
      <c r="BQ425" s="124"/>
      <c r="BR425" s="124"/>
      <c r="BS425" s="124"/>
      <c r="BT425" s="124"/>
      <c r="BU425" s="124"/>
      <c r="BV425" s="124"/>
      <c r="BW425" s="124"/>
      <c r="BX425" s="124"/>
      <c r="BY425" s="124"/>
      <c r="BZ425" s="124"/>
      <c r="CA425" s="124"/>
    </row>
    <row r="426">
      <c r="D426" s="143"/>
      <c r="E426" s="129"/>
      <c r="F426" s="112"/>
      <c r="G426" s="112"/>
      <c r="H426" s="112"/>
      <c r="I426" s="112"/>
      <c r="J426" s="112"/>
      <c r="K426" s="112"/>
      <c r="L426" s="112"/>
      <c r="M426" s="112"/>
      <c r="N426" s="112"/>
      <c r="O426" s="112"/>
      <c r="P426" s="112"/>
      <c r="Q426" s="112"/>
      <c r="R426" s="112"/>
      <c r="S426" s="112"/>
      <c r="T426" s="112"/>
      <c r="U426" s="124"/>
      <c r="V426" s="124"/>
      <c r="W426" s="124"/>
      <c r="X426" s="124"/>
      <c r="Y426" s="124"/>
      <c r="Z426" s="112"/>
      <c r="AA426" s="112"/>
      <c r="AB426" s="112"/>
      <c r="AC426" s="112"/>
      <c r="AD426" s="112"/>
      <c r="AE426" s="112"/>
      <c r="AF426" s="112"/>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c r="BK426" s="124"/>
      <c r="BL426" s="124"/>
      <c r="BM426" s="124"/>
      <c r="BN426" s="124"/>
      <c r="BO426" s="124"/>
      <c r="BP426" s="124"/>
      <c r="BQ426" s="124"/>
      <c r="BR426" s="124"/>
      <c r="BS426" s="124"/>
      <c r="BT426" s="124"/>
      <c r="BU426" s="124"/>
      <c r="BV426" s="124"/>
      <c r="BW426" s="124"/>
      <c r="BX426" s="124"/>
      <c r="BY426" s="124"/>
      <c r="BZ426" s="124"/>
      <c r="CA426" s="124"/>
    </row>
    <row r="427">
      <c r="D427" s="143"/>
      <c r="E427" s="129"/>
      <c r="F427" s="112"/>
      <c r="G427" s="112"/>
      <c r="H427" s="112"/>
      <c r="I427" s="112"/>
      <c r="J427" s="112"/>
      <c r="K427" s="112"/>
      <c r="L427" s="112"/>
      <c r="M427" s="112"/>
      <c r="N427" s="112"/>
      <c r="O427" s="112"/>
      <c r="P427" s="112"/>
      <c r="Q427" s="112"/>
      <c r="R427" s="112"/>
      <c r="S427" s="112"/>
      <c r="T427" s="112"/>
      <c r="U427" s="124"/>
      <c r="V427" s="124"/>
      <c r="W427" s="124"/>
      <c r="X427" s="124"/>
      <c r="Y427" s="124"/>
      <c r="Z427" s="112"/>
      <c r="AA427" s="112"/>
      <c r="AB427" s="112"/>
      <c r="AC427" s="112"/>
      <c r="AD427" s="112"/>
      <c r="AE427" s="112"/>
      <c r="AF427" s="112"/>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row>
    <row r="428">
      <c r="D428" s="143"/>
      <c r="E428" s="129"/>
      <c r="F428" s="112"/>
      <c r="G428" s="112"/>
      <c r="H428" s="112"/>
      <c r="I428" s="112"/>
      <c r="J428" s="112"/>
      <c r="K428" s="112"/>
      <c r="L428" s="112"/>
      <c r="M428" s="112"/>
      <c r="N428" s="112"/>
      <c r="O428" s="112"/>
      <c r="P428" s="112"/>
      <c r="Q428" s="112"/>
      <c r="R428" s="112"/>
      <c r="S428" s="112"/>
      <c r="T428" s="112"/>
      <c r="U428" s="124"/>
      <c r="V428" s="124"/>
      <c r="W428" s="124"/>
      <c r="X428" s="124"/>
      <c r="Y428" s="124"/>
      <c r="Z428" s="112"/>
      <c r="AA428" s="112"/>
      <c r="AB428" s="112"/>
      <c r="AC428" s="112"/>
      <c r="AD428" s="112"/>
      <c r="AE428" s="112"/>
      <c r="AF428" s="112"/>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c r="BK428" s="124"/>
      <c r="BL428" s="124"/>
      <c r="BM428" s="124"/>
      <c r="BN428" s="124"/>
      <c r="BO428" s="124"/>
      <c r="BP428" s="124"/>
      <c r="BQ428" s="124"/>
      <c r="BR428" s="124"/>
      <c r="BS428" s="124"/>
      <c r="BT428" s="124"/>
      <c r="BU428" s="124"/>
      <c r="BV428" s="124"/>
      <c r="BW428" s="124"/>
      <c r="BX428" s="124"/>
      <c r="BY428" s="124"/>
      <c r="BZ428" s="124"/>
      <c r="CA428" s="124"/>
    </row>
    <row r="429">
      <c r="D429" s="143"/>
      <c r="E429" s="129"/>
      <c r="F429" s="112"/>
      <c r="G429" s="112"/>
      <c r="H429" s="112"/>
      <c r="I429" s="112"/>
      <c r="J429" s="112"/>
      <c r="K429" s="112"/>
      <c r="L429" s="112"/>
      <c r="M429" s="112"/>
      <c r="N429" s="112"/>
      <c r="O429" s="112"/>
      <c r="P429" s="112"/>
      <c r="Q429" s="112"/>
      <c r="R429" s="112"/>
      <c r="S429" s="112"/>
      <c r="T429" s="112"/>
      <c r="U429" s="124"/>
      <c r="V429" s="124"/>
      <c r="W429" s="124"/>
      <c r="X429" s="124"/>
      <c r="Y429" s="124"/>
      <c r="Z429" s="112"/>
      <c r="AA429" s="112"/>
      <c r="AB429" s="112"/>
      <c r="AC429" s="112"/>
      <c r="AD429" s="112"/>
      <c r="AE429" s="112"/>
      <c r="AF429" s="112"/>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c r="BK429" s="124"/>
      <c r="BL429" s="124"/>
      <c r="BM429" s="124"/>
      <c r="BN429" s="124"/>
      <c r="BO429" s="124"/>
      <c r="BP429" s="124"/>
      <c r="BQ429" s="124"/>
      <c r="BR429" s="124"/>
      <c r="BS429" s="124"/>
      <c r="BT429" s="124"/>
      <c r="BU429" s="124"/>
      <c r="BV429" s="124"/>
      <c r="BW429" s="124"/>
      <c r="BX429" s="124"/>
      <c r="BY429" s="124"/>
      <c r="BZ429" s="124"/>
      <c r="CA429" s="124"/>
    </row>
    <row r="430">
      <c r="D430" s="143"/>
      <c r="E430" s="129"/>
      <c r="F430" s="112"/>
      <c r="G430" s="112"/>
      <c r="H430" s="112"/>
      <c r="I430" s="112"/>
      <c r="J430" s="112"/>
      <c r="K430" s="112"/>
      <c r="L430" s="112"/>
      <c r="M430" s="112"/>
      <c r="N430" s="112"/>
      <c r="O430" s="112"/>
      <c r="P430" s="112"/>
      <c r="Q430" s="112"/>
      <c r="R430" s="112"/>
      <c r="S430" s="112"/>
      <c r="T430" s="112"/>
      <c r="U430" s="124"/>
      <c r="V430" s="124"/>
      <c r="W430" s="124"/>
      <c r="X430" s="124"/>
      <c r="Y430" s="124"/>
      <c r="Z430" s="112"/>
      <c r="AA430" s="112"/>
      <c r="AB430" s="112"/>
      <c r="AC430" s="112"/>
      <c r="AD430" s="112"/>
      <c r="AE430" s="112"/>
      <c r="AF430" s="112"/>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c r="BK430" s="124"/>
      <c r="BL430" s="124"/>
      <c r="BM430" s="124"/>
      <c r="BN430" s="124"/>
      <c r="BO430" s="124"/>
      <c r="BP430" s="124"/>
      <c r="BQ430" s="124"/>
      <c r="BR430" s="124"/>
      <c r="BS430" s="124"/>
      <c r="BT430" s="124"/>
      <c r="BU430" s="124"/>
      <c r="BV430" s="124"/>
      <c r="BW430" s="124"/>
      <c r="BX430" s="124"/>
      <c r="BY430" s="124"/>
      <c r="BZ430" s="124"/>
      <c r="CA430" s="124"/>
    </row>
    <row r="431">
      <c r="D431" s="143"/>
      <c r="E431" s="129"/>
      <c r="F431" s="112"/>
      <c r="G431" s="112"/>
      <c r="H431" s="112"/>
      <c r="I431" s="112"/>
      <c r="J431" s="112"/>
      <c r="K431" s="112"/>
      <c r="L431" s="112"/>
      <c r="M431" s="112"/>
      <c r="N431" s="112"/>
      <c r="O431" s="112"/>
      <c r="P431" s="112"/>
      <c r="Q431" s="112"/>
      <c r="R431" s="112"/>
      <c r="S431" s="112"/>
      <c r="T431" s="112"/>
      <c r="U431" s="124"/>
      <c r="V431" s="124"/>
      <c r="W431" s="124"/>
      <c r="X431" s="124"/>
      <c r="Y431" s="124"/>
      <c r="Z431" s="112"/>
      <c r="AA431" s="112"/>
      <c r="AB431" s="112"/>
      <c r="AC431" s="112"/>
      <c r="AD431" s="112"/>
      <c r="AE431" s="112"/>
      <c r="AF431" s="112"/>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4"/>
      <c r="BR431" s="124"/>
      <c r="BS431" s="124"/>
      <c r="BT431" s="124"/>
      <c r="BU431" s="124"/>
      <c r="BV431" s="124"/>
      <c r="BW431" s="124"/>
      <c r="BX431" s="124"/>
      <c r="BY431" s="124"/>
      <c r="BZ431" s="124"/>
      <c r="CA431" s="124"/>
    </row>
    <row r="432">
      <c r="D432" s="143"/>
      <c r="E432" s="129"/>
      <c r="F432" s="112"/>
      <c r="G432" s="112"/>
      <c r="H432" s="112"/>
      <c r="I432" s="112"/>
      <c r="J432" s="112"/>
      <c r="K432" s="112"/>
      <c r="L432" s="112"/>
      <c r="M432" s="112"/>
      <c r="N432" s="112"/>
      <c r="O432" s="112"/>
      <c r="P432" s="112"/>
      <c r="Q432" s="112"/>
      <c r="R432" s="112"/>
      <c r="S432" s="112"/>
      <c r="T432" s="112"/>
      <c r="U432" s="124"/>
      <c r="V432" s="124"/>
      <c r="W432" s="124"/>
      <c r="X432" s="124"/>
      <c r="Y432" s="124"/>
      <c r="Z432" s="112"/>
      <c r="AA432" s="112"/>
      <c r="AB432" s="112"/>
      <c r="AC432" s="112"/>
      <c r="AD432" s="112"/>
      <c r="AE432" s="112"/>
      <c r="AF432" s="112"/>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c r="BK432" s="124"/>
      <c r="BL432" s="124"/>
      <c r="BM432" s="124"/>
      <c r="BN432" s="124"/>
      <c r="BO432" s="124"/>
      <c r="BP432" s="124"/>
      <c r="BQ432" s="124"/>
      <c r="BR432" s="124"/>
      <c r="BS432" s="124"/>
      <c r="BT432" s="124"/>
      <c r="BU432" s="124"/>
      <c r="BV432" s="124"/>
      <c r="BW432" s="124"/>
      <c r="BX432" s="124"/>
      <c r="BY432" s="124"/>
      <c r="BZ432" s="124"/>
      <c r="CA432" s="124"/>
    </row>
    <row r="433">
      <c r="D433" s="143"/>
      <c r="E433" s="129"/>
      <c r="F433" s="112"/>
      <c r="G433" s="112"/>
      <c r="H433" s="112"/>
      <c r="I433" s="112"/>
      <c r="J433" s="112"/>
      <c r="K433" s="112"/>
      <c r="L433" s="112"/>
      <c r="M433" s="112"/>
      <c r="N433" s="112"/>
      <c r="O433" s="112"/>
      <c r="P433" s="112"/>
      <c r="Q433" s="112"/>
      <c r="R433" s="112"/>
      <c r="S433" s="112"/>
      <c r="T433" s="112"/>
      <c r="U433" s="124"/>
      <c r="V433" s="124"/>
      <c r="W433" s="124"/>
      <c r="X433" s="124"/>
      <c r="Y433" s="124"/>
      <c r="Z433" s="112"/>
      <c r="AA433" s="112"/>
      <c r="AB433" s="112"/>
      <c r="AC433" s="112"/>
      <c r="AD433" s="112"/>
      <c r="AE433" s="112"/>
      <c r="AF433" s="112"/>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c r="BK433" s="124"/>
      <c r="BL433" s="124"/>
      <c r="BM433" s="124"/>
      <c r="BN433" s="124"/>
      <c r="BO433" s="124"/>
      <c r="BP433" s="124"/>
      <c r="BQ433" s="124"/>
      <c r="BR433" s="124"/>
      <c r="BS433" s="124"/>
      <c r="BT433" s="124"/>
      <c r="BU433" s="124"/>
      <c r="BV433" s="124"/>
      <c r="BW433" s="124"/>
      <c r="BX433" s="124"/>
      <c r="BY433" s="124"/>
      <c r="BZ433" s="124"/>
      <c r="CA433" s="124"/>
    </row>
    <row r="434">
      <c r="D434" s="143"/>
      <c r="E434" s="129"/>
      <c r="F434" s="112"/>
      <c r="G434" s="112"/>
      <c r="H434" s="112"/>
      <c r="I434" s="112"/>
      <c r="J434" s="112"/>
      <c r="K434" s="112"/>
      <c r="L434" s="112"/>
      <c r="M434" s="112"/>
      <c r="N434" s="112"/>
      <c r="O434" s="112"/>
      <c r="P434" s="112"/>
      <c r="Q434" s="112"/>
      <c r="R434" s="112"/>
      <c r="S434" s="112"/>
      <c r="T434" s="112"/>
      <c r="U434" s="124"/>
      <c r="V434" s="124"/>
      <c r="W434" s="124"/>
      <c r="X434" s="124"/>
      <c r="Y434" s="124"/>
      <c r="Z434" s="112"/>
      <c r="AA434" s="112"/>
      <c r="AB434" s="112"/>
      <c r="AC434" s="112"/>
      <c r="AD434" s="112"/>
      <c r="AE434" s="112"/>
      <c r="AF434" s="112"/>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c r="BK434" s="124"/>
      <c r="BL434" s="124"/>
      <c r="BM434" s="124"/>
      <c r="BN434" s="124"/>
      <c r="BO434" s="124"/>
      <c r="BP434" s="124"/>
      <c r="BQ434" s="124"/>
      <c r="BR434" s="124"/>
      <c r="BS434" s="124"/>
      <c r="BT434" s="124"/>
      <c r="BU434" s="124"/>
      <c r="BV434" s="124"/>
      <c r="BW434" s="124"/>
      <c r="BX434" s="124"/>
      <c r="BY434" s="124"/>
      <c r="BZ434" s="124"/>
      <c r="CA434" s="124"/>
    </row>
    <row r="435">
      <c r="D435" s="143"/>
      <c r="E435" s="129"/>
      <c r="F435" s="112"/>
      <c r="G435" s="112"/>
      <c r="H435" s="112"/>
      <c r="I435" s="112"/>
      <c r="J435" s="112"/>
      <c r="K435" s="112"/>
      <c r="L435" s="112"/>
      <c r="M435" s="112"/>
      <c r="N435" s="112"/>
      <c r="O435" s="112"/>
      <c r="P435" s="112"/>
      <c r="Q435" s="112"/>
      <c r="R435" s="112"/>
      <c r="S435" s="112"/>
      <c r="T435" s="112"/>
      <c r="U435" s="124"/>
      <c r="V435" s="124"/>
      <c r="W435" s="124"/>
      <c r="X435" s="124"/>
      <c r="Y435" s="124"/>
      <c r="Z435" s="112"/>
      <c r="AA435" s="112"/>
      <c r="AB435" s="112"/>
      <c r="AC435" s="112"/>
      <c r="AD435" s="112"/>
      <c r="AE435" s="112"/>
      <c r="AF435" s="112"/>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row>
    <row r="436">
      <c r="D436" s="143"/>
      <c r="E436" s="129"/>
      <c r="F436" s="112"/>
      <c r="G436" s="112"/>
      <c r="H436" s="112"/>
      <c r="I436" s="112"/>
      <c r="J436" s="112"/>
      <c r="K436" s="112"/>
      <c r="L436" s="112"/>
      <c r="M436" s="112"/>
      <c r="N436" s="112"/>
      <c r="O436" s="112"/>
      <c r="P436" s="112"/>
      <c r="Q436" s="112"/>
      <c r="R436" s="112"/>
      <c r="S436" s="112"/>
      <c r="T436" s="112"/>
      <c r="U436" s="124"/>
      <c r="V436" s="124"/>
      <c r="W436" s="124"/>
      <c r="X436" s="124"/>
      <c r="Y436" s="124"/>
      <c r="Z436" s="112"/>
      <c r="AA436" s="112"/>
      <c r="AB436" s="112"/>
      <c r="AC436" s="112"/>
      <c r="AD436" s="112"/>
      <c r="AE436" s="112"/>
      <c r="AF436" s="112"/>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c r="BK436" s="124"/>
      <c r="BL436" s="124"/>
      <c r="BM436" s="124"/>
      <c r="BN436" s="124"/>
      <c r="BO436" s="124"/>
      <c r="BP436" s="124"/>
      <c r="BQ436" s="124"/>
      <c r="BR436" s="124"/>
      <c r="BS436" s="124"/>
      <c r="BT436" s="124"/>
      <c r="BU436" s="124"/>
      <c r="BV436" s="124"/>
      <c r="BW436" s="124"/>
      <c r="BX436" s="124"/>
      <c r="BY436" s="124"/>
      <c r="BZ436" s="124"/>
      <c r="CA436" s="124"/>
    </row>
    <row r="437">
      <c r="D437" s="143"/>
      <c r="E437" s="129"/>
      <c r="F437" s="112"/>
      <c r="G437" s="112"/>
      <c r="H437" s="112"/>
      <c r="I437" s="112"/>
      <c r="J437" s="112"/>
      <c r="K437" s="112"/>
      <c r="L437" s="112"/>
      <c r="M437" s="112"/>
      <c r="N437" s="112"/>
      <c r="O437" s="112"/>
      <c r="P437" s="112"/>
      <c r="Q437" s="112"/>
      <c r="R437" s="112"/>
      <c r="S437" s="112"/>
      <c r="T437" s="112"/>
      <c r="U437" s="124"/>
      <c r="V437" s="124"/>
      <c r="W437" s="124"/>
      <c r="X437" s="124"/>
      <c r="Y437" s="124"/>
      <c r="Z437" s="112"/>
      <c r="AA437" s="112"/>
      <c r="AB437" s="112"/>
      <c r="AC437" s="112"/>
      <c r="AD437" s="112"/>
      <c r="AE437" s="112"/>
      <c r="AF437" s="112"/>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c r="BK437" s="124"/>
      <c r="BL437" s="124"/>
      <c r="BM437" s="124"/>
      <c r="BN437" s="124"/>
      <c r="BO437" s="124"/>
      <c r="BP437" s="124"/>
      <c r="BQ437" s="124"/>
      <c r="BR437" s="124"/>
      <c r="BS437" s="124"/>
      <c r="BT437" s="124"/>
      <c r="BU437" s="124"/>
      <c r="BV437" s="124"/>
      <c r="BW437" s="124"/>
      <c r="BX437" s="124"/>
      <c r="BY437" s="124"/>
      <c r="BZ437" s="124"/>
      <c r="CA437" s="124"/>
    </row>
    <row r="438">
      <c r="D438" s="143"/>
      <c r="E438" s="129"/>
      <c r="F438" s="112"/>
      <c r="G438" s="112"/>
      <c r="H438" s="112"/>
      <c r="I438" s="112"/>
      <c r="J438" s="112"/>
      <c r="K438" s="112"/>
      <c r="L438" s="112"/>
      <c r="M438" s="112"/>
      <c r="N438" s="112"/>
      <c r="O438" s="112"/>
      <c r="P438" s="112"/>
      <c r="Q438" s="112"/>
      <c r="R438" s="112"/>
      <c r="S438" s="112"/>
      <c r="T438" s="112"/>
      <c r="U438" s="124"/>
      <c r="V438" s="124"/>
      <c r="W438" s="124"/>
      <c r="X438" s="124"/>
      <c r="Y438" s="124"/>
      <c r="Z438" s="112"/>
      <c r="AA438" s="112"/>
      <c r="AB438" s="112"/>
      <c r="AC438" s="112"/>
      <c r="AD438" s="112"/>
      <c r="AE438" s="112"/>
      <c r="AF438" s="112"/>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c r="BK438" s="124"/>
      <c r="BL438" s="124"/>
      <c r="BM438" s="124"/>
      <c r="BN438" s="124"/>
      <c r="BO438" s="124"/>
      <c r="BP438" s="124"/>
      <c r="BQ438" s="124"/>
      <c r="BR438" s="124"/>
      <c r="BS438" s="124"/>
      <c r="BT438" s="124"/>
      <c r="BU438" s="124"/>
      <c r="BV438" s="124"/>
      <c r="BW438" s="124"/>
      <c r="BX438" s="124"/>
      <c r="BY438" s="124"/>
      <c r="BZ438" s="124"/>
      <c r="CA438" s="124"/>
    </row>
    <row r="439">
      <c r="D439" s="143"/>
      <c r="E439" s="129"/>
      <c r="F439" s="112"/>
      <c r="G439" s="112"/>
      <c r="H439" s="112"/>
      <c r="I439" s="112"/>
      <c r="J439" s="112"/>
      <c r="K439" s="112"/>
      <c r="L439" s="112"/>
      <c r="M439" s="112"/>
      <c r="N439" s="112"/>
      <c r="O439" s="112"/>
      <c r="P439" s="112"/>
      <c r="Q439" s="112"/>
      <c r="R439" s="112"/>
      <c r="S439" s="112"/>
      <c r="T439" s="112"/>
      <c r="U439" s="124"/>
      <c r="V439" s="124"/>
      <c r="W439" s="124"/>
      <c r="X439" s="124"/>
      <c r="Y439" s="124"/>
      <c r="Z439" s="112"/>
      <c r="AA439" s="112"/>
      <c r="AB439" s="112"/>
      <c r="AC439" s="112"/>
      <c r="AD439" s="112"/>
      <c r="AE439" s="112"/>
      <c r="AF439" s="112"/>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c r="BK439" s="124"/>
      <c r="BL439" s="124"/>
      <c r="BM439" s="124"/>
      <c r="BN439" s="124"/>
      <c r="BO439" s="124"/>
      <c r="BP439" s="124"/>
      <c r="BQ439" s="124"/>
      <c r="BR439" s="124"/>
      <c r="BS439" s="124"/>
      <c r="BT439" s="124"/>
      <c r="BU439" s="124"/>
      <c r="BV439" s="124"/>
      <c r="BW439" s="124"/>
      <c r="BX439" s="124"/>
      <c r="BY439" s="124"/>
      <c r="BZ439" s="124"/>
      <c r="CA439" s="124"/>
    </row>
    <row r="440">
      <c r="D440" s="143"/>
      <c r="E440" s="129"/>
      <c r="F440" s="112"/>
      <c r="G440" s="112"/>
      <c r="H440" s="112"/>
      <c r="I440" s="112"/>
      <c r="J440" s="112"/>
      <c r="K440" s="112"/>
      <c r="L440" s="112"/>
      <c r="M440" s="112"/>
      <c r="N440" s="112"/>
      <c r="O440" s="112"/>
      <c r="P440" s="112"/>
      <c r="Q440" s="112"/>
      <c r="R440" s="112"/>
      <c r="S440" s="112"/>
      <c r="T440" s="112"/>
      <c r="U440" s="124"/>
      <c r="V440" s="124"/>
      <c r="W440" s="124"/>
      <c r="X440" s="124"/>
      <c r="Y440" s="124"/>
      <c r="Z440" s="112"/>
      <c r="AA440" s="112"/>
      <c r="AB440" s="112"/>
      <c r="AC440" s="112"/>
      <c r="AD440" s="112"/>
      <c r="AE440" s="112"/>
      <c r="AF440" s="112"/>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c r="BK440" s="124"/>
      <c r="BL440" s="124"/>
      <c r="BM440" s="124"/>
      <c r="BN440" s="124"/>
      <c r="BO440" s="124"/>
      <c r="BP440" s="124"/>
      <c r="BQ440" s="124"/>
      <c r="BR440" s="124"/>
      <c r="BS440" s="124"/>
      <c r="BT440" s="124"/>
      <c r="BU440" s="124"/>
      <c r="BV440" s="124"/>
      <c r="BW440" s="124"/>
      <c r="BX440" s="124"/>
      <c r="BY440" s="124"/>
      <c r="BZ440" s="124"/>
      <c r="CA440" s="124"/>
    </row>
    <row r="441">
      <c r="D441" s="143"/>
      <c r="E441" s="129"/>
      <c r="F441" s="112"/>
      <c r="G441" s="112"/>
      <c r="H441" s="112"/>
      <c r="I441" s="112"/>
      <c r="J441" s="112"/>
      <c r="K441" s="112"/>
      <c r="L441" s="112"/>
      <c r="M441" s="112"/>
      <c r="N441" s="112"/>
      <c r="O441" s="112"/>
      <c r="P441" s="112"/>
      <c r="Q441" s="112"/>
      <c r="R441" s="112"/>
      <c r="S441" s="112"/>
      <c r="T441" s="112"/>
      <c r="U441" s="124"/>
      <c r="V441" s="124"/>
      <c r="W441" s="124"/>
      <c r="X441" s="124"/>
      <c r="Y441" s="124"/>
      <c r="Z441" s="112"/>
      <c r="AA441" s="112"/>
      <c r="AB441" s="112"/>
      <c r="AC441" s="112"/>
      <c r="AD441" s="112"/>
      <c r="AE441" s="112"/>
      <c r="AF441" s="112"/>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row>
    <row r="442">
      <c r="D442" s="143"/>
      <c r="E442" s="129"/>
      <c r="F442" s="112"/>
      <c r="G442" s="112"/>
      <c r="H442" s="112"/>
      <c r="I442" s="112"/>
      <c r="J442" s="112"/>
      <c r="K442" s="112"/>
      <c r="L442" s="112"/>
      <c r="M442" s="112"/>
      <c r="N442" s="112"/>
      <c r="O442" s="112"/>
      <c r="P442" s="112"/>
      <c r="Q442" s="112"/>
      <c r="R442" s="112"/>
      <c r="S442" s="112"/>
      <c r="T442" s="112"/>
      <c r="U442" s="124"/>
      <c r="V442" s="124"/>
      <c r="W442" s="124"/>
      <c r="X442" s="124"/>
      <c r="Y442" s="124"/>
      <c r="Z442" s="112"/>
      <c r="AA442" s="112"/>
      <c r="AB442" s="112"/>
      <c r="AC442" s="112"/>
      <c r="AD442" s="112"/>
      <c r="AE442" s="112"/>
      <c r="AF442" s="112"/>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c r="BK442" s="124"/>
      <c r="BL442" s="124"/>
      <c r="BM442" s="124"/>
      <c r="BN442" s="124"/>
      <c r="BO442" s="124"/>
      <c r="BP442" s="124"/>
      <c r="BQ442" s="124"/>
      <c r="BR442" s="124"/>
      <c r="BS442" s="124"/>
      <c r="BT442" s="124"/>
      <c r="BU442" s="124"/>
      <c r="BV442" s="124"/>
      <c r="BW442" s="124"/>
      <c r="BX442" s="124"/>
      <c r="BY442" s="124"/>
      <c r="BZ442" s="124"/>
      <c r="CA442" s="124"/>
    </row>
    <row r="443">
      <c r="D443" s="143"/>
      <c r="E443" s="129"/>
      <c r="F443" s="112"/>
      <c r="G443" s="112"/>
      <c r="H443" s="112"/>
      <c r="I443" s="112"/>
      <c r="J443" s="112"/>
      <c r="K443" s="112"/>
      <c r="L443" s="112"/>
      <c r="M443" s="112"/>
      <c r="N443" s="112"/>
      <c r="O443" s="112"/>
      <c r="P443" s="112"/>
      <c r="Q443" s="112"/>
      <c r="R443" s="112"/>
      <c r="S443" s="112"/>
      <c r="T443" s="112"/>
      <c r="U443" s="124"/>
      <c r="V443" s="124"/>
      <c r="W443" s="124"/>
      <c r="X443" s="124"/>
      <c r="Y443" s="124"/>
      <c r="Z443" s="112"/>
      <c r="AA443" s="112"/>
      <c r="AB443" s="112"/>
      <c r="AC443" s="112"/>
      <c r="AD443" s="112"/>
      <c r="AE443" s="112"/>
      <c r="AF443" s="112"/>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c r="BK443" s="124"/>
      <c r="BL443" s="124"/>
      <c r="BM443" s="124"/>
      <c r="BN443" s="124"/>
      <c r="BO443" s="124"/>
      <c r="BP443" s="124"/>
      <c r="BQ443" s="124"/>
      <c r="BR443" s="124"/>
      <c r="BS443" s="124"/>
      <c r="BT443" s="124"/>
      <c r="BU443" s="124"/>
      <c r="BV443" s="124"/>
      <c r="BW443" s="124"/>
      <c r="BX443" s="124"/>
      <c r="BY443" s="124"/>
      <c r="BZ443" s="124"/>
      <c r="CA443" s="124"/>
    </row>
    <row r="444">
      <c r="D444" s="143"/>
      <c r="E444" s="129"/>
      <c r="F444" s="112"/>
      <c r="G444" s="112"/>
      <c r="H444" s="112"/>
      <c r="I444" s="112"/>
      <c r="J444" s="112"/>
      <c r="K444" s="112"/>
      <c r="L444" s="112"/>
      <c r="M444" s="112"/>
      <c r="N444" s="112"/>
      <c r="O444" s="112"/>
      <c r="P444" s="112"/>
      <c r="Q444" s="112"/>
      <c r="R444" s="112"/>
      <c r="S444" s="112"/>
      <c r="T444" s="112"/>
      <c r="U444" s="124"/>
      <c r="V444" s="124"/>
      <c r="W444" s="124"/>
      <c r="X444" s="124"/>
      <c r="Y444" s="124"/>
      <c r="Z444" s="112"/>
      <c r="AA444" s="112"/>
      <c r="AB444" s="112"/>
      <c r="AC444" s="112"/>
      <c r="AD444" s="112"/>
      <c r="AE444" s="112"/>
      <c r="AF444" s="112"/>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c r="BK444" s="124"/>
      <c r="BL444" s="124"/>
      <c r="BM444" s="124"/>
      <c r="BN444" s="124"/>
      <c r="BO444" s="124"/>
      <c r="BP444" s="124"/>
      <c r="BQ444" s="124"/>
      <c r="BR444" s="124"/>
      <c r="BS444" s="124"/>
      <c r="BT444" s="124"/>
      <c r="BU444" s="124"/>
      <c r="BV444" s="124"/>
      <c r="BW444" s="124"/>
      <c r="BX444" s="124"/>
      <c r="BY444" s="124"/>
      <c r="BZ444" s="124"/>
      <c r="CA444" s="124"/>
    </row>
    <row r="445">
      <c r="D445" s="143"/>
      <c r="E445" s="129"/>
      <c r="F445" s="112"/>
      <c r="G445" s="112"/>
      <c r="H445" s="112"/>
      <c r="I445" s="112"/>
      <c r="J445" s="112"/>
      <c r="K445" s="112"/>
      <c r="L445" s="112"/>
      <c r="M445" s="112"/>
      <c r="N445" s="112"/>
      <c r="O445" s="112"/>
      <c r="P445" s="112"/>
      <c r="Q445" s="112"/>
      <c r="R445" s="112"/>
      <c r="S445" s="112"/>
      <c r="T445" s="112"/>
      <c r="U445" s="124"/>
      <c r="V445" s="124"/>
      <c r="W445" s="124"/>
      <c r="X445" s="124"/>
      <c r="Y445" s="124"/>
      <c r="Z445" s="112"/>
      <c r="AA445" s="112"/>
      <c r="AB445" s="112"/>
      <c r="AC445" s="112"/>
      <c r="AD445" s="112"/>
      <c r="AE445" s="112"/>
      <c r="AF445" s="112"/>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c r="BK445" s="124"/>
      <c r="BL445" s="124"/>
      <c r="BM445" s="124"/>
      <c r="BN445" s="124"/>
      <c r="BO445" s="124"/>
      <c r="BP445" s="124"/>
      <c r="BQ445" s="124"/>
      <c r="BR445" s="124"/>
      <c r="BS445" s="124"/>
      <c r="BT445" s="124"/>
      <c r="BU445" s="124"/>
      <c r="BV445" s="124"/>
      <c r="BW445" s="124"/>
      <c r="BX445" s="124"/>
      <c r="BY445" s="124"/>
      <c r="BZ445" s="124"/>
      <c r="CA445" s="124"/>
    </row>
    <row r="446">
      <c r="D446" s="143"/>
      <c r="E446" s="129"/>
      <c r="F446" s="112"/>
      <c r="G446" s="112"/>
      <c r="H446" s="112"/>
      <c r="I446" s="112"/>
      <c r="J446" s="112"/>
      <c r="K446" s="112"/>
      <c r="L446" s="112"/>
      <c r="M446" s="112"/>
      <c r="N446" s="112"/>
      <c r="O446" s="112"/>
      <c r="P446" s="112"/>
      <c r="Q446" s="112"/>
      <c r="R446" s="112"/>
      <c r="S446" s="112"/>
      <c r="T446" s="112"/>
      <c r="U446" s="124"/>
      <c r="V446" s="124"/>
      <c r="W446" s="124"/>
      <c r="X446" s="124"/>
      <c r="Y446" s="124"/>
      <c r="Z446" s="112"/>
      <c r="AA446" s="112"/>
      <c r="AB446" s="112"/>
      <c r="AC446" s="112"/>
      <c r="AD446" s="112"/>
      <c r="AE446" s="112"/>
      <c r="AF446" s="112"/>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c r="BK446" s="124"/>
      <c r="BL446" s="124"/>
      <c r="BM446" s="124"/>
      <c r="BN446" s="124"/>
      <c r="BO446" s="124"/>
      <c r="BP446" s="124"/>
      <c r="BQ446" s="124"/>
      <c r="BR446" s="124"/>
      <c r="BS446" s="124"/>
      <c r="BT446" s="124"/>
      <c r="BU446" s="124"/>
      <c r="BV446" s="124"/>
      <c r="BW446" s="124"/>
      <c r="BX446" s="124"/>
      <c r="BY446" s="124"/>
      <c r="BZ446" s="124"/>
      <c r="CA446" s="124"/>
    </row>
    <row r="447">
      <c r="D447" s="143"/>
      <c r="E447" s="129"/>
      <c r="F447" s="112"/>
      <c r="G447" s="112"/>
      <c r="H447" s="112"/>
      <c r="I447" s="112"/>
      <c r="J447" s="112"/>
      <c r="K447" s="112"/>
      <c r="L447" s="112"/>
      <c r="M447" s="112"/>
      <c r="N447" s="112"/>
      <c r="O447" s="112"/>
      <c r="P447" s="112"/>
      <c r="Q447" s="112"/>
      <c r="R447" s="112"/>
      <c r="S447" s="112"/>
      <c r="T447" s="112"/>
      <c r="U447" s="124"/>
      <c r="V447" s="124"/>
      <c r="W447" s="124"/>
      <c r="X447" s="124"/>
      <c r="Y447" s="124"/>
      <c r="Z447" s="112"/>
      <c r="AA447" s="112"/>
      <c r="AB447" s="112"/>
      <c r="AC447" s="112"/>
      <c r="AD447" s="112"/>
      <c r="AE447" s="112"/>
      <c r="AF447" s="112"/>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row>
    <row r="448">
      <c r="D448" s="143"/>
      <c r="E448" s="129"/>
      <c r="F448" s="112"/>
      <c r="G448" s="112"/>
      <c r="H448" s="112"/>
      <c r="I448" s="112"/>
      <c r="J448" s="112"/>
      <c r="K448" s="112"/>
      <c r="L448" s="112"/>
      <c r="M448" s="112"/>
      <c r="N448" s="112"/>
      <c r="O448" s="112"/>
      <c r="P448" s="112"/>
      <c r="Q448" s="112"/>
      <c r="R448" s="112"/>
      <c r="S448" s="112"/>
      <c r="T448" s="112"/>
      <c r="U448" s="124"/>
      <c r="V448" s="124"/>
      <c r="W448" s="124"/>
      <c r="X448" s="124"/>
      <c r="Y448" s="124"/>
      <c r="Z448" s="112"/>
      <c r="AA448" s="112"/>
      <c r="AB448" s="112"/>
      <c r="AC448" s="112"/>
      <c r="AD448" s="112"/>
      <c r="AE448" s="112"/>
      <c r="AF448" s="112"/>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c r="BK448" s="124"/>
      <c r="BL448" s="124"/>
      <c r="BM448" s="124"/>
      <c r="BN448" s="124"/>
      <c r="BO448" s="124"/>
      <c r="BP448" s="124"/>
      <c r="BQ448" s="124"/>
      <c r="BR448" s="124"/>
      <c r="BS448" s="124"/>
      <c r="BT448" s="124"/>
      <c r="BU448" s="124"/>
      <c r="BV448" s="124"/>
      <c r="BW448" s="124"/>
      <c r="BX448" s="124"/>
      <c r="BY448" s="124"/>
      <c r="BZ448" s="124"/>
      <c r="CA448" s="124"/>
    </row>
    <row r="449">
      <c r="D449" s="143"/>
      <c r="E449" s="129"/>
      <c r="F449" s="112"/>
      <c r="G449" s="112"/>
      <c r="H449" s="112"/>
      <c r="I449" s="112"/>
      <c r="J449" s="112"/>
      <c r="K449" s="112"/>
      <c r="L449" s="112"/>
      <c r="M449" s="112"/>
      <c r="N449" s="112"/>
      <c r="O449" s="112"/>
      <c r="P449" s="112"/>
      <c r="Q449" s="112"/>
      <c r="R449" s="112"/>
      <c r="S449" s="112"/>
      <c r="T449" s="112"/>
      <c r="U449" s="124"/>
      <c r="V449" s="124"/>
      <c r="W449" s="124"/>
      <c r="X449" s="124"/>
      <c r="Y449" s="124"/>
      <c r="Z449" s="112"/>
      <c r="AA449" s="112"/>
      <c r="AB449" s="112"/>
      <c r="AC449" s="112"/>
      <c r="AD449" s="112"/>
      <c r="AE449" s="112"/>
      <c r="AF449" s="112"/>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c r="BK449" s="124"/>
      <c r="BL449" s="124"/>
      <c r="BM449" s="124"/>
      <c r="BN449" s="124"/>
      <c r="BO449" s="124"/>
      <c r="BP449" s="124"/>
      <c r="BQ449" s="124"/>
      <c r="BR449" s="124"/>
      <c r="BS449" s="124"/>
      <c r="BT449" s="124"/>
      <c r="BU449" s="124"/>
      <c r="BV449" s="124"/>
      <c r="BW449" s="124"/>
      <c r="BX449" s="124"/>
      <c r="BY449" s="124"/>
      <c r="BZ449" s="124"/>
      <c r="CA449" s="124"/>
    </row>
    <row r="450">
      <c r="D450" s="143"/>
      <c r="E450" s="129"/>
      <c r="F450" s="112"/>
      <c r="G450" s="112"/>
      <c r="H450" s="112"/>
      <c r="I450" s="112"/>
      <c r="J450" s="112"/>
      <c r="K450" s="112"/>
      <c r="L450" s="112"/>
      <c r="M450" s="112"/>
      <c r="N450" s="112"/>
      <c r="O450" s="112"/>
      <c r="P450" s="112"/>
      <c r="Q450" s="112"/>
      <c r="R450" s="112"/>
      <c r="S450" s="112"/>
      <c r="T450" s="112"/>
      <c r="U450" s="124"/>
      <c r="V450" s="124"/>
      <c r="W450" s="124"/>
      <c r="X450" s="124"/>
      <c r="Y450" s="124"/>
      <c r="Z450" s="112"/>
      <c r="AA450" s="112"/>
      <c r="AB450" s="112"/>
      <c r="AC450" s="112"/>
      <c r="AD450" s="112"/>
      <c r="AE450" s="112"/>
      <c r="AF450" s="112"/>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c r="BK450" s="124"/>
      <c r="BL450" s="124"/>
      <c r="BM450" s="124"/>
      <c r="BN450" s="124"/>
      <c r="BO450" s="124"/>
      <c r="BP450" s="124"/>
      <c r="BQ450" s="124"/>
      <c r="BR450" s="124"/>
      <c r="BS450" s="124"/>
      <c r="BT450" s="124"/>
      <c r="BU450" s="124"/>
      <c r="BV450" s="124"/>
      <c r="BW450" s="124"/>
      <c r="BX450" s="124"/>
      <c r="BY450" s="124"/>
      <c r="BZ450" s="124"/>
      <c r="CA450" s="124"/>
    </row>
    <row r="451">
      <c r="D451" s="143"/>
      <c r="E451" s="129"/>
      <c r="F451" s="112"/>
      <c r="G451" s="112"/>
      <c r="H451" s="112"/>
      <c r="I451" s="112"/>
      <c r="J451" s="112"/>
      <c r="K451" s="112"/>
      <c r="L451" s="112"/>
      <c r="M451" s="112"/>
      <c r="N451" s="112"/>
      <c r="O451" s="112"/>
      <c r="P451" s="112"/>
      <c r="Q451" s="112"/>
      <c r="R451" s="112"/>
      <c r="S451" s="112"/>
      <c r="T451" s="112"/>
      <c r="U451" s="124"/>
      <c r="V451" s="124"/>
      <c r="W451" s="124"/>
      <c r="X451" s="124"/>
      <c r="Y451" s="124"/>
      <c r="Z451" s="112"/>
      <c r="AA451" s="112"/>
      <c r="AB451" s="112"/>
      <c r="AC451" s="112"/>
      <c r="AD451" s="112"/>
      <c r="AE451" s="112"/>
      <c r="AF451" s="112"/>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c r="BK451" s="124"/>
      <c r="BL451" s="124"/>
      <c r="BM451" s="124"/>
      <c r="BN451" s="124"/>
      <c r="BO451" s="124"/>
      <c r="BP451" s="124"/>
      <c r="BQ451" s="124"/>
      <c r="BR451" s="124"/>
      <c r="BS451" s="124"/>
      <c r="BT451" s="124"/>
      <c r="BU451" s="124"/>
      <c r="BV451" s="124"/>
      <c r="BW451" s="124"/>
      <c r="BX451" s="124"/>
      <c r="BY451" s="124"/>
      <c r="BZ451" s="124"/>
      <c r="CA451" s="124"/>
    </row>
    <row r="452">
      <c r="D452" s="143"/>
      <c r="E452" s="129"/>
      <c r="F452" s="112"/>
      <c r="G452" s="112"/>
      <c r="H452" s="112"/>
      <c r="I452" s="112"/>
      <c r="J452" s="112"/>
      <c r="K452" s="112"/>
      <c r="L452" s="112"/>
      <c r="M452" s="112"/>
      <c r="N452" s="112"/>
      <c r="O452" s="112"/>
      <c r="P452" s="112"/>
      <c r="Q452" s="112"/>
      <c r="R452" s="112"/>
      <c r="S452" s="112"/>
      <c r="T452" s="112"/>
      <c r="U452" s="124"/>
      <c r="V452" s="124"/>
      <c r="W452" s="124"/>
      <c r="X452" s="124"/>
      <c r="Y452" s="124"/>
      <c r="Z452" s="112"/>
      <c r="AA452" s="112"/>
      <c r="AB452" s="112"/>
      <c r="AC452" s="112"/>
      <c r="AD452" s="112"/>
      <c r="AE452" s="112"/>
      <c r="AF452" s="112"/>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c r="BK452" s="124"/>
      <c r="BL452" s="124"/>
      <c r="BM452" s="124"/>
      <c r="BN452" s="124"/>
      <c r="BO452" s="124"/>
      <c r="BP452" s="124"/>
      <c r="BQ452" s="124"/>
      <c r="BR452" s="124"/>
      <c r="BS452" s="124"/>
      <c r="BT452" s="124"/>
      <c r="BU452" s="124"/>
      <c r="BV452" s="124"/>
      <c r="BW452" s="124"/>
      <c r="BX452" s="124"/>
      <c r="BY452" s="124"/>
      <c r="BZ452" s="124"/>
      <c r="CA452" s="124"/>
    </row>
    <row r="453">
      <c r="D453" s="143"/>
      <c r="E453" s="129"/>
      <c r="F453" s="112"/>
      <c r="G453" s="112"/>
      <c r="H453" s="112"/>
      <c r="I453" s="112"/>
      <c r="J453" s="112"/>
      <c r="K453" s="112"/>
      <c r="L453" s="112"/>
      <c r="M453" s="112"/>
      <c r="N453" s="112"/>
      <c r="O453" s="112"/>
      <c r="P453" s="112"/>
      <c r="Q453" s="112"/>
      <c r="R453" s="112"/>
      <c r="S453" s="112"/>
      <c r="T453" s="112"/>
      <c r="U453" s="124"/>
      <c r="V453" s="124"/>
      <c r="W453" s="124"/>
      <c r="X453" s="124"/>
      <c r="Y453" s="124"/>
      <c r="Z453" s="112"/>
      <c r="AA453" s="112"/>
      <c r="AB453" s="112"/>
      <c r="AC453" s="112"/>
      <c r="AD453" s="112"/>
      <c r="AE453" s="112"/>
      <c r="AF453" s="112"/>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row>
    <row r="454">
      <c r="D454" s="143"/>
      <c r="E454" s="129"/>
      <c r="F454" s="112"/>
      <c r="G454" s="112"/>
      <c r="H454" s="112"/>
      <c r="I454" s="112"/>
      <c r="J454" s="112"/>
      <c r="K454" s="112"/>
      <c r="L454" s="112"/>
      <c r="M454" s="112"/>
      <c r="N454" s="112"/>
      <c r="O454" s="112"/>
      <c r="P454" s="112"/>
      <c r="Q454" s="112"/>
      <c r="R454" s="112"/>
      <c r="S454" s="112"/>
      <c r="T454" s="112"/>
      <c r="U454" s="124"/>
      <c r="V454" s="124"/>
      <c r="W454" s="124"/>
      <c r="X454" s="124"/>
      <c r="Y454" s="124"/>
      <c r="Z454" s="112"/>
      <c r="AA454" s="112"/>
      <c r="AB454" s="112"/>
      <c r="AC454" s="112"/>
      <c r="AD454" s="112"/>
      <c r="AE454" s="112"/>
      <c r="AF454" s="112"/>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c r="BK454" s="124"/>
      <c r="BL454" s="124"/>
      <c r="BM454" s="124"/>
      <c r="BN454" s="124"/>
      <c r="BO454" s="124"/>
      <c r="BP454" s="124"/>
      <c r="BQ454" s="124"/>
      <c r="BR454" s="124"/>
      <c r="BS454" s="124"/>
      <c r="BT454" s="124"/>
      <c r="BU454" s="124"/>
      <c r="BV454" s="124"/>
      <c r="BW454" s="124"/>
      <c r="BX454" s="124"/>
      <c r="BY454" s="124"/>
      <c r="BZ454" s="124"/>
      <c r="CA454" s="124"/>
    </row>
    <row r="455">
      <c r="D455" s="143"/>
      <c r="E455" s="129"/>
      <c r="F455" s="112"/>
      <c r="G455" s="112"/>
      <c r="H455" s="112"/>
      <c r="I455" s="112"/>
      <c r="J455" s="112"/>
      <c r="K455" s="112"/>
      <c r="L455" s="112"/>
      <c r="M455" s="112"/>
      <c r="N455" s="112"/>
      <c r="O455" s="112"/>
      <c r="P455" s="112"/>
      <c r="Q455" s="112"/>
      <c r="R455" s="112"/>
      <c r="S455" s="112"/>
      <c r="T455" s="112"/>
      <c r="U455" s="124"/>
      <c r="V455" s="124"/>
      <c r="W455" s="124"/>
      <c r="X455" s="124"/>
      <c r="Y455" s="124"/>
      <c r="Z455" s="112"/>
      <c r="AA455" s="112"/>
      <c r="AB455" s="112"/>
      <c r="AC455" s="112"/>
      <c r="AD455" s="112"/>
      <c r="AE455" s="112"/>
      <c r="AF455" s="112"/>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c r="BK455" s="124"/>
      <c r="BL455" s="124"/>
      <c r="BM455" s="124"/>
      <c r="BN455" s="124"/>
      <c r="BO455" s="124"/>
      <c r="BP455" s="124"/>
      <c r="BQ455" s="124"/>
      <c r="BR455" s="124"/>
      <c r="BS455" s="124"/>
      <c r="BT455" s="124"/>
      <c r="BU455" s="124"/>
      <c r="BV455" s="124"/>
      <c r="BW455" s="124"/>
      <c r="BX455" s="124"/>
      <c r="BY455" s="124"/>
      <c r="BZ455" s="124"/>
      <c r="CA455" s="124"/>
    </row>
    <row r="456">
      <c r="D456" s="143"/>
      <c r="E456" s="129"/>
      <c r="F456" s="112"/>
      <c r="G456" s="112"/>
      <c r="H456" s="112"/>
      <c r="I456" s="112"/>
      <c r="J456" s="112"/>
      <c r="K456" s="112"/>
      <c r="L456" s="112"/>
      <c r="M456" s="112"/>
      <c r="N456" s="112"/>
      <c r="O456" s="112"/>
      <c r="P456" s="112"/>
      <c r="Q456" s="112"/>
      <c r="R456" s="112"/>
      <c r="S456" s="112"/>
      <c r="T456" s="112"/>
      <c r="U456" s="124"/>
      <c r="V456" s="124"/>
      <c r="W456" s="124"/>
      <c r="X456" s="124"/>
      <c r="Y456" s="124"/>
      <c r="Z456" s="112"/>
      <c r="AA456" s="112"/>
      <c r="AB456" s="112"/>
      <c r="AC456" s="112"/>
      <c r="AD456" s="112"/>
      <c r="AE456" s="112"/>
      <c r="AF456" s="112"/>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c r="BK456" s="124"/>
      <c r="BL456" s="124"/>
      <c r="BM456" s="124"/>
      <c r="BN456" s="124"/>
      <c r="BO456" s="124"/>
      <c r="BP456" s="124"/>
      <c r="BQ456" s="124"/>
      <c r="BR456" s="124"/>
      <c r="BS456" s="124"/>
      <c r="BT456" s="124"/>
      <c r="BU456" s="124"/>
      <c r="BV456" s="124"/>
      <c r="BW456" s="124"/>
      <c r="BX456" s="124"/>
      <c r="BY456" s="124"/>
      <c r="BZ456" s="124"/>
      <c r="CA456" s="124"/>
    </row>
    <row r="457">
      <c r="D457" s="143"/>
      <c r="E457" s="129"/>
      <c r="F457" s="112"/>
      <c r="G457" s="112"/>
      <c r="H457" s="112"/>
      <c r="I457" s="112"/>
      <c r="J457" s="112"/>
      <c r="K457" s="112"/>
      <c r="L457" s="112"/>
      <c r="M457" s="112"/>
      <c r="N457" s="112"/>
      <c r="O457" s="112"/>
      <c r="P457" s="112"/>
      <c r="Q457" s="112"/>
      <c r="R457" s="112"/>
      <c r="S457" s="112"/>
      <c r="T457" s="112"/>
      <c r="U457" s="124"/>
      <c r="V457" s="124"/>
      <c r="W457" s="124"/>
      <c r="X457" s="124"/>
      <c r="Y457" s="124"/>
      <c r="Z457" s="112"/>
      <c r="AA457" s="112"/>
      <c r="AB457" s="112"/>
      <c r="AC457" s="112"/>
      <c r="AD457" s="112"/>
      <c r="AE457" s="112"/>
      <c r="AF457" s="112"/>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c r="BK457" s="124"/>
      <c r="BL457" s="124"/>
      <c r="BM457" s="124"/>
      <c r="BN457" s="124"/>
      <c r="BO457" s="124"/>
      <c r="BP457" s="124"/>
      <c r="BQ457" s="124"/>
      <c r="BR457" s="124"/>
      <c r="BS457" s="124"/>
      <c r="BT457" s="124"/>
      <c r="BU457" s="124"/>
      <c r="BV457" s="124"/>
      <c r="BW457" s="124"/>
      <c r="BX457" s="124"/>
      <c r="BY457" s="124"/>
      <c r="BZ457" s="124"/>
      <c r="CA457" s="124"/>
    </row>
    <row r="458">
      <c r="D458" s="143"/>
      <c r="E458" s="129"/>
      <c r="F458" s="112"/>
      <c r="G458" s="112"/>
      <c r="H458" s="112"/>
      <c r="I458" s="112"/>
      <c r="J458" s="112"/>
      <c r="K458" s="112"/>
      <c r="L458" s="112"/>
      <c r="M458" s="112"/>
      <c r="N458" s="112"/>
      <c r="O458" s="112"/>
      <c r="P458" s="112"/>
      <c r="Q458" s="112"/>
      <c r="R458" s="112"/>
      <c r="S458" s="112"/>
      <c r="T458" s="112"/>
      <c r="U458" s="124"/>
      <c r="V458" s="124"/>
      <c r="W458" s="124"/>
      <c r="X458" s="124"/>
      <c r="Y458" s="124"/>
      <c r="Z458" s="112"/>
      <c r="AA458" s="112"/>
      <c r="AB458" s="112"/>
      <c r="AC458" s="112"/>
      <c r="AD458" s="112"/>
      <c r="AE458" s="112"/>
      <c r="AF458" s="112"/>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c r="BK458" s="124"/>
      <c r="BL458" s="124"/>
      <c r="BM458" s="124"/>
      <c r="BN458" s="124"/>
      <c r="BO458" s="124"/>
      <c r="BP458" s="124"/>
      <c r="BQ458" s="124"/>
      <c r="BR458" s="124"/>
      <c r="BS458" s="124"/>
      <c r="BT458" s="124"/>
      <c r="BU458" s="124"/>
      <c r="BV458" s="124"/>
      <c r="BW458" s="124"/>
      <c r="BX458" s="124"/>
      <c r="BY458" s="124"/>
      <c r="BZ458" s="124"/>
      <c r="CA458" s="124"/>
    </row>
    <row r="459">
      <c r="D459" s="143"/>
      <c r="E459" s="129"/>
      <c r="F459" s="112"/>
      <c r="G459" s="112"/>
      <c r="H459" s="112"/>
      <c r="I459" s="112"/>
      <c r="J459" s="112"/>
      <c r="K459" s="112"/>
      <c r="L459" s="112"/>
      <c r="M459" s="112"/>
      <c r="N459" s="112"/>
      <c r="O459" s="112"/>
      <c r="P459" s="112"/>
      <c r="Q459" s="112"/>
      <c r="R459" s="112"/>
      <c r="S459" s="112"/>
      <c r="T459" s="112"/>
      <c r="U459" s="124"/>
      <c r="V459" s="124"/>
      <c r="W459" s="124"/>
      <c r="X459" s="124"/>
      <c r="Y459" s="124"/>
      <c r="Z459" s="112"/>
      <c r="AA459" s="112"/>
      <c r="AB459" s="112"/>
      <c r="AC459" s="112"/>
      <c r="AD459" s="112"/>
      <c r="AE459" s="112"/>
      <c r="AF459" s="112"/>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row>
    <row r="460">
      <c r="D460" s="143"/>
      <c r="E460" s="129"/>
      <c r="F460" s="112"/>
      <c r="G460" s="112"/>
      <c r="H460" s="112"/>
      <c r="I460" s="112"/>
      <c r="J460" s="112"/>
      <c r="K460" s="112"/>
      <c r="L460" s="112"/>
      <c r="M460" s="112"/>
      <c r="N460" s="112"/>
      <c r="O460" s="112"/>
      <c r="P460" s="112"/>
      <c r="Q460" s="112"/>
      <c r="R460" s="112"/>
      <c r="S460" s="112"/>
      <c r="T460" s="112"/>
      <c r="U460" s="124"/>
      <c r="V460" s="124"/>
      <c r="W460" s="124"/>
      <c r="X460" s="124"/>
      <c r="Y460" s="124"/>
      <c r="Z460" s="112"/>
      <c r="AA460" s="112"/>
      <c r="AB460" s="112"/>
      <c r="AC460" s="112"/>
      <c r="AD460" s="112"/>
      <c r="AE460" s="112"/>
      <c r="AF460" s="112"/>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c r="BK460" s="124"/>
      <c r="BL460" s="124"/>
      <c r="BM460" s="124"/>
      <c r="BN460" s="124"/>
      <c r="BO460" s="124"/>
      <c r="BP460" s="124"/>
      <c r="BQ460" s="124"/>
      <c r="BR460" s="124"/>
      <c r="BS460" s="124"/>
      <c r="BT460" s="124"/>
      <c r="BU460" s="124"/>
      <c r="BV460" s="124"/>
      <c r="BW460" s="124"/>
      <c r="BX460" s="124"/>
      <c r="BY460" s="124"/>
      <c r="BZ460" s="124"/>
      <c r="CA460" s="124"/>
    </row>
    <row r="461">
      <c r="D461" s="143"/>
      <c r="E461" s="129"/>
      <c r="F461" s="112"/>
      <c r="G461" s="112"/>
      <c r="H461" s="112"/>
      <c r="I461" s="112"/>
      <c r="J461" s="112"/>
      <c r="K461" s="112"/>
      <c r="L461" s="112"/>
      <c r="M461" s="112"/>
      <c r="N461" s="112"/>
      <c r="O461" s="112"/>
      <c r="P461" s="112"/>
      <c r="Q461" s="112"/>
      <c r="R461" s="112"/>
      <c r="S461" s="112"/>
      <c r="T461" s="112"/>
      <c r="U461" s="124"/>
      <c r="V461" s="124"/>
      <c r="W461" s="124"/>
      <c r="X461" s="124"/>
      <c r="Y461" s="124"/>
      <c r="Z461" s="112"/>
      <c r="AA461" s="112"/>
      <c r="AB461" s="112"/>
      <c r="AC461" s="112"/>
      <c r="AD461" s="112"/>
      <c r="AE461" s="112"/>
      <c r="AF461" s="112"/>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c r="BK461" s="124"/>
      <c r="BL461" s="124"/>
      <c r="BM461" s="124"/>
      <c r="BN461" s="124"/>
      <c r="BO461" s="124"/>
      <c r="BP461" s="124"/>
      <c r="BQ461" s="124"/>
      <c r="BR461" s="124"/>
      <c r="BS461" s="124"/>
      <c r="BT461" s="124"/>
      <c r="BU461" s="124"/>
      <c r="BV461" s="124"/>
      <c r="BW461" s="124"/>
      <c r="BX461" s="124"/>
      <c r="BY461" s="124"/>
      <c r="BZ461" s="124"/>
      <c r="CA461" s="124"/>
    </row>
    <row r="462">
      <c r="D462" s="143"/>
      <c r="E462" s="129"/>
      <c r="F462" s="112"/>
      <c r="G462" s="112"/>
      <c r="H462" s="112"/>
      <c r="I462" s="112"/>
      <c r="J462" s="112"/>
      <c r="K462" s="112"/>
      <c r="L462" s="112"/>
      <c r="M462" s="112"/>
      <c r="N462" s="112"/>
      <c r="O462" s="112"/>
      <c r="P462" s="112"/>
      <c r="Q462" s="112"/>
      <c r="R462" s="112"/>
      <c r="S462" s="112"/>
      <c r="T462" s="112"/>
      <c r="U462" s="124"/>
      <c r="V462" s="124"/>
      <c r="W462" s="124"/>
      <c r="X462" s="124"/>
      <c r="Y462" s="124"/>
      <c r="Z462" s="112"/>
      <c r="AA462" s="112"/>
      <c r="AB462" s="112"/>
      <c r="AC462" s="112"/>
      <c r="AD462" s="112"/>
      <c r="AE462" s="112"/>
      <c r="AF462" s="112"/>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c r="BK462" s="124"/>
      <c r="BL462" s="124"/>
      <c r="BM462" s="124"/>
      <c r="BN462" s="124"/>
      <c r="BO462" s="124"/>
      <c r="BP462" s="124"/>
      <c r="BQ462" s="124"/>
      <c r="BR462" s="124"/>
      <c r="BS462" s="124"/>
      <c r="BT462" s="124"/>
      <c r="BU462" s="124"/>
      <c r="BV462" s="124"/>
      <c r="BW462" s="124"/>
      <c r="BX462" s="124"/>
      <c r="BY462" s="124"/>
      <c r="BZ462" s="124"/>
      <c r="CA462" s="124"/>
    </row>
    <row r="463">
      <c r="D463" s="143"/>
      <c r="E463" s="129"/>
      <c r="F463" s="112"/>
      <c r="G463" s="112"/>
      <c r="H463" s="112"/>
      <c r="I463" s="112"/>
      <c r="J463" s="112"/>
      <c r="K463" s="112"/>
      <c r="L463" s="112"/>
      <c r="M463" s="112"/>
      <c r="N463" s="112"/>
      <c r="O463" s="112"/>
      <c r="P463" s="112"/>
      <c r="Q463" s="112"/>
      <c r="R463" s="112"/>
      <c r="S463" s="112"/>
      <c r="T463" s="112"/>
      <c r="U463" s="124"/>
      <c r="V463" s="124"/>
      <c r="W463" s="124"/>
      <c r="X463" s="124"/>
      <c r="Y463" s="124"/>
      <c r="Z463" s="112"/>
      <c r="AA463" s="112"/>
      <c r="AB463" s="112"/>
      <c r="AC463" s="112"/>
      <c r="AD463" s="112"/>
      <c r="AE463" s="112"/>
      <c r="AF463" s="112"/>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c r="BK463" s="124"/>
      <c r="BL463" s="124"/>
      <c r="BM463" s="124"/>
      <c r="BN463" s="124"/>
      <c r="BO463" s="124"/>
      <c r="BP463" s="124"/>
      <c r="BQ463" s="124"/>
      <c r="BR463" s="124"/>
      <c r="BS463" s="124"/>
      <c r="BT463" s="124"/>
      <c r="BU463" s="124"/>
      <c r="BV463" s="124"/>
      <c r="BW463" s="124"/>
      <c r="BX463" s="124"/>
      <c r="BY463" s="124"/>
      <c r="BZ463" s="124"/>
      <c r="CA463" s="124"/>
    </row>
    <row r="464">
      <c r="D464" s="143"/>
      <c r="E464" s="129"/>
      <c r="F464" s="112"/>
      <c r="G464" s="112"/>
      <c r="H464" s="112"/>
      <c r="I464" s="112"/>
      <c r="J464" s="112"/>
      <c r="K464" s="112"/>
      <c r="L464" s="112"/>
      <c r="M464" s="112"/>
      <c r="N464" s="112"/>
      <c r="O464" s="112"/>
      <c r="P464" s="112"/>
      <c r="Q464" s="112"/>
      <c r="R464" s="112"/>
      <c r="S464" s="112"/>
      <c r="T464" s="112"/>
      <c r="U464" s="124"/>
      <c r="V464" s="124"/>
      <c r="W464" s="124"/>
      <c r="X464" s="124"/>
      <c r="Y464" s="124"/>
      <c r="Z464" s="112"/>
      <c r="AA464" s="112"/>
      <c r="AB464" s="112"/>
      <c r="AC464" s="112"/>
      <c r="AD464" s="112"/>
      <c r="AE464" s="112"/>
      <c r="AF464" s="112"/>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c r="BK464" s="124"/>
      <c r="BL464" s="124"/>
      <c r="BM464" s="124"/>
      <c r="BN464" s="124"/>
      <c r="BO464" s="124"/>
      <c r="BP464" s="124"/>
      <c r="BQ464" s="124"/>
      <c r="BR464" s="124"/>
      <c r="BS464" s="124"/>
      <c r="BT464" s="124"/>
      <c r="BU464" s="124"/>
      <c r="BV464" s="124"/>
      <c r="BW464" s="124"/>
      <c r="BX464" s="124"/>
      <c r="BY464" s="124"/>
      <c r="BZ464" s="124"/>
      <c r="CA464" s="124"/>
    </row>
    <row r="465">
      <c r="D465" s="143"/>
      <c r="E465" s="129"/>
      <c r="F465" s="112"/>
      <c r="G465" s="112"/>
      <c r="H465" s="112"/>
      <c r="I465" s="112"/>
      <c r="J465" s="112"/>
      <c r="K465" s="112"/>
      <c r="L465" s="112"/>
      <c r="M465" s="112"/>
      <c r="N465" s="112"/>
      <c r="O465" s="112"/>
      <c r="P465" s="112"/>
      <c r="Q465" s="112"/>
      <c r="R465" s="112"/>
      <c r="S465" s="112"/>
      <c r="T465" s="112"/>
      <c r="U465" s="124"/>
      <c r="V465" s="124"/>
      <c r="W465" s="124"/>
      <c r="X465" s="124"/>
      <c r="Y465" s="124"/>
      <c r="Z465" s="112"/>
      <c r="AA465" s="112"/>
      <c r="AB465" s="112"/>
      <c r="AC465" s="112"/>
      <c r="AD465" s="112"/>
      <c r="AE465" s="112"/>
      <c r="AF465" s="112"/>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row>
    <row r="466">
      <c r="D466" s="143"/>
      <c r="E466" s="129"/>
      <c r="F466" s="112"/>
      <c r="G466" s="112"/>
      <c r="H466" s="112"/>
      <c r="I466" s="112"/>
      <c r="J466" s="112"/>
      <c r="K466" s="112"/>
      <c r="L466" s="112"/>
      <c r="M466" s="112"/>
      <c r="N466" s="112"/>
      <c r="O466" s="112"/>
      <c r="P466" s="112"/>
      <c r="Q466" s="112"/>
      <c r="R466" s="112"/>
      <c r="S466" s="112"/>
      <c r="T466" s="112"/>
      <c r="U466" s="124"/>
      <c r="V466" s="124"/>
      <c r="W466" s="124"/>
      <c r="X466" s="124"/>
      <c r="Y466" s="124"/>
      <c r="Z466" s="112"/>
      <c r="AA466" s="112"/>
      <c r="AB466" s="112"/>
      <c r="AC466" s="112"/>
      <c r="AD466" s="112"/>
      <c r="AE466" s="112"/>
      <c r="AF466" s="112"/>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c r="BK466" s="124"/>
      <c r="BL466" s="124"/>
      <c r="BM466" s="124"/>
      <c r="BN466" s="124"/>
      <c r="BO466" s="124"/>
      <c r="BP466" s="124"/>
      <c r="BQ466" s="124"/>
      <c r="BR466" s="124"/>
      <c r="BS466" s="124"/>
      <c r="BT466" s="124"/>
      <c r="BU466" s="124"/>
      <c r="BV466" s="124"/>
      <c r="BW466" s="124"/>
      <c r="BX466" s="124"/>
      <c r="BY466" s="124"/>
      <c r="BZ466" s="124"/>
      <c r="CA466" s="124"/>
    </row>
    <row r="467">
      <c r="D467" s="143"/>
      <c r="E467" s="129"/>
      <c r="F467" s="112"/>
      <c r="G467" s="112"/>
      <c r="H467" s="112"/>
      <c r="I467" s="112"/>
      <c r="J467" s="112"/>
      <c r="K467" s="112"/>
      <c r="L467" s="112"/>
      <c r="M467" s="112"/>
      <c r="N467" s="112"/>
      <c r="O467" s="112"/>
      <c r="P467" s="112"/>
      <c r="Q467" s="112"/>
      <c r="R467" s="112"/>
      <c r="S467" s="112"/>
      <c r="T467" s="112"/>
      <c r="U467" s="124"/>
      <c r="V467" s="124"/>
      <c r="W467" s="124"/>
      <c r="X467" s="124"/>
      <c r="Y467" s="124"/>
      <c r="Z467" s="112"/>
      <c r="AA467" s="112"/>
      <c r="AB467" s="112"/>
      <c r="AC467" s="112"/>
      <c r="AD467" s="112"/>
      <c r="AE467" s="112"/>
      <c r="AF467" s="112"/>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c r="BK467" s="124"/>
      <c r="BL467" s="124"/>
      <c r="BM467" s="124"/>
      <c r="BN467" s="124"/>
      <c r="BO467" s="124"/>
      <c r="BP467" s="124"/>
      <c r="BQ467" s="124"/>
      <c r="BR467" s="124"/>
      <c r="BS467" s="124"/>
      <c r="BT467" s="124"/>
      <c r="BU467" s="124"/>
      <c r="BV467" s="124"/>
      <c r="BW467" s="124"/>
      <c r="BX467" s="124"/>
      <c r="BY467" s="124"/>
      <c r="BZ467" s="124"/>
      <c r="CA467" s="124"/>
    </row>
    <row r="468">
      <c r="D468" s="143"/>
      <c r="E468" s="129"/>
      <c r="F468" s="112"/>
      <c r="G468" s="112"/>
      <c r="H468" s="112"/>
      <c r="I468" s="112"/>
      <c r="J468" s="112"/>
      <c r="K468" s="112"/>
      <c r="L468" s="112"/>
      <c r="M468" s="112"/>
      <c r="N468" s="112"/>
      <c r="O468" s="112"/>
      <c r="P468" s="112"/>
      <c r="Q468" s="112"/>
      <c r="R468" s="112"/>
      <c r="S468" s="112"/>
      <c r="T468" s="112"/>
      <c r="U468" s="124"/>
      <c r="V468" s="124"/>
      <c r="W468" s="124"/>
      <c r="X468" s="124"/>
      <c r="Y468" s="124"/>
      <c r="Z468" s="112"/>
      <c r="AA468" s="112"/>
      <c r="AB468" s="112"/>
      <c r="AC468" s="112"/>
      <c r="AD468" s="112"/>
      <c r="AE468" s="112"/>
      <c r="AF468" s="112"/>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c r="BK468" s="124"/>
      <c r="BL468" s="124"/>
      <c r="BM468" s="124"/>
      <c r="BN468" s="124"/>
      <c r="BO468" s="124"/>
      <c r="BP468" s="124"/>
      <c r="BQ468" s="124"/>
      <c r="BR468" s="124"/>
      <c r="BS468" s="124"/>
      <c r="BT468" s="124"/>
      <c r="BU468" s="124"/>
      <c r="BV468" s="124"/>
      <c r="BW468" s="124"/>
      <c r="BX468" s="124"/>
      <c r="BY468" s="124"/>
      <c r="BZ468" s="124"/>
      <c r="CA468" s="124"/>
    </row>
    <row r="469">
      <c r="D469" s="143"/>
      <c r="E469" s="129"/>
      <c r="F469" s="112"/>
      <c r="G469" s="112"/>
      <c r="H469" s="112"/>
      <c r="I469" s="112"/>
      <c r="J469" s="112"/>
      <c r="K469" s="112"/>
      <c r="L469" s="112"/>
      <c r="M469" s="112"/>
      <c r="N469" s="112"/>
      <c r="O469" s="112"/>
      <c r="P469" s="112"/>
      <c r="Q469" s="112"/>
      <c r="R469" s="112"/>
      <c r="S469" s="112"/>
      <c r="T469" s="112"/>
      <c r="U469" s="124"/>
      <c r="V469" s="124"/>
      <c r="W469" s="124"/>
      <c r="X469" s="124"/>
      <c r="Y469" s="124"/>
      <c r="Z469" s="112"/>
      <c r="AA469" s="112"/>
      <c r="AB469" s="112"/>
      <c r="AC469" s="112"/>
      <c r="AD469" s="112"/>
      <c r="AE469" s="112"/>
      <c r="AF469" s="112"/>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4"/>
      <c r="BS469" s="124"/>
      <c r="BT469" s="124"/>
      <c r="BU469" s="124"/>
      <c r="BV469" s="124"/>
      <c r="BW469" s="124"/>
      <c r="BX469" s="124"/>
      <c r="BY469" s="124"/>
      <c r="BZ469" s="124"/>
      <c r="CA469" s="124"/>
    </row>
    <row r="470">
      <c r="D470" s="143"/>
      <c r="E470" s="129"/>
      <c r="F470" s="112"/>
      <c r="G470" s="112"/>
      <c r="H470" s="112"/>
      <c r="I470" s="112"/>
      <c r="J470" s="112"/>
      <c r="K470" s="112"/>
      <c r="L470" s="112"/>
      <c r="M470" s="112"/>
      <c r="N470" s="112"/>
      <c r="O470" s="112"/>
      <c r="P470" s="112"/>
      <c r="Q470" s="112"/>
      <c r="R470" s="112"/>
      <c r="S470" s="112"/>
      <c r="T470" s="112"/>
      <c r="U470" s="124"/>
      <c r="V470" s="124"/>
      <c r="W470" s="124"/>
      <c r="X470" s="124"/>
      <c r="Y470" s="124"/>
      <c r="Z470" s="112"/>
      <c r="AA470" s="112"/>
      <c r="AB470" s="112"/>
      <c r="AC470" s="112"/>
      <c r="AD470" s="112"/>
      <c r="AE470" s="112"/>
      <c r="AF470" s="112"/>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c r="BK470" s="124"/>
      <c r="BL470" s="124"/>
      <c r="BM470" s="124"/>
      <c r="BN470" s="124"/>
      <c r="BO470" s="124"/>
      <c r="BP470" s="124"/>
      <c r="BQ470" s="124"/>
      <c r="BR470" s="124"/>
      <c r="BS470" s="124"/>
      <c r="BT470" s="124"/>
      <c r="BU470" s="124"/>
      <c r="BV470" s="124"/>
      <c r="BW470" s="124"/>
      <c r="BX470" s="124"/>
      <c r="BY470" s="124"/>
      <c r="BZ470" s="124"/>
      <c r="CA470" s="124"/>
    </row>
    <row r="471">
      <c r="D471" s="143"/>
      <c r="E471" s="129"/>
      <c r="F471" s="112"/>
      <c r="G471" s="112"/>
      <c r="H471" s="112"/>
      <c r="I471" s="112"/>
      <c r="J471" s="112"/>
      <c r="K471" s="112"/>
      <c r="L471" s="112"/>
      <c r="M471" s="112"/>
      <c r="N471" s="112"/>
      <c r="O471" s="112"/>
      <c r="P471" s="112"/>
      <c r="Q471" s="112"/>
      <c r="R471" s="112"/>
      <c r="S471" s="112"/>
      <c r="T471" s="112"/>
      <c r="U471" s="124"/>
      <c r="V471" s="124"/>
      <c r="W471" s="124"/>
      <c r="X471" s="124"/>
      <c r="Y471" s="124"/>
      <c r="Z471" s="112"/>
      <c r="AA471" s="112"/>
      <c r="AB471" s="112"/>
      <c r="AC471" s="112"/>
      <c r="AD471" s="112"/>
      <c r="AE471" s="112"/>
      <c r="AF471" s="112"/>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row>
    <row r="472">
      <c r="D472" s="143"/>
      <c r="E472" s="129"/>
      <c r="F472" s="112"/>
      <c r="G472" s="112"/>
      <c r="H472" s="112"/>
      <c r="I472" s="112"/>
      <c r="J472" s="112"/>
      <c r="K472" s="112"/>
      <c r="L472" s="112"/>
      <c r="M472" s="112"/>
      <c r="N472" s="112"/>
      <c r="O472" s="112"/>
      <c r="P472" s="112"/>
      <c r="Q472" s="112"/>
      <c r="R472" s="112"/>
      <c r="S472" s="112"/>
      <c r="T472" s="112"/>
      <c r="U472" s="124"/>
      <c r="V472" s="124"/>
      <c r="W472" s="124"/>
      <c r="X472" s="124"/>
      <c r="Y472" s="124"/>
      <c r="Z472" s="112"/>
      <c r="AA472" s="112"/>
      <c r="AB472" s="112"/>
      <c r="AC472" s="112"/>
      <c r="AD472" s="112"/>
      <c r="AE472" s="112"/>
      <c r="AF472" s="112"/>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c r="BK472" s="124"/>
      <c r="BL472" s="124"/>
      <c r="BM472" s="124"/>
      <c r="BN472" s="124"/>
      <c r="BO472" s="124"/>
      <c r="BP472" s="124"/>
      <c r="BQ472" s="124"/>
      <c r="BR472" s="124"/>
      <c r="BS472" s="124"/>
      <c r="BT472" s="124"/>
      <c r="BU472" s="124"/>
      <c r="BV472" s="124"/>
      <c r="BW472" s="124"/>
      <c r="BX472" s="124"/>
      <c r="BY472" s="124"/>
      <c r="BZ472" s="124"/>
      <c r="CA472" s="124"/>
    </row>
    <row r="473">
      <c r="D473" s="143"/>
      <c r="E473" s="129"/>
      <c r="F473" s="112"/>
      <c r="G473" s="112"/>
      <c r="H473" s="112"/>
      <c r="I473" s="112"/>
      <c r="J473" s="112"/>
      <c r="K473" s="112"/>
      <c r="L473" s="112"/>
      <c r="M473" s="112"/>
      <c r="N473" s="112"/>
      <c r="O473" s="112"/>
      <c r="P473" s="112"/>
      <c r="Q473" s="112"/>
      <c r="R473" s="112"/>
      <c r="S473" s="112"/>
      <c r="T473" s="112"/>
      <c r="U473" s="124"/>
      <c r="V473" s="124"/>
      <c r="W473" s="124"/>
      <c r="X473" s="124"/>
      <c r="Y473" s="124"/>
      <c r="Z473" s="112"/>
      <c r="AA473" s="112"/>
      <c r="AB473" s="112"/>
      <c r="AC473" s="112"/>
      <c r="AD473" s="112"/>
      <c r="AE473" s="112"/>
      <c r="AF473" s="112"/>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4"/>
      <c r="BR473" s="124"/>
      <c r="BS473" s="124"/>
      <c r="BT473" s="124"/>
      <c r="BU473" s="124"/>
      <c r="BV473" s="124"/>
      <c r="BW473" s="124"/>
      <c r="BX473" s="124"/>
      <c r="BY473" s="124"/>
      <c r="BZ473" s="124"/>
      <c r="CA473" s="124"/>
    </row>
    <row r="474">
      <c r="D474" s="143"/>
      <c r="E474" s="129"/>
      <c r="F474" s="112"/>
      <c r="G474" s="112"/>
      <c r="H474" s="112"/>
      <c r="I474" s="112"/>
      <c r="J474" s="112"/>
      <c r="K474" s="112"/>
      <c r="L474" s="112"/>
      <c r="M474" s="112"/>
      <c r="N474" s="112"/>
      <c r="O474" s="112"/>
      <c r="P474" s="112"/>
      <c r="Q474" s="112"/>
      <c r="R474" s="112"/>
      <c r="S474" s="112"/>
      <c r="T474" s="112"/>
      <c r="U474" s="124"/>
      <c r="V474" s="124"/>
      <c r="W474" s="124"/>
      <c r="X474" s="124"/>
      <c r="Y474" s="124"/>
      <c r="Z474" s="112"/>
      <c r="AA474" s="112"/>
      <c r="AB474" s="112"/>
      <c r="AC474" s="112"/>
      <c r="AD474" s="112"/>
      <c r="AE474" s="112"/>
      <c r="AF474" s="112"/>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c r="BK474" s="124"/>
      <c r="BL474" s="124"/>
      <c r="BM474" s="124"/>
      <c r="BN474" s="124"/>
      <c r="BO474" s="124"/>
      <c r="BP474" s="124"/>
      <c r="BQ474" s="124"/>
      <c r="BR474" s="124"/>
      <c r="BS474" s="124"/>
      <c r="BT474" s="124"/>
      <c r="BU474" s="124"/>
      <c r="BV474" s="124"/>
      <c r="BW474" s="124"/>
      <c r="BX474" s="124"/>
      <c r="BY474" s="124"/>
      <c r="BZ474" s="124"/>
      <c r="CA474" s="124"/>
    </row>
    <row r="475">
      <c r="D475" s="143"/>
      <c r="E475" s="129"/>
      <c r="F475" s="112"/>
      <c r="G475" s="112"/>
      <c r="H475" s="112"/>
      <c r="I475" s="112"/>
      <c r="J475" s="112"/>
      <c r="K475" s="112"/>
      <c r="L475" s="112"/>
      <c r="M475" s="112"/>
      <c r="N475" s="112"/>
      <c r="O475" s="112"/>
      <c r="P475" s="112"/>
      <c r="Q475" s="112"/>
      <c r="R475" s="112"/>
      <c r="S475" s="112"/>
      <c r="T475" s="112"/>
      <c r="U475" s="124"/>
      <c r="V475" s="124"/>
      <c r="W475" s="124"/>
      <c r="X475" s="124"/>
      <c r="Y475" s="124"/>
      <c r="Z475" s="112"/>
      <c r="AA475" s="112"/>
      <c r="AB475" s="112"/>
      <c r="AC475" s="112"/>
      <c r="AD475" s="112"/>
      <c r="AE475" s="112"/>
      <c r="AF475" s="112"/>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c r="BK475" s="124"/>
      <c r="BL475" s="124"/>
      <c r="BM475" s="124"/>
      <c r="BN475" s="124"/>
      <c r="BO475" s="124"/>
      <c r="BP475" s="124"/>
      <c r="BQ475" s="124"/>
      <c r="BR475" s="124"/>
      <c r="BS475" s="124"/>
      <c r="BT475" s="124"/>
      <c r="BU475" s="124"/>
      <c r="BV475" s="124"/>
      <c r="BW475" s="124"/>
      <c r="BX475" s="124"/>
      <c r="BY475" s="124"/>
      <c r="BZ475" s="124"/>
      <c r="CA475" s="124"/>
    </row>
    <row r="476">
      <c r="D476" s="143"/>
      <c r="E476" s="129"/>
      <c r="F476" s="112"/>
      <c r="G476" s="112"/>
      <c r="H476" s="112"/>
      <c r="I476" s="112"/>
      <c r="J476" s="112"/>
      <c r="K476" s="112"/>
      <c r="L476" s="112"/>
      <c r="M476" s="112"/>
      <c r="N476" s="112"/>
      <c r="O476" s="112"/>
      <c r="P476" s="112"/>
      <c r="Q476" s="112"/>
      <c r="R476" s="112"/>
      <c r="S476" s="112"/>
      <c r="T476" s="112"/>
      <c r="U476" s="124"/>
      <c r="V476" s="124"/>
      <c r="W476" s="124"/>
      <c r="X476" s="124"/>
      <c r="Y476" s="124"/>
      <c r="Z476" s="112"/>
      <c r="AA476" s="112"/>
      <c r="AB476" s="112"/>
      <c r="AC476" s="112"/>
      <c r="AD476" s="112"/>
      <c r="AE476" s="112"/>
      <c r="AF476" s="112"/>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c r="BK476" s="124"/>
      <c r="BL476" s="124"/>
      <c r="BM476" s="124"/>
      <c r="BN476" s="124"/>
      <c r="BO476" s="124"/>
      <c r="BP476" s="124"/>
      <c r="BQ476" s="124"/>
      <c r="BR476" s="124"/>
      <c r="BS476" s="124"/>
      <c r="BT476" s="124"/>
      <c r="BU476" s="124"/>
      <c r="BV476" s="124"/>
      <c r="BW476" s="124"/>
      <c r="BX476" s="124"/>
      <c r="BY476" s="124"/>
      <c r="BZ476" s="124"/>
      <c r="CA476" s="124"/>
    </row>
    <row r="477">
      <c r="D477" s="143"/>
      <c r="E477" s="129"/>
      <c r="F477" s="112"/>
      <c r="G477" s="112"/>
      <c r="H477" s="112"/>
      <c r="I477" s="112"/>
      <c r="J477" s="112"/>
      <c r="K477" s="112"/>
      <c r="L477" s="112"/>
      <c r="M477" s="112"/>
      <c r="N477" s="112"/>
      <c r="O477" s="112"/>
      <c r="P477" s="112"/>
      <c r="Q477" s="112"/>
      <c r="R477" s="112"/>
      <c r="S477" s="112"/>
      <c r="T477" s="112"/>
      <c r="U477" s="124"/>
      <c r="V477" s="124"/>
      <c r="W477" s="124"/>
      <c r="X477" s="124"/>
      <c r="Y477" s="124"/>
      <c r="Z477" s="112"/>
      <c r="AA477" s="112"/>
      <c r="AB477" s="112"/>
      <c r="AC477" s="112"/>
      <c r="AD477" s="112"/>
      <c r="AE477" s="112"/>
      <c r="AF477" s="112"/>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row>
    <row r="478">
      <c r="D478" s="143"/>
      <c r="E478" s="129"/>
      <c r="F478" s="112"/>
      <c r="G478" s="112"/>
      <c r="H478" s="112"/>
      <c r="I478" s="112"/>
      <c r="J478" s="112"/>
      <c r="K478" s="112"/>
      <c r="L478" s="112"/>
      <c r="M478" s="112"/>
      <c r="N478" s="112"/>
      <c r="O478" s="112"/>
      <c r="P478" s="112"/>
      <c r="Q478" s="112"/>
      <c r="R478" s="112"/>
      <c r="S478" s="112"/>
      <c r="T478" s="112"/>
      <c r="U478" s="124"/>
      <c r="V478" s="124"/>
      <c r="W478" s="124"/>
      <c r="X478" s="124"/>
      <c r="Y478" s="124"/>
      <c r="Z478" s="112"/>
      <c r="AA478" s="112"/>
      <c r="AB478" s="112"/>
      <c r="AC478" s="112"/>
      <c r="AD478" s="112"/>
      <c r="AE478" s="112"/>
      <c r="AF478" s="112"/>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c r="BK478" s="124"/>
      <c r="BL478" s="124"/>
      <c r="BM478" s="124"/>
      <c r="BN478" s="124"/>
      <c r="BO478" s="124"/>
      <c r="BP478" s="124"/>
      <c r="BQ478" s="124"/>
      <c r="BR478" s="124"/>
      <c r="BS478" s="124"/>
      <c r="BT478" s="124"/>
      <c r="BU478" s="124"/>
      <c r="BV478" s="124"/>
      <c r="BW478" s="124"/>
      <c r="BX478" s="124"/>
      <c r="BY478" s="124"/>
      <c r="BZ478" s="124"/>
      <c r="CA478" s="124"/>
    </row>
    <row r="479">
      <c r="D479" s="143"/>
      <c r="E479" s="129"/>
      <c r="F479" s="112"/>
      <c r="G479" s="112"/>
      <c r="H479" s="112"/>
      <c r="I479" s="112"/>
      <c r="J479" s="112"/>
      <c r="K479" s="112"/>
      <c r="L479" s="112"/>
      <c r="M479" s="112"/>
      <c r="N479" s="112"/>
      <c r="O479" s="112"/>
      <c r="P479" s="112"/>
      <c r="Q479" s="112"/>
      <c r="R479" s="112"/>
      <c r="S479" s="112"/>
      <c r="T479" s="112"/>
      <c r="U479" s="124"/>
      <c r="V479" s="124"/>
      <c r="W479" s="124"/>
      <c r="X479" s="124"/>
      <c r="Y479" s="124"/>
      <c r="Z479" s="112"/>
      <c r="AA479" s="112"/>
      <c r="AB479" s="112"/>
      <c r="AC479" s="112"/>
      <c r="AD479" s="112"/>
      <c r="AE479" s="112"/>
      <c r="AF479" s="112"/>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c r="BK479" s="124"/>
      <c r="BL479" s="124"/>
      <c r="BM479" s="124"/>
      <c r="BN479" s="124"/>
      <c r="BO479" s="124"/>
      <c r="BP479" s="124"/>
      <c r="BQ479" s="124"/>
      <c r="BR479" s="124"/>
      <c r="BS479" s="124"/>
      <c r="BT479" s="124"/>
      <c r="BU479" s="124"/>
      <c r="BV479" s="124"/>
      <c r="BW479" s="124"/>
      <c r="BX479" s="124"/>
      <c r="BY479" s="124"/>
      <c r="BZ479" s="124"/>
      <c r="CA479" s="124"/>
    </row>
    <row r="480">
      <c r="D480" s="143"/>
      <c r="E480" s="129"/>
      <c r="F480" s="112"/>
      <c r="G480" s="112"/>
      <c r="H480" s="112"/>
      <c r="I480" s="112"/>
      <c r="J480" s="112"/>
      <c r="K480" s="112"/>
      <c r="L480" s="112"/>
      <c r="M480" s="112"/>
      <c r="N480" s="112"/>
      <c r="O480" s="112"/>
      <c r="P480" s="112"/>
      <c r="Q480" s="112"/>
      <c r="R480" s="112"/>
      <c r="S480" s="112"/>
      <c r="T480" s="112"/>
      <c r="U480" s="124"/>
      <c r="V480" s="124"/>
      <c r="W480" s="124"/>
      <c r="X480" s="124"/>
      <c r="Y480" s="124"/>
      <c r="Z480" s="112"/>
      <c r="AA480" s="112"/>
      <c r="AB480" s="112"/>
      <c r="AC480" s="112"/>
      <c r="AD480" s="112"/>
      <c r="AE480" s="112"/>
      <c r="AF480" s="112"/>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c r="BK480" s="124"/>
      <c r="BL480" s="124"/>
      <c r="BM480" s="124"/>
      <c r="BN480" s="124"/>
      <c r="BO480" s="124"/>
      <c r="BP480" s="124"/>
      <c r="BQ480" s="124"/>
      <c r="BR480" s="124"/>
      <c r="BS480" s="124"/>
      <c r="BT480" s="124"/>
      <c r="BU480" s="124"/>
      <c r="BV480" s="124"/>
      <c r="BW480" s="124"/>
      <c r="BX480" s="124"/>
      <c r="BY480" s="124"/>
      <c r="BZ480" s="124"/>
      <c r="CA480" s="124"/>
    </row>
    <row r="481">
      <c r="D481" s="143"/>
      <c r="E481" s="129"/>
      <c r="F481" s="112"/>
      <c r="G481" s="112"/>
      <c r="H481" s="112"/>
      <c r="I481" s="112"/>
      <c r="J481" s="112"/>
      <c r="K481" s="112"/>
      <c r="L481" s="112"/>
      <c r="M481" s="112"/>
      <c r="N481" s="112"/>
      <c r="O481" s="112"/>
      <c r="P481" s="112"/>
      <c r="Q481" s="112"/>
      <c r="R481" s="112"/>
      <c r="S481" s="112"/>
      <c r="T481" s="112"/>
      <c r="U481" s="124"/>
      <c r="V481" s="124"/>
      <c r="W481" s="124"/>
      <c r="X481" s="124"/>
      <c r="Y481" s="124"/>
      <c r="Z481" s="112"/>
      <c r="AA481" s="112"/>
      <c r="AB481" s="112"/>
      <c r="AC481" s="112"/>
      <c r="AD481" s="112"/>
      <c r="AE481" s="112"/>
      <c r="AF481" s="112"/>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c r="BK481" s="124"/>
      <c r="BL481" s="124"/>
      <c r="BM481" s="124"/>
      <c r="BN481" s="124"/>
      <c r="BO481" s="124"/>
      <c r="BP481" s="124"/>
      <c r="BQ481" s="124"/>
      <c r="BR481" s="124"/>
      <c r="BS481" s="124"/>
      <c r="BT481" s="124"/>
      <c r="BU481" s="124"/>
      <c r="BV481" s="124"/>
      <c r="BW481" s="124"/>
      <c r="BX481" s="124"/>
      <c r="BY481" s="124"/>
      <c r="BZ481" s="124"/>
      <c r="CA481" s="124"/>
    </row>
    <row r="482">
      <c r="D482" s="143"/>
      <c r="E482" s="129"/>
      <c r="F482" s="112"/>
      <c r="G482" s="112"/>
      <c r="H482" s="112"/>
      <c r="I482" s="112"/>
      <c r="J482" s="112"/>
      <c r="K482" s="112"/>
      <c r="L482" s="112"/>
      <c r="M482" s="112"/>
      <c r="N482" s="112"/>
      <c r="O482" s="112"/>
      <c r="P482" s="112"/>
      <c r="Q482" s="112"/>
      <c r="R482" s="112"/>
      <c r="S482" s="112"/>
      <c r="T482" s="112"/>
      <c r="U482" s="124"/>
      <c r="V482" s="124"/>
      <c r="W482" s="124"/>
      <c r="X482" s="124"/>
      <c r="Y482" s="124"/>
      <c r="Z482" s="112"/>
      <c r="AA482" s="112"/>
      <c r="AB482" s="112"/>
      <c r="AC482" s="112"/>
      <c r="AD482" s="112"/>
      <c r="AE482" s="112"/>
      <c r="AF482" s="112"/>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c r="BK482" s="124"/>
      <c r="BL482" s="124"/>
      <c r="BM482" s="124"/>
      <c r="BN482" s="124"/>
      <c r="BO482" s="124"/>
      <c r="BP482" s="124"/>
      <c r="BQ482" s="124"/>
      <c r="BR482" s="124"/>
      <c r="BS482" s="124"/>
      <c r="BT482" s="124"/>
      <c r="BU482" s="124"/>
      <c r="BV482" s="124"/>
      <c r="BW482" s="124"/>
      <c r="BX482" s="124"/>
      <c r="BY482" s="124"/>
      <c r="BZ482" s="124"/>
      <c r="CA482" s="124"/>
    </row>
    <row r="483">
      <c r="D483" s="143"/>
      <c r="E483" s="129"/>
      <c r="F483" s="112"/>
      <c r="G483" s="112"/>
      <c r="H483" s="112"/>
      <c r="I483" s="112"/>
      <c r="J483" s="112"/>
      <c r="K483" s="112"/>
      <c r="L483" s="112"/>
      <c r="M483" s="112"/>
      <c r="N483" s="112"/>
      <c r="O483" s="112"/>
      <c r="P483" s="112"/>
      <c r="Q483" s="112"/>
      <c r="R483" s="112"/>
      <c r="S483" s="112"/>
      <c r="T483" s="112"/>
      <c r="U483" s="124"/>
      <c r="V483" s="124"/>
      <c r="W483" s="124"/>
      <c r="X483" s="124"/>
      <c r="Y483" s="124"/>
      <c r="Z483" s="112"/>
      <c r="AA483" s="112"/>
      <c r="AB483" s="112"/>
      <c r="AC483" s="112"/>
      <c r="AD483" s="112"/>
      <c r="AE483" s="112"/>
      <c r="AF483" s="112"/>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row>
    <row r="484">
      <c r="D484" s="143"/>
      <c r="E484" s="129"/>
      <c r="F484" s="112"/>
      <c r="G484" s="112"/>
      <c r="H484" s="112"/>
      <c r="I484" s="112"/>
      <c r="J484" s="112"/>
      <c r="K484" s="112"/>
      <c r="L484" s="112"/>
      <c r="M484" s="112"/>
      <c r="N484" s="112"/>
      <c r="O484" s="112"/>
      <c r="P484" s="112"/>
      <c r="Q484" s="112"/>
      <c r="R484" s="112"/>
      <c r="S484" s="112"/>
      <c r="T484" s="112"/>
      <c r="U484" s="124"/>
      <c r="V484" s="124"/>
      <c r="W484" s="124"/>
      <c r="X484" s="124"/>
      <c r="Y484" s="124"/>
      <c r="Z484" s="112"/>
      <c r="AA484" s="112"/>
      <c r="AB484" s="112"/>
      <c r="AC484" s="112"/>
      <c r="AD484" s="112"/>
      <c r="AE484" s="112"/>
      <c r="AF484" s="112"/>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c r="BK484" s="124"/>
      <c r="BL484" s="124"/>
      <c r="BM484" s="124"/>
      <c r="BN484" s="124"/>
      <c r="BO484" s="124"/>
      <c r="BP484" s="124"/>
      <c r="BQ484" s="124"/>
      <c r="BR484" s="124"/>
      <c r="BS484" s="124"/>
      <c r="BT484" s="124"/>
      <c r="BU484" s="124"/>
      <c r="BV484" s="124"/>
      <c r="BW484" s="124"/>
      <c r="BX484" s="124"/>
      <c r="BY484" s="124"/>
      <c r="BZ484" s="124"/>
      <c r="CA484" s="124"/>
    </row>
    <row r="485">
      <c r="D485" s="143"/>
      <c r="E485" s="129"/>
      <c r="F485" s="112"/>
      <c r="G485" s="112"/>
      <c r="H485" s="112"/>
      <c r="I485" s="112"/>
      <c r="J485" s="112"/>
      <c r="K485" s="112"/>
      <c r="L485" s="112"/>
      <c r="M485" s="112"/>
      <c r="N485" s="112"/>
      <c r="O485" s="112"/>
      <c r="P485" s="112"/>
      <c r="Q485" s="112"/>
      <c r="R485" s="112"/>
      <c r="S485" s="112"/>
      <c r="T485" s="112"/>
      <c r="U485" s="124"/>
      <c r="V485" s="124"/>
      <c r="W485" s="124"/>
      <c r="X485" s="124"/>
      <c r="Y485" s="124"/>
      <c r="Z485" s="112"/>
      <c r="AA485" s="112"/>
      <c r="AB485" s="112"/>
      <c r="AC485" s="112"/>
      <c r="AD485" s="112"/>
      <c r="AE485" s="112"/>
      <c r="AF485" s="112"/>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c r="BK485" s="124"/>
      <c r="BL485" s="124"/>
      <c r="BM485" s="124"/>
      <c r="BN485" s="124"/>
      <c r="BO485" s="124"/>
      <c r="BP485" s="124"/>
      <c r="BQ485" s="124"/>
      <c r="BR485" s="124"/>
      <c r="BS485" s="124"/>
      <c r="BT485" s="124"/>
      <c r="BU485" s="124"/>
      <c r="BV485" s="124"/>
      <c r="BW485" s="124"/>
      <c r="BX485" s="124"/>
      <c r="BY485" s="124"/>
      <c r="BZ485" s="124"/>
      <c r="CA485" s="124"/>
    </row>
    <row r="486">
      <c r="D486" s="143"/>
      <c r="E486" s="129"/>
      <c r="F486" s="112"/>
      <c r="G486" s="112"/>
      <c r="H486" s="112"/>
      <c r="I486" s="112"/>
      <c r="J486" s="112"/>
      <c r="K486" s="112"/>
      <c r="L486" s="112"/>
      <c r="M486" s="112"/>
      <c r="N486" s="112"/>
      <c r="O486" s="112"/>
      <c r="P486" s="112"/>
      <c r="Q486" s="112"/>
      <c r="R486" s="112"/>
      <c r="S486" s="112"/>
      <c r="T486" s="112"/>
      <c r="U486" s="124"/>
      <c r="V486" s="124"/>
      <c r="W486" s="124"/>
      <c r="X486" s="124"/>
      <c r="Y486" s="124"/>
      <c r="Z486" s="112"/>
      <c r="AA486" s="112"/>
      <c r="AB486" s="112"/>
      <c r="AC486" s="112"/>
      <c r="AD486" s="112"/>
      <c r="AE486" s="112"/>
      <c r="AF486" s="112"/>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c r="BK486" s="124"/>
      <c r="BL486" s="124"/>
      <c r="BM486" s="124"/>
      <c r="BN486" s="124"/>
      <c r="BO486" s="124"/>
      <c r="BP486" s="124"/>
      <c r="BQ486" s="124"/>
      <c r="BR486" s="124"/>
      <c r="BS486" s="124"/>
      <c r="BT486" s="124"/>
      <c r="BU486" s="124"/>
      <c r="BV486" s="124"/>
      <c r="BW486" s="124"/>
      <c r="BX486" s="124"/>
      <c r="BY486" s="124"/>
      <c r="BZ486" s="124"/>
      <c r="CA486" s="124"/>
    </row>
    <row r="487">
      <c r="D487" s="143"/>
      <c r="E487" s="129"/>
      <c r="F487" s="112"/>
      <c r="G487" s="112"/>
      <c r="H487" s="112"/>
      <c r="I487" s="112"/>
      <c r="J487" s="112"/>
      <c r="K487" s="112"/>
      <c r="L487" s="112"/>
      <c r="M487" s="112"/>
      <c r="N487" s="112"/>
      <c r="O487" s="112"/>
      <c r="P487" s="112"/>
      <c r="Q487" s="112"/>
      <c r="R487" s="112"/>
      <c r="S487" s="112"/>
      <c r="T487" s="112"/>
      <c r="U487" s="124"/>
      <c r="V487" s="124"/>
      <c r="W487" s="124"/>
      <c r="X487" s="124"/>
      <c r="Y487" s="124"/>
      <c r="Z487" s="112"/>
      <c r="AA487" s="112"/>
      <c r="AB487" s="112"/>
      <c r="AC487" s="112"/>
      <c r="AD487" s="112"/>
      <c r="AE487" s="112"/>
      <c r="AF487" s="112"/>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c r="BK487" s="124"/>
      <c r="BL487" s="124"/>
      <c r="BM487" s="124"/>
      <c r="BN487" s="124"/>
      <c r="BO487" s="124"/>
      <c r="BP487" s="124"/>
      <c r="BQ487" s="124"/>
      <c r="BR487" s="124"/>
      <c r="BS487" s="124"/>
      <c r="BT487" s="124"/>
      <c r="BU487" s="124"/>
      <c r="BV487" s="124"/>
      <c r="BW487" s="124"/>
      <c r="BX487" s="124"/>
      <c r="BY487" s="124"/>
      <c r="BZ487" s="124"/>
      <c r="CA487" s="124"/>
    </row>
    <row r="488">
      <c r="D488" s="143"/>
      <c r="E488" s="129"/>
      <c r="F488" s="112"/>
      <c r="G488" s="112"/>
      <c r="H488" s="112"/>
      <c r="I488" s="112"/>
      <c r="J488" s="112"/>
      <c r="K488" s="112"/>
      <c r="L488" s="112"/>
      <c r="M488" s="112"/>
      <c r="N488" s="112"/>
      <c r="O488" s="112"/>
      <c r="P488" s="112"/>
      <c r="Q488" s="112"/>
      <c r="R488" s="112"/>
      <c r="S488" s="112"/>
      <c r="T488" s="112"/>
      <c r="U488" s="124"/>
      <c r="V488" s="124"/>
      <c r="W488" s="124"/>
      <c r="X488" s="124"/>
      <c r="Y488" s="124"/>
      <c r="Z488" s="112"/>
      <c r="AA488" s="112"/>
      <c r="AB488" s="112"/>
      <c r="AC488" s="112"/>
      <c r="AD488" s="112"/>
      <c r="AE488" s="112"/>
      <c r="AF488" s="112"/>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c r="BK488" s="124"/>
      <c r="BL488" s="124"/>
      <c r="BM488" s="124"/>
      <c r="BN488" s="124"/>
      <c r="BO488" s="124"/>
      <c r="BP488" s="124"/>
      <c r="BQ488" s="124"/>
      <c r="BR488" s="124"/>
      <c r="BS488" s="124"/>
      <c r="BT488" s="124"/>
      <c r="BU488" s="124"/>
      <c r="BV488" s="124"/>
      <c r="BW488" s="124"/>
      <c r="BX488" s="124"/>
      <c r="BY488" s="124"/>
      <c r="BZ488" s="124"/>
      <c r="CA488" s="124"/>
    </row>
    <row r="489">
      <c r="D489" s="143"/>
      <c r="E489" s="129"/>
      <c r="F489" s="112"/>
      <c r="G489" s="112"/>
      <c r="H489" s="112"/>
      <c r="I489" s="112"/>
      <c r="J489" s="112"/>
      <c r="K489" s="112"/>
      <c r="L489" s="112"/>
      <c r="M489" s="112"/>
      <c r="N489" s="112"/>
      <c r="O489" s="112"/>
      <c r="P489" s="112"/>
      <c r="Q489" s="112"/>
      <c r="R489" s="112"/>
      <c r="S489" s="112"/>
      <c r="T489" s="112"/>
      <c r="U489" s="124"/>
      <c r="V489" s="124"/>
      <c r="W489" s="124"/>
      <c r="X489" s="124"/>
      <c r="Y489" s="124"/>
      <c r="Z489" s="112"/>
      <c r="AA489" s="112"/>
      <c r="AB489" s="112"/>
      <c r="AC489" s="112"/>
      <c r="AD489" s="112"/>
      <c r="AE489" s="112"/>
      <c r="AF489" s="112"/>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row>
    <row r="490">
      <c r="D490" s="143"/>
      <c r="E490" s="129"/>
      <c r="F490" s="112"/>
      <c r="G490" s="112"/>
      <c r="H490" s="112"/>
      <c r="I490" s="112"/>
      <c r="J490" s="112"/>
      <c r="K490" s="112"/>
      <c r="L490" s="112"/>
      <c r="M490" s="112"/>
      <c r="N490" s="112"/>
      <c r="O490" s="112"/>
      <c r="P490" s="112"/>
      <c r="Q490" s="112"/>
      <c r="R490" s="112"/>
      <c r="S490" s="112"/>
      <c r="T490" s="112"/>
      <c r="U490" s="124"/>
      <c r="V490" s="124"/>
      <c r="W490" s="124"/>
      <c r="X490" s="124"/>
      <c r="Y490" s="124"/>
      <c r="Z490" s="112"/>
      <c r="AA490" s="112"/>
      <c r="AB490" s="112"/>
      <c r="AC490" s="112"/>
      <c r="AD490" s="112"/>
      <c r="AE490" s="112"/>
      <c r="AF490" s="112"/>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c r="BK490" s="124"/>
      <c r="BL490" s="124"/>
      <c r="BM490" s="124"/>
      <c r="BN490" s="124"/>
      <c r="BO490" s="124"/>
      <c r="BP490" s="124"/>
      <c r="BQ490" s="124"/>
      <c r="BR490" s="124"/>
      <c r="BS490" s="124"/>
      <c r="BT490" s="124"/>
      <c r="BU490" s="124"/>
      <c r="BV490" s="124"/>
      <c r="BW490" s="124"/>
      <c r="BX490" s="124"/>
      <c r="BY490" s="124"/>
      <c r="BZ490" s="124"/>
      <c r="CA490" s="124"/>
    </row>
    <row r="491">
      <c r="D491" s="143"/>
      <c r="E491" s="129"/>
      <c r="F491" s="112"/>
      <c r="G491" s="112"/>
      <c r="H491" s="112"/>
      <c r="I491" s="112"/>
      <c r="J491" s="112"/>
      <c r="K491" s="112"/>
      <c r="L491" s="112"/>
      <c r="M491" s="112"/>
      <c r="N491" s="112"/>
      <c r="O491" s="112"/>
      <c r="P491" s="112"/>
      <c r="Q491" s="112"/>
      <c r="R491" s="112"/>
      <c r="S491" s="112"/>
      <c r="T491" s="112"/>
      <c r="U491" s="124"/>
      <c r="V491" s="124"/>
      <c r="W491" s="124"/>
      <c r="X491" s="124"/>
      <c r="Y491" s="124"/>
      <c r="Z491" s="112"/>
      <c r="AA491" s="112"/>
      <c r="AB491" s="112"/>
      <c r="AC491" s="112"/>
      <c r="AD491" s="112"/>
      <c r="AE491" s="112"/>
      <c r="AF491" s="112"/>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c r="BK491" s="124"/>
      <c r="BL491" s="124"/>
      <c r="BM491" s="124"/>
      <c r="BN491" s="124"/>
      <c r="BO491" s="124"/>
      <c r="BP491" s="124"/>
      <c r="BQ491" s="124"/>
      <c r="BR491" s="124"/>
      <c r="BS491" s="124"/>
      <c r="BT491" s="124"/>
      <c r="BU491" s="124"/>
      <c r="BV491" s="124"/>
      <c r="BW491" s="124"/>
      <c r="BX491" s="124"/>
      <c r="BY491" s="124"/>
      <c r="BZ491" s="124"/>
      <c r="CA491" s="124"/>
    </row>
    <row r="492">
      <c r="D492" s="143"/>
      <c r="E492" s="129"/>
      <c r="F492" s="112"/>
      <c r="G492" s="112"/>
      <c r="H492" s="112"/>
      <c r="I492" s="112"/>
      <c r="J492" s="112"/>
      <c r="K492" s="112"/>
      <c r="L492" s="112"/>
      <c r="M492" s="112"/>
      <c r="N492" s="112"/>
      <c r="O492" s="112"/>
      <c r="P492" s="112"/>
      <c r="Q492" s="112"/>
      <c r="R492" s="112"/>
      <c r="S492" s="112"/>
      <c r="T492" s="112"/>
      <c r="U492" s="124"/>
      <c r="V492" s="124"/>
      <c r="W492" s="124"/>
      <c r="X492" s="124"/>
      <c r="Y492" s="124"/>
      <c r="Z492" s="112"/>
      <c r="AA492" s="112"/>
      <c r="AB492" s="112"/>
      <c r="AC492" s="112"/>
      <c r="AD492" s="112"/>
      <c r="AE492" s="112"/>
      <c r="AF492" s="112"/>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c r="BK492" s="124"/>
      <c r="BL492" s="124"/>
      <c r="BM492" s="124"/>
      <c r="BN492" s="124"/>
      <c r="BO492" s="124"/>
      <c r="BP492" s="124"/>
      <c r="BQ492" s="124"/>
      <c r="BR492" s="124"/>
      <c r="BS492" s="124"/>
      <c r="BT492" s="124"/>
      <c r="BU492" s="124"/>
      <c r="BV492" s="124"/>
      <c r="BW492" s="124"/>
      <c r="BX492" s="124"/>
      <c r="BY492" s="124"/>
      <c r="BZ492" s="124"/>
      <c r="CA492" s="124"/>
    </row>
    <row r="493">
      <c r="D493" s="143"/>
      <c r="E493" s="129"/>
      <c r="F493" s="112"/>
      <c r="G493" s="112"/>
      <c r="H493" s="112"/>
      <c r="I493" s="112"/>
      <c r="J493" s="112"/>
      <c r="K493" s="112"/>
      <c r="L493" s="112"/>
      <c r="M493" s="112"/>
      <c r="N493" s="112"/>
      <c r="O493" s="112"/>
      <c r="P493" s="112"/>
      <c r="Q493" s="112"/>
      <c r="R493" s="112"/>
      <c r="S493" s="112"/>
      <c r="T493" s="112"/>
      <c r="U493" s="124"/>
      <c r="V493" s="124"/>
      <c r="W493" s="124"/>
      <c r="X493" s="124"/>
      <c r="Y493" s="124"/>
      <c r="Z493" s="112"/>
      <c r="AA493" s="112"/>
      <c r="AB493" s="112"/>
      <c r="AC493" s="112"/>
      <c r="AD493" s="112"/>
      <c r="AE493" s="112"/>
      <c r="AF493" s="112"/>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c r="BK493" s="124"/>
      <c r="BL493" s="124"/>
      <c r="BM493" s="124"/>
      <c r="BN493" s="124"/>
      <c r="BO493" s="124"/>
      <c r="BP493" s="124"/>
      <c r="BQ493" s="124"/>
      <c r="BR493" s="124"/>
      <c r="BS493" s="124"/>
      <c r="BT493" s="124"/>
      <c r="BU493" s="124"/>
      <c r="BV493" s="124"/>
      <c r="BW493" s="124"/>
      <c r="BX493" s="124"/>
      <c r="BY493" s="124"/>
      <c r="BZ493" s="124"/>
      <c r="CA493" s="124"/>
    </row>
    <row r="494">
      <c r="D494" s="143"/>
      <c r="E494" s="129"/>
      <c r="F494" s="112"/>
      <c r="G494" s="112"/>
      <c r="H494" s="112"/>
      <c r="I494" s="112"/>
      <c r="J494" s="112"/>
      <c r="K494" s="112"/>
      <c r="L494" s="112"/>
      <c r="M494" s="112"/>
      <c r="N494" s="112"/>
      <c r="O494" s="112"/>
      <c r="P494" s="112"/>
      <c r="Q494" s="112"/>
      <c r="R494" s="112"/>
      <c r="S494" s="112"/>
      <c r="T494" s="112"/>
      <c r="U494" s="124"/>
      <c r="V494" s="124"/>
      <c r="W494" s="124"/>
      <c r="X494" s="124"/>
      <c r="Y494" s="124"/>
      <c r="Z494" s="112"/>
      <c r="AA494" s="112"/>
      <c r="AB494" s="112"/>
      <c r="AC494" s="112"/>
      <c r="AD494" s="112"/>
      <c r="AE494" s="112"/>
      <c r="AF494" s="112"/>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c r="BK494" s="124"/>
      <c r="BL494" s="124"/>
      <c r="BM494" s="124"/>
      <c r="BN494" s="124"/>
      <c r="BO494" s="124"/>
      <c r="BP494" s="124"/>
      <c r="BQ494" s="124"/>
      <c r="BR494" s="124"/>
      <c r="BS494" s="124"/>
      <c r="BT494" s="124"/>
      <c r="BU494" s="124"/>
      <c r="BV494" s="124"/>
      <c r="BW494" s="124"/>
      <c r="BX494" s="124"/>
      <c r="BY494" s="124"/>
      <c r="BZ494" s="124"/>
      <c r="CA494" s="124"/>
    </row>
    <row r="495">
      <c r="D495" s="143"/>
      <c r="E495" s="129"/>
      <c r="F495" s="112"/>
      <c r="G495" s="112"/>
      <c r="H495" s="112"/>
      <c r="I495" s="112"/>
      <c r="J495" s="112"/>
      <c r="K495" s="112"/>
      <c r="L495" s="112"/>
      <c r="M495" s="112"/>
      <c r="N495" s="112"/>
      <c r="O495" s="112"/>
      <c r="P495" s="112"/>
      <c r="Q495" s="112"/>
      <c r="R495" s="112"/>
      <c r="S495" s="112"/>
      <c r="T495" s="112"/>
      <c r="U495" s="124"/>
      <c r="V495" s="124"/>
      <c r="W495" s="124"/>
      <c r="X495" s="124"/>
      <c r="Y495" s="124"/>
      <c r="Z495" s="112"/>
      <c r="AA495" s="112"/>
      <c r="AB495" s="112"/>
      <c r="AC495" s="112"/>
      <c r="AD495" s="112"/>
      <c r="AE495" s="112"/>
      <c r="AF495" s="112"/>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row>
    <row r="496">
      <c r="D496" s="143"/>
      <c r="E496" s="129"/>
      <c r="F496" s="112"/>
      <c r="G496" s="112"/>
      <c r="H496" s="112"/>
      <c r="I496" s="112"/>
      <c r="J496" s="112"/>
      <c r="K496" s="112"/>
      <c r="L496" s="112"/>
      <c r="M496" s="112"/>
      <c r="N496" s="112"/>
      <c r="O496" s="112"/>
      <c r="P496" s="112"/>
      <c r="Q496" s="112"/>
      <c r="R496" s="112"/>
      <c r="S496" s="112"/>
      <c r="T496" s="112"/>
      <c r="U496" s="124"/>
      <c r="V496" s="124"/>
      <c r="W496" s="124"/>
      <c r="X496" s="124"/>
      <c r="Y496" s="124"/>
      <c r="Z496" s="112"/>
      <c r="AA496" s="112"/>
      <c r="AB496" s="112"/>
      <c r="AC496" s="112"/>
      <c r="AD496" s="112"/>
      <c r="AE496" s="112"/>
      <c r="AF496" s="112"/>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c r="BK496" s="124"/>
      <c r="BL496" s="124"/>
      <c r="BM496" s="124"/>
      <c r="BN496" s="124"/>
      <c r="BO496" s="124"/>
      <c r="BP496" s="124"/>
      <c r="BQ496" s="124"/>
      <c r="BR496" s="124"/>
      <c r="BS496" s="124"/>
      <c r="BT496" s="124"/>
      <c r="BU496" s="124"/>
      <c r="BV496" s="124"/>
      <c r="BW496" s="124"/>
      <c r="BX496" s="124"/>
      <c r="BY496" s="124"/>
      <c r="BZ496" s="124"/>
      <c r="CA496" s="124"/>
    </row>
    <row r="497">
      <c r="D497" s="143"/>
      <c r="E497" s="129"/>
      <c r="F497" s="112"/>
      <c r="G497" s="112"/>
      <c r="H497" s="112"/>
      <c r="I497" s="112"/>
      <c r="J497" s="112"/>
      <c r="K497" s="112"/>
      <c r="L497" s="112"/>
      <c r="M497" s="112"/>
      <c r="N497" s="112"/>
      <c r="O497" s="112"/>
      <c r="P497" s="112"/>
      <c r="Q497" s="112"/>
      <c r="R497" s="112"/>
      <c r="S497" s="112"/>
      <c r="T497" s="112"/>
      <c r="U497" s="124"/>
      <c r="V497" s="124"/>
      <c r="W497" s="124"/>
      <c r="X497" s="124"/>
      <c r="Y497" s="124"/>
      <c r="Z497" s="112"/>
      <c r="AA497" s="112"/>
      <c r="AB497" s="112"/>
      <c r="AC497" s="112"/>
      <c r="AD497" s="112"/>
      <c r="AE497" s="112"/>
      <c r="AF497" s="112"/>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c r="BK497" s="124"/>
      <c r="BL497" s="124"/>
      <c r="BM497" s="124"/>
      <c r="BN497" s="124"/>
      <c r="BO497" s="124"/>
      <c r="BP497" s="124"/>
      <c r="BQ497" s="124"/>
      <c r="BR497" s="124"/>
      <c r="BS497" s="124"/>
      <c r="BT497" s="124"/>
      <c r="BU497" s="124"/>
      <c r="BV497" s="124"/>
      <c r="BW497" s="124"/>
      <c r="BX497" s="124"/>
      <c r="BY497" s="124"/>
      <c r="BZ497" s="124"/>
      <c r="CA497" s="124"/>
    </row>
    <row r="498">
      <c r="D498" s="143"/>
      <c r="E498" s="129"/>
      <c r="F498" s="112"/>
      <c r="G498" s="112"/>
      <c r="H498" s="112"/>
      <c r="I498" s="112"/>
      <c r="J498" s="112"/>
      <c r="K498" s="112"/>
      <c r="L498" s="112"/>
      <c r="M498" s="112"/>
      <c r="N498" s="112"/>
      <c r="O498" s="112"/>
      <c r="P498" s="112"/>
      <c r="Q498" s="112"/>
      <c r="R498" s="112"/>
      <c r="S498" s="112"/>
      <c r="T498" s="112"/>
      <c r="U498" s="124"/>
      <c r="V498" s="124"/>
      <c r="W498" s="124"/>
      <c r="X498" s="124"/>
      <c r="Y498" s="124"/>
      <c r="Z498" s="112"/>
      <c r="AA498" s="112"/>
      <c r="AB498" s="112"/>
      <c r="AC498" s="112"/>
      <c r="AD498" s="112"/>
      <c r="AE498" s="112"/>
      <c r="AF498" s="112"/>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c r="BK498" s="124"/>
      <c r="BL498" s="124"/>
      <c r="BM498" s="124"/>
      <c r="BN498" s="124"/>
      <c r="BO498" s="124"/>
      <c r="BP498" s="124"/>
      <c r="BQ498" s="124"/>
      <c r="BR498" s="124"/>
      <c r="BS498" s="124"/>
      <c r="BT498" s="124"/>
      <c r="BU498" s="124"/>
      <c r="BV498" s="124"/>
      <c r="BW498" s="124"/>
      <c r="BX498" s="124"/>
      <c r="BY498" s="124"/>
      <c r="BZ498" s="124"/>
      <c r="CA498" s="124"/>
    </row>
    <row r="499">
      <c r="D499" s="143"/>
      <c r="E499" s="129"/>
      <c r="F499" s="112"/>
      <c r="G499" s="112"/>
      <c r="H499" s="112"/>
      <c r="I499" s="112"/>
      <c r="J499" s="112"/>
      <c r="K499" s="112"/>
      <c r="L499" s="112"/>
      <c r="M499" s="112"/>
      <c r="N499" s="112"/>
      <c r="O499" s="112"/>
      <c r="P499" s="112"/>
      <c r="Q499" s="112"/>
      <c r="R499" s="112"/>
      <c r="S499" s="112"/>
      <c r="T499" s="112"/>
      <c r="U499" s="124"/>
      <c r="V499" s="124"/>
      <c r="W499" s="124"/>
      <c r="X499" s="124"/>
      <c r="Y499" s="124"/>
      <c r="Z499" s="112"/>
      <c r="AA499" s="112"/>
      <c r="AB499" s="112"/>
      <c r="AC499" s="112"/>
      <c r="AD499" s="112"/>
      <c r="AE499" s="112"/>
      <c r="AF499" s="112"/>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c r="BK499" s="124"/>
      <c r="BL499" s="124"/>
      <c r="BM499" s="124"/>
      <c r="BN499" s="124"/>
      <c r="BO499" s="124"/>
      <c r="BP499" s="124"/>
      <c r="BQ499" s="124"/>
      <c r="BR499" s="124"/>
      <c r="BS499" s="124"/>
      <c r="BT499" s="124"/>
      <c r="BU499" s="124"/>
      <c r="BV499" s="124"/>
      <c r="BW499" s="124"/>
      <c r="BX499" s="124"/>
      <c r="BY499" s="124"/>
      <c r="BZ499" s="124"/>
      <c r="CA499" s="124"/>
    </row>
    <row r="500">
      <c r="D500" s="143"/>
      <c r="E500" s="129"/>
      <c r="F500" s="112"/>
      <c r="G500" s="112"/>
      <c r="H500" s="112"/>
      <c r="I500" s="112"/>
      <c r="J500" s="112"/>
      <c r="K500" s="112"/>
      <c r="L500" s="112"/>
      <c r="M500" s="112"/>
      <c r="N500" s="112"/>
      <c r="O500" s="112"/>
      <c r="P500" s="112"/>
      <c r="Q500" s="112"/>
      <c r="R500" s="112"/>
      <c r="S500" s="112"/>
      <c r="T500" s="112"/>
      <c r="U500" s="124"/>
      <c r="V500" s="124"/>
      <c r="W500" s="124"/>
      <c r="X500" s="124"/>
      <c r="Y500" s="124"/>
      <c r="Z500" s="112"/>
      <c r="AA500" s="112"/>
      <c r="AB500" s="112"/>
      <c r="AC500" s="112"/>
      <c r="AD500" s="112"/>
      <c r="AE500" s="112"/>
      <c r="AF500" s="112"/>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c r="BK500" s="124"/>
      <c r="BL500" s="124"/>
      <c r="BM500" s="124"/>
      <c r="BN500" s="124"/>
      <c r="BO500" s="124"/>
      <c r="BP500" s="124"/>
      <c r="BQ500" s="124"/>
      <c r="BR500" s="124"/>
      <c r="BS500" s="124"/>
      <c r="BT500" s="124"/>
      <c r="BU500" s="124"/>
      <c r="BV500" s="124"/>
      <c r="BW500" s="124"/>
      <c r="BX500" s="124"/>
      <c r="BY500" s="124"/>
      <c r="BZ500" s="124"/>
      <c r="CA500" s="124"/>
    </row>
    <row r="501">
      <c r="D501" s="143"/>
      <c r="E501" s="129"/>
      <c r="F501" s="112"/>
      <c r="G501" s="112"/>
      <c r="H501" s="112"/>
      <c r="I501" s="112"/>
      <c r="J501" s="112"/>
      <c r="K501" s="112"/>
      <c r="L501" s="112"/>
      <c r="M501" s="112"/>
      <c r="N501" s="112"/>
      <c r="O501" s="112"/>
      <c r="P501" s="112"/>
      <c r="Q501" s="112"/>
      <c r="R501" s="112"/>
      <c r="S501" s="112"/>
      <c r="T501" s="112"/>
      <c r="U501" s="124"/>
      <c r="V501" s="124"/>
      <c r="W501" s="124"/>
      <c r="X501" s="124"/>
      <c r="Y501" s="124"/>
      <c r="Z501" s="112"/>
      <c r="AA501" s="112"/>
      <c r="AB501" s="112"/>
      <c r="AC501" s="112"/>
      <c r="AD501" s="112"/>
      <c r="AE501" s="112"/>
      <c r="AF501" s="112"/>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row>
    <row r="502">
      <c r="D502" s="143"/>
      <c r="E502" s="129"/>
      <c r="F502" s="112"/>
      <c r="G502" s="112"/>
      <c r="H502" s="112"/>
      <c r="I502" s="112"/>
      <c r="J502" s="112"/>
      <c r="K502" s="112"/>
      <c r="L502" s="112"/>
      <c r="M502" s="112"/>
      <c r="N502" s="112"/>
      <c r="O502" s="112"/>
      <c r="P502" s="112"/>
      <c r="Q502" s="112"/>
      <c r="R502" s="112"/>
      <c r="S502" s="112"/>
      <c r="T502" s="112"/>
      <c r="U502" s="124"/>
      <c r="V502" s="124"/>
      <c r="W502" s="124"/>
      <c r="X502" s="124"/>
      <c r="Y502" s="124"/>
      <c r="Z502" s="112"/>
      <c r="AA502" s="112"/>
      <c r="AB502" s="112"/>
      <c r="AC502" s="112"/>
      <c r="AD502" s="112"/>
      <c r="AE502" s="112"/>
      <c r="AF502" s="112"/>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c r="BK502" s="124"/>
      <c r="BL502" s="124"/>
      <c r="BM502" s="124"/>
      <c r="BN502" s="124"/>
      <c r="BO502" s="124"/>
      <c r="BP502" s="124"/>
      <c r="BQ502" s="124"/>
      <c r="BR502" s="124"/>
      <c r="BS502" s="124"/>
      <c r="BT502" s="124"/>
      <c r="BU502" s="124"/>
      <c r="BV502" s="124"/>
      <c r="BW502" s="124"/>
      <c r="BX502" s="124"/>
      <c r="BY502" s="124"/>
      <c r="BZ502" s="124"/>
      <c r="CA502" s="124"/>
    </row>
    <row r="503">
      <c r="D503" s="143"/>
      <c r="E503" s="129"/>
      <c r="F503" s="112"/>
      <c r="G503" s="112"/>
      <c r="H503" s="112"/>
      <c r="I503" s="112"/>
      <c r="J503" s="112"/>
      <c r="K503" s="112"/>
      <c r="L503" s="112"/>
      <c r="M503" s="112"/>
      <c r="N503" s="112"/>
      <c r="O503" s="112"/>
      <c r="P503" s="112"/>
      <c r="Q503" s="112"/>
      <c r="R503" s="112"/>
      <c r="S503" s="112"/>
      <c r="T503" s="112"/>
      <c r="U503" s="124"/>
      <c r="V503" s="124"/>
      <c r="W503" s="124"/>
      <c r="X503" s="124"/>
      <c r="Y503" s="124"/>
      <c r="Z503" s="112"/>
      <c r="AA503" s="112"/>
      <c r="AB503" s="112"/>
      <c r="AC503" s="112"/>
      <c r="AD503" s="112"/>
      <c r="AE503" s="112"/>
      <c r="AF503" s="112"/>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4"/>
      <c r="BR503" s="124"/>
      <c r="BS503" s="124"/>
      <c r="BT503" s="124"/>
      <c r="BU503" s="124"/>
      <c r="BV503" s="124"/>
      <c r="BW503" s="124"/>
      <c r="BX503" s="124"/>
      <c r="BY503" s="124"/>
      <c r="BZ503" s="124"/>
      <c r="CA503" s="124"/>
    </row>
    <row r="504">
      <c r="D504" s="143"/>
      <c r="E504" s="129"/>
      <c r="F504" s="112"/>
      <c r="G504" s="112"/>
      <c r="H504" s="112"/>
      <c r="I504" s="112"/>
      <c r="J504" s="112"/>
      <c r="K504" s="112"/>
      <c r="L504" s="112"/>
      <c r="M504" s="112"/>
      <c r="N504" s="112"/>
      <c r="O504" s="112"/>
      <c r="P504" s="112"/>
      <c r="Q504" s="112"/>
      <c r="R504" s="112"/>
      <c r="S504" s="112"/>
      <c r="T504" s="112"/>
      <c r="U504" s="124"/>
      <c r="V504" s="124"/>
      <c r="W504" s="124"/>
      <c r="X504" s="124"/>
      <c r="Y504" s="124"/>
      <c r="Z504" s="112"/>
      <c r="AA504" s="112"/>
      <c r="AB504" s="112"/>
      <c r="AC504" s="112"/>
      <c r="AD504" s="112"/>
      <c r="AE504" s="112"/>
      <c r="AF504" s="112"/>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c r="BK504" s="124"/>
      <c r="BL504" s="124"/>
      <c r="BM504" s="124"/>
      <c r="BN504" s="124"/>
      <c r="BO504" s="124"/>
      <c r="BP504" s="124"/>
      <c r="BQ504" s="124"/>
      <c r="BR504" s="124"/>
      <c r="BS504" s="124"/>
      <c r="BT504" s="124"/>
      <c r="BU504" s="124"/>
      <c r="BV504" s="124"/>
      <c r="BW504" s="124"/>
      <c r="BX504" s="124"/>
      <c r="BY504" s="124"/>
      <c r="BZ504" s="124"/>
      <c r="CA504" s="124"/>
    </row>
    <row r="505">
      <c r="D505" s="143"/>
      <c r="E505" s="129"/>
      <c r="F505" s="112"/>
      <c r="G505" s="112"/>
      <c r="H505" s="112"/>
      <c r="I505" s="112"/>
      <c r="J505" s="112"/>
      <c r="K505" s="112"/>
      <c r="L505" s="112"/>
      <c r="M505" s="112"/>
      <c r="N505" s="112"/>
      <c r="O505" s="112"/>
      <c r="P505" s="112"/>
      <c r="Q505" s="112"/>
      <c r="R505" s="112"/>
      <c r="S505" s="112"/>
      <c r="T505" s="112"/>
      <c r="U505" s="124"/>
      <c r="V505" s="124"/>
      <c r="W505" s="124"/>
      <c r="X505" s="124"/>
      <c r="Y505" s="124"/>
      <c r="Z505" s="112"/>
      <c r="AA505" s="112"/>
      <c r="AB505" s="112"/>
      <c r="AC505" s="112"/>
      <c r="AD505" s="112"/>
      <c r="AE505" s="112"/>
      <c r="AF505" s="112"/>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c r="BK505" s="124"/>
      <c r="BL505" s="124"/>
      <c r="BM505" s="124"/>
      <c r="BN505" s="124"/>
      <c r="BO505" s="124"/>
      <c r="BP505" s="124"/>
      <c r="BQ505" s="124"/>
      <c r="BR505" s="124"/>
      <c r="BS505" s="124"/>
      <c r="BT505" s="124"/>
      <c r="BU505" s="124"/>
      <c r="BV505" s="124"/>
      <c r="BW505" s="124"/>
      <c r="BX505" s="124"/>
      <c r="BY505" s="124"/>
      <c r="BZ505" s="124"/>
      <c r="CA505" s="124"/>
    </row>
    <row r="506">
      <c r="D506" s="143"/>
      <c r="E506" s="129"/>
      <c r="F506" s="112"/>
      <c r="G506" s="112"/>
      <c r="H506" s="112"/>
      <c r="I506" s="112"/>
      <c r="J506" s="112"/>
      <c r="K506" s="112"/>
      <c r="L506" s="112"/>
      <c r="M506" s="112"/>
      <c r="N506" s="112"/>
      <c r="O506" s="112"/>
      <c r="P506" s="112"/>
      <c r="Q506" s="112"/>
      <c r="R506" s="112"/>
      <c r="S506" s="112"/>
      <c r="T506" s="112"/>
      <c r="U506" s="124"/>
      <c r="V506" s="124"/>
      <c r="W506" s="124"/>
      <c r="X506" s="124"/>
      <c r="Y506" s="124"/>
      <c r="Z506" s="112"/>
      <c r="AA506" s="112"/>
      <c r="AB506" s="112"/>
      <c r="AC506" s="112"/>
      <c r="AD506" s="112"/>
      <c r="AE506" s="112"/>
      <c r="AF506" s="112"/>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c r="BK506" s="124"/>
      <c r="BL506" s="124"/>
      <c r="BM506" s="124"/>
      <c r="BN506" s="124"/>
      <c r="BO506" s="124"/>
      <c r="BP506" s="124"/>
      <c r="BQ506" s="124"/>
      <c r="BR506" s="124"/>
      <c r="BS506" s="124"/>
      <c r="BT506" s="124"/>
      <c r="BU506" s="124"/>
      <c r="BV506" s="124"/>
      <c r="BW506" s="124"/>
      <c r="BX506" s="124"/>
      <c r="BY506" s="124"/>
      <c r="BZ506" s="124"/>
      <c r="CA506" s="124"/>
    </row>
    <row r="507">
      <c r="D507" s="143"/>
      <c r="E507" s="129"/>
      <c r="F507" s="112"/>
      <c r="G507" s="112"/>
      <c r="H507" s="112"/>
      <c r="I507" s="112"/>
      <c r="J507" s="112"/>
      <c r="K507" s="112"/>
      <c r="L507" s="112"/>
      <c r="M507" s="112"/>
      <c r="N507" s="112"/>
      <c r="O507" s="112"/>
      <c r="P507" s="112"/>
      <c r="Q507" s="112"/>
      <c r="R507" s="112"/>
      <c r="S507" s="112"/>
      <c r="T507" s="112"/>
      <c r="U507" s="124"/>
      <c r="V507" s="124"/>
      <c r="W507" s="124"/>
      <c r="X507" s="124"/>
      <c r="Y507" s="124"/>
      <c r="Z507" s="112"/>
      <c r="AA507" s="112"/>
      <c r="AB507" s="112"/>
      <c r="AC507" s="112"/>
      <c r="AD507" s="112"/>
      <c r="AE507" s="112"/>
      <c r="AF507" s="112"/>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row>
    <row r="508">
      <c r="D508" s="143"/>
      <c r="E508" s="129"/>
      <c r="F508" s="112"/>
      <c r="G508" s="112"/>
      <c r="H508" s="112"/>
      <c r="I508" s="112"/>
      <c r="J508" s="112"/>
      <c r="K508" s="112"/>
      <c r="L508" s="112"/>
      <c r="M508" s="112"/>
      <c r="N508" s="112"/>
      <c r="O508" s="112"/>
      <c r="P508" s="112"/>
      <c r="Q508" s="112"/>
      <c r="R508" s="112"/>
      <c r="S508" s="112"/>
      <c r="T508" s="112"/>
      <c r="U508" s="124"/>
      <c r="V508" s="124"/>
      <c r="W508" s="124"/>
      <c r="X508" s="124"/>
      <c r="Y508" s="124"/>
      <c r="Z508" s="112"/>
      <c r="AA508" s="112"/>
      <c r="AB508" s="112"/>
      <c r="AC508" s="112"/>
      <c r="AD508" s="112"/>
      <c r="AE508" s="112"/>
      <c r="AF508" s="112"/>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c r="BK508" s="124"/>
      <c r="BL508" s="124"/>
      <c r="BM508" s="124"/>
      <c r="BN508" s="124"/>
      <c r="BO508" s="124"/>
      <c r="BP508" s="124"/>
      <c r="BQ508" s="124"/>
      <c r="BR508" s="124"/>
      <c r="BS508" s="124"/>
      <c r="BT508" s="124"/>
      <c r="BU508" s="124"/>
      <c r="BV508" s="124"/>
      <c r="BW508" s="124"/>
      <c r="BX508" s="124"/>
      <c r="BY508" s="124"/>
      <c r="BZ508" s="124"/>
      <c r="CA508" s="124"/>
    </row>
    <row r="509">
      <c r="D509" s="143"/>
      <c r="E509" s="129"/>
      <c r="F509" s="112"/>
      <c r="G509" s="112"/>
      <c r="H509" s="112"/>
      <c r="I509" s="112"/>
      <c r="J509" s="112"/>
      <c r="K509" s="112"/>
      <c r="L509" s="112"/>
      <c r="M509" s="112"/>
      <c r="N509" s="112"/>
      <c r="O509" s="112"/>
      <c r="P509" s="112"/>
      <c r="Q509" s="112"/>
      <c r="R509" s="112"/>
      <c r="S509" s="112"/>
      <c r="T509" s="112"/>
      <c r="U509" s="124"/>
      <c r="V509" s="124"/>
      <c r="W509" s="124"/>
      <c r="X509" s="124"/>
      <c r="Y509" s="124"/>
      <c r="Z509" s="112"/>
      <c r="AA509" s="112"/>
      <c r="AB509" s="112"/>
      <c r="AC509" s="112"/>
      <c r="AD509" s="112"/>
      <c r="AE509" s="112"/>
      <c r="AF509" s="112"/>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c r="BK509" s="124"/>
      <c r="BL509" s="124"/>
      <c r="BM509" s="124"/>
      <c r="BN509" s="124"/>
      <c r="BO509" s="124"/>
      <c r="BP509" s="124"/>
      <c r="BQ509" s="124"/>
      <c r="BR509" s="124"/>
      <c r="BS509" s="124"/>
      <c r="BT509" s="124"/>
      <c r="BU509" s="124"/>
      <c r="BV509" s="124"/>
      <c r="BW509" s="124"/>
      <c r="BX509" s="124"/>
      <c r="BY509" s="124"/>
      <c r="BZ509" s="124"/>
      <c r="CA509" s="124"/>
    </row>
    <row r="510">
      <c r="D510" s="143"/>
      <c r="E510" s="129"/>
      <c r="F510" s="112"/>
      <c r="G510" s="112"/>
      <c r="H510" s="112"/>
      <c r="I510" s="112"/>
      <c r="J510" s="112"/>
      <c r="K510" s="112"/>
      <c r="L510" s="112"/>
      <c r="M510" s="112"/>
      <c r="N510" s="112"/>
      <c r="O510" s="112"/>
      <c r="P510" s="112"/>
      <c r="Q510" s="112"/>
      <c r="R510" s="112"/>
      <c r="S510" s="112"/>
      <c r="T510" s="112"/>
      <c r="U510" s="124"/>
      <c r="V510" s="124"/>
      <c r="W510" s="124"/>
      <c r="X510" s="124"/>
      <c r="Y510" s="124"/>
      <c r="Z510" s="112"/>
      <c r="AA510" s="112"/>
      <c r="AB510" s="112"/>
      <c r="AC510" s="112"/>
      <c r="AD510" s="112"/>
      <c r="AE510" s="112"/>
      <c r="AF510" s="112"/>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c r="BK510" s="124"/>
      <c r="BL510" s="124"/>
      <c r="BM510" s="124"/>
      <c r="BN510" s="124"/>
      <c r="BO510" s="124"/>
      <c r="BP510" s="124"/>
      <c r="BQ510" s="124"/>
      <c r="BR510" s="124"/>
      <c r="BS510" s="124"/>
      <c r="BT510" s="124"/>
      <c r="BU510" s="124"/>
      <c r="BV510" s="124"/>
      <c r="BW510" s="124"/>
      <c r="BX510" s="124"/>
      <c r="BY510" s="124"/>
      <c r="BZ510" s="124"/>
      <c r="CA510" s="124"/>
    </row>
    <row r="511">
      <c r="D511" s="143"/>
      <c r="E511" s="129"/>
      <c r="F511" s="112"/>
      <c r="G511" s="112"/>
      <c r="H511" s="112"/>
      <c r="I511" s="112"/>
      <c r="J511" s="112"/>
      <c r="K511" s="112"/>
      <c r="L511" s="112"/>
      <c r="M511" s="112"/>
      <c r="N511" s="112"/>
      <c r="O511" s="112"/>
      <c r="P511" s="112"/>
      <c r="Q511" s="112"/>
      <c r="R511" s="112"/>
      <c r="S511" s="112"/>
      <c r="T511" s="112"/>
      <c r="U511" s="124"/>
      <c r="V511" s="124"/>
      <c r="W511" s="124"/>
      <c r="X511" s="124"/>
      <c r="Y511" s="124"/>
      <c r="Z511" s="112"/>
      <c r="AA511" s="112"/>
      <c r="AB511" s="112"/>
      <c r="AC511" s="112"/>
      <c r="AD511" s="112"/>
      <c r="AE511" s="112"/>
      <c r="AF511" s="112"/>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c r="BK511" s="124"/>
      <c r="BL511" s="124"/>
      <c r="BM511" s="124"/>
      <c r="BN511" s="124"/>
      <c r="BO511" s="124"/>
      <c r="BP511" s="124"/>
      <c r="BQ511" s="124"/>
      <c r="BR511" s="124"/>
      <c r="BS511" s="124"/>
      <c r="BT511" s="124"/>
      <c r="BU511" s="124"/>
      <c r="BV511" s="124"/>
      <c r="BW511" s="124"/>
      <c r="BX511" s="124"/>
      <c r="BY511" s="124"/>
      <c r="BZ511" s="124"/>
      <c r="CA511" s="124"/>
    </row>
    <row r="512">
      <c r="D512" s="143"/>
      <c r="E512" s="129"/>
      <c r="F512" s="112"/>
      <c r="G512" s="112"/>
      <c r="H512" s="112"/>
      <c r="I512" s="112"/>
      <c r="J512" s="112"/>
      <c r="K512" s="112"/>
      <c r="L512" s="112"/>
      <c r="M512" s="112"/>
      <c r="N512" s="112"/>
      <c r="O512" s="112"/>
      <c r="P512" s="112"/>
      <c r="Q512" s="112"/>
      <c r="R512" s="112"/>
      <c r="S512" s="112"/>
      <c r="T512" s="112"/>
      <c r="U512" s="124"/>
      <c r="V512" s="124"/>
      <c r="W512" s="124"/>
      <c r="X512" s="124"/>
      <c r="Y512" s="124"/>
      <c r="Z512" s="112"/>
      <c r="AA512" s="112"/>
      <c r="AB512" s="112"/>
      <c r="AC512" s="112"/>
      <c r="AD512" s="112"/>
      <c r="AE512" s="112"/>
      <c r="AF512" s="112"/>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c r="BK512" s="124"/>
      <c r="BL512" s="124"/>
      <c r="BM512" s="124"/>
      <c r="BN512" s="124"/>
      <c r="BO512" s="124"/>
      <c r="BP512" s="124"/>
      <c r="BQ512" s="124"/>
      <c r="BR512" s="124"/>
      <c r="BS512" s="124"/>
      <c r="BT512" s="124"/>
      <c r="BU512" s="124"/>
      <c r="BV512" s="124"/>
      <c r="BW512" s="124"/>
      <c r="BX512" s="124"/>
      <c r="BY512" s="124"/>
      <c r="BZ512" s="124"/>
      <c r="CA512" s="124"/>
    </row>
    <row r="513">
      <c r="D513" s="143"/>
      <c r="E513" s="129"/>
      <c r="F513" s="112"/>
      <c r="G513" s="112"/>
      <c r="H513" s="112"/>
      <c r="I513" s="112"/>
      <c r="J513" s="112"/>
      <c r="K513" s="112"/>
      <c r="L513" s="112"/>
      <c r="M513" s="112"/>
      <c r="N513" s="112"/>
      <c r="O513" s="112"/>
      <c r="P513" s="112"/>
      <c r="Q513" s="112"/>
      <c r="R513" s="112"/>
      <c r="S513" s="112"/>
      <c r="T513" s="112"/>
      <c r="U513" s="124"/>
      <c r="V513" s="124"/>
      <c r="W513" s="124"/>
      <c r="X513" s="124"/>
      <c r="Y513" s="124"/>
      <c r="Z513" s="112"/>
      <c r="AA513" s="112"/>
      <c r="AB513" s="112"/>
      <c r="AC513" s="112"/>
      <c r="AD513" s="112"/>
      <c r="AE513" s="112"/>
      <c r="AF513" s="112"/>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c r="BK513" s="124"/>
      <c r="BL513" s="124"/>
      <c r="BM513" s="124"/>
      <c r="BN513" s="124"/>
      <c r="BO513" s="124"/>
      <c r="BP513" s="124"/>
      <c r="BQ513" s="124"/>
      <c r="BR513" s="124"/>
      <c r="BS513" s="124"/>
      <c r="BT513" s="124"/>
      <c r="BU513" s="124"/>
      <c r="BV513" s="124"/>
      <c r="BW513" s="124"/>
      <c r="BX513" s="124"/>
      <c r="BY513" s="124"/>
      <c r="BZ513" s="124"/>
      <c r="CA513" s="124"/>
    </row>
    <row r="514">
      <c r="D514" s="143"/>
      <c r="E514" s="129"/>
      <c r="F514" s="112"/>
      <c r="G514" s="112"/>
      <c r="H514" s="112"/>
      <c r="I514" s="112"/>
      <c r="J514" s="112"/>
      <c r="K514" s="112"/>
      <c r="L514" s="112"/>
      <c r="M514" s="112"/>
      <c r="N514" s="112"/>
      <c r="O514" s="112"/>
      <c r="P514" s="112"/>
      <c r="Q514" s="112"/>
      <c r="R514" s="112"/>
      <c r="S514" s="112"/>
      <c r="T514" s="112"/>
      <c r="U514" s="124"/>
      <c r="V514" s="124"/>
      <c r="W514" s="124"/>
      <c r="X514" s="124"/>
      <c r="Y514" s="124"/>
      <c r="Z514" s="112"/>
      <c r="AA514" s="112"/>
      <c r="AB514" s="112"/>
      <c r="AC514" s="112"/>
      <c r="AD514" s="112"/>
      <c r="AE514" s="112"/>
      <c r="AF514" s="112"/>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c r="BK514" s="124"/>
      <c r="BL514" s="124"/>
      <c r="BM514" s="124"/>
      <c r="BN514" s="124"/>
      <c r="BO514" s="124"/>
      <c r="BP514" s="124"/>
      <c r="BQ514" s="124"/>
      <c r="BR514" s="124"/>
      <c r="BS514" s="124"/>
      <c r="BT514" s="124"/>
      <c r="BU514" s="124"/>
      <c r="BV514" s="124"/>
      <c r="BW514" s="124"/>
      <c r="BX514" s="124"/>
      <c r="BY514" s="124"/>
      <c r="BZ514" s="124"/>
      <c r="CA514" s="124"/>
    </row>
    <row r="515">
      <c r="D515" s="143"/>
      <c r="E515" s="129"/>
      <c r="F515" s="112"/>
      <c r="G515" s="112"/>
      <c r="H515" s="112"/>
      <c r="I515" s="112"/>
      <c r="J515" s="112"/>
      <c r="K515" s="112"/>
      <c r="L515" s="112"/>
      <c r="M515" s="112"/>
      <c r="N515" s="112"/>
      <c r="O515" s="112"/>
      <c r="P515" s="112"/>
      <c r="Q515" s="112"/>
      <c r="R515" s="112"/>
      <c r="S515" s="112"/>
      <c r="T515" s="112"/>
      <c r="U515" s="124"/>
      <c r="V515" s="124"/>
      <c r="W515" s="124"/>
      <c r="X515" s="124"/>
      <c r="Y515" s="124"/>
      <c r="Z515" s="112"/>
      <c r="AA515" s="112"/>
      <c r="AB515" s="112"/>
      <c r="AC515" s="112"/>
      <c r="AD515" s="112"/>
      <c r="AE515" s="112"/>
      <c r="AF515" s="112"/>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c r="BK515" s="124"/>
      <c r="BL515" s="124"/>
      <c r="BM515" s="124"/>
      <c r="BN515" s="124"/>
      <c r="BO515" s="124"/>
      <c r="BP515" s="124"/>
      <c r="BQ515" s="124"/>
      <c r="BR515" s="124"/>
      <c r="BS515" s="124"/>
      <c r="BT515" s="124"/>
      <c r="BU515" s="124"/>
      <c r="BV515" s="124"/>
      <c r="BW515" s="124"/>
      <c r="BX515" s="124"/>
      <c r="BY515" s="124"/>
      <c r="BZ515" s="124"/>
      <c r="CA515" s="124"/>
    </row>
    <row r="516">
      <c r="D516" s="143"/>
      <c r="E516" s="129"/>
      <c r="F516" s="112"/>
      <c r="G516" s="112"/>
      <c r="H516" s="112"/>
      <c r="I516" s="112"/>
      <c r="J516" s="112"/>
      <c r="K516" s="112"/>
      <c r="L516" s="112"/>
      <c r="M516" s="112"/>
      <c r="N516" s="112"/>
      <c r="O516" s="112"/>
      <c r="P516" s="112"/>
      <c r="Q516" s="112"/>
      <c r="R516" s="112"/>
      <c r="S516" s="112"/>
      <c r="T516" s="112"/>
      <c r="U516" s="124"/>
      <c r="V516" s="124"/>
      <c r="W516" s="124"/>
      <c r="X516" s="124"/>
      <c r="Y516" s="124"/>
      <c r="Z516" s="112"/>
      <c r="AA516" s="112"/>
      <c r="AB516" s="112"/>
      <c r="AC516" s="112"/>
      <c r="AD516" s="112"/>
      <c r="AE516" s="112"/>
      <c r="AF516" s="112"/>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c r="BK516" s="124"/>
      <c r="BL516" s="124"/>
      <c r="BM516" s="124"/>
      <c r="BN516" s="124"/>
      <c r="BO516" s="124"/>
      <c r="BP516" s="124"/>
      <c r="BQ516" s="124"/>
      <c r="BR516" s="124"/>
      <c r="BS516" s="124"/>
      <c r="BT516" s="124"/>
      <c r="BU516" s="124"/>
      <c r="BV516" s="124"/>
      <c r="BW516" s="124"/>
      <c r="BX516" s="124"/>
      <c r="BY516" s="124"/>
      <c r="BZ516" s="124"/>
      <c r="CA516" s="124"/>
    </row>
    <row r="517">
      <c r="D517" s="143"/>
      <c r="E517" s="129"/>
      <c r="F517" s="112"/>
      <c r="G517" s="112"/>
      <c r="H517" s="112"/>
      <c r="I517" s="112"/>
      <c r="J517" s="112"/>
      <c r="K517" s="112"/>
      <c r="L517" s="112"/>
      <c r="M517" s="112"/>
      <c r="N517" s="112"/>
      <c r="O517" s="112"/>
      <c r="P517" s="112"/>
      <c r="Q517" s="112"/>
      <c r="R517" s="112"/>
      <c r="S517" s="112"/>
      <c r="T517" s="112"/>
      <c r="U517" s="124"/>
      <c r="V517" s="124"/>
      <c r="W517" s="124"/>
      <c r="X517" s="124"/>
      <c r="Y517" s="124"/>
      <c r="Z517" s="112"/>
      <c r="AA517" s="112"/>
      <c r="AB517" s="112"/>
      <c r="AC517" s="112"/>
      <c r="AD517" s="112"/>
      <c r="AE517" s="112"/>
      <c r="AF517" s="112"/>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c r="BK517" s="124"/>
      <c r="BL517" s="124"/>
      <c r="BM517" s="124"/>
      <c r="BN517" s="124"/>
      <c r="BO517" s="124"/>
      <c r="BP517" s="124"/>
      <c r="BQ517" s="124"/>
      <c r="BR517" s="124"/>
      <c r="BS517" s="124"/>
      <c r="BT517" s="124"/>
      <c r="BU517" s="124"/>
      <c r="BV517" s="124"/>
      <c r="BW517" s="124"/>
      <c r="BX517" s="124"/>
      <c r="BY517" s="124"/>
      <c r="BZ517" s="124"/>
      <c r="CA517" s="124"/>
    </row>
    <row r="518">
      <c r="D518" s="143"/>
      <c r="E518" s="129"/>
      <c r="F518" s="112"/>
      <c r="G518" s="112"/>
      <c r="H518" s="112"/>
      <c r="I518" s="112"/>
      <c r="J518" s="112"/>
      <c r="K518" s="112"/>
      <c r="L518" s="112"/>
      <c r="M518" s="112"/>
      <c r="N518" s="112"/>
      <c r="O518" s="112"/>
      <c r="P518" s="112"/>
      <c r="Q518" s="112"/>
      <c r="R518" s="112"/>
      <c r="S518" s="112"/>
      <c r="T518" s="112"/>
      <c r="U518" s="124"/>
      <c r="V518" s="124"/>
      <c r="W518" s="124"/>
      <c r="X518" s="124"/>
      <c r="Y518" s="124"/>
      <c r="Z518" s="112"/>
      <c r="AA518" s="112"/>
      <c r="AB518" s="112"/>
      <c r="AC518" s="112"/>
      <c r="AD518" s="112"/>
      <c r="AE518" s="112"/>
      <c r="AF518" s="112"/>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c r="BK518" s="124"/>
      <c r="BL518" s="124"/>
      <c r="BM518" s="124"/>
      <c r="BN518" s="124"/>
      <c r="BO518" s="124"/>
      <c r="BP518" s="124"/>
      <c r="BQ518" s="124"/>
      <c r="BR518" s="124"/>
      <c r="BS518" s="124"/>
      <c r="BT518" s="124"/>
      <c r="BU518" s="124"/>
      <c r="BV518" s="124"/>
      <c r="BW518" s="124"/>
      <c r="BX518" s="124"/>
      <c r="BY518" s="124"/>
      <c r="BZ518" s="124"/>
      <c r="CA518" s="124"/>
    </row>
    <row r="519">
      <c r="D519" s="143"/>
      <c r="E519" s="129"/>
      <c r="F519" s="112"/>
      <c r="G519" s="112"/>
      <c r="H519" s="112"/>
      <c r="I519" s="112"/>
      <c r="J519" s="112"/>
      <c r="K519" s="112"/>
      <c r="L519" s="112"/>
      <c r="M519" s="112"/>
      <c r="N519" s="112"/>
      <c r="O519" s="112"/>
      <c r="P519" s="112"/>
      <c r="Q519" s="112"/>
      <c r="R519" s="112"/>
      <c r="S519" s="112"/>
      <c r="T519" s="112"/>
      <c r="U519" s="124"/>
      <c r="V519" s="124"/>
      <c r="W519" s="124"/>
      <c r="X519" s="124"/>
      <c r="Y519" s="124"/>
      <c r="Z519" s="112"/>
      <c r="AA519" s="112"/>
      <c r="AB519" s="112"/>
      <c r="AC519" s="112"/>
      <c r="AD519" s="112"/>
      <c r="AE519" s="112"/>
      <c r="AF519" s="112"/>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c r="BK519" s="124"/>
      <c r="BL519" s="124"/>
      <c r="BM519" s="124"/>
      <c r="BN519" s="124"/>
      <c r="BO519" s="124"/>
      <c r="BP519" s="124"/>
      <c r="BQ519" s="124"/>
      <c r="BR519" s="124"/>
      <c r="BS519" s="124"/>
      <c r="BT519" s="124"/>
      <c r="BU519" s="124"/>
      <c r="BV519" s="124"/>
      <c r="BW519" s="124"/>
      <c r="BX519" s="124"/>
      <c r="BY519" s="124"/>
      <c r="BZ519" s="124"/>
      <c r="CA519" s="124"/>
    </row>
    <row r="520">
      <c r="D520" s="143"/>
      <c r="E520" s="129"/>
      <c r="F520" s="112"/>
      <c r="G520" s="112"/>
      <c r="H520" s="112"/>
      <c r="I520" s="112"/>
      <c r="J520" s="112"/>
      <c r="K520" s="112"/>
      <c r="L520" s="112"/>
      <c r="M520" s="112"/>
      <c r="N520" s="112"/>
      <c r="O520" s="112"/>
      <c r="P520" s="112"/>
      <c r="Q520" s="112"/>
      <c r="R520" s="112"/>
      <c r="S520" s="112"/>
      <c r="T520" s="112"/>
      <c r="U520" s="124"/>
      <c r="V520" s="124"/>
      <c r="W520" s="124"/>
      <c r="X520" s="124"/>
      <c r="Y520" s="124"/>
      <c r="Z520" s="112"/>
      <c r="AA520" s="112"/>
      <c r="AB520" s="112"/>
      <c r="AC520" s="112"/>
      <c r="AD520" s="112"/>
      <c r="AE520" s="112"/>
      <c r="AF520" s="112"/>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c r="BK520" s="124"/>
      <c r="BL520" s="124"/>
      <c r="BM520" s="124"/>
      <c r="BN520" s="124"/>
      <c r="BO520" s="124"/>
      <c r="BP520" s="124"/>
      <c r="BQ520" s="124"/>
      <c r="BR520" s="124"/>
      <c r="BS520" s="124"/>
      <c r="BT520" s="124"/>
      <c r="BU520" s="124"/>
      <c r="BV520" s="124"/>
      <c r="BW520" s="124"/>
      <c r="BX520" s="124"/>
      <c r="BY520" s="124"/>
      <c r="BZ520" s="124"/>
      <c r="CA520" s="124"/>
    </row>
    <row r="521">
      <c r="D521" s="143"/>
      <c r="E521" s="129"/>
      <c r="F521" s="112"/>
      <c r="G521" s="112"/>
      <c r="H521" s="112"/>
      <c r="I521" s="112"/>
      <c r="J521" s="112"/>
      <c r="K521" s="112"/>
      <c r="L521" s="112"/>
      <c r="M521" s="112"/>
      <c r="N521" s="112"/>
      <c r="O521" s="112"/>
      <c r="P521" s="112"/>
      <c r="Q521" s="112"/>
      <c r="R521" s="112"/>
      <c r="S521" s="112"/>
      <c r="T521" s="112"/>
      <c r="U521" s="124"/>
      <c r="V521" s="124"/>
      <c r="W521" s="124"/>
      <c r="X521" s="124"/>
      <c r="Y521" s="124"/>
      <c r="Z521" s="112"/>
      <c r="AA521" s="112"/>
      <c r="AB521" s="112"/>
      <c r="AC521" s="112"/>
      <c r="AD521" s="112"/>
      <c r="AE521" s="112"/>
      <c r="AF521" s="112"/>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c r="BK521" s="124"/>
      <c r="BL521" s="124"/>
      <c r="BM521" s="124"/>
      <c r="BN521" s="124"/>
      <c r="BO521" s="124"/>
      <c r="BP521" s="124"/>
      <c r="BQ521" s="124"/>
      <c r="BR521" s="124"/>
      <c r="BS521" s="124"/>
      <c r="BT521" s="124"/>
      <c r="BU521" s="124"/>
      <c r="BV521" s="124"/>
      <c r="BW521" s="124"/>
      <c r="BX521" s="124"/>
      <c r="BY521" s="124"/>
      <c r="BZ521" s="124"/>
      <c r="CA521" s="124"/>
    </row>
    <row r="522">
      <c r="D522" s="143"/>
      <c r="E522" s="129"/>
      <c r="F522" s="112"/>
      <c r="G522" s="112"/>
      <c r="H522" s="112"/>
      <c r="I522" s="112"/>
      <c r="J522" s="112"/>
      <c r="K522" s="112"/>
      <c r="L522" s="112"/>
      <c r="M522" s="112"/>
      <c r="N522" s="112"/>
      <c r="O522" s="112"/>
      <c r="P522" s="112"/>
      <c r="Q522" s="112"/>
      <c r="R522" s="112"/>
      <c r="S522" s="112"/>
      <c r="T522" s="112"/>
      <c r="U522" s="124"/>
      <c r="V522" s="124"/>
      <c r="W522" s="124"/>
      <c r="X522" s="124"/>
      <c r="Y522" s="124"/>
      <c r="Z522" s="112"/>
      <c r="AA522" s="112"/>
      <c r="AB522" s="112"/>
      <c r="AC522" s="112"/>
      <c r="AD522" s="112"/>
      <c r="AE522" s="112"/>
      <c r="AF522" s="112"/>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c r="BK522" s="124"/>
      <c r="BL522" s="124"/>
      <c r="BM522" s="124"/>
      <c r="BN522" s="124"/>
      <c r="BO522" s="124"/>
      <c r="BP522" s="124"/>
      <c r="BQ522" s="124"/>
      <c r="BR522" s="124"/>
      <c r="BS522" s="124"/>
      <c r="BT522" s="124"/>
      <c r="BU522" s="124"/>
      <c r="BV522" s="124"/>
      <c r="BW522" s="124"/>
      <c r="BX522" s="124"/>
      <c r="BY522" s="124"/>
      <c r="BZ522" s="124"/>
      <c r="CA522" s="124"/>
    </row>
    <row r="523">
      <c r="D523" s="143"/>
      <c r="E523" s="129"/>
      <c r="F523" s="112"/>
      <c r="G523" s="112"/>
      <c r="H523" s="112"/>
      <c r="I523" s="112"/>
      <c r="J523" s="112"/>
      <c r="K523" s="112"/>
      <c r="L523" s="112"/>
      <c r="M523" s="112"/>
      <c r="N523" s="112"/>
      <c r="O523" s="112"/>
      <c r="P523" s="112"/>
      <c r="Q523" s="112"/>
      <c r="R523" s="112"/>
      <c r="S523" s="112"/>
      <c r="T523" s="112"/>
      <c r="U523" s="124"/>
      <c r="V523" s="124"/>
      <c r="W523" s="124"/>
      <c r="X523" s="124"/>
      <c r="Y523" s="124"/>
      <c r="Z523" s="112"/>
      <c r="AA523" s="112"/>
      <c r="AB523" s="112"/>
      <c r="AC523" s="112"/>
      <c r="AD523" s="112"/>
      <c r="AE523" s="112"/>
      <c r="AF523" s="112"/>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c r="BK523" s="124"/>
      <c r="BL523" s="124"/>
      <c r="BM523" s="124"/>
      <c r="BN523" s="124"/>
      <c r="BO523" s="124"/>
      <c r="BP523" s="124"/>
      <c r="BQ523" s="124"/>
      <c r="BR523" s="124"/>
      <c r="BS523" s="124"/>
      <c r="BT523" s="124"/>
      <c r="BU523" s="124"/>
      <c r="BV523" s="124"/>
      <c r="BW523" s="124"/>
      <c r="BX523" s="124"/>
      <c r="BY523" s="124"/>
      <c r="BZ523" s="124"/>
      <c r="CA523" s="124"/>
    </row>
    <row r="524">
      <c r="D524" s="143"/>
      <c r="E524" s="129"/>
      <c r="F524" s="112"/>
      <c r="G524" s="112"/>
      <c r="H524" s="112"/>
      <c r="I524" s="112"/>
      <c r="J524" s="112"/>
      <c r="K524" s="112"/>
      <c r="L524" s="112"/>
      <c r="M524" s="112"/>
      <c r="N524" s="112"/>
      <c r="O524" s="112"/>
      <c r="P524" s="112"/>
      <c r="Q524" s="112"/>
      <c r="R524" s="112"/>
      <c r="S524" s="112"/>
      <c r="T524" s="112"/>
      <c r="U524" s="124"/>
      <c r="V524" s="124"/>
      <c r="W524" s="124"/>
      <c r="X524" s="124"/>
      <c r="Y524" s="124"/>
      <c r="Z524" s="112"/>
      <c r="AA524" s="112"/>
      <c r="AB524" s="112"/>
      <c r="AC524" s="112"/>
      <c r="AD524" s="112"/>
      <c r="AE524" s="112"/>
      <c r="AF524" s="112"/>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c r="BK524" s="124"/>
      <c r="BL524" s="124"/>
      <c r="BM524" s="124"/>
      <c r="BN524" s="124"/>
      <c r="BO524" s="124"/>
      <c r="BP524" s="124"/>
      <c r="BQ524" s="124"/>
      <c r="BR524" s="124"/>
      <c r="BS524" s="124"/>
      <c r="BT524" s="124"/>
      <c r="BU524" s="124"/>
      <c r="BV524" s="124"/>
      <c r="BW524" s="124"/>
      <c r="BX524" s="124"/>
      <c r="BY524" s="124"/>
      <c r="BZ524" s="124"/>
      <c r="CA524" s="124"/>
    </row>
    <row r="525">
      <c r="D525" s="143"/>
      <c r="E525" s="129"/>
      <c r="F525" s="112"/>
      <c r="G525" s="112"/>
      <c r="H525" s="112"/>
      <c r="I525" s="112"/>
      <c r="J525" s="112"/>
      <c r="K525" s="112"/>
      <c r="L525" s="112"/>
      <c r="M525" s="112"/>
      <c r="N525" s="112"/>
      <c r="O525" s="112"/>
      <c r="P525" s="112"/>
      <c r="Q525" s="112"/>
      <c r="R525" s="112"/>
      <c r="S525" s="112"/>
      <c r="T525" s="112"/>
      <c r="U525" s="124"/>
      <c r="V525" s="124"/>
      <c r="W525" s="124"/>
      <c r="X525" s="124"/>
      <c r="Y525" s="124"/>
      <c r="Z525" s="112"/>
      <c r="AA525" s="112"/>
      <c r="AB525" s="112"/>
      <c r="AC525" s="112"/>
      <c r="AD525" s="112"/>
      <c r="AE525" s="112"/>
      <c r="AF525" s="112"/>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c r="BK525" s="124"/>
      <c r="BL525" s="124"/>
      <c r="BM525" s="124"/>
      <c r="BN525" s="124"/>
      <c r="BO525" s="124"/>
      <c r="BP525" s="124"/>
      <c r="BQ525" s="124"/>
      <c r="BR525" s="124"/>
      <c r="BS525" s="124"/>
      <c r="BT525" s="124"/>
      <c r="BU525" s="124"/>
      <c r="BV525" s="124"/>
      <c r="BW525" s="124"/>
      <c r="BX525" s="124"/>
      <c r="BY525" s="124"/>
      <c r="BZ525" s="124"/>
      <c r="CA525" s="124"/>
    </row>
    <row r="526">
      <c r="D526" s="143"/>
      <c r="E526" s="129"/>
      <c r="F526" s="112"/>
      <c r="G526" s="112"/>
      <c r="H526" s="112"/>
      <c r="I526" s="112"/>
      <c r="J526" s="112"/>
      <c r="K526" s="112"/>
      <c r="L526" s="112"/>
      <c r="M526" s="112"/>
      <c r="N526" s="112"/>
      <c r="O526" s="112"/>
      <c r="P526" s="112"/>
      <c r="Q526" s="112"/>
      <c r="R526" s="112"/>
      <c r="S526" s="112"/>
      <c r="T526" s="112"/>
      <c r="U526" s="124"/>
      <c r="V526" s="124"/>
      <c r="W526" s="124"/>
      <c r="X526" s="124"/>
      <c r="Y526" s="124"/>
      <c r="Z526" s="112"/>
      <c r="AA526" s="112"/>
      <c r="AB526" s="112"/>
      <c r="AC526" s="112"/>
      <c r="AD526" s="112"/>
      <c r="AE526" s="112"/>
      <c r="AF526" s="112"/>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c r="BK526" s="124"/>
      <c r="BL526" s="124"/>
      <c r="BM526" s="124"/>
      <c r="BN526" s="124"/>
      <c r="BO526" s="124"/>
      <c r="BP526" s="124"/>
      <c r="BQ526" s="124"/>
      <c r="BR526" s="124"/>
      <c r="BS526" s="124"/>
      <c r="BT526" s="124"/>
      <c r="BU526" s="124"/>
      <c r="BV526" s="124"/>
      <c r="BW526" s="124"/>
      <c r="BX526" s="124"/>
      <c r="BY526" s="124"/>
      <c r="BZ526" s="124"/>
      <c r="CA526" s="124"/>
    </row>
    <row r="527">
      <c r="D527" s="143"/>
      <c r="E527" s="129"/>
      <c r="F527" s="112"/>
      <c r="G527" s="112"/>
      <c r="H527" s="112"/>
      <c r="I527" s="112"/>
      <c r="J527" s="112"/>
      <c r="K527" s="112"/>
      <c r="L527" s="112"/>
      <c r="M527" s="112"/>
      <c r="N527" s="112"/>
      <c r="O527" s="112"/>
      <c r="P527" s="112"/>
      <c r="Q527" s="112"/>
      <c r="R527" s="112"/>
      <c r="S527" s="112"/>
      <c r="T527" s="112"/>
      <c r="U527" s="124"/>
      <c r="V527" s="124"/>
      <c r="W527" s="124"/>
      <c r="X527" s="124"/>
      <c r="Y527" s="124"/>
      <c r="Z527" s="112"/>
      <c r="AA527" s="112"/>
      <c r="AB527" s="112"/>
      <c r="AC527" s="112"/>
      <c r="AD527" s="112"/>
      <c r="AE527" s="112"/>
      <c r="AF527" s="112"/>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c r="BK527" s="124"/>
      <c r="BL527" s="124"/>
      <c r="BM527" s="124"/>
      <c r="BN527" s="124"/>
      <c r="BO527" s="124"/>
      <c r="BP527" s="124"/>
      <c r="BQ527" s="124"/>
      <c r="BR527" s="124"/>
      <c r="BS527" s="124"/>
      <c r="BT527" s="124"/>
      <c r="BU527" s="124"/>
      <c r="BV527" s="124"/>
      <c r="BW527" s="124"/>
      <c r="BX527" s="124"/>
      <c r="BY527" s="124"/>
      <c r="BZ527" s="124"/>
      <c r="CA527" s="124"/>
    </row>
    <row r="528">
      <c r="D528" s="143"/>
      <c r="E528" s="129"/>
      <c r="F528" s="112"/>
      <c r="G528" s="112"/>
      <c r="H528" s="112"/>
      <c r="I528" s="112"/>
      <c r="J528" s="112"/>
      <c r="K528" s="112"/>
      <c r="L528" s="112"/>
      <c r="M528" s="112"/>
      <c r="N528" s="112"/>
      <c r="O528" s="112"/>
      <c r="P528" s="112"/>
      <c r="Q528" s="112"/>
      <c r="R528" s="112"/>
      <c r="S528" s="112"/>
      <c r="T528" s="112"/>
      <c r="U528" s="124"/>
      <c r="V528" s="124"/>
      <c r="W528" s="124"/>
      <c r="X528" s="124"/>
      <c r="Y528" s="124"/>
      <c r="Z528" s="112"/>
      <c r="AA528" s="112"/>
      <c r="AB528" s="112"/>
      <c r="AC528" s="112"/>
      <c r="AD528" s="112"/>
      <c r="AE528" s="112"/>
      <c r="AF528" s="112"/>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c r="BK528" s="124"/>
      <c r="BL528" s="124"/>
      <c r="BM528" s="124"/>
      <c r="BN528" s="124"/>
      <c r="BO528" s="124"/>
      <c r="BP528" s="124"/>
      <c r="BQ528" s="124"/>
      <c r="BR528" s="124"/>
      <c r="BS528" s="124"/>
      <c r="BT528" s="124"/>
      <c r="BU528" s="124"/>
      <c r="BV528" s="124"/>
      <c r="BW528" s="124"/>
      <c r="BX528" s="124"/>
      <c r="BY528" s="124"/>
      <c r="BZ528" s="124"/>
      <c r="CA528" s="124"/>
    </row>
    <row r="529">
      <c r="D529" s="143"/>
      <c r="E529" s="129"/>
      <c r="F529" s="112"/>
      <c r="G529" s="112"/>
      <c r="H529" s="112"/>
      <c r="I529" s="112"/>
      <c r="J529" s="112"/>
      <c r="K529" s="112"/>
      <c r="L529" s="112"/>
      <c r="M529" s="112"/>
      <c r="N529" s="112"/>
      <c r="O529" s="112"/>
      <c r="P529" s="112"/>
      <c r="Q529" s="112"/>
      <c r="R529" s="112"/>
      <c r="S529" s="112"/>
      <c r="T529" s="112"/>
      <c r="U529" s="124"/>
      <c r="V529" s="124"/>
      <c r="W529" s="124"/>
      <c r="X529" s="124"/>
      <c r="Y529" s="124"/>
      <c r="Z529" s="112"/>
      <c r="AA529" s="112"/>
      <c r="AB529" s="112"/>
      <c r="AC529" s="112"/>
      <c r="AD529" s="112"/>
      <c r="AE529" s="112"/>
      <c r="AF529" s="112"/>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c r="BK529" s="124"/>
      <c r="BL529" s="124"/>
      <c r="BM529" s="124"/>
      <c r="BN529" s="124"/>
      <c r="BO529" s="124"/>
      <c r="BP529" s="124"/>
      <c r="BQ529" s="124"/>
      <c r="BR529" s="124"/>
      <c r="BS529" s="124"/>
      <c r="BT529" s="124"/>
      <c r="BU529" s="124"/>
      <c r="BV529" s="124"/>
      <c r="BW529" s="124"/>
      <c r="BX529" s="124"/>
      <c r="BY529" s="124"/>
      <c r="BZ529" s="124"/>
      <c r="CA529" s="124"/>
    </row>
    <row r="530">
      <c r="D530" s="143"/>
      <c r="E530" s="129"/>
      <c r="F530" s="112"/>
      <c r="G530" s="112"/>
      <c r="H530" s="112"/>
      <c r="I530" s="112"/>
      <c r="J530" s="112"/>
      <c r="K530" s="112"/>
      <c r="L530" s="112"/>
      <c r="M530" s="112"/>
      <c r="N530" s="112"/>
      <c r="O530" s="112"/>
      <c r="P530" s="112"/>
      <c r="Q530" s="112"/>
      <c r="R530" s="112"/>
      <c r="S530" s="112"/>
      <c r="T530" s="112"/>
      <c r="U530" s="124"/>
      <c r="V530" s="124"/>
      <c r="W530" s="124"/>
      <c r="X530" s="124"/>
      <c r="Y530" s="124"/>
      <c r="Z530" s="112"/>
      <c r="AA530" s="112"/>
      <c r="AB530" s="112"/>
      <c r="AC530" s="112"/>
      <c r="AD530" s="112"/>
      <c r="AE530" s="112"/>
      <c r="AF530" s="112"/>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c r="BK530" s="124"/>
      <c r="BL530" s="124"/>
      <c r="BM530" s="124"/>
      <c r="BN530" s="124"/>
      <c r="BO530" s="124"/>
      <c r="BP530" s="124"/>
      <c r="BQ530" s="124"/>
      <c r="BR530" s="124"/>
      <c r="BS530" s="124"/>
      <c r="BT530" s="124"/>
      <c r="BU530" s="124"/>
      <c r="BV530" s="124"/>
      <c r="BW530" s="124"/>
      <c r="BX530" s="124"/>
      <c r="BY530" s="124"/>
      <c r="BZ530" s="124"/>
      <c r="CA530" s="124"/>
    </row>
    <row r="531">
      <c r="D531" s="143"/>
      <c r="E531" s="129"/>
      <c r="F531" s="112"/>
      <c r="G531" s="112"/>
      <c r="H531" s="112"/>
      <c r="I531" s="112"/>
      <c r="J531" s="112"/>
      <c r="K531" s="112"/>
      <c r="L531" s="112"/>
      <c r="M531" s="112"/>
      <c r="N531" s="112"/>
      <c r="O531" s="112"/>
      <c r="P531" s="112"/>
      <c r="Q531" s="112"/>
      <c r="R531" s="112"/>
      <c r="S531" s="112"/>
      <c r="T531" s="112"/>
      <c r="U531" s="124"/>
      <c r="V531" s="124"/>
      <c r="W531" s="124"/>
      <c r="X531" s="124"/>
      <c r="Y531" s="124"/>
      <c r="Z531" s="112"/>
      <c r="AA531" s="112"/>
      <c r="AB531" s="112"/>
      <c r="AC531" s="112"/>
      <c r="AD531" s="112"/>
      <c r="AE531" s="112"/>
      <c r="AF531" s="112"/>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c r="BK531" s="124"/>
      <c r="BL531" s="124"/>
      <c r="BM531" s="124"/>
      <c r="BN531" s="124"/>
      <c r="BO531" s="124"/>
      <c r="BP531" s="124"/>
      <c r="BQ531" s="124"/>
      <c r="BR531" s="124"/>
      <c r="BS531" s="124"/>
      <c r="BT531" s="124"/>
      <c r="BU531" s="124"/>
      <c r="BV531" s="124"/>
      <c r="BW531" s="124"/>
      <c r="BX531" s="124"/>
      <c r="BY531" s="124"/>
      <c r="BZ531" s="124"/>
      <c r="CA531" s="124"/>
    </row>
    <row r="532">
      <c r="D532" s="143"/>
      <c r="E532" s="129"/>
      <c r="F532" s="112"/>
      <c r="G532" s="112"/>
      <c r="H532" s="112"/>
      <c r="I532" s="112"/>
      <c r="J532" s="112"/>
      <c r="K532" s="112"/>
      <c r="L532" s="112"/>
      <c r="M532" s="112"/>
      <c r="N532" s="112"/>
      <c r="O532" s="112"/>
      <c r="P532" s="112"/>
      <c r="Q532" s="112"/>
      <c r="R532" s="112"/>
      <c r="S532" s="112"/>
      <c r="T532" s="112"/>
      <c r="U532" s="124"/>
      <c r="V532" s="124"/>
      <c r="W532" s="124"/>
      <c r="X532" s="124"/>
      <c r="Y532" s="124"/>
      <c r="Z532" s="112"/>
      <c r="AA532" s="112"/>
      <c r="AB532" s="112"/>
      <c r="AC532" s="112"/>
      <c r="AD532" s="112"/>
      <c r="AE532" s="112"/>
      <c r="AF532" s="112"/>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c r="BK532" s="124"/>
      <c r="BL532" s="124"/>
      <c r="BM532" s="124"/>
      <c r="BN532" s="124"/>
      <c r="BO532" s="124"/>
      <c r="BP532" s="124"/>
      <c r="BQ532" s="124"/>
      <c r="BR532" s="124"/>
      <c r="BS532" s="124"/>
      <c r="BT532" s="124"/>
      <c r="BU532" s="124"/>
      <c r="BV532" s="124"/>
      <c r="BW532" s="124"/>
      <c r="BX532" s="124"/>
      <c r="BY532" s="124"/>
      <c r="BZ532" s="124"/>
      <c r="CA532" s="124"/>
    </row>
    <row r="533">
      <c r="D533" s="143"/>
      <c r="E533" s="129"/>
      <c r="F533" s="112"/>
      <c r="G533" s="112"/>
      <c r="H533" s="112"/>
      <c r="I533" s="112"/>
      <c r="J533" s="112"/>
      <c r="K533" s="112"/>
      <c r="L533" s="112"/>
      <c r="M533" s="112"/>
      <c r="N533" s="112"/>
      <c r="O533" s="112"/>
      <c r="P533" s="112"/>
      <c r="Q533" s="112"/>
      <c r="R533" s="112"/>
      <c r="S533" s="112"/>
      <c r="T533" s="112"/>
      <c r="U533" s="124"/>
      <c r="V533" s="124"/>
      <c r="W533" s="124"/>
      <c r="X533" s="124"/>
      <c r="Y533" s="124"/>
      <c r="Z533" s="112"/>
      <c r="AA533" s="112"/>
      <c r="AB533" s="112"/>
      <c r="AC533" s="112"/>
      <c r="AD533" s="112"/>
      <c r="AE533" s="112"/>
      <c r="AF533" s="112"/>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c r="BK533" s="124"/>
      <c r="BL533" s="124"/>
      <c r="BM533" s="124"/>
      <c r="BN533" s="124"/>
      <c r="BO533" s="124"/>
      <c r="BP533" s="124"/>
      <c r="BQ533" s="124"/>
      <c r="BR533" s="124"/>
      <c r="BS533" s="124"/>
      <c r="BT533" s="124"/>
      <c r="BU533" s="124"/>
      <c r="BV533" s="124"/>
      <c r="BW533" s="124"/>
      <c r="BX533" s="124"/>
      <c r="BY533" s="124"/>
      <c r="BZ533" s="124"/>
      <c r="CA533" s="124"/>
    </row>
    <row r="534">
      <c r="D534" s="143"/>
      <c r="E534" s="129"/>
      <c r="F534" s="112"/>
      <c r="G534" s="112"/>
      <c r="H534" s="112"/>
      <c r="I534" s="112"/>
      <c r="J534" s="112"/>
      <c r="K534" s="112"/>
      <c r="L534" s="112"/>
      <c r="M534" s="112"/>
      <c r="N534" s="112"/>
      <c r="O534" s="112"/>
      <c r="P534" s="112"/>
      <c r="Q534" s="112"/>
      <c r="R534" s="112"/>
      <c r="S534" s="112"/>
      <c r="T534" s="112"/>
      <c r="U534" s="124"/>
      <c r="V534" s="124"/>
      <c r="W534" s="124"/>
      <c r="X534" s="124"/>
      <c r="Y534" s="124"/>
      <c r="Z534" s="112"/>
      <c r="AA534" s="112"/>
      <c r="AB534" s="112"/>
      <c r="AC534" s="112"/>
      <c r="AD534" s="112"/>
      <c r="AE534" s="112"/>
      <c r="AF534" s="112"/>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c r="BK534" s="124"/>
      <c r="BL534" s="124"/>
      <c r="BM534" s="124"/>
      <c r="BN534" s="124"/>
      <c r="BO534" s="124"/>
      <c r="BP534" s="124"/>
      <c r="BQ534" s="124"/>
      <c r="BR534" s="124"/>
      <c r="BS534" s="124"/>
      <c r="BT534" s="124"/>
      <c r="BU534" s="124"/>
      <c r="BV534" s="124"/>
      <c r="BW534" s="124"/>
      <c r="BX534" s="124"/>
      <c r="BY534" s="124"/>
      <c r="BZ534" s="124"/>
      <c r="CA534" s="124"/>
    </row>
    <row r="535">
      <c r="D535" s="143"/>
      <c r="E535" s="129"/>
      <c r="F535" s="112"/>
      <c r="G535" s="112"/>
      <c r="H535" s="112"/>
      <c r="I535" s="112"/>
      <c r="J535" s="112"/>
      <c r="K535" s="112"/>
      <c r="L535" s="112"/>
      <c r="M535" s="112"/>
      <c r="N535" s="112"/>
      <c r="O535" s="112"/>
      <c r="P535" s="112"/>
      <c r="Q535" s="112"/>
      <c r="R535" s="112"/>
      <c r="S535" s="112"/>
      <c r="T535" s="112"/>
      <c r="U535" s="124"/>
      <c r="V535" s="124"/>
      <c r="W535" s="124"/>
      <c r="X535" s="124"/>
      <c r="Y535" s="124"/>
      <c r="Z535" s="112"/>
      <c r="AA535" s="112"/>
      <c r="AB535" s="112"/>
      <c r="AC535" s="112"/>
      <c r="AD535" s="112"/>
      <c r="AE535" s="112"/>
      <c r="AF535" s="112"/>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c r="BK535" s="124"/>
      <c r="BL535" s="124"/>
      <c r="BM535" s="124"/>
      <c r="BN535" s="124"/>
      <c r="BO535" s="124"/>
      <c r="BP535" s="124"/>
      <c r="BQ535" s="124"/>
      <c r="BR535" s="124"/>
      <c r="BS535" s="124"/>
      <c r="BT535" s="124"/>
      <c r="BU535" s="124"/>
      <c r="BV535" s="124"/>
      <c r="BW535" s="124"/>
      <c r="BX535" s="124"/>
      <c r="BY535" s="124"/>
      <c r="BZ535" s="124"/>
      <c r="CA535" s="124"/>
    </row>
    <row r="536">
      <c r="D536" s="143"/>
      <c r="E536" s="129"/>
      <c r="F536" s="112"/>
      <c r="G536" s="112"/>
      <c r="H536" s="112"/>
      <c r="I536" s="112"/>
      <c r="J536" s="112"/>
      <c r="K536" s="112"/>
      <c r="L536" s="112"/>
      <c r="M536" s="112"/>
      <c r="N536" s="112"/>
      <c r="O536" s="112"/>
      <c r="P536" s="112"/>
      <c r="Q536" s="112"/>
      <c r="R536" s="112"/>
      <c r="S536" s="112"/>
      <c r="T536" s="112"/>
      <c r="U536" s="124"/>
      <c r="V536" s="124"/>
      <c r="W536" s="124"/>
      <c r="X536" s="124"/>
      <c r="Y536" s="124"/>
      <c r="Z536" s="112"/>
      <c r="AA536" s="112"/>
      <c r="AB536" s="112"/>
      <c r="AC536" s="112"/>
      <c r="AD536" s="112"/>
      <c r="AE536" s="112"/>
      <c r="AF536" s="112"/>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c r="BK536" s="124"/>
      <c r="BL536" s="124"/>
      <c r="BM536" s="124"/>
      <c r="BN536" s="124"/>
      <c r="BO536" s="124"/>
      <c r="BP536" s="124"/>
      <c r="BQ536" s="124"/>
      <c r="BR536" s="124"/>
      <c r="BS536" s="124"/>
      <c r="BT536" s="124"/>
      <c r="BU536" s="124"/>
      <c r="BV536" s="124"/>
      <c r="BW536" s="124"/>
      <c r="BX536" s="124"/>
      <c r="BY536" s="124"/>
      <c r="BZ536" s="124"/>
      <c r="CA536" s="124"/>
    </row>
    <row r="537">
      <c r="D537" s="143"/>
      <c r="E537" s="129"/>
      <c r="F537" s="112"/>
      <c r="G537" s="112"/>
      <c r="H537" s="112"/>
      <c r="I537" s="112"/>
      <c r="J537" s="112"/>
      <c r="K537" s="112"/>
      <c r="L537" s="112"/>
      <c r="M537" s="112"/>
      <c r="N537" s="112"/>
      <c r="O537" s="112"/>
      <c r="P537" s="112"/>
      <c r="Q537" s="112"/>
      <c r="R537" s="112"/>
      <c r="S537" s="112"/>
      <c r="T537" s="112"/>
      <c r="U537" s="124"/>
      <c r="V537" s="124"/>
      <c r="W537" s="124"/>
      <c r="X537" s="124"/>
      <c r="Y537" s="124"/>
      <c r="Z537" s="112"/>
      <c r="AA537" s="112"/>
      <c r="AB537" s="112"/>
      <c r="AC537" s="112"/>
      <c r="AD537" s="112"/>
      <c r="AE537" s="112"/>
      <c r="AF537" s="112"/>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c r="BK537" s="124"/>
      <c r="BL537" s="124"/>
      <c r="BM537" s="124"/>
      <c r="BN537" s="124"/>
      <c r="BO537" s="124"/>
      <c r="BP537" s="124"/>
      <c r="BQ537" s="124"/>
      <c r="BR537" s="124"/>
      <c r="BS537" s="124"/>
      <c r="BT537" s="124"/>
      <c r="BU537" s="124"/>
      <c r="BV537" s="124"/>
      <c r="BW537" s="124"/>
      <c r="BX537" s="124"/>
      <c r="BY537" s="124"/>
      <c r="BZ537" s="124"/>
      <c r="CA537" s="124"/>
    </row>
    <row r="538">
      <c r="D538" s="143"/>
      <c r="E538" s="129"/>
      <c r="F538" s="112"/>
      <c r="G538" s="112"/>
      <c r="H538" s="112"/>
      <c r="I538" s="112"/>
      <c r="J538" s="112"/>
      <c r="K538" s="112"/>
      <c r="L538" s="112"/>
      <c r="M538" s="112"/>
      <c r="N538" s="112"/>
      <c r="O538" s="112"/>
      <c r="P538" s="112"/>
      <c r="Q538" s="112"/>
      <c r="R538" s="112"/>
      <c r="S538" s="112"/>
      <c r="T538" s="112"/>
      <c r="U538" s="124"/>
      <c r="V538" s="124"/>
      <c r="W538" s="124"/>
      <c r="X538" s="124"/>
      <c r="Y538" s="124"/>
      <c r="Z538" s="112"/>
      <c r="AA538" s="112"/>
      <c r="AB538" s="112"/>
      <c r="AC538" s="112"/>
      <c r="AD538" s="112"/>
      <c r="AE538" s="112"/>
      <c r="AF538" s="112"/>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c r="BK538" s="124"/>
      <c r="BL538" s="124"/>
      <c r="BM538" s="124"/>
      <c r="BN538" s="124"/>
      <c r="BO538" s="124"/>
      <c r="BP538" s="124"/>
      <c r="BQ538" s="124"/>
      <c r="BR538" s="124"/>
      <c r="BS538" s="124"/>
      <c r="BT538" s="124"/>
      <c r="BU538" s="124"/>
      <c r="BV538" s="124"/>
      <c r="BW538" s="124"/>
      <c r="BX538" s="124"/>
      <c r="BY538" s="124"/>
      <c r="BZ538" s="124"/>
      <c r="CA538" s="124"/>
    </row>
    <row r="539">
      <c r="D539" s="143"/>
      <c r="E539" s="129"/>
      <c r="F539" s="112"/>
      <c r="G539" s="112"/>
      <c r="H539" s="112"/>
      <c r="I539" s="112"/>
      <c r="J539" s="112"/>
      <c r="K539" s="112"/>
      <c r="L539" s="112"/>
      <c r="M539" s="112"/>
      <c r="N539" s="112"/>
      <c r="O539" s="112"/>
      <c r="P539" s="112"/>
      <c r="Q539" s="112"/>
      <c r="R539" s="112"/>
      <c r="S539" s="112"/>
      <c r="T539" s="112"/>
      <c r="U539" s="124"/>
      <c r="V539" s="124"/>
      <c r="W539" s="124"/>
      <c r="X539" s="124"/>
      <c r="Y539" s="124"/>
      <c r="Z539" s="112"/>
      <c r="AA539" s="112"/>
      <c r="AB539" s="112"/>
      <c r="AC539" s="112"/>
      <c r="AD539" s="112"/>
      <c r="AE539" s="112"/>
      <c r="AF539" s="112"/>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c r="BK539" s="124"/>
      <c r="BL539" s="124"/>
      <c r="BM539" s="124"/>
      <c r="BN539" s="124"/>
      <c r="BO539" s="124"/>
      <c r="BP539" s="124"/>
      <c r="BQ539" s="124"/>
      <c r="BR539" s="124"/>
      <c r="BS539" s="124"/>
      <c r="BT539" s="124"/>
      <c r="BU539" s="124"/>
      <c r="BV539" s="124"/>
      <c r="BW539" s="124"/>
      <c r="BX539" s="124"/>
      <c r="BY539" s="124"/>
      <c r="BZ539" s="124"/>
      <c r="CA539" s="124"/>
    </row>
    <row r="540">
      <c r="D540" s="143"/>
      <c r="E540" s="129"/>
      <c r="F540" s="112"/>
      <c r="G540" s="112"/>
      <c r="H540" s="112"/>
      <c r="I540" s="112"/>
      <c r="J540" s="112"/>
      <c r="K540" s="112"/>
      <c r="L540" s="112"/>
      <c r="M540" s="112"/>
      <c r="N540" s="112"/>
      <c r="O540" s="112"/>
      <c r="P540" s="112"/>
      <c r="Q540" s="112"/>
      <c r="R540" s="112"/>
      <c r="S540" s="112"/>
      <c r="T540" s="112"/>
      <c r="U540" s="124"/>
      <c r="V540" s="124"/>
      <c r="W540" s="124"/>
      <c r="X540" s="124"/>
      <c r="Y540" s="124"/>
      <c r="Z540" s="112"/>
      <c r="AA540" s="112"/>
      <c r="AB540" s="112"/>
      <c r="AC540" s="112"/>
      <c r="AD540" s="112"/>
      <c r="AE540" s="112"/>
      <c r="AF540" s="112"/>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c r="BK540" s="124"/>
      <c r="BL540" s="124"/>
      <c r="BM540" s="124"/>
      <c r="BN540" s="124"/>
      <c r="BO540" s="124"/>
      <c r="BP540" s="124"/>
      <c r="BQ540" s="124"/>
      <c r="BR540" s="124"/>
      <c r="BS540" s="124"/>
      <c r="BT540" s="124"/>
      <c r="BU540" s="124"/>
      <c r="BV540" s="124"/>
      <c r="BW540" s="124"/>
      <c r="BX540" s="124"/>
      <c r="BY540" s="124"/>
      <c r="BZ540" s="124"/>
      <c r="CA540" s="124"/>
    </row>
    <row r="541">
      <c r="D541" s="143"/>
      <c r="E541" s="129"/>
      <c r="F541" s="112"/>
      <c r="G541" s="112"/>
      <c r="H541" s="112"/>
      <c r="I541" s="112"/>
      <c r="J541" s="112"/>
      <c r="K541" s="112"/>
      <c r="L541" s="112"/>
      <c r="M541" s="112"/>
      <c r="N541" s="112"/>
      <c r="O541" s="112"/>
      <c r="P541" s="112"/>
      <c r="Q541" s="112"/>
      <c r="R541" s="112"/>
      <c r="S541" s="112"/>
      <c r="T541" s="112"/>
      <c r="U541" s="124"/>
      <c r="V541" s="124"/>
      <c r="W541" s="124"/>
      <c r="X541" s="124"/>
      <c r="Y541" s="124"/>
      <c r="Z541" s="112"/>
      <c r="AA541" s="112"/>
      <c r="AB541" s="112"/>
      <c r="AC541" s="112"/>
      <c r="AD541" s="112"/>
      <c r="AE541" s="112"/>
      <c r="AF541" s="112"/>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c r="BK541" s="124"/>
      <c r="BL541" s="124"/>
      <c r="BM541" s="124"/>
      <c r="BN541" s="124"/>
      <c r="BO541" s="124"/>
      <c r="BP541" s="124"/>
      <c r="BQ541" s="124"/>
      <c r="BR541" s="124"/>
      <c r="BS541" s="124"/>
      <c r="BT541" s="124"/>
      <c r="BU541" s="124"/>
      <c r="BV541" s="124"/>
      <c r="BW541" s="124"/>
      <c r="BX541" s="124"/>
      <c r="BY541" s="124"/>
      <c r="BZ541" s="124"/>
      <c r="CA541" s="124"/>
    </row>
    <row r="542">
      <c r="D542" s="143"/>
      <c r="E542" s="129"/>
      <c r="F542" s="112"/>
      <c r="G542" s="112"/>
      <c r="H542" s="112"/>
      <c r="I542" s="112"/>
      <c r="J542" s="112"/>
      <c r="K542" s="112"/>
      <c r="L542" s="112"/>
      <c r="M542" s="112"/>
      <c r="N542" s="112"/>
      <c r="O542" s="112"/>
      <c r="P542" s="112"/>
      <c r="Q542" s="112"/>
      <c r="R542" s="112"/>
      <c r="S542" s="112"/>
      <c r="T542" s="112"/>
      <c r="U542" s="124"/>
      <c r="V542" s="124"/>
      <c r="W542" s="124"/>
      <c r="X542" s="124"/>
      <c r="Y542" s="124"/>
      <c r="Z542" s="112"/>
      <c r="AA542" s="112"/>
      <c r="AB542" s="112"/>
      <c r="AC542" s="112"/>
      <c r="AD542" s="112"/>
      <c r="AE542" s="112"/>
      <c r="AF542" s="112"/>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row>
    <row r="543">
      <c r="D543" s="143"/>
      <c r="E543" s="129"/>
      <c r="F543" s="112"/>
      <c r="G543" s="112"/>
      <c r="H543" s="112"/>
      <c r="I543" s="112"/>
      <c r="J543" s="112"/>
      <c r="K543" s="112"/>
      <c r="L543" s="112"/>
      <c r="M543" s="112"/>
      <c r="N543" s="112"/>
      <c r="O543" s="112"/>
      <c r="P543" s="112"/>
      <c r="Q543" s="112"/>
      <c r="R543" s="112"/>
      <c r="S543" s="112"/>
      <c r="T543" s="112"/>
      <c r="U543" s="124"/>
      <c r="V543" s="124"/>
      <c r="W543" s="124"/>
      <c r="X543" s="124"/>
      <c r="Y543" s="124"/>
      <c r="Z543" s="112"/>
      <c r="AA543" s="112"/>
      <c r="AB543" s="112"/>
      <c r="AC543" s="112"/>
      <c r="AD543" s="112"/>
      <c r="AE543" s="112"/>
      <c r="AF543" s="112"/>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c r="BK543" s="124"/>
      <c r="BL543" s="124"/>
      <c r="BM543" s="124"/>
      <c r="BN543" s="124"/>
      <c r="BO543" s="124"/>
      <c r="BP543" s="124"/>
      <c r="BQ543" s="124"/>
      <c r="BR543" s="124"/>
      <c r="BS543" s="124"/>
      <c r="BT543" s="124"/>
      <c r="BU543" s="124"/>
      <c r="BV543" s="124"/>
      <c r="BW543" s="124"/>
      <c r="BX543" s="124"/>
      <c r="BY543" s="124"/>
      <c r="BZ543" s="124"/>
      <c r="CA543" s="124"/>
    </row>
    <row r="544">
      <c r="D544" s="143"/>
      <c r="E544" s="129"/>
      <c r="F544" s="112"/>
      <c r="G544" s="112"/>
      <c r="H544" s="112"/>
      <c r="I544" s="112"/>
      <c r="J544" s="112"/>
      <c r="K544" s="112"/>
      <c r="L544" s="112"/>
      <c r="M544" s="112"/>
      <c r="N544" s="112"/>
      <c r="O544" s="112"/>
      <c r="P544" s="112"/>
      <c r="Q544" s="112"/>
      <c r="R544" s="112"/>
      <c r="S544" s="112"/>
      <c r="T544" s="112"/>
      <c r="U544" s="124"/>
      <c r="V544" s="124"/>
      <c r="W544" s="124"/>
      <c r="X544" s="124"/>
      <c r="Y544" s="124"/>
      <c r="Z544" s="112"/>
      <c r="AA544" s="112"/>
      <c r="AB544" s="112"/>
      <c r="AC544" s="112"/>
      <c r="AD544" s="112"/>
      <c r="AE544" s="112"/>
      <c r="AF544" s="112"/>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c r="BK544" s="124"/>
      <c r="BL544" s="124"/>
      <c r="BM544" s="124"/>
      <c r="BN544" s="124"/>
      <c r="BO544" s="124"/>
      <c r="BP544" s="124"/>
      <c r="BQ544" s="124"/>
      <c r="BR544" s="124"/>
      <c r="BS544" s="124"/>
      <c r="BT544" s="124"/>
      <c r="BU544" s="124"/>
      <c r="BV544" s="124"/>
      <c r="BW544" s="124"/>
      <c r="BX544" s="124"/>
      <c r="BY544" s="124"/>
      <c r="BZ544" s="124"/>
      <c r="CA544" s="124"/>
    </row>
    <row r="545">
      <c r="D545" s="143"/>
      <c r="E545" s="129"/>
      <c r="F545" s="112"/>
      <c r="G545" s="112"/>
      <c r="H545" s="112"/>
      <c r="I545" s="112"/>
      <c r="J545" s="112"/>
      <c r="K545" s="112"/>
      <c r="L545" s="112"/>
      <c r="M545" s="112"/>
      <c r="N545" s="112"/>
      <c r="O545" s="112"/>
      <c r="P545" s="112"/>
      <c r="Q545" s="112"/>
      <c r="R545" s="112"/>
      <c r="S545" s="112"/>
      <c r="T545" s="112"/>
      <c r="U545" s="124"/>
      <c r="V545" s="124"/>
      <c r="W545" s="124"/>
      <c r="X545" s="124"/>
      <c r="Y545" s="124"/>
      <c r="Z545" s="112"/>
      <c r="AA545" s="112"/>
      <c r="AB545" s="112"/>
      <c r="AC545" s="112"/>
      <c r="AD545" s="112"/>
      <c r="AE545" s="112"/>
      <c r="AF545" s="112"/>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c r="BK545" s="124"/>
      <c r="BL545" s="124"/>
      <c r="BM545" s="124"/>
      <c r="BN545" s="124"/>
      <c r="BO545" s="124"/>
      <c r="BP545" s="124"/>
      <c r="BQ545" s="124"/>
      <c r="BR545" s="124"/>
      <c r="BS545" s="124"/>
      <c r="BT545" s="124"/>
      <c r="BU545" s="124"/>
      <c r="BV545" s="124"/>
      <c r="BW545" s="124"/>
      <c r="BX545" s="124"/>
      <c r="BY545" s="124"/>
      <c r="BZ545" s="124"/>
      <c r="CA545" s="124"/>
    </row>
    <row r="546">
      <c r="D546" s="143"/>
      <c r="E546" s="129"/>
      <c r="F546" s="112"/>
      <c r="G546" s="112"/>
      <c r="H546" s="112"/>
      <c r="I546" s="112"/>
      <c r="J546" s="112"/>
      <c r="K546" s="112"/>
      <c r="L546" s="112"/>
      <c r="M546" s="112"/>
      <c r="N546" s="112"/>
      <c r="O546" s="112"/>
      <c r="P546" s="112"/>
      <c r="Q546" s="112"/>
      <c r="R546" s="112"/>
      <c r="S546" s="112"/>
      <c r="T546" s="112"/>
      <c r="U546" s="124"/>
      <c r="V546" s="124"/>
      <c r="W546" s="124"/>
      <c r="X546" s="124"/>
      <c r="Y546" s="124"/>
      <c r="Z546" s="112"/>
      <c r="AA546" s="112"/>
      <c r="AB546" s="112"/>
      <c r="AC546" s="112"/>
      <c r="AD546" s="112"/>
      <c r="AE546" s="112"/>
      <c r="AF546" s="112"/>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c r="BK546" s="124"/>
      <c r="BL546" s="124"/>
      <c r="BM546" s="124"/>
      <c r="BN546" s="124"/>
      <c r="BO546" s="124"/>
      <c r="BP546" s="124"/>
      <c r="BQ546" s="124"/>
      <c r="BR546" s="124"/>
      <c r="BS546" s="124"/>
      <c r="BT546" s="124"/>
      <c r="BU546" s="124"/>
      <c r="BV546" s="124"/>
      <c r="BW546" s="124"/>
      <c r="BX546" s="124"/>
      <c r="BY546" s="124"/>
      <c r="BZ546" s="124"/>
      <c r="CA546" s="124"/>
    </row>
    <row r="547">
      <c r="D547" s="143"/>
      <c r="E547" s="129"/>
      <c r="F547" s="112"/>
      <c r="G547" s="112"/>
      <c r="H547" s="112"/>
      <c r="I547" s="112"/>
      <c r="J547" s="112"/>
      <c r="K547" s="112"/>
      <c r="L547" s="112"/>
      <c r="M547" s="112"/>
      <c r="N547" s="112"/>
      <c r="O547" s="112"/>
      <c r="P547" s="112"/>
      <c r="Q547" s="112"/>
      <c r="R547" s="112"/>
      <c r="S547" s="112"/>
      <c r="T547" s="112"/>
      <c r="U547" s="124"/>
      <c r="V547" s="124"/>
      <c r="W547" s="124"/>
      <c r="X547" s="124"/>
      <c r="Y547" s="124"/>
      <c r="Z547" s="112"/>
      <c r="AA547" s="112"/>
      <c r="AB547" s="112"/>
      <c r="AC547" s="112"/>
      <c r="AD547" s="112"/>
      <c r="AE547" s="112"/>
      <c r="AF547" s="112"/>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c r="BK547" s="124"/>
      <c r="BL547" s="124"/>
      <c r="BM547" s="124"/>
      <c r="BN547" s="124"/>
      <c r="BO547" s="124"/>
      <c r="BP547" s="124"/>
      <c r="BQ547" s="124"/>
      <c r="BR547" s="124"/>
      <c r="BS547" s="124"/>
      <c r="BT547" s="124"/>
      <c r="BU547" s="124"/>
      <c r="BV547" s="124"/>
      <c r="BW547" s="124"/>
      <c r="BX547" s="124"/>
      <c r="BY547" s="124"/>
      <c r="BZ547" s="124"/>
      <c r="CA547" s="124"/>
    </row>
    <row r="548">
      <c r="D548" s="143"/>
      <c r="E548" s="129"/>
      <c r="F548" s="112"/>
      <c r="G548" s="112"/>
      <c r="H548" s="112"/>
      <c r="I548" s="112"/>
      <c r="J548" s="112"/>
      <c r="K548" s="112"/>
      <c r="L548" s="112"/>
      <c r="M548" s="112"/>
      <c r="N548" s="112"/>
      <c r="O548" s="112"/>
      <c r="P548" s="112"/>
      <c r="Q548" s="112"/>
      <c r="R548" s="112"/>
      <c r="S548" s="112"/>
      <c r="T548" s="112"/>
      <c r="U548" s="124"/>
      <c r="V548" s="124"/>
      <c r="W548" s="124"/>
      <c r="X548" s="124"/>
      <c r="Y548" s="124"/>
      <c r="Z548" s="112"/>
      <c r="AA548" s="112"/>
      <c r="AB548" s="112"/>
      <c r="AC548" s="112"/>
      <c r="AD548" s="112"/>
      <c r="AE548" s="112"/>
      <c r="AF548" s="112"/>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row>
    <row r="549">
      <c r="D549" s="143"/>
      <c r="E549" s="129"/>
      <c r="F549" s="112"/>
      <c r="G549" s="112"/>
      <c r="H549" s="112"/>
      <c r="I549" s="112"/>
      <c r="J549" s="112"/>
      <c r="K549" s="112"/>
      <c r="L549" s="112"/>
      <c r="M549" s="112"/>
      <c r="N549" s="112"/>
      <c r="O549" s="112"/>
      <c r="P549" s="112"/>
      <c r="Q549" s="112"/>
      <c r="R549" s="112"/>
      <c r="S549" s="112"/>
      <c r="T549" s="112"/>
      <c r="U549" s="124"/>
      <c r="V549" s="124"/>
      <c r="W549" s="124"/>
      <c r="X549" s="124"/>
      <c r="Y549" s="124"/>
      <c r="Z549" s="112"/>
      <c r="AA549" s="112"/>
      <c r="AB549" s="112"/>
      <c r="AC549" s="112"/>
      <c r="AD549" s="112"/>
      <c r="AE549" s="112"/>
      <c r="AF549" s="112"/>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c r="BK549" s="124"/>
      <c r="BL549" s="124"/>
      <c r="BM549" s="124"/>
      <c r="BN549" s="124"/>
      <c r="BO549" s="124"/>
      <c r="BP549" s="124"/>
      <c r="BQ549" s="124"/>
      <c r="BR549" s="124"/>
      <c r="BS549" s="124"/>
      <c r="BT549" s="124"/>
      <c r="BU549" s="124"/>
      <c r="BV549" s="124"/>
      <c r="BW549" s="124"/>
      <c r="BX549" s="124"/>
      <c r="BY549" s="124"/>
      <c r="BZ549" s="124"/>
      <c r="CA549" s="124"/>
    </row>
    <row r="550">
      <c r="D550" s="143"/>
      <c r="E550" s="129"/>
      <c r="F550" s="112"/>
      <c r="G550" s="112"/>
      <c r="H550" s="112"/>
      <c r="I550" s="112"/>
      <c r="J550" s="112"/>
      <c r="K550" s="112"/>
      <c r="L550" s="112"/>
      <c r="M550" s="112"/>
      <c r="N550" s="112"/>
      <c r="O550" s="112"/>
      <c r="P550" s="112"/>
      <c r="Q550" s="112"/>
      <c r="R550" s="112"/>
      <c r="S550" s="112"/>
      <c r="T550" s="112"/>
      <c r="U550" s="124"/>
      <c r="V550" s="124"/>
      <c r="W550" s="124"/>
      <c r="X550" s="124"/>
      <c r="Y550" s="124"/>
      <c r="Z550" s="112"/>
      <c r="AA550" s="112"/>
      <c r="AB550" s="112"/>
      <c r="AC550" s="112"/>
      <c r="AD550" s="112"/>
      <c r="AE550" s="112"/>
      <c r="AF550" s="112"/>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c r="BK550" s="124"/>
      <c r="BL550" s="124"/>
      <c r="BM550" s="124"/>
      <c r="BN550" s="124"/>
      <c r="BO550" s="124"/>
      <c r="BP550" s="124"/>
      <c r="BQ550" s="124"/>
      <c r="BR550" s="124"/>
      <c r="BS550" s="124"/>
      <c r="BT550" s="124"/>
      <c r="BU550" s="124"/>
      <c r="BV550" s="124"/>
      <c r="BW550" s="124"/>
      <c r="BX550" s="124"/>
      <c r="BY550" s="124"/>
      <c r="BZ550" s="124"/>
      <c r="CA550" s="124"/>
    </row>
    <row r="551">
      <c r="D551" s="143"/>
      <c r="E551" s="129"/>
      <c r="F551" s="112"/>
      <c r="G551" s="112"/>
      <c r="H551" s="112"/>
      <c r="I551" s="112"/>
      <c r="J551" s="112"/>
      <c r="K551" s="112"/>
      <c r="L551" s="112"/>
      <c r="M551" s="112"/>
      <c r="N551" s="112"/>
      <c r="O551" s="112"/>
      <c r="P551" s="112"/>
      <c r="Q551" s="112"/>
      <c r="R551" s="112"/>
      <c r="S551" s="112"/>
      <c r="T551" s="112"/>
      <c r="U551" s="124"/>
      <c r="V551" s="124"/>
      <c r="W551" s="124"/>
      <c r="X551" s="124"/>
      <c r="Y551" s="124"/>
      <c r="Z551" s="112"/>
      <c r="AA551" s="112"/>
      <c r="AB551" s="112"/>
      <c r="AC551" s="112"/>
      <c r="AD551" s="112"/>
      <c r="AE551" s="112"/>
      <c r="AF551" s="112"/>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c r="BK551" s="124"/>
      <c r="BL551" s="124"/>
      <c r="BM551" s="124"/>
      <c r="BN551" s="124"/>
      <c r="BO551" s="124"/>
      <c r="BP551" s="124"/>
      <c r="BQ551" s="124"/>
      <c r="BR551" s="124"/>
      <c r="BS551" s="124"/>
      <c r="BT551" s="124"/>
      <c r="BU551" s="124"/>
      <c r="BV551" s="124"/>
      <c r="BW551" s="124"/>
      <c r="BX551" s="124"/>
      <c r="BY551" s="124"/>
      <c r="BZ551" s="124"/>
      <c r="CA551" s="124"/>
    </row>
    <row r="552">
      <c r="D552" s="143"/>
      <c r="E552" s="129"/>
      <c r="F552" s="112"/>
      <c r="G552" s="112"/>
      <c r="H552" s="112"/>
      <c r="I552" s="112"/>
      <c r="J552" s="112"/>
      <c r="K552" s="112"/>
      <c r="L552" s="112"/>
      <c r="M552" s="112"/>
      <c r="N552" s="112"/>
      <c r="O552" s="112"/>
      <c r="P552" s="112"/>
      <c r="Q552" s="112"/>
      <c r="R552" s="112"/>
      <c r="S552" s="112"/>
      <c r="T552" s="112"/>
      <c r="U552" s="124"/>
      <c r="V552" s="124"/>
      <c r="W552" s="124"/>
      <c r="X552" s="124"/>
      <c r="Y552" s="124"/>
      <c r="Z552" s="112"/>
      <c r="AA552" s="112"/>
      <c r="AB552" s="112"/>
      <c r="AC552" s="112"/>
      <c r="AD552" s="112"/>
      <c r="AE552" s="112"/>
      <c r="AF552" s="112"/>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c r="BK552" s="124"/>
      <c r="BL552" s="124"/>
      <c r="BM552" s="124"/>
      <c r="BN552" s="124"/>
      <c r="BO552" s="124"/>
      <c r="BP552" s="124"/>
      <c r="BQ552" s="124"/>
      <c r="BR552" s="124"/>
      <c r="BS552" s="124"/>
      <c r="BT552" s="124"/>
      <c r="BU552" s="124"/>
      <c r="BV552" s="124"/>
      <c r="BW552" s="124"/>
      <c r="BX552" s="124"/>
      <c r="BY552" s="124"/>
      <c r="BZ552" s="124"/>
      <c r="CA552" s="124"/>
    </row>
    <row r="553">
      <c r="D553" s="143"/>
      <c r="E553" s="129"/>
      <c r="F553" s="112"/>
      <c r="G553" s="112"/>
      <c r="H553" s="112"/>
      <c r="I553" s="112"/>
      <c r="J553" s="112"/>
      <c r="K553" s="112"/>
      <c r="L553" s="112"/>
      <c r="M553" s="112"/>
      <c r="N553" s="112"/>
      <c r="O553" s="112"/>
      <c r="P553" s="112"/>
      <c r="Q553" s="112"/>
      <c r="R553" s="112"/>
      <c r="S553" s="112"/>
      <c r="T553" s="112"/>
      <c r="U553" s="124"/>
      <c r="V553" s="124"/>
      <c r="W553" s="124"/>
      <c r="X553" s="124"/>
      <c r="Y553" s="124"/>
      <c r="Z553" s="112"/>
      <c r="AA553" s="112"/>
      <c r="AB553" s="112"/>
      <c r="AC553" s="112"/>
      <c r="AD553" s="112"/>
      <c r="AE553" s="112"/>
      <c r="AF553" s="112"/>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c r="BK553" s="124"/>
      <c r="BL553" s="124"/>
      <c r="BM553" s="124"/>
      <c r="BN553" s="124"/>
      <c r="BO553" s="124"/>
      <c r="BP553" s="124"/>
      <c r="BQ553" s="124"/>
      <c r="BR553" s="124"/>
      <c r="BS553" s="124"/>
      <c r="BT553" s="124"/>
      <c r="BU553" s="124"/>
      <c r="BV553" s="124"/>
      <c r="BW553" s="124"/>
      <c r="BX553" s="124"/>
      <c r="BY553" s="124"/>
      <c r="BZ553" s="124"/>
      <c r="CA553" s="124"/>
    </row>
    <row r="554">
      <c r="D554" s="143"/>
      <c r="E554" s="129"/>
      <c r="F554" s="112"/>
      <c r="G554" s="112"/>
      <c r="H554" s="112"/>
      <c r="I554" s="112"/>
      <c r="J554" s="112"/>
      <c r="K554" s="112"/>
      <c r="L554" s="112"/>
      <c r="M554" s="112"/>
      <c r="N554" s="112"/>
      <c r="O554" s="112"/>
      <c r="P554" s="112"/>
      <c r="Q554" s="112"/>
      <c r="R554" s="112"/>
      <c r="S554" s="112"/>
      <c r="T554" s="112"/>
      <c r="U554" s="124"/>
      <c r="V554" s="124"/>
      <c r="W554" s="124"/>
      <c r="X554" s="124"/>
      <c r="Y554" s="124"/>
      <c r="Z554" s="112"/>
      <c r="AA554" s="112"/>
      <c r="AB554" s="112"/>
      <c r="AC554" s="112"/>
      <c r="AD554" s="112"/>
      <c r="AE554" s="112"/>
      <c r="AF554" s="112"/>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row>
    <row r="555">
      <c r="D555" s="143"/>
      <c r="E555" s="129"/>
      <c r="F555" s="112"/>
      <c r="G555" s="112"/>
      <c r="H555" s="112"/>
      <c r="I555" s="112"/>
      <c r="J555" s="112"/>
      <c r="K555" s="112"/>
      <c r="L555" s="112"/>
      <c r="M555" s="112"/>
      <c r="N555" s="112"/>
      <c r="O555" s="112"/>
      <c r="P555" s="112"/>
      <c r="Q555" s="112"/>
      <c r="R555" s="112"/>
      <c r="S555" s="112"/>
      <c r="T555" s="112"/>
      <c r="U555" s="124"/>
      <c r="V555" s="124"/>
      <c r="W555" s="124"/>
      <c r="X555" s="124"/>
      <c r="Y555" s="124"/>
      <c r="Z555" s="112"/>
      <c r="AA555" s="112"/>
      <c r="AB555" s="112"/>
      <c r="AC555" s="112"/>
      <c r="AD555" s="112"/>
      <c r="AE555" s="112"/>
      <c r="AF555" s="112"/>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c r="BK555" s="124"/>
      <c r="BL555" s="124"/>
      <c r="BM555" s="124"/>
      <c r="BN555" s="124"/>
      <c r="BO555" s="124"/>
      <c r="BP555" s="124"/>
      <c r="BQ555" s="124"/>
      <c r="BR555" s="124"/>
      <c r="BS555" s="124"/>
      <c r="BT555" s="124"/>
      <c r="BU555" s="124"/>
      <c r="BV555" s="124"/>
      <c r="BW555" s="124"/>
      <c r="BX555" s="124"/>
      <c r="BY555" s="124"/>
      <c r="BZ555" s="124"/>
      <c r="CA555" s="124"/>
    </row>
    <row r="556">
      <c r="D556" s="143"/>
      <c r="E556" s="129"/>
      <c r="F556" s="112"/>
      <c r="G556" s="112"/>
      <c r="H556" s="112"/>
      <c r="I556" s="112"/>
      <c r="J556" s="112"/>
      <c r="K556" s="112"/>
      <c r="L556" s="112"/>
      <c r="M556" s="112"/>
      <c r="N556" s="112"/>
      <c r="O556" s="112"/>
      <c r="P556" s="112"/>
      <c r="Q556" s="112"/>
      <c r="R556" s="112"/>
      <c r="S556" s="112"/>
      <c r="T556" s="112"/>
      <c r="U556" s="124"/>
      <c r="V556" s="124"/>
      <c r="W556" s="124"/>
      <c r="X556" s="124"/>
      <c r="Y556" s="124"/>
      <c r="Z556" s="112"/>
      <c r="AA556" s="112"/>
      <c r="AB556" s="112"/>
      <c r="AC556" s="112"/>
      <c r="AD556" s="112"/>
      <c r="AE556" s="112"/>
      <c r="AF556" s="112"/>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c r="BK556" s="124"/>
      <c r="BL556" s="124"/>
      <c r="BM556" s="124"/>
      <c r="BN556" s="124"/>
      <c r="BO556" s="124"/>
      <c r="BP556" s="124"/>
      <c r="BQ556" s="124"/>
      <c r="BR556" s="124"/>
      <c r="BS556" s="124"/>
      <c r="BT556" s="124"/>
      <c r="BU556" s="124"/>
      <c r="BV556" s="124"/>
      <c r="BW556" s="124"/>
      <c r="BX556" s="124"/>
      <c r="BY556" s="124"/>
      <c r="BZ556" s="124"/>
      <c r="CA556" s="124"/>
    </row>
    <row r="557">
      <c r="D557" s="143"/>
      <c r="E557" s="129"/>
      <c r="F557" s="112"/>
      <c r="G557" s="112"/>
      <c r="H557" s="112"/>
      <c r="I557" s="112"/>
      <c r="J557" s="112"/>
      <c r="K557" s="112"/>
      <c r="L557" s="112"/>
      <c r="M557" s="112"/>
      <c r="N557" s="112"/>
      <c r="O557" s="112"/>
      <c r="P557" s="112"/>
      <c r="Q557" s="112"/>
      <c r="R557" s="112"/>
      <c r="S557" s="112"/>
      <c r="T557" s="112"/>
      <c r="U557" s="124"/>
      <c r="V557" s="124"/>
      <c r="W557" s="124"/>
      <c r="X557" s="124"/>
      <c r="Y557" s="124"/>
      <c r="Z557" s="112"/>
      <c r="AA557" s="112"/>
      <c r="AB557" s="112"/>
      <c r="AC557" s="112"/>
      <c r="AD557" s="112"/>
      <c r="AE557" s="112"/>
      <c r="AF557" s="112"/>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c r="BK557" s="124"/>
      <c r="BL557" s="124"/>
      <c r="BM557" s="124"/>
      <c r="BN557" s="124"/>
      <c r="BO557" s="124"/>
      <c r="BP557" s="124"/>
      <c r="BQ557" s="124"/>
      <c r="BR557" s="124"/>
      <c r="BS557" s="124"/>
      <c r="BT557" s="124"/>
      <c r="BU557" s="124"/>
      <c r="BV557" s="124"/>
      <c r="BW557" s="124"/>
      <c r="BX557" s="124"/>
      <c r="BY557" s="124"/>
      <c r="BZ557" s="124"/>
      <c r="CA557" s="124"/>
    </row>
    <row r="558">
      <c r="D558" s="143"/>
      <c r="E558" s="129"/>
      <c r="F558" s="112"/>
      <c r="G558" s="112"/>
      <c r="H558" s="112"/>
      <c r="I558" s="112"/>
      <c r="J558" s="112"/>
      <c r="K558" s="112"/>
      <c r="L558" s="112"/>
      <c r="M558" s="112"/>
      <c r="N558" s="112"/>
      <c r="O558" s="112"/>
      <c r="P558" s="112"/>
      <c r="Q558" s="112"/>
      <c r="R558" s="112"/>
      <c r="S558" s="112"/>
      <c r="T558" s="112"/>
      <c r="U558" s="124"/>
      <c r="V558" s="124"/>
      <c r="W558" s="124"/>
      <c r="X558" s="124"/>
      <c r="Y558" s="124"/>
      <c r="Z558" s="112"/>
      <c r="AA558" s="112"/>
      <c r="AB558" s="112"/>
      <c r="AC558" s="112"/>
      <c r="AD558" s="112"/>
      <c r="AE558" s="112"/>
      <c r="AF558" s="112"/>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c r="BK558" s="124"/>
      <c r="BL558" s="124"/>
      <c r="BM558" s="124"/>
      <c r="BN558" s="124"/>
      <c r="BO558" s="124"/>
      <c r="BP558" s="124"/>
      <c r="BQ558" s="124"/>
      <c r="BR558" s="124"/>
      <c r="BS558" s="124"/>
      <c r="BT558" s="124"/>
      <c r="BU558" s="124"/>
      <c r="BV558" s="124"/>
      <c r="BW558" s="124"/>
      <c r="BX558" s="124"/>
      <c r="BY558" s="124"/>
      <c r="BZ558" s="124"/>
      <c r="CA558" s="124"/>
    </row>
    <row r="559">
      <c r="D559" s="143"/>
      <c r="E559" s="129"/>
      <c r="F559" s="112"/>
      <c r="G559" s="112"/>
      <c r="H559" s="112"/>
      <c r="I559" s="112"/>
      <c r="J559" s="112"/>
      <c r="K559" s="112"/>
      <c r="L559" s="112"/>
      <c r="M559" s="112"/>
      <c r="N559" s="112"/>
      <c r="O559" s="112"/>
      <c r="P559" s="112"/>
      <c r="Q559" s="112"/>
      <c r="R559" s="112"/>
      <c r="S559" s="112"/>
      <c r="T559" s="112"/>
      <c r="U559" s="124"/>
      <c r="V559" s="124"/>
      <c r="W559" s="124"/>
      <c r="X559" s="124"/>
      <c r="Y559" s="124"/>
      <c r="Z559" s="112"/>
      <c r="AA559" s="112"/>
      <c r="AB559" s="112"/>
      <c r="AC559" s="112"/>
      <c r="AD559" s="112"/>
      <c r="AE559" s="112"/>
      <c r="AF559" s="112"/>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c r="BK559" s="124"/>
      <c r="BL559" s="124"/>
      <c r="BM559" s="124"/>
      <c r="BN559" s="124"/>
      <c r="BO559" s="124"/>
      <c r="BP559" s="124"/>
      <c r="BQ559" s="124"/>
      <c r="BR559" s="124"/>
      <c r="BS559" s="124"/>
      <c r="BT559" s="124"/>
      <c r="BU559" s="124"/>
      <c r="BV559" s="124"/>
      <c r="BW559" s="124"/>
      <c r="BX559" s="124"/>
      <c r="BY559" s="124"/>
      <c r="BZ559" s="124"/>
      <c r="CA559" s="124"/>
    </row>
    <row r="560">
      <c r="D560" s="143"/>
      <c r="E560" s="129"/>
      <c r="F560" s="112"/>
      <c r="G560" s="112"/>
      <c r="H560" s="112"/>
      <c r="I560" s="112"/>
      <c r="J560" s="112"/>
      <c r="K560" s="112"/>
      <c r="L560" s="112"/>
      <c r="M560" s="112"/>
      <c r="N560" s="112"/>
      <c r="O560" s="112"/>
      <c r="P560" s="112"/>
      <c r="Q560" s="112"/>
      <c r="R560" s="112"/>
      <c r="S560" s="112"/>
      <c r="T560" s="112"/>
      <c r="U560" s="124"/>
      <c r="V560" s="124"/>
      <c r="W560" s="124"/>
      <c r="X560" s="124"/>
      <c r="Y560" s="124"/>
      <c r="Z560" s="112"/>
      <c r="AA560" s="112"/>
      <c r="AB560" s="112"/>
      <c r="AC560" s="112"/>
      <c r="AD560" s="112"/>
      <c r="AE560" s="112"/>
      <c r="AF560" s="112"/>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row>
    <row r="561">
      <c r="D561" s="143"/>
      <c r="E561" s="129"/>
      <c r="F561" s="112"/>
      <c r="G561" s="112"/>
      <c r="H561" s="112"/>
      <c r="I561" s="112"/>
      <c r="J561" s="112"/>
      <c r="K561" s="112"/>
      <c r="L561" s="112"/>
      <c r="M561" s="112"/>
      <c r="N561" s="112"/>
      <c r="O561" s="112"/>
      <c r="P561" s="112"/>
      <c r="Q561" s="112"/>
      <c r="R561" s="112"/>
      <c r="S561" s="112"/>
      <c r="T561" s="112"/>
      <c r="U561" s="124"/>
      <c r="V561" s="124"/>
      <c r="W561" s="124"/>
      <c r="X561" s="124"/>
      <c r="Y561" s="124"/>
      <c r="Z561" s="112"/>
      <c r="AA561" s="112"/>
      <c r="AB561" s="112"/>
      <c r="AC561" s="112"/>
      <c r="AD561" s="112"/>
      <c r="AE561" s="112"/>
      <c r="AF561" s="112"/>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c r="BK561" s="124"/>
      <c r="BL561" s="124"/>
      <c r="BM561" s="124"/>
      <c r="BN561" s="124"/>
      <c r="BO561" s="124"/>
      <c r="BP561" s="124"/>
      <c r="BQ561" s="124"/>
      <c r="BR561" s="124"/>
      <c r="BS561" s="124"/>
      <c r="BT561" s="124"/>
      <c r="BU561" s="124"/>
      <c r="BV561" s="124"/>
      <c r="BW561" s="124"/>
      <c r="BX561" s="124"/>
      <c r="BY561" s="124"/>
      <c r="BZ561" s="124"/>
      <c r="CA561" s="124"/>
    </row>
    <row r="562">
      <c r="D562" s="143"/>
      <c r="E562" s="129"/>
      <c r="F562" s="112"/>
      <c r="G562" s="112"/>
      <c r="H562" s="112"/>
      <c r="I562" s="112"/>
      <c r="J562" s="112"/>
      <c r="K562" s="112"/>
      <c r="L562" s="112"/>
      <c r="M562" s="112"/>
      <c r="N562" s="112"/>
      <c r="O562" s="112"/>
      <c r="P562" s="112"/>
      <c r="Q562" s="112"/>
      <c r="R562" s="112"/>
      <c r="S562" s="112"/>
      <c r="T562" s="112"/>
      <c r="U562" s="124"/>
      <c r="V562" s="124"/>
      <c r="W562" s="124"/>
      <c r="X562" s="124"/>
      <c r="Y562" s="124"/>
      <c r="Z562" s="112"/>
      <c r="AA562" s="112"/>
      <c r="AB562" s="112"/>
      <c r="AC562" s="112"/>
      <c r="AD562" s="112"/>
      <c r="AE562" s="112"/>
      <c r="AF562" s="112"/>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c r="BK562" s="124"/>
      <c r="BL562" s="124"/>
      <c r="BM562" s="124"/>
      <c r="BN562" s="124"/>
      <c r="BO562" s="124"/>
      <c r="BP562" s="124"/>
      <c r="BQ562" s="124"/>
      <c r="BR562" s="124"/>
      <c r="BS562" s="124"/>
      <c r="BT562" s="124"/>
      <c r="BU562" s="124"/>
      <c r="BV562" s="124"/>
      <c r="BW562" s="124"/>
      <c r="BX562" s="124"/>
      <c r="BY562" s="124"/>
      <c r="BZ562" s="124"/>
      <c r="CA562" s="124"/>
    </row>
    <row r="563">
      <c r="D563" s="143"/>
      <c r="E563" s="129"/>
      <c r="F563" s="112"/>
      <c r="G563" s="112"/>
      <c r="H563" s="112"/>
      <c r="I563" s="112"/>
      <c r="J563" s="112"/>
      <c r="K563" s="112"/>
      <c r="L563" s="112"/>
      <c r="M563" s="112"/>
      <c r="N563" s="112"/>
      <c r="O563" s="112"/>
      <c r="P563" s="112"/>
      <c r="Q563" s="112"/>
      <c r="R563" s="112"/>
      <c r="S563" s="112"/>
      <c r="T563" s="112"/>
      <c r="U563" s="124"/>
      <c r="V563" s="124"/>
      <c r="W563" s="124"/>
      <c r="X563" s="124"/>
      <c r="Y563" s="124"/>
      <c r="Z563" s="112"/>
      <c r="AA563" s="112"/>
      <c r="AB563" s="112"/>
      <c r="AC563" s="112"/>
      <c r="AD563" s="112"/>
      <c r="AE563" s="112"/>
      <c r="AF563" s="112"/>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c r="BK563" s="124"/>
      <c r="BL563" s="124"/>
      <c r="BM563" s="124"/>
      <c r="BN563" s="124"/>
      <c r="BO563" s="124"/>
      <c r="BP563" s="124"/>
      <c r="BQ563" s="124"/>
      <c r="BR563" s="124"/>
      <c r="BS563" s="124"/>
      <c r="BT563" s="124"/>
      <c r="BU563" s="124"/>
      <c r="BV563" s="124"/>
      <c r="BW563" s="124"/>
      <c r="BX563" s="124"/>
      <c r="BY563" s="124"/>
      <c r="BZ563" s="124"/>
      <c r="CA563" s="124"/>
    </row>
    <row r="564">
      <c r="D564" s="143"/>
      <c r="E564" s="129"/>
      <c r="F564" s="112"/>
      <c r="G564" s="112"/>
      <c r="H564" s="112"/>
      <c r="I564" s="112"/>
      <c r="J564" s="112"/>
      <c r="K564" s="112"/>
      <c r="L564" s="112"/>
      <c r="M564" s="112"/>
      <c r="N564" s="112"/>
      <c r="O564" s="112"/>
      <c r="P564" s="112"/>
      <c r="Q564" s="112"/>
      <c r="R564" s="112"/>
      <c r="S564" s="112"/>
      <c r="T564" s="112"/>
      <c r="U564" s="124"/>
      <c r="V564" s="124"/>
      <c r="W564" s="124"/>
      <c r="X564" s="124"/>
      <c r="Y564" s="124"/>
      <c r="Z564" s="112"/>
      <c r="AA564" s="112"/>
      <c r="AB564" s="112"/>
      <c r="AC564" s="112"/>
      <c r="AD564" s="112"/>
      <c r="AE564" s="112"/>
      <c r="AF564" s="112"/>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c r="BK564" s="124"/>
      <c r="BL564" s="124"/>
      <c r="BM564" s="124"/>
      <c r="BN564" s="124"/>
      <c r="BO564" s="124"/>
      <c r="BP564" s="124"/>
      <c r="BQ564" s="124"/>
      <c r="BR564" s="124"/>
      <c r="BS564" s="124"/>
      <c r="BT564" s="124"/>
      <c r="BU564" s="124"/>
      <c r="BV564" s="124"/>
      <c r="BW564" s="124"/>
      <c r="BX564" s="124"/>
      <c r="BY564" s="124"/>
      <c r="BZ564" s="124"/>
      <c r="CA564" s="124"/>
    </row>
    <row r="565">
      <c r="D565" s="143"/>
      <c r="E565" s="129"/>
      <c r="F565" s="112"/>
      <c r="G565" s="112"/>
      <c r="H565" s="112"/>
      <c r="I565" s="112"/>
      <c r="J565" s="112"/>
      <c r="K565" s="112"/>
      <c r="L565" s="112"/>
      <c r="M565" s="112"/>
      <c r="N565" s="112"/>
      <c r="O565" s="112"/>
      <c r="P565" s="112"/>
      <c r="Q565" s="112"/>
      <c r="R565" s="112"/>
      <c r="S565" s="112"/>
      <c r="T565" s="112"/>
      <c r="U565" s="124"/>
      <c r="V565" s="124"/>
      <c r="W565" s="124"/>
      <c r="X565" s="124"/>
      <c r="Y565" s="124"/>
      <c r="Z565" s="112"/>
      <c r="AA565" s="112"/>
      <c r="AB565" s="112"/>
      <c r="AC565" s="112"/>
      <c r="AD565" s="112"/>
      <c r="AE565" s="112"/>
      <c r="AF565" s="112"/>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c r="BK565" s="124"/>
      <c r="BL565" s="124"/>
      <c r="BM565" s="124"/>
      <c r="BN565" s="124"/>
      <c r="BO565" s="124"/>
      <c r="BP565" s="124"/>
      <c r="BQ565" s="124"/>
      <c r="BR565" s="124"/>
      <c r="BS565" s="124"/>
      <c r="BT565" s="124"/>
      <c r="BU565" s="124"/>
      <c r="BV565" s="124"/>
      <c r="BW565" s="124"/>
      <c r="BX565" s="124"/>
      <c r="BY565" s="124"/>
      <c r="BZ565" s="124"/>
      <c r="CA565" s="124"/>
    </row>
    <row r="566">
      <c r="D566" s="143"/>
      <c r="E566" s="129"/>
      <c r="F566" s="112"/>
      <c r="G566" s="112"/>
      <c r="H566" s="112"/>
      <c r="I566" s="112"/>
      <c r="J566" s="112"/>
      <c r="K566" s="112"/>
      <c r="L566" s="112"/>
      <c r="M566" s="112"/>
      <c r="N566" s="112"/>
      <c r="O566" s="112"/>
      <c r="P566" s="112"/>
      <c r="Q566" s="112"/>
      <c r="R566" s="112"/>
      <c r="S566" s="112"/>
      <c r="T566" s="112"/>
      <c r="U566" s="124"/>
      <c r="V566" s="124"/>
      <c r="W566" s="124"/>
      <c r="X566" s="124"/>
      <c r="Y566" s="124"/>
      <c r="Z566" s="112"/>
      <c r="AA566" s="112"/>
      <c r="AB566" s="112"/>
      <c r="AC566" s="112"/>
      <c r="AD566" s="112"/>
      <c r="AE566" s="112"/>
      <c r="AF566" s="112"/>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row>
    <row r="567">
      <c r="D567" s="143"/>
      <c r="E567" s="129"/>
      <c r="F567" s="112"/>
      <c r="G567" s="112"/>
      <c r="H567" s="112"/>
      <c r="I567" s="112"/>
      <c r="J567" s="112"/>
      <c r="K567" s="112"/>
      <c r="L567" s="112"/>
      <c r="M567" s="112"/>
      <c r="N567" s="112"/>
      <c r="O567" s="112"/>
      <c r="P567" s="112"/>
      <c r="Q567" s="112"/>
      <c r="R567" s="112"/>
      <c r="S567" s="112"/>
      <c r="T567" s="112"/>
      <c r="U567" s="124"/>
      <c r="V567" s="124"/>
      <c r="W567" s="124"/>
      <c r="X567" s="124"/>
      <c r="Y567" s="124"/>
      <c r="Z567" s="112"/>
      <c r="AA567" s="112"/>
      <c r="AB567" s="112"/>
      <c r="AC567" s="112"/>
      <c r="AD567" s="112"/>
      <c r="AE567" s="112"/>
      <c r="AF567" s="112"/>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c r="BK567" s="124"/>
      <c r="BL567" s="124"/>
      <c r="BM567" s="124"/>
      <c r="BN567" s="124"/>
      <c r="BO567" s="124"/>
      <c r="BP567" s="124"/>
      <c r="BQ567" s="124"/>
      <c r="BR567" s="124"/>
      <c r="BS567" s="124"/>
      <c r="BT567" s="124"/>
      <c r="BU567" s="124"/>
      <c r="BV567" s="124"/>
      <c r="BW567" s="124"/>
      <c r="BX567" s="124"/>
      <c r="BY567" s="124"/>
      <c r="BZ567" s="124"/>
      <c r="CA567" s="124"/>
    </row>
    <row r="568">
      <c r="D568" s="143"/>
      <c r="E568" s="129"/>
      <c r="F568" s="112"/>
      <c r="G568" s="112"/>
      <c r="H568" s="112"/>
      <c r="I568" s="112"/>
      <c r="J568" s="112"/>
      <c r="K568" s="112"/>
      <c r="L568" s="112"/>
      <c r="M568" s="112"/>
      <c r="N568" s="112"/>
      <c r="O568" s="112"/>
      <c r="P568" s="112"/>
      <c r="Q568" s="112"/>
      <c r="R568" s="112"/>
      <c r="S568" s="112"/>
      <c r="T568" s="112"/>
      <c r="U568" s="124"/>
      <c r="V568" s="124"/>
      <c r="W568" s="124"/>
      <c r="X568" s="124"/>
      <c r="Y568" s="124"/>
      <c r="Z568" s="112"/>
      <c r="AA568" s="112"/>
      <c r="AB568" s="112"/>
      <c r="AC568" s="112"/>
      <c r="AD568" s="112"/>
      <c r="AE568" s="112"/>
      <c r="AF568" s="112"/>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c r="BK568" s="124"/>
      <c r="BL568" s="124"/>
      <c r="BM568" s="124"/>
      <c r="BN568" s="124"/>
      <c r="BO568" s="124"/>
      <c r="BP568" s="124"/>
      <c r="BQ568" s="124"/>
      <c r="BR568" s="124"/>
      <c r="BS568" s="124"/>
      <c r="BT568" s="124"/>
      <c r="BU568" s="124"/>
      <c r="BV568" s="124"/>
      <c r="BW568" s="124"/>
      <c r="BX568" s="124"/>
      <c r="BY568" s="124"/>
      <c r="BZ568" s="124"/>
      <c r="CA568" s="124"/>
    </row>
    <row r="569">
      <c r="D569" s="143"/>
      <c r="E569" s="129"/>
      <c r="F569" s="112"/>
      <c r="G569" s="112"/>
      <c r="H569" s="112"/>
      <c r="I569" s="112"/>
      <c r="J569" s="112"/>
      <c r="K569" s="112"/>
      <c r="L569" s="112"/>
      <c r="M569" s="112"/>
      <c r="N569" s="112"/>
      <c r="O569" s="112"/>
      <c r="P569" s="112"/>
      <c r="Q569" s="112"/>
      <c r="R569" s="112"/>
      <c r="S569" s="112"/>
      <c r="T569" s="112"/>
      <c r="U569" s="124"/>
      <c r="V569" s="124"/>
      <c r="W569" s="124"/>
      <c r="X569" s="124"/>
      <c r="Y569" s="124"/>
      <c r="Z569" s="112"/>
      <c r="AA569" s="112"/>
      <c r="AB569" s="112"/>
      <c r="AC569" s="112"/>
      <c r="AD569" s="112"/>
      <c r="AE569" s="112"/>
      <c r="AF569" s="112"/>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c r="BK569" s="124"/>
      <c r="BL569" s="124"/>
      <c r="BM569" s="124"/>
      <c r="BN569" s="124"/>
      <c r="BO569" s="124"/>
      <c r="BP569" s="124"/>
      <c r="BQ569" s="124"/>
      <c r="BR569" s="124"/>
      <c r="BS569" s="124"/>
      <c r="BT569" s="124"/>
      <c r="BU569" s="124"/>
      <c r="BV569" s="124"/>
      <c r="BW569" s="124"/>
      <c r="BX569" s="124"/>
      <c r="BY569" s="124"/>
      <c r="BZ569" s="124"/>
      <c r="CA569" s="124"/>
    </row>
    <row r="570">
      <c r="D570" s="143"/>
      <c r="E570" s="129"/>
      <c r="F570" s="112"/>
      <c r="G570" s="112"/>
      <c r="H570" s="112"/>
      <c r="I570" s="112"/>
      <c r="J570" s="112"/>
      <c r="K570" s="112"/>
      <c r="L570" s="112"/>
      <c r="M570" s="112"/>
      <c r="N570" s="112"/>
      <c r="O570" s="112"/>
      <c r="P570" s="112"/>
      <c r="Q570" s="112"/>
      <c r="R570" s="112"/>
      <c r="S570" s="112"/>
      <c r="T570" s="112"/>
      <c r="U570" s="124"/>
      <c r="V570" s="124"/>
      <c r="W570" s="124"/>
      <c r="X570" s="124"/>
      <c r="Y570" s="124"/>
      <c r="Z570" s="112"/>
      <c r="AA570" s="112"/>
      <c r="AB570" s="112"/>
      <c r="AC570" s="112"/>
      <c r="AD570" s="112"/>
      <c r="AE570" s="112"/>
      <c r="AF570" s="112"/>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c r="BK570" s="124"/>
      <c r="BL570" s="124"/>
      <c r="BM570" s="124"/>
      <c r="BN570" s="124"/>
      <c r="BO570" s="124"/>
      <c r="BP570" s="124"/>
      <c r="BQ570" s="124"/>
      <c r="BR570" s="124"/>
      <c r="BS570" s="124"/>
      <c r="BT570" s="124"/>
      <c r="BU570" s="124"/>
      <c r="BV570" s="124"/>
      <c r="BW570" s="124"/>
      <c r="BX570" s="124"/>
      <c r="BY570" s="124"/>
      <c r="BZ570" s="124"/>
      <c r="CA570" s="124"/>
    </row>
    <row r="571">
      <c r="D571" s="143"/>
      <c r="E571" s="129"/>
      <c r="F571" s="112"/>
      <c r="G571" s="112"/>
      <c r="H571" s="112"/>
      <c r="I571" s="112"/>
      <c r="J571" s="112"/>
      <c r="K571" s="112"/>
      <c r="L571" s="112"/>
      <c r="M571" s="112"/>
      <c r="N571" s="112"/>
      <c r="O571" s="112"/>
      <c r="P571" s="112"/>
      <c r="Q571" s="112"/>
      <c r="R571" s="112"/>
      <c r="S571" s="112"/>
      <c r="T571" s="112"/>
      <c r="U571" s="124"/>
      <c r="V571" s="124"/>
      <c r="W571" s="124"/>
      <c r="X571" s="124"/>
      <c r="Y571" s="124"/>
      <c r="Z571" s="112"/>
      <c r="AA571" s="112"/>
      <c r="AB571" s="112"/>
      <c r="AC571" s="112"/>
      <c r="AD571" s="112"/>
      <c r="AE571" s="112"/>
      <c r="AF571" s="112"/>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c r="BK571" s="124"/>
      <c r="BL571" s="124"/>
      <c r="BM571" s="124"/>
      <c r="BN571" s="124"/>
      <c r="BO571" s="124"/>
      <c r="BP571" s="124"/>
      <c r="BQ571" s="124"/>
      <c r="BR571" s="124"/>
      <c r="BS571" s="124"/>
      <c r="BT571" s="124"/>
      <c r="BU571" s="124"/>
      <c r="BV571" s="124"/>
      <c r="BW571" s="124"/>
      <c r="BX571" s="124"/>
      <c r="BY571" s="124"/>
      <c r="BZ571" s="124"/>
      <c r="CA571" s="124"/>
    </row>
    <row r="572">
      <c r="D572" s="143"/>
      <c r="E572" s="129"/>
      <c r="F572" s="112"/>
      <c r="G572" s="112"/>
      <c r="H572" s="112"/>
      <c r="I572" s="112"/>
      <c r="J572" s="112"/>
      <c r="K572" s="112"/>
      <c r="L572" s="112"/>
      <c r="M572" s="112"/>
      <c r="N572" s="112"/>
      <c r="O572" s="112"/>
      <c r="P572" s="112"/>
      <c r="Q572" s="112"/>
      <c r="R572" s="112"/>
      <c r="S572" s="112"/>
      <c r="T572" s="112"/>
      <c r="U572" s="124"/>
      <c r="V572" s="124"/>
      <c r="W572" s="124"/>
      <c r="X572" s="124"/>
      <c r="Y572" s="124"/>
      <c r="Z572" s="112"/>
      <c r="AA572" s="112"/>
      <c r="AB572" s="112"/>
      <c r="AC572" s="112"/>
      <c r="AD572" s="112"/>
      <c r="AE572" s="112"/>
      <c r="AF572" s="112"/>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row>
    <row r="573">
      <c r="D573" s="143"/>
      <c r="E573" s="129"/>
      <c r="F573" s="112"/>
      <c r="G573" s="112"/>
      <c r="H573" s="112"/>
      <c r="I573" s="112"/>
      <c r="J573" s="112"/>
      <c r="K573" s="112"/>
      <c r="L573" s="112"/>
      <c r="M573" s="112"/>
      <c r="N573" s="112"/>
      <c r="O573" s="112"/>
      <c r="P573" s="112"/>
      <c r="Q573" s="112"/>
      <c r="R573" s="112"/>
      <c r="S573" s="112"/>
      <c r="T573" s="112"/>
      <c r="U573" s="124"/>
      <c r="V573" s="124"/>
      <c r="W573" s="124"/>
      <c r="X573" s="124"/>
      <c r="Y573" s="124"/>
      <c r="Z573" s="112"/>
      <c r="AA573" s="112"/>
      <c r="AB573" s="112"/>
      <c r="AC573" s="112"/>
      <c r="AD573" s="112"/>
      <c r="AE573" s="112"/>
      <c r="AF573" s="112"/>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c r="BK573" s="124"/>
      <c r="BL573" s="124"/>
      <c r="BM573" s="124"/>
      <c r="BN573" s="124"/>
      <c r="BO573" s="124"/>
      <c r="BP573" s="124"/>
      <c r="BQ573" s="124"/>
      <c r="BR573" s="124"/>
      <c r="BS573" s="124"/>
      <c r="BT573" s="124"/>
      <c r="BU573" s="124"/>
      <c r="BV573" s="124"/>
      <c r="BW573" s="124"/>
      <c r="BX573" s="124"/>
      <c r="BY573" s="124"/>
      <c r="BZ573" s="124"/>
      <c r="CA573" s="124"/>
    </row>
    <row r="574">
      <c r="D574" s="143"/>
      <c r="E574" s="129"/>
      <c r="F574" s="112"/>
      <c r="G574" s="112"/>
      <c r="H574" s="112"/>
      <c r="I574" s="112"/>
      <c r="J574" s="112"/>
      <c r="K574" s="112"/>
      <c r="L574" s="112"/>
      <c r="M574" s="112"/>
      <c r="N574" s="112"/>
      <c r="O574" s="112"/>
      <c r="P574" s="112"/>
      <c r="Q574" s="112"/>
      <c r="R574" s="112"/>
      <c r="S574" s="112"/>
      <c r="T574" s="112"/>
      <c r="U574" s="124"/>
      <c r="V574" s="124"/>
      <c r="W574" s="124"/>
      <c r="X574" s="124"/>
      <c r="Y574" s="124"/>
      <c r="Z574" s="112"/>
      <c r="AA574" s="112"/>
      <c r="AB574" s="112"/>
      <c r="AC574" s="112"/>
      <c r="AD574" s="112"/>
      <c r="AE574" s="112"/>
      <c r="AF574" s="112"/>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c r="BK574" s="124"/>
      <c r="BL574" s="124"/>
      <c r="BM574" s="124"/>
      <c r="BN574" s="124"/>
      <c r="BO574" s="124"/>
      <c r="BP574" s="124"/>
      <c r="BQ574" s="124"/>
      <c r="BR574" s="124"/>
      <c r="BS574" s="124"/>
      <c r="BT574" s="124"/>
      <c r="BU574" s="124"/>
      <c r="BV574" s="124"/>
      <c r="BW574" s="124"/>
      <c r="BX574" s="124"/>
      <c r="BY574" s="124"/>
      <c r="BZ574" s="124"/>
      <c r="CA574" s="124"/>
    </row>
    <row r="575">
      <c r="D575" s="143"/>
      <c r="E575" s="129"/>
      <c r="F575" s="112"/>
      <c r="G575" s="112"/>
      <c r="H575" s="112"/>
      <c r="I575" s="112"/>
      <c r="J575" s="112"/>
      <c r="K575" s="112"/>
      <c r="L575" s="112"/>
      <c r="M575" s="112"/>
      <c r="N575" s="112"/>
      <c r="O575" s="112"/>
      <c r="P575" s="112"/>
      <c r="Q575" s="112"/>
      <c r="R575" s="112"/>
      <c r="S575" s="112"/>
      <c r="T575" s="112"/>
      <c r="U575" s="124"/>
      <c r="V575" s="124"/>
      <c r="W575" s="124"/>
      <c r="X575" s="124"/>
      <c r="Y575" s="124"/>
      <c r="Z575" s="112"/>
      <c r="AA575" s="112"/>
      <c r="AB575" s="112"/>
      <c r="AC575" s="112"/>
      <c r="AD575" s="112"/>
      <c r="AE575" s="112"/>
      <c r="AF575" s="112"/>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c r="BK575" s="124"/>
      <c r="BL575" s="124"/>
      <c r="BM575" s="124"/>
      <c r="BN575" s="124"/>
      <c r="BO575" s="124"/>
      <c r="BP575" s="124"/>
      <c r="BQ575" s="124"/>
      <c r="BR575" s="124"/>
      <c r="BS575" s="124"/>
      <c r="BT575" s="124"/>
      <c r="BU575" s="124"/>
      <c r="BV575" s="124"/>
      <c r="BW575" s="124"/>
      <c r="BX575" s="124"/>
      <c r="BY575" s="124"/>
      <c r="BZ575" s="124"/>
      <c r="CA575" s="124"/>
    </row>
    <row r="576">
      <c r="D576" s="143"/>
      <c r="E576" s="129"/>
      <c r="F576" s="112"/>
      <c r="G576" s="112"/>
      <c r="H576" s="112"/>
      <c r="I576" s="112"/>
      <c r="J576" s="112"/>
      <c r="K576" s="112"/>
      <c r="L576" s="112"/>
      <c r="M576" s="112"/>
      <c r="N576" s="112"/>
      <c r="O576" s="112"/>
      <c r="P576" s="112"/>
      <c r="Q576" s="112"/>
      <c r="R576" s="112"/>
      <c r="S576" s="112"/>
      <c r="T576" s="112"/>
      <c r="U576" s="124"/>
      <c r="V576" s="124"/>
      <c r="W576" s="124"/>
      <c r="X576" s="124"/>
      <c r="Y576" s="124"/>
      <c r="Z576" s="112"/>
      <c r="AA576" s="112"/>
      <c r="AB576" s="112"/>
      <c r="AC576" s="112"/>
      <c r="AD576" s="112"/>
      <c r="AE576" s="112"/>
      <c r="AF576" s="112"/>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c r="BK576" s="124"/>
      <c r="BL576" s="124"/>
      <c r="BM576" s="124"/>
      <c r="BN576" s="124"/>
      <c r="BO576" s="124"/>
      <c r="BP576" s="124"/>
      <c r="BQ576" s="124"/>
      <c r="BR576" s="124"/>
      <c r="BS576" s="124"/>
      <c r="BT576" s="124"/>
      <c r="BU576" s="124"/>
      <c r="BV576" s="124"/>
      <c r="BW576" s="124"/>
      <c r="BX576" s="124"/>
      <c r="BY576" s="124"/>
      <c r="BZ576" s="124"/>
      <c r="CA576" s="124"/>
    </row>
    <row r="577">
      <c r="D577" s="143"/>
      <c r="E577" s="129"/>
      <c r="F577" s="112"/>
      <c r="G577" s="112"/>
      <c r="H577" s="112"/>
      <c r="I577" s="112"/>
      <c r="J577" s="112"/>
      <c r="K577" s="112"/>
      <c r="L577" s="112"/>
      <c r="M577" s="112"/>
      <c r="N577" s="112"/>
      <c r="O577" s="112"/>
      <c r="P577" s="112"/>
      <c r="Q577" s="112"/>
      <c r="R577" s="112"/>
      <c r="S577" s="112"/>
      <c r="T577" s="112"/>
      <c r="U577" s="124"/>
      <c r="V577" s="124"/>
      <c r="W577" s="124"/>
      <c r="X577" s="124"/>
      <c r="Y577" s="124"/>
      <c r="Z577" s="112"/>
      <c r="AA577" s="112"/>
      <c r="AB577" s="112"/>
      <c r="AC577" s="112"/>
      <c r="AD577" s="112"/>
      <c r="AE577" s="112"/>
      <c r="AF577" s="112"/>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c r="BK577" s="124"/>
      <c r="BL577" s="124"/>
      <c r="BM577" s="124"/>
      <c r="BN577" s="124"/>
      <c r="BO577" s="124"/>
      <c r="BP577" s="124"/>
      <c r="BQ577" s="124"/>
      <c r="BR577" s="124"/>
      <c r="BS577" s="124"/>
      <c r="BT577" s="124"/>
      <c r="BU577" s="124"/>
      <c r="BV577" s="124"/>
      <c r="BW577" s="124"/>
      <c r="BX577" s="124"/>
      <c r="BY577" s="124"/>
      <c r="BZ577" s="124"/>
      <c r="CA577" s="124"/>
    </row>
    <row r="578">
      <c r="D578" s="143"/>
      <c r="E578" s="129"/>
      <c r="F578" s="112"/>
      <c r="G578" s="112"/>
      <c r="H578" s="112"/>
      <c r="I578" s="112"/>
      <c r="J578" s="112"/>
      <c r="K578" s="112"/>
      <c r="L578" s="112"/>
      <c r="M578" s="112"/>
      <c r="N578" s="112"/>
      <c r="O578" s="112"/>
      <c r="P578" s="112"/>
      <c r="Q578" s="112"/>
      <c r="R578" s="112"/>
      <c r="S578" s="112"/>
      <c r="T578" s="112"/>
      <c r="U578" s="124"/>
      <c r="V578" s="124"/>
      <c r="W578" s="124"/>
      <c r="X578" s="124"/>
      <c r="Y578" s="124"/>
      <c r="Z578" s="112"/>
      <c r="AA578" s="112"/>
      <c r="AB578" s="112"/>
      <c r="AC578" s="112"/>
      <c r="AD578" s="112"/>
      <c r="AE578" s="112"/>
      <c r="AF578" s="112"/>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row>
    <row r="579">
      <c r="D579" s="143"/>
      <c r="E579" s="129"/>
      <c r="F579" s="112"/>
      <c r="G579" s="112"/>
      <c r="H579" s="112"/>
      <c r="I579" s="112"/>
      <c r="J579" s="112"/>
      <c r="K579" s="112"/>
      <c r="L579" s="112"/>
      <c r="M579" s="112"/>
      <c r="N579" s="112"/>
      <c r="O579" s="112"/>
      <c r="P579" s="112"/>
      <c r="Q579" s="112"/>
      <c r="R579" s="112"/>
      <c r="S579" s="112"/>
      <c r="T579" s="112"/>
      <c r="U579" s="124"/>
      <c r="V579" s="124"/>
      <c r="W579" s="124"/>
      <c r="X579" s="124"/>
      <c r="Y579" s="124"/>
      <c r="Z579" s="112"/>
      <c r="AA579" s="112"/>
      <c r="AB579" s="112"/>
      <c r="AC579" s="112"/>
      <c r="AD579" s="112"/>
      <c r="AE579" s="112"/>
      <c r="AF579" s="112"/>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c r="BK579" s="124"/>
      <c r="BL579" s="124"/>
      <c r="BM579" s="124"/>
      <c r="BN579" s="124"/>
      <c r="BO579" s="124"/>
      <c r="BP579" s="124"/>
      <c r="BQ579" s="124"/>
      <c r="BR579" s="124"/>
      <c r="BS579" s="124"/>
      <c r="BT579" s="124"/>
      <c r="BU579" s="124"/>
      <c r="BV579" s="124"/>
      <c r="BW579" s="124"/>
      <c r="BX579" s="124"/>
      <c r="BY579" s="124"/>
      <c r="BZ579" s="124"/>
      <c r="CA579" s="124"/>
    </row>
    <row r="580">
      <c r="D580" s="143"/>
      <c r="E580" s="129"/>
      <c r="F580" s="112"/>
      <c r="G580" s="112"/>
      <c r="H580" s="112"/>
      <c r="I580" s="112"/>
      <c r="J580" s="112"/>
      <c r="K580" s="112"/>
      <c r="L580" s="112"/>
      <c r="M580" s="112"/>
      <c r="N580" s="112"/>
      <c r="O580" s="112"/>
      <c r="P580" s="112"/>
      <c r="Q580" s="112"/>
      <c r="R580" s="112"/>
      <c r="S580" s="112"/>
      <c r="T580" s="112"/>
      <c r="U580" s="124"/>
      <c r="V580" s="124"/>
      <c r="W580" s="124"/>
      <c r="X580" s="124"/>
      <c r="Y580" s="124"/>
      <c r="Z580" s="112"/>
      <c r="AA580" s="112"/>
      <c r="AB580" s="112"/>
      <c r="AC580" s="112"/>
      <c r="AD580" s="112"/>
      <c r="AE580" s="112"/>
      <c r="AF580" s="112"/>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c r="BK580" s="124"/>
      <c r="BL580" s="124"/>
      <c r="BM580" s="124"/>
      <c r="BN580" s="124"/>
      <c r="BO580" s="124"/>
      <c r="BP580" s="124"/>
      <c r="BQ580" s="124"/>
      <c r="BR580" s="124"/>
      <c r="BS580" s="124"/>
      <c r="BT580" s="124"/>
      <c r="BU580" s="124"/>
      <c r="BV580" s="124"/>
      <c r="BW580" s="124"/>
      <c r="BX580" s="124"/>
      <c r="BY580" s="124"/>
      <c r="BZ580" s="124"/>
      <c r="CA580" s="124"/>
    </row>
    <row r="581">
      <c r="D581" s="143"/>
      <c r="E581" s="129"/>
      <c r="F581" s="112"/>
      <c r="G581" s="112"/>
      <c r="H581" s="112"/>
      <c r="I581" s="112"/>
      <c r="J581" s="112"/>
      <c r="K581" s="112"/>
      <c r="L581" s="112"/>
      <c r="M581" s="112"/>
      <c r="N581" s="112"/>
      <c r="O581" s="112"/>
      <c r="P581" s="112"/>
      <c r="Q581" s="112"/>
      <c r="R581" s="112"/>
      <c r="S581" s="112"/>
      <c r="T581" s="112"/>
      <c r="U581" s="124"/>
      <c r="V581" s="124"/>
      <c r="W581" s="124"/>
      <c r="X581" s="124"/>
      <c r="Y581" s="124"/>
      <c r="Z581" s="112"/>
      <c r="AA581" s="112"/>
      <c r="AB581" s="112"/>
      <c r="AC581" s="112"/>
      <c r="AD581" s="112"/>
      <c r="AE581" s="112"/>
      <c r="AF581" s="112"/>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c r="BK581" s="124"/>
      <c r="BL581" s="124"/>
      <c r="BM581" s="124"/>
      <c r="BN581" s="124"/>
      <c r="BO581" s="124"/>
      <c r="BP581" s="124"/>
      <c r="BQ581" s="124"/>
      <c r="BR581" s="124"/>
      <c r="BS581" s="124"/>
      <c r="BT581" s="124"/>
      <c r="BU581" s="124"/>
      <c r="BV581" s="124"/>
      <c r="BW581" s="124"/>
      <c r="BX581" s="124"/>
      <c r="BY581" s="124"/>
      <c r="BZ581" s="124"/>
      <c r="CA581" s="124"/>
    </row>
    <row r="582">
      <c r="D582" s="143"/>
      <c r="E582" s="129"/>
      <c r="F582" s="112"/>
      <c r="G582" s="112"/>
      <c r="H582" s="112"/>
      <c r="I582" s="112"/>
      <c r="J582" s="112"/>
      <c r="K582" s="112"/>
      <c r="L582" s="112"/>
      <c r="M582" s="112"/>
      <c r="N582" s="112"/>
      <c r="O582" s="112"/>
      <c r="P582" s="112"/>
      <c r="Q582" s="112"/>
      <c r="R582" s="112"/>
      <c r="S582" s="112"/>
      <c r="T582" s="112"/>
      <c r="U582" s="124"/>
      <c r="V582" s="124"/>
      <c r="W582" s="124"/>
      <c r="X582" s="124"/>
      <c r="Y582" s="124"/>
      <c r="Z582" s="112"/>
      <c r="AA582" s="112"/>
      <c r="AB582" s="112"/>
      <c r="AC582" s="112"/>
      <c r="AD582" s="112"/>
      <c r="AE582" s="112"/>
      <c r="AF582" s="112"/>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c r="BK582" s="124"/>
      <c r="BL582" s="124"/>
      <c r="BM582" s="124"/>
      <c r="BN582" s="124"/>
      <c r="BO582" s="124"/>
      <c r="BP582" s="124"/>
      <c r="BQ582" s="124"/>
      <c r="BR582" s="124"/>
      <c r="BS582" s="124"/>
      <c r="BT582" s="124"/>
      <c r="BU582" s="124"/>
      <c r="BV582" s="124"/>
      <c r="BW582" s="124"/>
      <c r="BX582" s="124"/>
      <c r="BY582" s="124"/>
      <c r="BZ582" s="124"/>
      <c r="CA582" s="124"/>
    </row>
    <row r="583">
      <c r="D583" s="143"/>
      <c r="E583" s="129"/>
      <c r="F583" s="112"/>
      <c r="G583" s="112"/>
      <c r="H583" s="112"/>
      <c r="I583" s="112"/>
      <c r="J583" s="112"/>
      <c r="K583" s="112"/>
      <c r="L583" s="112"/>
      <c r="M583" s="112"/>
      <c r="N583" s="112"/>
      <c r="O583" s="112"/>
      <c r="P583" s="112"/>
      <c r="Q583" s="112"/>
      <c r="R583" s="112"/>
      <c r="S583" s="112"/>
      <c r="T583" s="112"/>
      <c r="U583" s="124"/>
      <c r="V583" s="124"/>
      <c r="W583" s="124"/>
      <c r="X583" s="124"/>
      <c r="Y583" s="124"/>
      <c r="Z583" s="112"/>
      <c r="AA583" s="112"/>
      <c r="AB583" s="112"/>
      <c r="AC583" s="112"/>
      <c r="AD583" s="112"/>
      <c r="AE583" s="112"/>
      <c r="AF583" s="112"/>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c r="BK583" s="124"/>
      <c r="BL583" s="124"/>
      <c r="BM583" s="124"/>
      <c r="BN583" s="124"/>
      <c r="BO583" s="124"/>
      <c r="BP583" s="124"/>
      <c r="BQ583" s="124"/>
      <c r="BR583" s="124"/>
      <c r="BS583" s="124"/>
      <c r="BT583" s="124"/>
      <c r="BU583" s="124"/>
      <c r="BV583" s="124"/>
      <c r="BW583" s="124"/>
      <c r="BX583" s="124"/>
      <c r="BY583" s="124"/>
      <c r="BZ583" s="124"/>
      <c r="CA583" s="124"/>
    </row>
    <row r="584">
      <c r="D584" s="143"/>
      <c r="E584" s="129"/>
      <c r="F584" s="112"/>
      <c r="G584" s="112"/>
      <c r="H584" s="112"/>
      <c r="I584" s="112"/>
      <c r="J584" s="112"/>
      <c r="K584" s="112"/>
      <c r="L584" s="112"/>
      <c r="M584" s="112"/>
      <c r="N584" s="112"/>
      <c r="O584" s="112"/>
      <c r="P584" s="112"/>
      <c r="Q584" s="112"/>
      <c r="R584" s="112"/>
      <c r="S584" s="112"/>
      <c r="T584" s="112"/>
      <c r="U584" s="124"/>
      <c r="V584" s="124"/>
      <c r="W584" s="124"/>
      <c r="X584" s="124"/>
      <c r="Y584" s="124"/>
      <c r="Z584" s="112"/>
      <c r="AA584" s="112"/>
      <c r="AB584" s="112"/>
      <c r="AC584" s="112"/>
      <c r="AD584" s="112"/>
      <c r="AE584" s="112"/>
      <c r="AF584" s="112"/>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row>
    <row r="585">
      <c r="D585" s="143"/>
      <c r="E585" s="129"/>
      <c r="F585" s="112"/>
      <c r="G585" s="112"/>
      <c r="H585" s="112"/>
      <c r="I585" s="112"/>
      <c r="J585" s="112"/>
      <c r="K585" s="112"/>
      <c r="L585" s="112"/>
      <c r="M585" s="112"/>
      <c r="N585" s="112"/>
      <c r="O585" s="112"/>
      <c r="P585" s="112"/>
      <c r="Q585" s="112"/>
      <c r="R585" s="112"/>
      <c r="S585" s="112"/>
      <c r="T585" s="112"/>
      <c r="U585" s="124"/>
      <c r="V585" s="124"/>
      <c r="W585" s="124"/>
      <c r="X585" s="124"/>
      <c r="Y585" s="124"/>
      <c r="Z585" s="112"/>
      <c r="AA585" s="112"/>
      <c r="AB585" s="112"/>
      <c r="AC585" s="112"/>
      <c r="AD585" s="112"/>
      <c r="AE585" s="112"/>
      <c r="AF585" s="112"/>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c r="BK585" s="124"/>
      <c r="BL585" s="124"/>
      <c r="BM585" s="124"/>
      <c r="BN585" s="124"/>
      <c r="BO585" s="124"/>
      <c r="BP585" s="124"/>
      <c r="BQ585" s="124"/>
      <c r="BR585" s="124"/>
      <c r="BS585" s="124"/>
      <c r="BT585" s="124"/>
      <c r="BU585" s="124"/>
      <c r="BV585" s="124"/>
      <c r="BW585" s="124"/>
      <c r="BX585" s="124"/>
      <c r="BY585" s="124"/>
      <c r="BZ585" s="124"/>
      <c r="CA585" s="124"/>
    </row>
    <row r="586">
      <c r="D586" s="143"/>
      <c r="E586" s="129"/>
      <c r="F586" s="112"/>
      <c r="G586" s="112"/>
      <c r="H586" s="112"/>
      <c r="I586" s="112"/>
      <c r="J586" s="112"/>
      <c r="K586" s="112"/>
      <c r="L586" s="112"/>
      <c r="M586" s="112"/>
      <c r="N586" s="112"/>
      <c r="O586" s="112"/>
      <c r="P586" s="112"/>
      <c r="Q586" s="112"/>
      <c r="R586" s="112"/>
      <c r="S586" s="112"/>
      <c r="T586" s="112"/>
      <c r="U586" s="124"/>
      <c r="V586" s="124"/>
      <c r="W586" s="124"/>
      <c r="X586" s="124"/>
      <c r="Y586" s="124"/>
      <c r="Z586" s="112"/>
      <c r="AA586" s="112"/>
      <c r="AB586" s="112"/>
      <c r="AC586" s="112"/>
      <c r="AD586" s="112"/>
      <c r="AE586" s="112"/>
      <c r="AF586" s="112"/>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c r="BK586" s="124"/>
      <c r="BL586" s="124"/>
      <c r="BM586" s="124"/>
      <c r="BN586" s="124"/>
      <c r="BO586" s="124"/>
      <c r="BP586" s="124"/>
      <c r="BQ586" s="124"/>
      <c r="BR586" s="124"/>
      <c r="BS586" s="124"/>
      <c r="BT586" s="124"/>
      <c r="BU586" s="124"/>
      <c r="BV586" s="124"/>
      <c r="BW586" s="124"/>
      <c r="BX586" s="124"/>
      <c r="BY586" s="124"/>
      <c r="BZ586" s="124"/>
      <c r="CA586" s="124"/>
    </row>
    <row r="587">
      <c r="D587" s="143"/>
      <c r="E587" s="129"/>
      <c r="F587" s="112"/>
      <c r="G587" s="112"/>
      <c r="H587" s="112"/>
      <c r="I587" s="112"/>
      <c r="J587" s="112"/>
      <c r="K587" s="112"/>
      <c r="L587" s="112"/>
      <c r="M587" s="112"/>
      <c r="N587" s="112"/>
      <c r="O587" s="112"/>
      <c r="P587" s="112"/>
      <c r="Q587" s="112"/>
      <c r="R587" s="112"/>
      <c r="S587" s="112"/>
      <c r="T587" s="112"/>
      <c r="U587" s="124"/>
      <c r="V587" s="124"/>
      <c r="W587" s="124"/>
      <c r="X587" s="124"/>
      <c r="Y587" s="124"/>
      <c r="Z587" s="112"/>
      <c r="AA587" s="112"/>
      <c r="AB587" s="112"/>
      <c r="AC587" s="112"/>
      <c r="AD587" s="112"/>
      <c r="AE587" s="112"/>
      <c r="AF587" s="112"/>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c r="BK587" s="124"/>
      <c r="BL587" s="124"/>
      <c r="BM587" s="124"/>
      <c r="BN587" s="124"/>
      <c r="BO587" s="124"/>
      <c r="BP587" s="124"/>
      <c r="BQ587" s="124"/>
      <c r="BR587" s="124"/>
      <c r="BS587" s="124"/>
      <c r="BT587" s="124"/>
      <c r="BU587" s="124"/>
      <c r="BV587" s="124"/>
      <c r="BW587" s="124"/>
      <c r="BX587" s="124"/>
      <c r="BY587" s="124"/>
      <c r="BZ587" s="124"/>
      <c r="CA587" s="124"/>
    </row>
    <row r="588">
      <c r="D588" s="143"/>
      <c r="E588" s="129"/>
      <c r="F588" s="112"/>
      <c r="G588" s="112"/>
      <c r="H588" s="112"/>
      <c r="I588" s="112"/>
      <c r="J588" s="112"/>
      <c r="K588" s="112"/>
      <c r="L588" s="112"/>
      <c r="M588" s="112"/>
      <c r="N588" s="112"/>
      <c r="O588" s="112"/>
      <c r="P588" s="112"/>
      <c r="Q588" s="112"/>
      <c r="R588" s="112"/>
      <c r="S588" s="112"/>
      <c r="T588" s="112"/>
      <c r="U588" s="124"/>
      <c r="V588" s="124"/>
      <c r="W588" s="124"/>
      <c r="X588" s="124"/>
      <c r="Y588" s="124"/>
      <c r="Z588" s="112"/>
      <c r="AA588" s="112"/>
      <c r="AB588" s="112"/>
      <c r="AC588" s="112"/>
      <c r="AD588" s="112"/>
      <c r="AE588" s="112"/>
      <c r="AF588" s="112"/>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c r="BK588" s="124"/>
      <c r="BL588" s="124"/>
      <c r="BM588" s="124"/>
      <c r="BN588" s="124"/>
      <c r="BO588" s="124"/>
      <c r="BP588" s="124"/>
      <c r="BQ588" s="124"/>
      <c r="BR588" s="124"/>
      <c r="BS588" s="124"/>
      <c r="BT588" s="124"/>
      <c r="BU588" s="124"/>
      <c r="BV588" s="124"/>
      <c r="BW588" s="124"/>
      <c r="BX588" s="124"/>
      <c r="BY588" s="124"/>
      <c r="BZ588" s="124"/>
      <c r="CA588" s="124"/>
    </row>
    <row r="589">
      <c r="D589" s="143"/>
      <c r="E589" s="129"/>
      <c r="F589" s="112"/>
      <c r="G589" s="112"/>
      <c r="H589" s="112"/>
      <c r="I589" s="112"/>
      <c r="J589" s="112"/>
      <c r="K589" s="112"/>
      <c r="L589" s="112"/>
      <c r="M589" s="112"/>
      <c r="N589" s="112"/>
      <c r="O589" s="112"/>
      <c r="P589" s="112"/>
      <c r="Q589" s="112"/>
      <c r="R589" s="112"/>
      <c r="S589" s="112"/>
      <c r="T589" s="112"/>
      <c r="U589" s="124"/>
      <c r="V589" s="124"/>
      <c r="W589" s="124"/>
      <c r="X589" s="124"/>
      <c r="Y589" s="124"/>
      <c r="Z589" s="112"/>
      <c r="AA589" s="112"/>
      <c r="AB589" s="112"/>
      <c r="AC589" s="112"/>
      <c r="AD589" s="112"/>
      <c r="AE589" s="112"/>
      <c r="AF589" s="112"/>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c r="BK589" s="124"/>
      <c r="BL589" s="124"/>
      <c r="BM589" s="124"/>
      <c r="BN589" s="124"/>
      <c r="BO589" s="124"/>
      <c r="BP589" s="124"/>
      <c r="BQ589" s="124"/>
      <c r="BR589" s="124"/>
      <c r="BS589" s="124"/>
      <c r="BT589" s="124"/>
      <c r="BU589" s="124"/>
      <c r="BV589" s="124"/>
      <c r="BW589" s="124"/>
      <c r="BX589" s="124"/>
      <c r="BY589" s="124"/>
      <c r="BZ589" s="124"/>
      <c r="CA589" s="124"/>
    </row>
    <row r="590">
      <c r="D590" s="143"/>
      <c r="E590" s="129"/>
      <c r="F590" s="112"/>
      <c r="G590" s="112"/>
      <c r="H590" s="112"/>
      <c r="I590" s="112"/>
      <c r="J590" s="112"/>
      <c r="K590" s="112"/>
      <c r="L590" s="112"/>
      <c r="M590" s="112"/>
      <c r="N590" s="112"/>
      <c r="O590" s="112"/>
      <c r="P590" s="112"/>
      <c r="Q590" s="112"/>
      <c r="R590" s="112"/>
      <c r="S590" s="112"/>
      <c r="T590" s="112"/>
      <c r="U590" s="124"/>
      <c r="V590" s="124"/>
      <c r="W590" s="124"/>
      <c r="X590" s="124"/>
      <c r="Y590" s="124"/>
      <c r="Z590" s="112"/>
      <c r="AA590" s="112"/>
      <c r="AB590" s="112"/>
      <c r="AC590" s="112"/>
      <c r="AD590" s="112"/>
      <c r="AE590" s="112"/>
      <c r="AF590" s="112"/>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row>
    <row r="591">
      <c r="D591" s="143"/>
      <c r="E591" s="129"/>
      <c r="F591" s="112"/>
      <c r="G591" s="112"/>
      <c r="H591" s="112"/>
      <c r="I591" s="112"/>
      <c r="J591" s="112"/>
      <c r="K591" s="112"/>
      <c r="L591" s="112"/>
      <c r="M591" s="112"/>
      <c r="N591" s="112"/>
      <c r="O591" s="112"/>
      <c r="P591" s="112"/>
      <c r="Q591" s="112"/>
      <c r="R591" s="112"/>
      <c r="S591" s="112"/>
      <c r="T591" s="112"/>
      <c r="U591" s="124"/>
      <c r="V591" s="124"/>
      <c r="W591" s="124"/>
      <c r="X591" s="124"/>
      <c r="Y591" s="124"/>
      <c r="Z591" s="112"/>
      <c r="AA591" s="112"/>
      <c r="AB591" s="112"/>
      <c r="AC591" s="112"/>
      <c r="AD591" s="112"/>
      <c r="AE591" s="112"/>
      <c r="AF591" s="112"/>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c r="BK591" s="124"/>
      <c r="BL591" s="124"/>
      <c r="BM591" s="124"/>
      <c r="BN591" s="124"/>
      <c r="BO591" s="124"/>
      <c r="BP591" s="124"/>
      <c r="BQ591" s="124"/>
      <c r="BR591" s="124"/>
      <c r="BS591" s="124"/>
      <c r="BT591" s="124"/>
      <c r="BU591" s="124"/>
      <c r="BV591" s="124"/>
      <c r="BW591" s="124"/>
      <c r="BX591" s="124"/>
      <c r="BY591" s="124"/>
      <c r="BZ591" s="124"/>
      <c r="CA591" s="124"/>
    </row>
    <row r="592">
      <c r="D592" s="143"/>
      <c r="E592" s="129"/>
      <c r="F592" s="112"/>
      <c r="G592" s="112"/>
      <c r="H592" s="112"/>
      <c r="I592" s="112"/>
      <c r="J592" s="112"/>
      <c r="K592" s="112"/>
      <c r="L592" s="112"/>
      <c r="M592" s="112"/>
      <c r="N592" s="112"/>
      <c r="O592" s="112"/>
      <c r="P592" s="112"/>
      <c r="Q592" s="112"/>
      <c r="R592" s="112"/>
      <c r="S592" s="112"/>
      <c r="T592" s="112"/>
      <c r="U592" s="124"/>
      <c r="V592" s="124"/>
      <c r="W592" s="124"/>
      <c r="X592" s="124"/>
      <c r="Y592" s="124"/>
      <c r="Z592" s="112"/>
      <c r="AA592" s="112"/>
      <c r="AB592" s="112"/>
      <c r="AC592" s="112"/>
      <c r="AD592" s="112"/>
      <c r="AE592" s="112"/>
      <c r="AF592" s="112"/>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c r="BK592" s="124"/>
      <c r="BL592" s="124"/>
      <c r="BM592" s="124"/>
      <c r="BN592" s="124"/>
      <c r="BO592" s="124"/>
      <c r="BP592" s="124"/>
      <c r="BQ592" s="124"/>
      <c r="BR592" s="124"/>
      <c r="BS592" s="124"/>
      <c r="BT592" s="124"/>
      <c r="BU592" s="124"/>
      <c r="BV592" s="124"/>
      <c r="BW592" s="124"/>
      <c r="BX592" s="124"/>
      <c r="BY592" s="124"/>
      <c r="BZ592" s="124"/>
      <c r="CA592" s="124"/>
    </row>
    <row r="593">
      <c r="D593" s="143"/>
      <c r="E593" s="129"/>
      <c r="F593" s="112"/>
      <c r="G593" s="112"/>
      <c r="H593" s="112"/>
      <c r="I593" s="112"/>
      <c r="J593" s="112"/>
      <c r="K593" s="112"/>
      <c r="L593" s="112"/>
      <c r="M593" s="112"/>
      <c r="N593" s="112"/>
      <c r="O593" s="112"/>
      <c r="P593" s="112"/>
      <c r="Q593" s="112"/>
      <c r="R593" s="112"/>
      <c r="S593" s="112"/>
      <c r="T593" s="112"/>
      <c r="U593" s="124"/>
      <c r="V593" s="124"/>
      <c r="W593" s="124"/>
      <c r="X593" s="124"/>
      <c r="Y593" s="124"/>
      <c r="Z593" s="112"/>
      <c r="AA593" s="112"/>
      <c r="AB593" s="112"/>
      <c r="AC593" s="112"/>
      <c r="AD593" s="112"/>
      <c r="AE593" s="112"/>
      <c r="AF593" s="112"/>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c r="BK593" s="124"/>
      <c r="BL593" s="124"/>
      <c r="BM593" s="124"/>
      <c r="BN593" s="124"/>
      <c r="BO593" s="124"/>
      <c r="BP593" s="124"/>
      <c r="BQ593" s="124"/>
      <c r="BR593" s="124"/>
      <c r="BS593" s="124"/>
      <c r="BT593" s="124"/>
      <c r="BU593" s="124"/>
      <c r="BV593" s="124"/>
      <c r="BW593" s="124"/>
      <c r="BX593" s="124"/>
      <c r="BY593" s="124"/>
      <c r="BZ593" s="124"/>
      <c r="CA593" s="124"/>
    </row>
    <row r="594">
      <c r="D594" s="143"/>
      <c r="E594" s="129"/>
      <c r="F594" s="112"/>
      <c r="G594" s="112"/>
      <c r="H594" s="112"/>
      <c r="I594" s="112"/>
      <c r="J594" s="112"/>
      <c r="K594" s="112"/>
      <c r="L594" s="112"/>
      <c r="M594" s="112"/>
      <c r="N594" s="112"/>
      <c r="O594" s="112"/>
      <c r="P594" s="112"/>
      <c r="Q594" s="112"/>
      <c r="R594" s="112"/>
      <c r="S594" s="112"/>
      <c r="T594" s="112"/>
      <c r="U594" s="124"/>
      <c r="V594" s="124"/>
      <c r="W594" s="124"/>
      <c r="X594" s="124"/>
      <c r="Y594" s="124"/>
      <c r="Z594" s="112"/>
      <c r="AA594" s="112"/>
      <c r="AB594" s="112"/>
      <c r="AC594" s="112"/>
      <c r="AD594" s="112"/>
      <c r="AE594" s="112"/>
      <c r="AF594" s="112"/>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c r="BK594" s="124"/>
      <c r="BL594" s="124"/>
      <c r="BM594" s="124"/>
      <c r="BN594" s="124"/>
      <c r="BO594" s="124"/>
      <c r="BP594" s="124"/>
      <c r="BQ594" s="124"/>
      <c r="BR594" s="124"/>
      <c r="BS594" s="124"/>
      <c r="BT594" s="124"/>
      <c r="BU594" s="124"/>
      <c r="BV594" s="124"/>
      <c r="BW594" s="124"/>
      <c r="BX594" s="124"/>
      <c r="BY594" s="124"/>
      <c r="BZ594" s="124"/>
      <c r="CA594" s="124"/>
    </row>
    <row r="595">
      <c r="D595" s="143"/>
      <c r="E595" s="129"/>
      <c r="F595" s="112"/>
      <c r="G595" s="112"/>
      <c r="H595" s="112"/>
      <c r="I595" s="112"/>
      <c r="J595" s="112"/>
      <c r="K595" s="112"/>
      <c r="L595" s="112"/>
      <c r="M595" s="112"/>
      <c r="N595" s="112"/>
      <c r="O595" s="112"/>
      <c r="P595" s="112"/>
      <c r="Q595" s="112"/>
      <c r="R595" s="112"/>
      <c r="S595" s="112"/>
      <c r="T595" s="112"/>
      <c r="U595" s="124"/>
      <c r="V595" s="124"/>
      <c r="W595" s="124"/>
      <c r="X595" s="124"/>
      <c r="Y595" s="124"/>
      <c r="Z595" s="112"/>
      <c r="AA595" s="112"/>
      <c r="AB595" s="112"/>
      <c r="AC595" s="112"/>
      <c r="AD595" s="112"/>
      <c r="AE595" s="112"/>
      <c r="AF595" s="112"/>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c r="BK595" s="124"/>
      <c r="BL595" s="124"/>
      <c r="BM595" s="124"/>
      <c r="BN595" s="124"/>
      <c r="BO595" s="124"/>
      <c r="BP595" s="124"/>
      <c r="BQ595" s="124"/>
      <c r="BR595" s="124"/>
      <c r="BS595" s="124"/>
      <c r="BT595" s="124"/>
      <c r="BU595" s="124"/>
      <c r="BV595" s="124"/>
      <c r="BW595" s="124"/>
      <c r="BX595" s="124"/>
      <c r="BY595" s="124"/>
      <c r="BZ595" s="124"/>
      <c r="CA595" s="124"/>
    </row>
    <row r="596">
      <c r="D596" s="143"/>
      <c r="E596" s="129"/>
      <c r="F596" s="112"/>
      <c r="G596" s="112"/>
      <c r="H596" s="112"/>
      <c r="I596" s="112"/>
      <c r="J596" s="112"/>
      <c r="K596" s="112"/>
      <c r="L596" s="112"/>
      <c r="M596" s="112"/>
      <c r="N596" s="112"/>
      <c r="O596" s="112"/>
      <c r="P596" s="112"/>
      <c r="Q596" s="112"/>
      <c r="R596" s="112"/>
      <c r="S596" s="112"/>
      <c r="T596" s="112"/>
      <c r="U596" s="124"/>
      <c r="V596" s="124"/>
      <c r="W596" s="124"/>
      <c r="X596" s="124"/>
      <c r="Y596" s="124"/>
      <c r="Z596" s="112"/>
      <c r="AA596" s="112"/>
      <c r="AB596" s="112"/>
      <c r="AC596" s="112"/>
      <c r="AD596" s="112"/>
      <c r="AE596" s="112"/>
      <c r="AF596" s="112"/>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row>
    <row r="597">
      <c r="D597" s="143"/>
      <c r="E597" s="129"/>
      <c r="F597" s="112"/>
      <c r="G597" s="112"/>
      <c r="H597" s="112"/>
      <c r="I597" s="112"/>
      <c r="J597" s="112"/>
      <c r="K597" s="112"/>
      <c r="L597" s="112"/>
      <c r="M597" s="112"/>
      <c r="N597" s="112"/>
      <c r="O597" s="112"/>
      <c r="P597" s="112"/>
      <c r="Q597" s="112"/>
      <c r="R597" s="112"/>
      <c r="S597" s="112"/>
      <c r="T597" s="112"/>
      <c r="U597" s="124"/>
      <c r="V597" s="124"/>
      <c r="W597" s="124"/>
      <c r="X597" s="124"/>
      <c r="Y597" s="124"/>
      <c r="Z597" s="112"/>
      <c r="AA597" s="112"/>
      <c r="AB597" s="112"/>
      <c r="AC597" s="112"/>
      <c r="AD597" s="112"/>
      <c r="AE597" s="112"/>
      <c r="AF597" s="112"/>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c r="BK597" s="124"/>
      <c r="BL597" s="124"/>
      <c r="BM597" s="124"/>
      <c r="BN597" s="124"/>
      <c r="BO597" s="124"/>
      <c r="BP597" s="124"/>
      <c r="BQ597" s="124"/>
      <c r="BR597" s="124"/>
      <c r="BS597" s="124"/>
      <c r="BT597" s="124"/>
      <c r="BU597" s="124"/>
      <c r="BV597" s="124"/>
      <c r="BW597" s="124"/>
      <c r="BX597" s="124"/>
      <c r="BY597" s="124"/>
      <c r="BZ597" s="124"/>
      <c r="CA597" s="124"/>
    </row>
    <row r="598">
      <c r="D598" s="143"/>
      <c r="E598" s="129"/>
      <c r="F598" s="112"/>
      <c r="G598" s="112"/>
      <c r="H598" s="112"/>
      <c r="I598" s="112"/>
      <c r="J598" s="112"/>
      <c r="K598" s="112"/>
      <c r="L598" s="112"/>
      <c r="M598" s="112"/>
      <c r="N598" s="112"/>
      <c r="O598" s="112"/>
      <c r="P598" s="112"/>
      <c r="Q598" s="112"/>
      <c r="R598" s="112"/>
      <c r="S598" s="112"/>
      <c r="T598" s="112"/>
      <c r="U598" s="124"/>
      <c r="V598" s="124"/>
      <c r="W598" s="124"/>
      <c r="X598" s="124"/>
      <c r="Y598" s="124"/>
      <c r="Z598" s="112"/>
      <c r="AA598" s="112"/>
      <c r="AB598" s="112"/>
      <c r="AC598" s="112"/>
      <c r="AD598" s="112"/>
      <c r="AE598" s="112"/>
      <c r="AF598" s="112"/>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c r="BK598" s="124"/>
      <c r="BL598" s="124"/>
      <c r="BM598" s="124"/>
      <c r="BN598" s="124"/>
      <c r="BO598" s="124"/>
      <c r="BP598" s="124"/>
      <c r="BQ598" s="124"/>
      <c r="BR598" s="124"/>
      <c r="BS598" s="124"/>
      <c r="BT598" s="124"/>
      <c r="BU598" s="124"/>
      <c r="BV598" s="124"/>
      <c r="BW598" s="124"/>
      <c r="BX598" s="124"/>
      <c r="BY598" s="124"/>
      <c r="BZ598" s="124"/>
      <c r="CA598" s="124"/>
    </row>
    <row r="599">
      <c r="D599" s="143"/>
      <c r="E599" s="129"/>
      <c r="F599" s="112"/>
      <c r="G599" s="112"/>
      <c r="H599" s="112"/>
      <c r="I599" s="112"/>
      <c r="J599" s="112"/>
      <c r="K599" s="112"/>
      <c r="L599" s="112"/>
      <c r="M599" s="112"/>
      <c r="N599" s="112"/>
      <c r="O599" s="112"/>
      <c r="P599" s="112"/>
      <c r="Q599" s="112"/>
      <c r="R599" s="112"/>
      <c r="S599" s="112"/>
      <c r="T599" s="112"/>
      <c r="U599" s="124"/>
      <c r="V599" s="124"/>
      <c r="W599" s="124"/>
      <c r="X599" s="124"/>
      <c r="Y599" s="124"/>
      <c r="Z599" s="112"/>
      <c r="AA599" s="112"/>
      <c r="AB599" s="112"/>
      <c r="AC599" s="112"/>
      <c r="AD599" s="112"/>
      <c r="AE599" s="112"/>
      <c r="AF599" s="112"/>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c r="BK599" s="124"/>
      <c r="BL599" s="124"/>
      <c r="BM599" s="124"/>
      <c r="BN599" s="124"/>
      <c r="BO599" s="124"/>
      <c r="BP599" s="124"/>
      <c r="BQ599" s="124"/>
      <c r="BR599" s="124"/>
      <c r="BS599" s="124"/>
      <c r="BT599" s="124"/>
      <c r="BU599" s="124"/>
      <c r="BV599" s="124"/>
      <c r="BW599" s="124"/>
      <c r="BX599" s="124"/>
      <c r="BY599" s="124"/>
      <c r="BZ599" s="124"/>
      <c r="CA599" s="124"/>
    </row>
    <row r="600">
      <c r="D600" s="143"/>
      <c r="E600" s="129"/>
      <c r="F600" s="112"/>
      <c r="G600" s="112"/>
      <c r="H600" s="112"/>
      <c r="I600" s="112"/>
      <c r="J600" s="112"/>
      <c r="K600" s="112"/>
      <c r="L600" s="112"/>
      <c r="M600" s="112"/>
      <c r="N600" s="112"/>
      <c r="O600" s="112"/>
      <c r="P600" s="112"/>
      <c r="Q600" s="112"/>
      <c r="R600" s="112"/>
      <c r="S600" s="112"/>
      <c r="T600" s="112"/>
      <c r="U600" s="124"/>
      <c r="V600" s="124"/>
      <c r="W600" s="124"/>
      <c r="X600" s="124"/>
      <c r="Y600" s="124"/>
      <c r="Z600" s="112"/>
      <c r="AA600" s="112"/>
      <c r="AB600" s="112"/>
      <c r="AC600" s="112"/>
      <c r="AD600" s="112"/>
      <c r="AE600" s="112"/>
      <c r="AF600" s="112"/>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c r="BK600" s="124"/>
      <c r="BL600" s="124"/>
      <c r="BM600" s="124"/>
      <c r="BN600" s="124"/>
      <c r="BO600" s="124"/>
      <c r="BP600" s="124"/>
      <c r="BQ600" s="124"/>
      <c r="BR600" s="124"/>
      <c r="BS600" s="124"/>
      <c r="BT600" s="124"/>
      <c r="BU600" s="124"/>
      <c r="BV600" s="124"/>
      <c r="BW600" s="124"/>
      <c r="BX600" s="124"/>
      <c r="BY600" s="124"/>
      <c r="BZ600" s="124"/>
      <c r="CA600" s="124"/>
    </row>
    <row r="601">
      <c r="D601" s="143"/>
      <c r="E601" s="129"/>
      <c r="F601" s="112"/>
      <c r="G601" s="112"/>
      <c r="H601" s="112"/>
      <c r="I601" s="112"/>
      <c r="J601" s="112"/>
      <c r="K601" s="112"/>
      <c r="L601" s="112"/>
      <c r="M601" s="112"/>
      <c r="N601" s="112"/>
      <c r="O601" s="112"/>
      <c r="P601" s="112"/>
      <c r="Q601" s="112"/>
      <c r="R601" s="112"/>
      <c r="S601" s="112"/>
      <c r="T601" s="112"/>
      <c r="U601" s="124"/>
      <c r="V601" s="124"/>
      <c r="W601" s="124"/>
      <c r="X601" s="124"/>
      <c r="Y601" s="124"/>
      <c r="Z601" s="112"/>
      <c r="AA601" s="112"/>
      <c r="AB601" s="112"/>
      <c r="AC601" s="112"/>
      <c r="AD601" s="112"/>
      <c r="AE601" s="112"/>
      <c r="AF601" s="112"/>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c r="BK601" s="124"/>
      <c r="BL601" s="124"/>
      <c r="BM601" s="124"/>
      <c r="BN601" s="124"/>
      <c r="BO601" s="124"/>
      <c r="BP601" s="124"/>
      <c r="BQ601" s="124"/>
      <c r="BR601" s="124"/>
      <c r="BS601" s="124"/>
      <c r="BT601" s="124"/>
      <c r="BU601" s="124"/>
      <c r="BV601" s="124"/>
      <c r="BW601" s="124"/>
      <c r="BX601" s="124"/>
      <c r="BY601" s="124"/>
      <c r="BZ601" s="124"/>
      <c r="CA601" s="124"/>
    </row>
    <row r="602">
      <c r="D602" s="143"/>
      <c r="E602" s="129"/>
      <c r="F602" s="112"/>
      <c r="G602" s="112"/>
      <c r="H602" s="112"/>
      <c r="I602" s="112"/>
      <c r="J602" s="112"/>
      <c r="K602" s="112"/>
      <c r="L602" s="112"/>
      <c r="M602" s="112"/>
      <c r="N602" s="112"/>
      <c r="O602" s="112"/>
      <c r="P602" s="112"/>
      <c r="Q602" s="112"/>
      <c r="R602" s="112"/>
      <c r="S602" s="112"/>
      <c r="T602" s="112"/>
      <c r="U602" s="124"/>
      <c r="V602" s="124"/>
      <c r="W602" s="124"/>
      <c r="X602" s="124"/>
      <c r="Y602" s="124"/>
      <c r="Z602" s="112"/>
      <c r="AA602" s="112"/>
      <c r="AB602" s="112"/>
      <c r="AC602" s="112"/>
      <c r="AD602" s="112"/>
      <c r="AE602" s="112"/>
      <c r="AF602" s="112"/>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c r="BK602" s="124"/>
      <c r="BL602" s="124"/>
      <c r="BM602" s="124"/>
      <c r="BN602" s="124"/>
      <c r="BO602" s="124"/>
      <c r="BP602" s="124"/>
      <c r="BQ602" s="124"/>
      <c r="BR602" s="124"/>
      <c r="BS602" s="124"/>
      <c r="BT602" s="124"/>
      <c r="BU602" s="124"/>
      <c r="BV602" s="124"/>
      <c r="BW602" s="124"/>
      <c r="BX602" s="124"/>
      <c r="BY602" s="124"/>
      <c r="BZ602" s="124"/>
      <c r="CA602" s="124"/>
    </row>
    <row r="603">
      <c r="D603" s="143"/>
      <c r="E603" s="129"/>
      <c r="F603" s="112"/>
      <c r="G603" s="112"/>
      <c r="H603" s="112"/>
      <c r="I603" s="112"/>
      <c r="J603" s="112"/>
      <c r="K603" s="112"/>
      <c r="L603" s="112"/>
      <c r="M603" s="112"/>
      <c r="N603" s="112"/>
      <c r="O603" s="112"/>
      <c r="P603" s="112"/>
      <c r="Q603" s="112"/>
      <c r="R603" s="112"/>
      <c r="S603" s="112"/>
      <c r="T603" s="112"/>
      <c r="U603" s="124"/>
      <c r="V603" s="124"/>
      <c r="W603" s="124"/>
      <c r="X603" s="124"/>
      <c r="Y603" s="124"/>
      <c r="Z603" s="112"/>
      <c r="AA603" s="112"/>
      <c r="AB603" s="112"/>
      <c r="AC603" s="112"/>
      <c r="AD603" s="112"/>
      <c r="AE603" s="112"/>
      <c r="AF603" s="112"/>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c r="BK603" s="124"/>
      <c r="BL603" s="124"/>
      <c r="BM603" s="124"/>
      <c r="BN603" s="124"/>
      <c r="BO603" s="124"/>
      <c r="BP603" s="124"/>
      <c r="BQ603" s="124"/>
      <c r="BR603" s="124"/>
      <c r="BS603" s="124"/>
      <c r="BT603" s="124"/>
      <c r="BU603" s="124"/>
      <c r="BV603" s="124"/>
      <c r="BW603" s="124"/>
      <c r="BX603" s="124"/>
      <c r="BY603" s="124"/>
      <c r="BZ603" s="124"/>
      <c r="CA603" s="124"/>
    </row>
    <row r="604">
      <c r="D604" s="143"/>
      <c r="E604" s="129"/>
      <c r="F604" s="112"/>
      <c r="G604" s="112"/>
      <c r="H604" s="112"/>
      <c r="I604" s="112"/>
      <c r="J604" s="112"/>
      <c r="K604" s="112"/>
      <c r="L604" s="112"/>
      <c r="M604" s="112"/>
      <c r="N604" s="112"/>
      <c r="O604" s="112"/>
      <c r="P604" s="112"/>
      <c r="Q604" s="112"/>
      <c r="R604" s="112"/>
      <c r="S604" s="112"/>
      <c r="T604" s="112"/>
      <c r="U604" s="124"/>
      <c r="V604" s="124"/>
      <c r="W604" s="124"/>
      <c r="X604" s="124"/>
      <c r="Y604" s="124"/>
      <c r="Z604" s="112"/>
      <c r="AA604" s="112"/>
      <c r="AB604" s="112"/>
      <c r="AC604" s="112"/>
      <c r="AD604" s="112"/>
      <c r="AE604" s="112"/>
      <c r="AF604" s="112"/>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c r="BK604" s="124"/>
      <c r="BL604" s="124"/>
      <c r="BM604" s="124"/>
      <c r="BN604" s="124"/>
      <c r="BO604" s="124"/>
      <c r="BP604" s="124"/>
      <c r="BQ604" s="124"/>
      <c r="BR604" s="124"/>
      <c r="BS604" s="124"/>
      <c r="BT604" s="124"/>
      <c r="BU604" s="124"/>
      <c r="BV604" s="124"/>
      <c r="BW604" s="124"/>
      <c r="BX604" s="124"/>
      <c r="BY604" s="124"/>
      <c r="BZ604" s="124"/>
      <c r="CA604" s="124"/>
    </row>
    <row r="605">
      <c r="D605" s="143"/>
      <c r="E605" s="129"/>
      <c r="F605" s="112"/>
      <c r="G605" s="112"/>
      <c r="H605" s="112"/>
      <c r="I605" s="112"/>
      <c r="J605" s="112"/>
      <c r="K605" s="112"/>
      <c r="L605" s="112"/>
      <c r="M605" s="112"/>
      <c r="N605" s="112"/>
      <c r="O605" s="112"/>
      <c r="P605" s="112"/>
      <c r="Q605" s="112"/>
      <c r="R605" s="112"/>
      <c r="S605" s="112"/>
      <c r="T605" s="112"/>
      <c r="U605" s="124"/>
      <c r="V605" s="124"/>
      <c r="W605" s="124"/>
      <c r="X605" s="124"/>
      <c r="Y605" s="124"/>
      <c r="Z605" s="112"/>
      <c r="AA605" s="112"/>
      <c r="AB605" s="112"/>
      <c r="AC605" s="112"/>
      <c r="AD605" s="112"/>
      <c r="AE605" s="112"/>
      <c r="AF605" s="112"/>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c r="BK605" s="124"/>
      <c r="BL605" s="124"/>
      <c r="BM605" s="124"/>
      <c r="BN605" s="124"/>
      <c r="BO605" s="124"/>
      <c r="BP605" s="124"/>
      <c r="BQ605" s="124"/>
      <c r="BR605" s="124"/>
      <c r="BS605" s="124"/>
      <c r="BT605" s="124"/>
      <c r="BU605" s="124"/>
      <c r="BV605" s="124"/>
      <c r="BW605" s="124"/>
      <c r="BX605" s="124"/>
      <c r="BY605" s="124"/>
      <c r="BZ605" s="124"/>
      <c r="CA605" s="124"/>
    </row>
    <row r="606">
      <c r="D606" s="143"/>
      <c r="E606" s="129"/>
      <c r="F606" s="112"/>
      <c r="G606" s="112"/>
      <c r="H606" s="112"/>
      <c r="I606" s="112"/>
      <c r="J606" s="112"/>
      <c r="K606" s="112"/>
      <c r="L606" s="112"/>
      <c r="M606" s="112"/>
      <c r="N606" s="112"/>
      <c r="O606" s="112"/>
      <c r="P606" s="112"/>
      <c r="Q606" s="112"/>
      <c r="R606" s="112"/>
      <c r="S606" s="112"/>
      <c r="T606" s="112"/>
      <c r="U606" s="124"/>
      <c r="V606" s="124"/>
      <c r="W606" s="124"/>
      <c r="X606" s="124"/>
      <c r="Y606" s="124"/>
      <c r="Z606" s="112"/>
      <c r="AA606" s="112"/>
      <c r="AB606" s="112"/>
      <c r="AC606" s="112"/>
      <c r="AD606" s="112"/>
      <c r="AE606" s="112"/>
      <c r="AF606" s="112"/>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c r="BK606" s="124"/>
      <c r="BL606" s="124"/>
      <c r="BM606" s="124"/>
      <c r="BN606" s="124"/>
      <c r="BO606" s="124"/>
      <c r="BP606" s="124"/>
      <c r="BQ606" s="124"/>
      <c r="BR606" s="124"/>
      <c r="BS606" s="124"/>
      <c r="BT606" s="124"/>
      <c r="BU606" s="124"/>
      <c r="BV606" s="124"/>
      <c r="BW606" s="124"/>
      <c r="BX606" s="124"/>
      <c r="BY606" s="124"/>
      <c r="BZ606" s="124"/>
      <c r="CA606" s="124"/>
    </row>
    <row r="607">
      <c r="D607" s="143"/>
      <c r="E607" s="129"/>
      <c r="F607" s="112"/>
      <c r="G607" s="112"/>
      <c r="H607" s="112"/>
      <c r="I607" s="112"/>
      <c r="J607" s="112"/>
      <c r="K607" s="112"/>
      <c r="L607" s="112"/>
      <c r="M607" s="112"/>
      <c r="N607" s="112"/>
      <c r="O607" s="112"/>
      <c r="P607" s="112"/>
      <c r="Q607" s="112"/>
      <c r="R607" s="112"/>
      <c r="S607" s="112"/>
      <c r="T607" s="112"/>
      <c r="U607" s="124"/>
      <c r="V607" s="124"/>
      <c r="W607" s="124"/>
      <c r="X607" s="124"/>
      <c r="Y607" s="124"/>
      <c r="Z607" s="112"/>
      <c r="AA607" s="112"/>
      <c r="AB607" s="112"/>
      <c r="AC607" s="112"/>
      <c r="AD607" s="112"/>
      <c r="AE607" s="112"/>
      <c r="AF607" s="112"/>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c r="BK607" s="124"/>
      <c r="BL607" s="124"/>
      <c r="BM607" s="124"/>
      <c r="BN607" s="124"/>
      <c r="BO607" s="124"/>
      <c r="BP607" s="124"/>
      <c r="BQ607" s="124"/>
      <c r="BR607" s="124"/>
      <c r="BS607" s="124"/>
      <c r="BT607" s="124"/>
      <c r="BU607" s="124"/>
      <c r="BV607" s="124"/>
      <c r="BW607" s="124"/>
      <c r="BX607" s="124"/>
      <c r="BY607" s="124"/>
      <c r="BZ607" s="124"/>
      <c r="CA607" s="124"/>
    </row>
    <row r="608">
      <c r="D608" s="143"/>
      <c r="E608" s="129"/>
      <c r="F608" s="112"/>
      <c r="G608" s="112"/>
      <c r="H608" s="112"/>
      <c r="I608" s="112"/>
      <c r="J608" s="112"/>
      <c r="K608" s="112"/>
      <c r="L608" s="112"/>
      <c r="M608" s="112"/>
      <c r="N608" s="112"/>
      <c r="O608" s="112"/>
      <c r="P608" s="112"/>
      <c r="Q608" s="112"/>
      <c r="R608" s="112"/>
      <c r="S608" s="112"/>
      <c r="T608" s="112"/>
      <c r="U608" s="124"/>
      <c r="V608" s="124"/>
      <c r="W608" s="124"/>
      <c r="X608" s="124"/>
      <c r="Y608" s="124"/>
      <c r="Z608" s="112"/>
      <c r="AA608" s="112"/>
      <c r="AB608" s="112"/>
      <c r="AC608" s="112"/>
      <c r="AD608" s="112"/>
      <c r="AE608" s="112"/>
      <c r="AF608" s="112"/>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c r="BK608" s="124"/>
      <c r="BL608" s="124"/>
      <c r="BM608" s="124"/>
      <c r="BN608" s="124"/>
      <c r="BO608" s="124"/>
      <c r="BP608" s="124"/>
      <c r="BQ608" s="124"/>
      <c r="BR608" s="124"/>
      <c r="BS608" s="124"/>
      <c r="BT608" s="124"/>
      <c r="BU608" s="124"/>
      <c r="BV608" s="124"/>
      <c r="BW608" s="124"/>
      <c r="BX608" s="124"/>
      <c r="BY608" s="124"/>
      <c r="BZ608" s="124"/>
      <c r="CA608" s="124"/>
    </row>
    <row r="609">
      <c r="D609" s="143"/>
      <c r="E609" s="129"/>
      <c r="F609" s="112"/>
      <c r="G609" s="112"/>
      <c r="H609" s="112"/>
      <c r="I609" s="112"/>
      <c r="J609" s="112"/>
      <c r="K609" s="112"/>
      <c r="L609" s="112"/>
      <c r="M609" s="112"/>
      <c r="N609" s="112"/>
      <c r="O609" s="112"/>
      <c r="P609" s="112"/>
      <c r="Q609" s="112"/>
      <c r="R609" s="112"/>
      <c r="S609" s="112"/>
      <c r="T609" s="112"/>
      <c r="U609" s="124"/>
      <c r="V609" s="124"/>
      <c r="W609" s="124"/>
      <c r="X609" s="124"/>
      <c r="Y609" s="124"/>
      <c r="Z609" s="112"/>
      <c r="AA609" s="112"/>
      <c r="AB609" s="112"/>
      <c r="AC609" s="112"/>
      <c r="AD609" s="112"/>
      <c r="AE609" s="112"/>
      <c r="AF609" s="112"/>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c r="BK609" s="124"/>
      <c r="BL609" s="124"/>
      <c r="BM609" s="124"/>
      <c r="BN609" s="124"/>
      <c r="BO609" s="124"/>
      <c r="BP609" s="124"/>
      <c r="BQ609" s="124"/>
      <c r="BR609" s="124"/>
      <c r="BS609" s="124"/>
      <c r="BT609" s="124"/>
      <c r="BU609" s="124"/>
      <c r="BV609" s="124"/>
      <c r="BW609" s="124"/>
      <c r="BX609" s="124"/>
      <c r="BY609" s="124"/>
      <c r="BZ609" s="124"/>
      <c r="CA609" s="124"/>
    </row>
    <row r="610">
      <c r="D610" s="143"/>
      <c r="E610" s="129"/>
      <c r="F610" s="112"/>
      <c r="G610" s="112"/>
      <c r="H610" s="112"/>
      <c r="I610" s="112"/>
      <c r="J610" s="112"/>
      <c r="K610" s="112"/>
      <c r="L610" s="112"/>
      <c r="M610" s="112"/>
      <c r="N610" s="112"/>
      <c r="O610" s="112"/>
      <c r="P610" s="112"/>
      <c r="Q610" s="112"/>
      <c r="R610" s="112"/>
      <c r="S610" s="112"/>
      <c r="T610" s="112"/>
      <c r="U610" s="124"/>
      <c r="V610" s="124"/>
      <c r="W610" s="124"/>
      <c r="X610" s="124"/>
      <c r="Y610" s="124"/>
      <c r="Z610" s="112"/>
      <c r="AA610" s="112"/>
      <c r="AB610" s="112"/>
      <c r="AC610" s="112"/>
      <c r="AD610" s="112"/>
      <c r="AE610" s="112"/>
      <c r="AF610" s="112"/>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c r="BK610" s="124"/>
      <c r="BL610" s="124"/>
      <c r="BM610" s="124"/>
      <c r="BN610" s="124"/>
      <c r="BO610" s="124"/>
      <c r="BP610" s="124"/>
      <c r="BQ610" s="124"/>
      <c r="BR610" s="124"/>
      <c r="BS610" s="124"/>
      <c r="BT610" s="124"/>
      <c r="BU610" s="124"/>
      <c r="BV610" s="124"/>
      <c r="BW610" s="124"/>
      <c r="BX610" s="124"/>
      <c r="BY610" s="124"/>
      <c r="BZ610" s="124"/>
      <c r="CA610" s="124"/>
    </row>
    <row r="611">
      <c r="D611" s="143"/>
      <c r="E611" s="129"/>
      <c r="F611" s="112"/>
      <c r="G611" s="112"/>
      <c r="H611" s="112"/>
      <c r="I611" s="112"/>
      <c r="J611" s="112"/>
      <c r="K611" s="112"/>
      <c r="L611" s="112"/>
      <c r="M611" s="112"/>
      <c r="N611" s="112"/>
      <c r="O611" s="112"/>
      <c r="P611" s="112"/>
      <c r="Q611" s="112"/>
      <c r="R611" s="112"/>
      <c r="S611" s="112"/>
      <c r="T611" s="112"/>
      <c r="U611" s="124"/>
      <c r="V611" s="124"/>
      <c r="W611" s="124"/>
      <c r="X611" s="124"/>
      <c r="Y611" s="124"/>
      <c r="Z611" s="112"/>
      <c r="AA611" s="112"/>
      <c r="AB611" s="112"/>
      <c r="AC611" s="112"/>
      <c r="AD611" s="112"/>
      <c r="AE611" s="112"/>
      <c r="AF611" s="112"/>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c r="BK611" s="124"/>
      <c r="BL611" s="124"/>
      <c r="BM611" s="124"/>
      <c r="BN611" s="124"/>
      <c r="BO611" s="124"/>
      <c r="BP611" s="124"/>
      <c r="BQ611" s="124"/>
      <c r="BR611" s="124"/>
      <c r="BS611" s="124"/>
      <c r="BT611" s="124"/>
      <c r="BU611" s="124"/>
      <c r="BV611" s="124"/>
      <c r="BW611" s="124"/>
      <c r="BX611" s="124"/>
      <c r="BY611" s="124"/>
      <c r="BZ611" s="124"/>
      <c r="CA611" s="124"/>
    </row>
    <row r="612">
      <c r="D612" s="143"/>
      <c r="E612" s="129"/>
      <c r="F612" s="112"/>
      <c r="G612" s="112"/>
      <c r="H612" s="112"/>
      <c r="I612" s="112"/>
      <c r="J612" s="112"/>
      <c r="K612" s="112"/>
      <c r="L612" s="112"/>
      <c r="M612" s="112"/>
      <c r="N612" s="112"/>
      <c r="O612" s="112"/>
      <c r="P612" s="112"/>
      <c r="Q612" s="112"/>
      <c r="R612" s="112"/>
      <c r="S612" s="112"/>
      <c r="T612" s="112"/>
      <c r="U612" s="124"/>
      <c r="V612" s="124"/>
      <c r="W612" s="124"/>
      <c r="X612" s="124"/>
      <c r="Y612" s="124"/>
      <c r="Z612" s="112"/>
      <c r="AA612" s="112"/>
      <c r="AB612" s="112"/>
      <c r="AC612" s="112"/>
      <c r="AD612" s="112"/>
      <c r="AE612" s="112"/>
      <c r="AF612" s="112"/>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c r="BK612" s="124"/>
      <c r="BL612" s="124"/>
      <c r="BM612" s="124"/>
      <c r="BN612" s="124"/>
      <c r="BO612" s="124"/>
      <c r="BP612" s="124"/>
      <c r="BQ612" s="124"/>
      <c r="BR612" s="124"/>
      <c r="BS612" s="124"/>
      <c r="BT612" s="124"/>
      <c r="BU612" s="124"/>
      <c r="BV612" s="124"/>
      <c r="BW612" s="124"/>
      <c r="BX612" s="124"/>
      <c r="BY612" s="124"/>
      <c r="BZ612" s="124"/>
      <c r="CA612" s="124"/>
    </row>
    <row r="613">
      <c r="D613" s="143"/>
      <c r="E613" s="129"/>
      <c r="F613" s="112"/>
      <c r="G613" s="112"/>
      <c r="H613" s="112"/>
      <c r="I613" s="112"/>
      <c r="J613" s="112"/>
      <c r="K613" s="112"/>
      <c r="L613" s="112"/>
      <c r="M613" s="112"/>
      <c r="N613" s="112"/>
      <c r="O613" s="112"/>
      <c r="P613" s="112"/>
      <c r="Q613" s="112"/>
      <c r="R613" s="112"/>
      <c r="S613" s="112"/>
      <c r="T613" s="112"/>
      <c r="U613" s="124"/>
      <c r="V613" s="124"/>
      <c r="W613" s="124"/>
      <c r="X613" s="124"/>
      <c r="Y613" s="124"/>
      <c r="Z613" s="112"/>
      <c r="AA613" s="112"/>
      <c r="AB613" s="112"/>
      <c r="AC613" s="112"/>
      <c r="AD613" s="112"/>
      <c r="AE613" s="112"/>
      <c r="AF613" s="112"/>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c r="BK613" s="124"/>
      <c r="BL613" s="124"/>
      <c r="BM613" s="124"/>
      <c r="BN613" s="124"/>
      <c r="BO613" s="124"/>
      <c r="BP613" s="124"/>
      <c r="BQ613" s="124"/>
      <c r="BR613" s="124"/>
      <c r="BS613" s="124"/>
      <c r="BT613" s="124"/>
      <c r="BU613" s="124"/>
      <c r="BV613" s="124"/>
      <c r="BW613" s="124"/>
      <c r="BX613" s="124"/>
      <c r="BY613" s="124"/>
      <c r="BZ613" s="124"/>
      <c r="CA613" s="124"/>
    </row>
    <row r="614">
      <c r="D614" s="143"/>
      <c r="E614" s="129"/>
      <c r="F614" s="112"/>
      <c r="G614" s="112"/>
      <c r="H614" s="112"/>
      <c r="I614" s="112"/>
      <c r="J614" s="112"/>
      <c r="K614" s="112"/>
      <c r="L614" s="112"/>
      <c r="M614" s="112"/>
      <c r="N614" s="112"/>
      <c r="O614" s="112"/>
      <c r="P614" s="112"/>
      <c r="Q614" s="112"/>
      <c r="R614" s="112"/>
      <c r="S614" s="112"/>
      <c r="T614" s="112"/>
      <c r="U614" s="124"/>
      <c r="V614" s="124"/>
      <c r="W614" s="124"/>
      <c r="X614" s="124"/>
      <c r="Y614" s="124"/>
      <c r="Z614" s="112"/>
      <c r="AA614" s="112"/>
      <c r="AB614" s="112"/>
      <c r="AC614" s="112"/>
      <c r="AD614" s="112"/>
      <c r="AE614" s="112"/>
      <c r="AF614" s="112"/>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c r="BK614" s="124"/>
      <c r="BL614" s="124"/>
      <c r="BM614" s="124"/>
      <c r="BN614" s="124"/>
      <c r="BO614" s="124"/>
      <c r="BP614" s="124"/>
      <c r="BQ614" s="124"/>
      <c r="BR614" s="124"/>
      <c r="BS614" s="124"/>
      <c r="BT614" s="124"/>
      <c r="BU614" s="124"/>
      <c r="BV614" s="124"/>
      <c r="BW614" s="124"/>
      <c r="BX614" s="124"/>
      <c r="BY614" s="124"/>
      <c r="BZ614" s="124"/>
      <c r="CA614" s="124"/>
    </row>
    <row r="615">
      <c r="D615" s="143"/>
      <c r="E615" s="129"/>
      <c r="F615" s="112"/>
      <c r="G615" s="112"/>
      <c r="H615" s="112"/>
      <c r="I615" s="112"/>
      <c r="J615" s="112"/>
      <c r="K615" s="112"/>
      <c r="L615" s="112"/>
      <c r="M615" s="112"/>
      <c r="N615" s="112"/>
      <c r="O615" s="112"/>
      <c r="P615" s="112"/>
      <c r="Q615" s="112"/>
      <c r="R615" s="112"/>
      <c r="S615" s="112"/>
      <c r="T615" s="112"/>
      <c r="U615" s="124"/>
      <c r="V615" s="124"/>
      <c r="W615" s="124"/>
      <c r="X615" s="124"/>
      <c r="Y615" s="124"/>
      <c r="Z615" s="112"/>
      <c r="AA615" s="112"/>
      <c r="AB615" s="112"/>
      <c r="AC615" s="112"/>
      <c r="AD615" s="112"/>
      <c r="AE615" s="112"/>
      <c r="AF615" s="112"/>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c r="BK615" s="124"/>
      <c r="BL615" s="124"/>
      <c r="BM615" s="124"/>
      <c r="BN615" s="124"/>
      <c r="BO615" s="124"/>
      <c r="BP615" s="124"/>
      <c r="BQ615" s="124"/>
      <c r="BR615" s="124"/>
      <c r="BS615" s="124"/>
      <c r="BT615" s="124"/>
      <c r="BU615" s="124"/>
      <c r="BV615" s="124"/>
      <c r="BW615" s="124"/>
      <c r="BX615" s="124"/>
      <c r="BY615" s="124"/>
      <c r="BZ615" s="124"/>
      <c r="CA615" s="124"/>
    </row>
    <row r="616">
      <c r="D616" s="143"/>
      <c r="E616" s="129"/>
      <c r="F616" s="112"/>
      <c r="G616" s="112"/>
      <c r="H616" s="112"/>
      <c r="I616" s="112"/>
      <c r="J616" s="112"/>
      <c r="K616" s="112"/>
      <c r="L616" s="112"/>
      <c r="M616" s="112"/>
      <c r="N616" s="112"/>
      <c r="O616" s="112"/>
      <c r="P616" s="112"/>
      <c r="Q616" s="112"/>
      <c r="R616" s="112"/>
      <c r="S616" s="112"/>
      <c r="T616" s="112"/>
      <c r="U616" s="124"/>
      <c r="V616" s="124"/>
      <c r="W616" s="124"/>
      <c r="X616" s="124"/>
      <c r="Y616" s="124"/>
      <c r="Z616" s="112"/>
      <c r="AA616" s="112"/>
      <c r="AB616" s="112"/>
      <c r="AC616" s="112"/>
      <c r="AD616" s="112"/>
      <c r="AE616" s="112"/>
      <c r="AF616" s="112"/>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c r="BK616" s="124"/>
      <c r="BL616" s="124"/>
      <c r="BM616" s="124"/>
      <c r="BN616" s="124"/>
      <c r="BO616" s="124"/>
      <c r="BP616" s="124"/>
      <c r="BQ616" s="124"/>
      <c r="BR616" s="124"/>
      <c r="BS616" s="124"/>
      <c r="BT616" s="124"/>
      <c r="BU616" s="124"/>
      <c r="BV616" s="124"/>
      <c r="BW616" s="124"/>
      <c r="BX616" s="124"/>
      <c r="BY616" s="124"/>
      <c r="BZ616" s="124"/>
      <c r="CA616" s="124"/>
    </row>
    <row r="617">
      <c r="D617" s="143"/>
      <c r="E617" s="129"/>
      <c r="F617" s="112"/>
      <c r="G617" s="112"/>
      <c r="H617" s="112"/>
      <c r="I617" s="112"/>
      <c r="J617" s="112"/>
      <c r="K617" s="112"/>
      <c r="L617" s="112"/>
      <c r="M617" s="112"/>
      <c r="N617" s="112"/>
      <c r="O617" s="112"/>
      <c r="P617" s="112"/>
      <c r="Q617" s="112"/>
      <c r="R617" s="112"/>
      <c r="S617" s="112"/>
      <c r="T617" s="112"/>
      <c r="U617" s="124"/>
      <c r="V617" s="124"/>
      <c r="W617" s="124"/>
      <c r="X617" s="124"/>
      <c r="Y617" s="124"/>
      <c r="Z617" s="112"/>
      <c r="AA617" s="112"/>
      <c r="AB617" s="112"/>
      <c r="AC617" s="112"/>
      <c r="AD617" s="112"/>
      <c r="AE617" s="112"/>
      <c r="AF617" s="112"/>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c r="BK617" s="124"/>
      <c r="BL617" s="124"/>
      <c r="BM617" s="124"/>
      <c r="BN617" s="124"/>
      <c r="BO617" s="124"/>
      <c r="BP617" s="124"/>
      <c r="BQ617" s="124"/>
      <c r="BR617" s="124"/>
      <c r="BS617" s="124"/>
      <c r="BT617" s="124"/>
      <c r="BU617" s="124"/>
      <c r="BV617" s="124"/>
      <c r="BW617" s="124"/>
      <c r="BX617" s="124"/>
      <c r="BY617" s="124"/>
      <c r="BZ617" s="124"/>
      <c r="CA617" s="124"/>
    </row>
    <row r="618">
      <c r="D618" s="143"/>
      <c r="E618" s="129"/>
      <c r="F618" s="112"/>
      <c r="G618" s="112"/>
      <c r="H618" s="112"/>
      <c r="I618" s="112"/>
      <c r="J618" s="112"/>
      <c r="K618" s="112"/>
      <c r="L618" s="112"/>
      <c r="M618" s="112"/>
      <c r="N618" s="112"/>
      <c r="O618" s="112"/>
      <c r="P618" s="112"/>
      <c r="Q618" s="112"/>
      <c r="R618" s="112"/>
      <c r="S618" s="112"/>
      <c r="T618" s="112"/>
      <c r="U618" s="124"/>
      <c r="V618" s="124"/>
      <c r="W618" s="124"/>
      <c r="X618" s="124"/>
      <c r="Y618" s="124"/>
      <c r="Z618" s="112"/>
      <c r="AA618" s="112"/>
      <c r="AB618" s="112"/>
      <c r="AC618" s="112"/>
      <c r="AD618" s="112"/>
      <c r="AE618" s="112"/>
      <c r="AF618" s="112"/>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c r="BK618" s="124"/>
      <c r="BL618" s="124"/>
      <c r="BM618" s="124"/>
      <c r="BN618" s="124"/>
      <c r="BO618" s="124"/>
      <c r="BP618" s="124"/>
      <c r="BQ618" s="124"/>
      <c r="BR618" s="124"/>
      <c r="BS618" s="124"/>
      <c r="BT618" s="124"/>
      <c r="BU618" s="124"/>
      <c r="BV618" s="124"/>
      <c r="BW618" s="124"/>
      <c r="BX618" s="124"/>
      <c r="BY618" s="124"/>
      <c r="BZ618" s="124"/>
      <c r="CA618" s="124"/>
    </row>
    <row r="619">
      <c r="D619" s="143"/>
      <c r="E619" s="129"/>
      <c r="F619" s="112"/>
      <c r="G619" s="112"/>
      <c r="H619" s="112"/>
      <c r="I619" s="112"/>
      <c r="J619" s="112"/>
      <c r="K619" s="112"/>
      <c r="L619" s="112"/>
      <c r="M619" s="112"/>
      <c r="N619" s="112"/>
      <c r="O619" s="112"/>
      <c r="P619" s="112"/>
      <c r="Q619" s="112"/>
      <c r="R619" s="112"/>
      <c r="S619" s="112"/>
      <c r="T619" s="112"/>
      <c r="U619" s="124"/>
      <c r="V619" s="124"/>
      <c r="W619" s="124"/>
      <c r="X619" s="124"/>
      <c r="Y619" s="124"/>
      <c r="Z619" s="112"/>
      <c r="AA619" s="112"/>
      <c r="AB619" s="112"/>
      <c r="AC619" s="112"/>
      <c r="AD619" s="112"/>
      <c r="AE619" s="112"/>
      <c r="AF619" s="112"/>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c r="BK619" s="124"/>
      <c r="BL619" s="124"/>
      <c r="BM619" s="124"/>
      <c r="BN619" s="124"/>
      <c r="BO619" s="124"/>
      <c r="BP619" s="124"/>
      <c r="BQ619" s="124"/>
      <c r="BR619" s="124"/>
      <c r="BS619" s="124"/>
      <c r="BT619" s="124"/>
      <c r="BU619" s="124"/>
      <c r="BV619" s="124"/>
      <c r="BW619" s="124"/>
      <c r="BX619" s="124"/>
      <c r="BY619" s="124"/>
      <c r="BZ619" s="124"/>
      <c r="CA619" s="124"/>
    </row>
    <row r="620">
      <c r="D620" s="143"/>
      <c r="E620" s="129"/>
      <c r="F620" s="112"/>
      <c r="G620" s="112"/>
      <c r="H620" s="112"/>
      <c r="I620" s="112"/>
      <c r="J620" s="112"/>
      <c r="K620" s="112"/>
      <c r="L620" s="112"/>
      <c r="M620" s="112"/>
      <c r="N620" s="112"/>
      <c r="O620" s="112"/>
      <c r="P620" s="112"/>
      <c r="Q620" s="112"/>
      <c r="R620" s="112"/>
      <c r="S620" s="112"/>
      <c r="T620" s="112"/>
      <c r="U620" s="124"/>
      <c r="V620" s="124"/>
      <c r="W620" s="124"/>
      <c r="X620" s="124"/>
      <c r="Y620" s="124"/>
      <c r="Z620" s="112"/>
      <c r="AA620" s="112"/>
      <c r="AB620" s="112"/>
      <c r="AC620" s="112"/>
      <c r="AD620" s="112"/>
      <c r="AE620" s="112"/>
      <c r="AF620" s="112"/>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c r="BK620" s="124"/>
      <c r="BL620" s="124"/>
      <c r="BM620" s="124"/>
      <c r="BN620" s="124"/>
      <c r="BO620" s="124"/>
      <c r="BP620" s="124"/>
      <c r="BQ620" s="124"/>
      <c r="BR620" s="124"/>
      <c r="BS620" s="124"/>
      <c r="BT620" s="124"/>
      <c r="BU620" s="124"/>
      <c r="BV620" s="124"/>
      <c r="BW620" s="124"/>
      <c r="BX620" s="124"/>
      <c r="BY620" s="124"/>
      <c r="BZ620" s="124"/>
      <c r="CA620" s="124"/>
    </row>
    <row r="621">
      <c r="D621" s="143"/>
      <c r="E621" s="129"/>
      <c r="F621" s="112"/>
      <c r="G621" s="112"/>
      <c r="H621" s="112"/>
      <c r="I621" s="112"/>
      <c r="J621" s="112"/>
      <c r="K621" s="112"/>
      <c r="L621" s="112"/>
      <c r="M621" s="112"/>
      <c r="N621" s="112"/>
      <c r="O621" s="112"/>
      <c r="P621" s="112"/>
      <c r="Q621" s="112"/>
      <c r="R621" s="112"/>
      <c r="S621" s="112"/>
      <c r="T621" s="112"/>
      <c r="U621" s="124"/>
      <c r="V621" s="124"/>
      <c r="W621" s="124"/>
      <c r="X621" s="124"/>
      <c r="Y621" s="124"/>
      <c r="Z621" s="112"/>
      <c r="AA621" s="112"/>
      <c r="AB621" s="112"/>
      <c r="AC621" s="112"/>
      <c r="AD621" s="112"/>
      <c r="AE621" s="112"/>
      <c r="AF621" s="112"/>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c r="BK621" s="124"/>
      <c r="BL621" s="124"/>
      <c r="BM621" s="124"/>
      <c r="BN621" s="124"/>
      <c r="BO621" s="124"/>
      <c r="BP621" s="124"/>
      <c r="BQ621" s="124"/>
      <c r="BR621" s="124"/>
      <c r="BS621" s="124"/>
      <c r="BT621" s="124"/>
      <c r="BU621" s="124"/>
      <c r="BV621" s="124"/>
      <c r="BW621" s="124"/>
      <c r="BX621" s="124"/>
      <c r="BY621" s="124"/>
      <c r="BZ621" s="124"/>
      <c r="CA621" s="124"/>
    </row>
    <row r="622">
      <c r="D622" s="143"/>
      <c r="E622" s="129"/>
      <c r="F622" s="112"/>
      <c r="G622" s="112"/>
      <c r="H622" s="112"/>
      <c r="I622" s="112"/>
      <c r="J622" s="112"/>
      <c r="K622" s="112"/>
      <c r="L622" s="112"/>
      <c r="M622" s="112"/>
      <c r="N622" s="112"/>
      <c r="O622" s="112"/>
      <c r="P622" s="112"/>
      <c r="Q622" s="112"/>
      <c r="R622" s="112"/>
      <c r="S622" s="112"/>
      <c r="T622" s="112"/>
      <c r="U622" s="124"/>
      <c r="V622" s="124"/>
      <c r="W622" s="124"/>
      <c r="X622" s="124"/>
      <c r="Y622" s="124"/>
      <c r="Z622" s="112"/>
      <c r="AA622" s="112"/>
      <c r="AB622" s="112"/>
      <c r="AC622" s="112"/>
      <c r="AD622" s="112"/>
      <c r="AE622" s="112"/>
      <c r="AF622" s="112"/>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c r="BK622" s="124"/>
      <c r="BL622" s="124"/>
      <c r="BM622" s="124"/>
      <c r="BN622" s="124"/>
      <c r="BO622" s="124"/>
      <c r="BP622" s="124"/>
      <c r="BQ622" s="124"/>
      <c r="BR622" s="124"/>
      <c r="BS622" s="124"/>
      <c r="BT622" s="124"/>
      <c r="BU622" s="124"/>
      <c r="BV622" s="124"/>
      <c r="BW622" s="124"/>
      <c r="BX622" s="124"/>
      <c r="BY622" s="124"/>
      <c r="BZ622" s="124"/>
      <c r="CA622" s="124"/>
    </row>
    <row r="623">
      <c r="D623" s="143"/>
      <c r="E623" s="129"/>
      <c r="F623" s="112"/>
      <c r="G623" s="112"/>
      <c r="H623" s="112"/>
      <c r="I623" s="112"/>
      <c r="J623" s="112"/>
      <c r="K623" s="112"/>
      <c r="L623" s="112"/>
      <c r="M623" s="112"/>
      <c r="N623" s="112"/>
      <c r="O623" s="112"/>
      <c r="P623" s="112"/>
      <c r="Q623" s="112"/>
      <c r="R623" s="112"/>
      <c r="S623" s="112"/>
      <c r="T623" s="112"/>
      <c r="U623" s="124"/>
      <c r="V623" s="124"/>
      <c r="W623" s="124"/>
      <c r="X623" s="124"/>
      <c r="Y623" s="124"/>
      <c r="Z623" s="112"/>
      <c r="AA623" s="112"/>
      <c r="AB623" s="112"/>
      <c r="AC623" s="112"/>
      <c r="AD623" s="112"/>
      <c r="AE623" s="112"/>
      <c r="AF623" s="112"/>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c r="BK623" s="124"/>
      <c r="BL623" s="124"/>
      <c r="BM623" s="124"/>
      <c r="BN623" s="124"/>
      <c r="BO623" s="124"/>
      <c r="BP623" s="124"/>
      <c r="BQ623" s="124"/>
      <c r="BR623" s="124"/>
      <c r="BS623" s="124"/>
      <c r="BT623" s="124"/>
      <c r="BU623" s="124"/>
      <c r="BV623" s="124"/>
      <c r="BW623" s="124"/>
      <c r="BX623" s="124"/>
      <c r="BY623" s="124"/>
      <c r="BZ623" s="124"/>
      <c r="CA623" s="124"/>
    </row>
    <row r="624">
      <c r="D624" s="143"/>
      <c r="E624" s="129"/>
      <c r="F624" s="112"/>
      <c r="G624" s="112"/>
      <c r="H624" s="112"/>
      <c r="I624" s="112"/>
      <c r="J624" s="112"/>
      <c r="K624" s="112"/>
      <c r="L624" s="112"/>
      <c r="M624" s="112"/>
      <c r="N624" s="112"/>
      <c r="O624" s="112"/>
      <c r="P624" s="112"/>
      <c r="Q624" s="112"/>
      <c r="R624" s="112"/>
      <c r="S624" s="112"/>
      <c r="T624" s="112"/>
      <c r="U624" s="124"/>
      <c r="V624" s="124"/>
      <c r="W624" s="124"/>
      <c r="X624" s="124"/>
      <c r="Y624" s="124"/>
      <c r="Z624" s="112"/>
      <c r="AA624" s="112"/>
      <c r="AB624" s="112"/>
      <c r="AC624" s="112"/>
      <c r="AD624" s="112"/>
      <c r="AE624" s="112"/>
      <c r="AF624" s="112"/>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c r="BK624" s="124"/>
      <c r="BL624" s="124"/>
      <c r="BM624" s="124"/>
      <c r="BN624" s="124"/>
      <c r="BO624" s="124"/>
      <c r="BP624" s="124"/>
      <c r="BQ624" s="124"/>
      <c r="BR624" s="124"/>
      <c r="BS624" s="124"/>
      <c r="BT624" s="124"/>
      <c r="BU624" s="124"/>
      <c r="BV624" s="124"/>
      <c r="BW624" s="124"/>
      <c r="BX624" s="124"/>
      <c r="BY624" s="124"/>
      <c r="BZ624" s="124"/>
      <c r="CA624" s="124"/>
    </row>
    <row r="625">
      <c r="D625" s="143"/>
      <c r="E625" s="129"/>
      <c r="F625" s="112"/>
      <c r="G625" s="112"/>
      <c r="H625" s="112"/>
      <c r="I625" s="112"/>
      <c r="J625" s="112"/>
      <c r="K625" s="112"/>
      <c r="L625" s="112"/>
      <c r="M625" s="112"/>
      <c r="N625" s="112"/>
      <c r="O625" s="112"/>
      <c r="P625" s="112"/>
      <c r="Q625" s="112"/>
      <c r="R625" s="112"/>
      <c r="S625" s="112"/>
      <c r="T625" s="112"/>
      <c r="U625" s="124"/>
      <c r="V625" s="124"/>
      <c r="W625" s="124"/>
      <c r="X625" s="124"/>
      <c r="Y625" s="124"/>
      <c r="Z625" s="112"/>
      <c r="AA625" s="112"/>
      <c r="AB625" s="112"/>
      <c r="AC625" s="112"/>
      <c r="AD625" s="112"/>
      <c r="AE625" s="112"/>
      <c r="AF625" s="112"/>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c r="BK625" s="124"/>
      <c r="BL625" s="124"/>
      <c r="BM625" s="124"/>
      <c r="BN625" s="124"/>
      <c r="BO625" s="124"/>
      <c r="BP625" s="124"/>
      <c r="BQ625" s="124"/>
      <c r="BR625" s="124"/>
      <c r="BS625" s="124"/>
      <c r="BT625" s="124"/>
      <c r="BU625" s="124"/>
      <c r="BV625" s="124"/>
      <c r="BW625" s="124"/>
      <c r="BX625" s="124"/>
      <c r="BY625" s="124"/>
      <c r="BZ625" s="124"/>
      <c r="CA625" s="124"/>
    </row>
    <row r="626">
      <c r="D626" s="143"/>
      <c r="E626" s="129"/>
      <c r="F626" s="112"/>
      <c r="G626" s="112"/>
      <c r="H626" s="112"/>
      <c r="I626" s="112"/>
      <c r="J626" s="112"/>
      <c r="K626" s="112"/>
      <c r="L626" s="112"/>
      <c r="M626" s="112"/>
      <c r="N626" s="112"/>
      <c r="O626" s="112"/>
      <c r="P626" s="112"/>
      <c r="Q626" s="112"/>
      <c r="R626" s="112"/>
      <c r="S626" s="112"/>
      <c r="T626" s="112"/>
      <c r="U626" s="124"/>
      <c r="V626" s="124"/>
      <c r="W626" s="124"/>
      <c r="X626" s="124"/>
      <c r="Y626" s="124"/>
      <c r="Z626" s="112"/>
      <c r="AA626" s="112"/>
      <c r="AB626" s="112"/>
      <c r="AC626" s="112"/>
      <c r="AD626" s="112"/>
      <c r="AE626" s="112"/>
      <c r="AF626" s="112"/>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c r="BK626" s="124"/>
      <c r="BL626" s="124"/>
      <c r="BM626" s="124"/>
      <c r="BN626" s="124"/>
      <c r="BO626" s="124"/>
      <c r="BP626" s="124"/>
      <c r="BQ626" s="124"/>
      <c r="BR626" s="124"/>
      <c r="BS626" s="124"/>
      <c r="BT626" s="124"/>
      <c r="BU626" s="124"/>
      <c r="BV626" s="124"/>
      <c r="BW626" s="124"/>
      <c r="BX626" s="124"/>
      <c r="BY626" s="124"/>
      <c r="BZ626" s="124"/>
      <c r="CA626" s="124"/>
    </row>
    <row r="627">
      <c r="D627" s="143"/>
      <c r="E627" s="129"/>
      <c r="F627" s="112"/>
      <c r="G627" s="112"/>
      <c r="H627" s="112"/>
      <c r="I627" s="112"/>
      <c r="J627" s="112"/>
      <c r="K627" s="112"/>
      <c r="L627" s="112"/>
      <c r="M627" s="112"/>
      <c r="N627" s="112"/>
      <c r="O627" s="112"/>
      <c r="P627" s="112"/>
      <c r="Q627" s="112"/>
      <c r="R627" s="112"/>
      <c r="S627" s="112"/>
      <c r="T627" s="112"/>
      <c r="U627" s="124"/>
      <c r="V627" s="124"/>
      <c r="W627" s="124"/>
      <c r="X627" s="124"/>
      <c r="Y627" s="124"/>
      <c r="Z627" s="112"/>
      <c r="AA627" s="112"/>
      <c r="AB627" s="112"/>
      <c r="AC627" s="112"/>
      <c r="AD627" s="112"/>
      <c r="AE627" s="112"/>
      <c r="AF627" s="112"/>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c r="BK627" s="124"/>
      <c r="BL627" s="124"/>
      <c r="BM627" s="124"/>
      <c r="BN627" s="124"/>
      <c r="BO627" s="124"/>
      <c r="BP627" s="124"/>
      <c r="BQ627" s="124"/>
      <c r="BR627" s="124"/>
      <c r="BS627" s="124"/>
      <c r="BT627" s="124"/>
      <c r="BU627" s="124"/>
      <c r="BV627" s="124"/>
      <c r="BW627" s="124"/>
      <c r="BX627" s="124"/>
      <c r="BY627" s="124"/>
      <c r="BZ627" s="124"/>
      <c r="CA627" s="124"/>
    </row>
    <row r="628">
      <c r="D628" s="143"/>
      <c r="E628" s="129"/>
      <c r="F628" s="112"/>
      <c r="G628" s="112"/>
      <c r="H628" s="112"/>
      <c r="I628" s="112"/>
      <c r="J628" s="112"/>
      <c r="K628" s="112"/>
      <c r="L628" s="112"/>
      <c r="M628" s="112"/>
      <c r="N628" s="112"/>
      <c r="O628" s="112"/>
      <c r="P628" s="112"/>
      <c r="Q628" s="112"/>
      <c r="R628" s="112"/>
      <c r="S628" s="112"/>
      <c r="T628" s="112"/>
      <c r="U628" s="124"/>
      <c r="V628" s="124"/>
      <c r="W628" s="124"/>
      <c r="X628" s="124"/>
      <c r="Y628" s="124"/>
      <c r="Z628" s="112"/>
      <c r="AA628" s="112"/>
      <c r="AB628" s="112"/>
      <c r="AC628" s="112"/>
      <c r="AD628" s="112"/>
      <c r="AE628" s="112"/>
      <c r="AF628" s="112"/>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c r="BK628" s="124"/>
      <c r="BL628" s="124"/>
      <c r="BM628" s="124"/>
      <c r="BN628" s="124"/>
      <c r="BO628" s="124"/>
      <c r="BP628" s="124"/>
      <c r="BQ628" s="124"/>
      <c r="BR628" s="124"/>
      <c r="BS628" s="124"/>
      <c r="BT628" s="124"/>
      <c r="BU628" s="124"/>
      <c r="BV628" s="124"/>
      <c r="BW628" s="124"/>
      <c r="BX628" s="124"/>
      <c r="BY628" s="124"/>
      <c r="BZ628" s="124"/>
      <c r="CA628" s="124"/>
    </row>
    <row r="629">
      <c r="D629" s="143"/>
      <c r="E629" s="129"/>
      <c r="F629" s="112"/>
      <c r="G629" s="112"/>
      <c r="H629" s="112"/>
      <c r="I629" s="112"/>
      <c r="J629" s="112"/>
      <c r="K629" s="112"/>
      <c r="L629" s="112"/>
      <c r="M629" s="112"/>
      <c r="N629" s="112"/>
      <c r="O629" s="112"/>
      <c r="P629" s="112"/>
      <c r="Q629" s="112"/>
      <c r="R629" s="112"/>
      <c r="S629" s="112"/>
      <c r="T629" s="112"/>
      <c r="U629" s="124"/>
      <c r="V629" s="124"/>
      <c r="W629" s="124"/>
      <c r="X629" s="124"/>
      <c r="Y629" s="124"/>
      <c r="Z629" s="112"/>
      <c r="AA629" s="112"/>
      <c r="AB629" s="112"/>
      <c r="AC629" s="112"/>
      <c r="AD629" s="112"/>
      <c r="AE629" s="112"/>
      <c r="AF629" s="112"/>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c r="BK629" s="124"/>
      <c r="BL629" s="124"/>
      <c r="BM629" s="124"/>
      <c r="BN629" s="124"/>
      <c r="BO629" s="124"/>
      <c r="BP629" s="124"/>
      <c r="BQ629" s="124"/>
      <c r="BR629" s="124"/>
      <c r="BS629" s="124"/>
      <c r="BT629" s="124"/>
      <c r="BU629" s="124"/>
      <c r="BV629" s="124"/>
      <c r="BW629" s="124"/>
      <c r="BX629" s="124"/>
      <c r="BY629" s="124"/>
      <c r="BZ629" s="124"/>
      <c r="CA629" s="124"/>
    </row>
    <row r="630">
      <c r="D630" s="143"/>
      <c r="E630" s="129"/>
      <c r="F630" s="112"/>
      <c r="G630" s="112"/>
      <c r="H630" s="112"/>
      <c r="I630" s="112"/>
      <c r="J630" s="112"/>
      <c r="K630" s="112"/>
      <c r="L630" s="112"/>
      <c r="M630" s="112"/>
      <c r="N630" s="112"/>
      <c r="O630" s="112"/>
      <c r="P630" s="112"/>
      <c r="Q630" s="112"/>
      <c r="R630" s="112"/>
      <c r="S630" s="112"/>
      <c r="T630" s="112"/>
      <c r="U630" s="124"/>
      <c r="V630" s="124"/>
      <c r="W630" s="124"/>
      <c r="X630" s="124"/>
      <c r="Y630" s="124"/>
      <c r="Z630" s="112"/>
      <c r="AA630" s="112"/>
      <c r="AB630" s="112"/>
      <c r="AC630" s="112"/>
      <c r="AD630" s="112"/>
      <c r="AE630" s="112"/>
      <c r="AF630" s="112"/>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c r="BK630" s="124"/>
      <c r="BL630" s="124"/>
      <c r="BM630" s="124"/>
      <c r="BN630" s="124"/>
      <c r="BO630" s="124"/>
      <c r="BP630" s="124"/>
      <c r="BQ630" s="124"/>
      <c r="BR630" s="124"/>
      <c r="BS630" s="124"/>
      <c r="BT630" s="124"/>
      <c r="BU630" s="124"/>
      <c r="BV630" s="124"/>
      <c r="BW630" s="124"/>
      <c r="BX630" s="124"/>
      <c r="BY630" s="124"/>
      <c r="BZ630" s="124"/>
      <c r="CA630" s="124"/>
    </row>
    <row r="631">
      <c r="D631" s="143"/>
      <c r="E631" s="129"/>
      <c r="F631" s="112"/>
      <c r="G631" s="112"/>
      <c r="H631" s="112"/>
      <c r="I631" s="112"/>
      <c r="J631" s="112"/>
      <c r="K631" s="112"/>
      <c r="L631" s="112"/>
      <c r="M631" s="112"/>
      <c r="N631" s="112"/>
      <c r="O631" s="112"/>
      <c r="P631" s="112"/>
      <c r="Q631" s="112"/>
      <c r="R631" s="112"/>
      <c r="S631" s="112"/>
      <c r="T631" s="112"/>
      <c r="U631" s="124"/>
      <c r="V631" s="124"/>
      <c r="W631" s="124"/>
      <c r="X631" s="124"/>
      <c r="Y631" s="124"/>
      <c r="Z631" s="112"/>
      <c r="AA631" s="112"/>
      <c r="AB631" s="112"/>
      <c r="AC631" s="112"/>
      <c r="AD631" s="112"/>
      <c r="AE631" s="112"/>
      <c r="AF631" s="112"/>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c r="BK631" s="124"/>
      <c r="BL631" s="124"/>
      <c r="BM631" s="124"/>
      <c r="BN631" s="124"/>
      <c r="BO631" s="124"/>
      <c r="BP631" s="124"/>
      <c r="BQ631" s="124"/>
      <c r="BR631" s="124"/>
      <c r="BS631" s="124"/>
      <c r="BT631" s="124"/>
      <c r="BU631" s="124"/>
      <c r="BV631" s="124"/>
      <c r="BW631" s="124"/>
      <c r="BX631" s="124"/>
      <c r="BY631" s="124"/>
      <c r="BZ631" s="124"/>
      <c r="CA631" s="124"/>
    </row>
    <row r="632">
      <c r="D632" s="143"/>
      <c r="E632" s="129"/>
      <c r="F632" s="112"/>
      <c r="G632" s="112"/>
      <c r="H632" s="112"/>
      <c r="I632" s="112"/>
      <c r="J632" s="112"/>
      <c r="K632" s="112"/>
      <c r="L632" s="112"/>
      <c r="M632" s="112"/>
      <c r="N632" s="112"/>
      <c r="O632" s="112"/>
      <c r="P632" s="112"/>
      <c r="Q632" s="112"/>
      <c r="R632" s="112"/>
      <c r="S632" s="112"/>
      <c r="T632" s="112"/>
      <c r="U632" s="124"/>
      <c r="V632" s="124"/>
      <c r="W632" s="124"/>
      <c r="X632" s="124"/>
      <c r="Y632" s="124"/>
      <c r="Z632" s="112"/>
      <c r="AA632" s="112"/>
      <c r="AB632" s="112"/>
      <c r="AC632" s="112"/>
      <c r="AD632" s="112"/>
      <c r="AE632" s="112"/>
      <c r="AF632" s="112"/>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c r="BK632" s="124"/>
      <c r="BL632" s="124"/>
      <c r="BM632" s="124"/>
      <c r="BN632" s="124"/>
      <c r="BO632" s="124"/>
      <c r="BP632" s="124"/>
      <c r="BQ632" s="124"/>
      <c r="BR632" s="124"/>
      <c r="BS632" s="124"/>
      <c r="BT632" s="124"/>
      <c r="BU632" s="124"/>
      <c r="BV632" s="124"/>
      <c r="BW632" s="124"/>
      <c r="BX632" s="124"/>
      <c r="BY632" s="124"/>
      <c r="BZ632" s="124"/>
      <c r="CA632" s="124"/>
    </row>
    <row r="633">
      <c r="D633" s="143"/>
      <c r="E633" s="129"/>
      <c r="F633" s="112"/>
      <c r="G633" s="112"/>
      <c r="H633" s="112"/>
      <c r="I633" s="112"/>
      <c r="J633" s="112"/>
      <c r="K633" s="112"/>
      <c r="L633" s="112"/>
      <c r="M633" s="112"/>
      <c r="N633" s="112"/>
      <c r="O633" s="112"/>
      <c r="P633" s="112"/>
      <c r="Q633" s="112"/>
      <c r="R633" s="112"/>
      <c r="S633" s="112"/>
      <c r="T633" s="112"/>
      <c r="U633" s="124"/>
      <c r="V633" s="124"/>
      <c r="W633" s="124"/>
      <c r="X633" s="124"/>
      <c r="Y633" s="124"/>
      <c r="Z633" s="112"/>
      <c r="AA633" s="112"/>
      <c r="AB633" s="112"/>
      <c r="AC633" s="112"/>
      <c r="AD633" s="112"/>
      <c r="AE633" s="112"/>
      <c r="AF633" s="112"/>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c r="BK633" s="124"/>
      <c r="BL633" s="124"/>
      <c r="BM633" s="124"/>
      <c r="BN633" s="124"/>
      <c r="BO633" s="124"/>
      <c r="BP633" s="124"/>
      <c r="BQ633" s="124"/>
      <c r="BR633" s="124"/>
      <c r="BS633" s="124"/>
      <c r="BT633" s="124"/>
      <c r="BU633" s="124"/>
      <c r="BV633" s="124"/>
      <c r="BW633" s="124"/>
      <c r="BX633" s="124"/>
      <c r="BY633" s="124"/>
      <c r="BZ633" s="124"/>
      <c r="CA633" s="124"/>
    </row>
    <row r="634">
      <c r="D634" s="143"/>
      <c r="E634" s="129"/>
      <c r="F634" s="112"/>
      <c r="G634" s="112"/>
      <c r="H634" s="112"/>
      <c r="I634" s="112"/>
      <c r="J634" s="112"/>
      <c r="K634" s="112"/>
      <c r="L634" s="112"/>
      <c r="M634" s="112"/>
      <c r="N634" s="112"/>
      <c r="O634" s="112"/>
      <c r="P634" s="112"/>
      <c r="Q634" s="112"/>
      <c r="R634" s="112"/>
      <c r="S634" s="112"/>
      <c r="T634" s="112"/>
      <c r="U634" s="124"/>
      <c r="V634" s="124"/>
      <c r="W634" s="124"/>
      <c r="X634" s="124"/>
      <c r="Y634" s="124"/>
      <c r="Z634" s="112"/>
      <c r="AA634" s="112"/>
      <c r="AB634" s="112"/>
      <c r="AC634" s="112"/>
      <c r="AD634" s="112"/>
      <c r="AE634" s="112"/>
      <c r="AF634" s="112"/>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c r="BK634" s="124"/>
      <c r="BL634" s="124"/>
      <c r="BM634" s="124"/>
      <c r="BN634" s="124"/>
      <c r="BO634" s="124"/>
      <c r="BP634" s="124"/>
      <c r="BQ634" s="124"/>
      <c r="BR634" s="124"/>
      <c r="BS634" s="124"/>
      <c r="BT634" s="124"/>
      <c r="BU634" s="124"/>
      <c r="BV634" s="124"/>
      <c r="BW634" s="124"/>
      <c r="BX634" s="124"/>
      <c r="BY634" s="124"/>
      <c r="BZ634" s="124"/>
      <c r="CA634" s="124"/>
    </row>
    <row r="635">
      <c r="D635" s="143"/>
      <c r="E635" s="129"/>
      <c r="F635" s="112"/>
      <c r="G635" s="112"/>
      <c r="H635" s="112"/>
      <c r="I635" s="112"/>
      <c r="J635" s="112"/>
      <c r="K635" s="112"/>
      <c r="L635" s="112"/>
      <c r="M635" s="112"/>
      <c r="N635" s="112"/>
      <c r="O635" s="112"/>
      <c r="P635" s="112"/>
      <c r="Q635" s="112"/>
      <c r="R635" s="112"/>
      <c r="S635" s="112"/>
      <c r="T635" s="112"/>
      <c r="U635" s="124"/>
      <c r="V635" s="124"/>
      <c r="W635" s="124"/>
      <c r="X635" s="124"/>
      <c r="Y635" s="124"/>
      <c r="Z635" s="112"/>
      <c r="AA635" s="112"/>
      <c r="AB635" s="112"/>
      <c r="AC635" s="112"/>
      <c r="AD635" s="112"/>
      <c r="AE635" s="112"/>
      <c r="AF635" s="112"/>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c r="BK635" s="124"/>
      <c r="BL635" s="124"/>
      <c r="BM635" s="124"/>
      <c r="BN635" s="124"/>
      <c r="BO635" s="124"/>
      <c r="BP635" s="124"/>
      <c r="BQ635" s="124"/>
      <c r="BR635" s="124"/>
      <c r="BS635" s="124"/>
      <c r="BT635" s="124"/>
      <c r="BU635" s="124"/>
      <c r="BV635" s="124"/>
      <c r="BW635" s="124"/>
      <c r="BX635" s="124"/>
      <c r="BY635" s="124"/>
      <c r="BZ635" s="124"/>
      <c r="CA635" s="124"/>
    </row>
    <row r="636">
      <c r="D636" s="143"/>
      <c r="E636" s="129"/>
      <c r="F636" s="112"/>
      <c r="G636" s="112"/>
      <c r="H636" s="112"/>
      <c r="I636" s="112"/>
      <c r="J636" s="112"/>
      <c r="K636" s="112"/>
      <c r="L636" s="112"/>
      <c r="M636" s="112"/>
      <c r="N636" s="112"/>
      <c r="O636" s="112"/>
      <c r="P636" s="112"/>
      <c r="Q636" s="112"/>
      <c r="R636" s="112"/>
      <c r="S636" s="112"/>
      <c r="T636" s="112"/>
      <c r="U636" s="124"/>
      <c r="V636" s="124"/>
      <c r="W636" s="124"/>
      <c r="X636" s="124"/>
      <c r="Y636" s="124"/>
      <c r="Z636" s="112"/>
      <c r="AA636" s="112"/>
      <c r="AB636" s="112"/>
      <c r="AC636" s="112"/>
      <c r="AD636" s="112"/>
      <c r="AE636" s="112"/>
      <c r="AF636" s="112"/>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c r="BK636" s="124"/>
      <c r="BL636" s="124"/>
      <c r="BM636" s="124"/>
      <c r="BN636" s="124"/>
      <c r="BO636" s="124"/>
      <c r="BP636" s="124"/>
      <c r="BQ636" s="124"/>
      <c r="BR636" s="124"/>
      <c r="BS636" s="124"/>
      <c r="BT636" s="124"/>
      <c r="BU636" s="124"/>
      <c r="BV636" s="124"/>
      <c r="BW636" s="124"/>
      <c r="BX636" s="124"/>
      <c r="BY636" s="124"/>
      <c r="BZ636" s="124"/>
      <c r="CA636" s="124"/>
    </row>
    <row r="637">
      <c r="D637" s="143"/>
      <c r="E637" s="129"/>
      <c r="F637" s="112"/>
      <c r="G637" s="112"/>
      <c r="H637" s="112"/>
      <c r="I637" s="112"/>
      <c r="J637" s="112"/>
      <c r="K637" s="112"/>
      <c r="L637" s="112"/>
      <c r="M637" s="112"/>
      <c r="N637" s="112"/>
      <c r="O637" s="112"/>
      <c r="P637" s="112"/>
      <c r="Q637" s="112"/>
      <c r="R637" s="112"/>
      <c r="S637" s="112"/>
      <c r="T637" s="112"/>
      <c r="U637" s="124"/>
      <c r="V637" s="124"/>
      <c r="W637" s="124"/>
      <c r="X637" s="124"/>
      <c r="Y637" s="124"/>
      <c r="Z637" s="112"/>
      <c r="AA637" s="112"/>
      <c r="AB637" s="112"/>
      <c r="AC637" s="112"/>
      <c r="AD637" s="112"/>
      <c r="AE637" s="112"/>
      <c r="AF637" s="112"/>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c r="BK637" s="124"/>
      <c r="BL637" s="124"/>
      <c r="BM637" s="124"/>
      <c r="BN637" s="124"/>
      <c r="BO637" s="124"/>
      <c r="BP637" s="124"/>
      <c r="BQ637" s="124"/>
      <c r="BR637" s="124"/>
      <c r="BS637" s="124"/>
      <c r="BT637" s="124"/>
      <c r="BU637" s="124"/>
      <c r="BV637" s="124"/>
      <c r="BW637" s="124"/>
      <c r="BX637" s="124"/>
      <c r="BY637" s="124"/>
      <c r="BZ637" s="124"/>
      <c r="CA637" s="124"/>
    </row>
    <row r="638">
      <c r="D638" s="143"/>
      <c r="E638" s="129"/>
      <c r="F638" s="112"/>
      <c r="G638" s="112"/>
      <c r="H638" s="112"/>
      <c r="I638" s="112"/>
      <c r="J638" s="112"/>
      <c r="K638" s="112"/>
      <c r="L638" s="112"/>
      <c r="M638" s="112"/>
      <c r="N638" s="112"/>
      <c r="O638" s="112"/>
      <c r="P638" s="112"/>
      <c r="Q638" s="112"/>
      <c r="R638" s="112"/>
      <c r="S638" s="112"/>
      <c r="T638" s="112"/>
      <c r="U638" s="124"/>
      <c r="V638" s="124"/>
      <c r="W638" s="124"/>
      <c r="X638" s="124"/>
      <c r="Y638" s="124"/>
      <c r="Z638" s="112"/>
      <c r="AA638" s="112"/>
      <c r="AB638" s="112"/>
      <c r="AC638" s="112"/>
      <c r="AD638" s="112"/>
      <c r="AE638" s="112"/>
      <c r="AF638" s="112"/>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c r="BK638" s="124"/>
      <c r="BL638" s="124"/>
      <c r="BM638" s="124"/>
      <c r="BN638" s="124"/>
      <c r="BO638" s="124"/>
      <c r="BP638" s="124"/>
      <c r="BQ638" s="124"/>
      <c r="BR638" s="124"/>
      <c r="BS638" s="124"/>
      <c r="BT638" s="124"/>
      <c r="BU638" s="124"/>
      <c r="BV638" s="124"/>
      <c r="BW638" s="124"/>
      <c r="BX638" s="124"/>
      <c r="BY638" s="124"/>
      <c r="BZ638" s="124"/>
      <c r="CA638" s="124"/>
    </row>
    <row r="639">
      <c r="D639" s="143"/>
      <c r="E639" s="129"/>
      <c r="F639" s="112"/>
      <c r="G639" s="112"/>
      <c r="H639" s="112"/>
      <c r="I639" s="112"/>
      <c r="J639" s="112"/>
      <c r="K639" s="112"/>
      <c r="L639" s="112"/>
      <c r="M639" s="112"/>
      <c r="N639" s="112"/>
      <c r="O639" s="112"/>
      <c r="P639" s="112"/>
      <c r="Q639" s="112"/>
      <c r="R639" s="112"/>
      <c r="S639" s="112"/>
      <c r="T639" s="112"/>
      <c r="U639" s="124"/>
      <c r="V639" s="124"/>
      <c r="W639" s="124"/>
      <c r="X639" s="124"/>
      <c r="Y639" s="124"/>
      <c r="Z639" s="112"/>
      <c r="AA639" s="112"/>
      <c r="AB639" s="112"/>
      <c r="AC639" s="112"/>
      <c r="AD639" s="112"/>
      <c r="AE639" s="112"/>
      <c r="AF639" s="112"/>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c r="BK639" s="124"/>
      <c r="BL639" s="124"/>
      <c r="BM639" s="124"/>
      <c r="BN639" s="124"/>
      <c r="BO639" s="124"/>
      <c r="BP639" s="124"/>
      <c r="BQ639" s="124"/>
      <c r="BR639" s="124"/>
      <c r="BS639" s="124"/>
      <c r="BT639" s="124"/>
      <c r="BU639" s="124"/>
      <c r="BV639" s="124"/>
      <c r="BW639" s="124"/>
      <c r="BX639" s="124"/>
      <c r="BY639" s="124"/>
      <c r="BZ639" s="124"/>
      <c r="CA639" s="124"/>
    </row>
    <row r="640">
      <c r="D640" s="143"/>
      <c r="E640" s="129"/>
      <c r="F640" s="112"/>
      <c r="G640" s="112"/>
      <c r="H640" s="112"/>
      <c r="I640" s="112"/>
      <c r="J640" s="112"/>
      <c r="K640" s="112"/>
      <c r="L640" s="112"/>
      <c r="M640" s="112"/>
      <c r="N640" s="112"/>
      <c r="O640" s="112"/>
      <c r="P640" s="112"/>
      <c r="Q640" s="112"/>
      <c r="R640" s="112"/>
      <c r="S640" s="112"/>
      <c r="T640" s="112"/>
      <c r="U640" s="124"/>
      <c r="V640" s="124"/>
      <c r="W640" s="124"/>
      <c r="X640" s="124"/>
      <c r="Y640" s="124"/>
      <c r="Z640" s="112"/>
      <c r="AA640" s="112"/>
      <c r="AB640" s="112"/>
      <c r="AC640" s="112"/>
      <c r="AD640" s="112"/>
      <c r="AE640" s="112"/>
      <c r="AF640" s="112"/>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c r="BK640" s="124"/>
      <c r="BL640" s="124"/>
      <c r="BM640" s="124"/>
      <c r="BN640" s="124"/>
      <c r="BO640" s="124"/>
      <c r="BP640" s="124"/>
      <c r="BQ640" s="124"/>
      <c r="BR640" s="124"/>
      <c r="BS640" s="124"/>
      <c r="BT640" s="124"/>
      <c r="BU640" s="124"/>
      <c r="BV640" s="124"/>
      <c r="BW640" s="124"/>
      <c r="BX640" s="124"/>
      <c r="BY640" s="124"/>
      <c r="BZ640" s="124"/>
      <c r="CA640" s="124"/>
    </row>
    <row r="641">
      <c r="D641" s="143"/>
      <c r="E641" s="129"/>
      <c r="F641" s="112"/>
      <c r="G641" s="112"/>
      <c r="H641" s="112"/>
      <c r="I641" s="112"/>
      <c r="J641" s="112"/>
      <c r="K641" s="112"/>
      <c r="L641" s="112"/>
      <c r="M641" s="112"/>
      <c r="N641" s="112"/>
      <c r="O641" s="112"/>
      <c r="P641" s="112"/>
      <c r="Q641" s="112"/>
      <c r="R641" s="112"/>
      <c r="S641" s="112"/>
      <c r="T641" s="112"/>
      <c r="U641" s="124"/>
      <c r="V641" s="124"/>
      <c r="W641" s="124"/>
      <c r="X641" s="124"/>
      <c r="Y641" s="124"/>
      <c r="Z641" s="112"/>
      <c r="AA641" s="112"/>
      <c r="AB641" s="112"/>
      <c r="AC641" s="112"/>
      <c r="AD641" s="112"/>
      <c r="AE641" s="112"/>
      <c r="AF641" s="112"/>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c r="BK641" s="124"/>
      <c r="BL641" s="124"/>
      <c r="BM641" s="124"/>
      <c r="BN641" s="124"/>
      <c r="BO641" s="124"/>
      <c r="BP641" s="124"/>
      <c r="BQ641" s="124"/>
      <c r="BR641" s="124"/>
      <c r="BS641" s="124"/>
      <c r="BT641" s="124"/>
      <c r="BU641" s="124"/>
      <c r="BV641" s="124"/>
      <c r="BW641" s="124"/>
      <c r="BX641" s="124"/>
      <c r="BY641" s="124"/>
      <c r="BZ641" s="124"/>
      <c r="CA641" s="124"/>
    </row>
    <row r="642">
      <c r="D642" s="143"/>
      <c r="E642" s="129"/>
      <c r="F642" s="112"/>
      <c r="G642" s="112"/>
      <c r="H642" s="112"/>
      <c r="I642" s="112"/>
      <c r="J642" s="112"/>
      <c r="K642" s="112"/>
      <c r="L642" s="112"/>
      <c r="M642" s="112"/>
      <c r="N642" s="112"/>
      <c r="O642" s="112"/>
      <c r="P642" s="112"/>
      <c r="Q642" s="112"/>
      <c r="R642" s="112"/>
      <c r="S642" s="112"/>
      <c r="T642" s="112"/>
      <c r="U642" s="124"/>
      <c r="V642" s="124"/>
      <c r="W642" s="124"/>
      <c r="X642" s="124"/>
      <c r="Y642" s="124"/>
      <c r="Z642" s="112"/>
      <c r="AA642" s="112"/>
      <c r="AB642" s="112"/>
      <c r="AC642" s="112"/>
      <c r="AD642" s="112"/>
      <c r="AE642" s="112"/>
      <c r="AF642" s="112"/>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c r="BK642" s="124"/>
      <c r="BL642" s="124"/>
      <c r="BM642" s="124"/>
      <c r="BN642" s="124"/>
      <c r="BO642" s="124"/>
      <c r="BP642" s="124"/>
      <c r="BQ642" s="124"/>
      <c r="BR642" s="124"/>
      <c r="BS642" s="124"/>
      <c r="BT642" s="124"/>
      <c r="BU642" s="124"/>
      <c r="BV642" s="124"/>
      <c r="BW642" s="124"/>
      <c r="BX642" s="124"/>
      <c r="BY642" s="124"/>
      <c r="BZ642" s="124"/>
      <c r="CA642" s="124"/>
    </row>
    <row r="643">
      <c r="D643" s="143"/>
      <c r="E643" s="129"/>
      <c r="F643" s="112"/>
      <c r="G643" s="112"/>
      <c r="H643" s="112"/>
      <c r="I643" s="112"/>
      <c r="J643" s="112"/>
      <c r="K643" s="112"/>
      <c r="L643" s="112"/>
      <c r="M643" s="112"/>
      <c r="N643" s="112"/>
      <c r="O643" s="112"/>
      <c r="P643" s="112"/>
      <c r="Q643" s="112"/>
      <c r="R643" s="112"/>
      <c r="S643" s="112"/>
      <c r="T643" s="112"/>
      <c r="U643" s="124"/>
      <c r="V643" s="124"/>
      <c r="W643" s="124"/>
      <c r="X643" s="124"/>
      <c r="Y643" s="124"/>
      <c r="Z643" s="112"/>
      <c r="AA643" s="112"/>
      <c r="AB643" s="112"/>
      <c r="AC643" s="112"/>
      <c r="AD643" s="112"/>
      <c r="AE643" s="112"/>
      <c r="AF643" s="112"/>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c r="BK643" s="124"/>
      <c r="BL643" s="124"/>
      <c r="BM643" s="124"/>
      <c r="BN643" s="124"/>
      <c r="BO643" s="124"/>
      <c r="BP643" s="124"/>
      <c r="BQ643" s="124"/>
      <c r="BR643" s="124"/>
      <c r="BS643" s="124"/>
      <c r="BT643" s="124"/>
      <c r="BU643" s="124"/>
      <c r="BV643" s="124"/>
      <c r="BW643" s="124"/>
      <c r="BX643" s="124"/>
      <c r="BY643" s="124"/>
      <c r="BZ643" s="124"/>
      <c r="CA643" s="124"/>
    </row>
    <row r="644">
      <c r="D644" s="143"/>
      <c r="E644" s="129"/>
      <c r="F644" s="112"/>
      <c r="G644" s="112"/>
      <c r="H644" s="112"/>
      <c r="I644" s="112"/>
      <c r="J644" s="112"/>
      <c r="K644" s="112"/>
      <c r="L644" s="112"/>
      <c r="M644" s="112"/>
      <c r="N644" s="112"/>
      <c r="O644" s="112"/>
      <c r="P644" s="112"/>
      <c r="Q644" s="112"/>
      <c r="R644" s="112"/>
      <c r="S644" s="112"/>
      <c r="T644" s="112"/>
      <c r="U644" s="124"/>
      <c r="V644" s="124"/>
      <c r="W644" s="124"/>
      <c r="X644" s="124"/>
      <c r="Y644" s="124"/>
      <c r="Z644" s="112"/>
      <c r="AA644" s="112"/>
      <c r="AB644" s="112"/>
      <c r="AC644" s="112"/>
      <c r="AD644" s="112"/>
      <c r="AE644" s="112"/>
      <c r="AF644" s="112"/>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c r="BK644" s="124"/>
      <c r="BL644" s="124"/>
      <c r="BM644" s="124"/>
      <c r="BN644" s="124"/>
      <c r="BO644" s="124"/>
      <c r="BP644" s="124"/>
      <c r="BQ644" s="124"/>
      <c r="BR644" s="124"/>
      <c r="BS644" s="124"/>
      <c r="BT644" s="124"/>
      <c r="BU644" s="124"/>
      <c r="BV644" s="124"/>
      <c r="BW644" s="124"/>
      <c r="BX644" s="124"/>
      <c r="BY644" s="124"/>
      <c r="BZ644" s="124"/>
      <c r="CA644" s="124"/>
    </row>
    <row r="645">
      <c r="D645" s="143"/>
      <c r="E645" s="129"/>
      <c r="F645" s="112"/>
      <c r="G645" s="112"/>
      <c r="H645" s="112"/>
      <c r="I645" s="112"/>
      <c r="J645" s="112"/>
      <c r="K645" s="112"/>
      <c r="L645" s="112"/>
      <c r="M645" s="112"/>
      <c r="N645" s="112"/>
      <c r="O645" s="112"/>
      <c r="P645" s="112"/>
      <c r="Q645" s="112"/>
      <c r="R645" s="112"/>
      <c r="S645" s="112"/>
      <c r="T645" s="112"/>
      <c r="U645" s="124"/>
      <c r="V645" s="124"/>
      <c r="W645" s="124"/>
      <c r="X645" s="124"/>
      <c r="Y645" s="124"/>
      <c r="Z645" s="112"/>
      <c r="AA645" s="112"/>
      <c r="AB645" s="112"/>
      <c r="AC645" s="112"/>
      <c r="AD645" s="112"/>
      <c r="AE645" s="112"/>
      <c r="AF645" s="112"/>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c r="BK645" s="124"/>
      <c r="BL645" s="124"/>
      <c r="BM645" s="124"/>
      <c r="BN645" s="124"/>
      <c r="BO645" s="124"/>
      <c r="BP645" s="124"/>
      <c r="BQ645" s="124"/>
      <c r="BR645" s="124"/>
      <c r="BS645" s="124"/>
      <c r="BT645" s="124"/>
      <c r="BU645" s="124"/>
      <c r="BV645" s="124"/>
      <c r="BW645" s="124"/>
      <c r="BX645" s="124"/>
      <c r="BY645" s="124"/>
      <c r="BZ645" s="124"/>
      <c r="CA645" s="124"/>
    </row>
    <row r="646">
      <c r="D646" s="143"/>
      <c r="E646" s="129"/>
      <c r="F646" s="112"/>
      <c r="G646" s="112"/>
      <c r="H646" s="112"/>
      <c r="I646" s="112"/>
      <c r="J646" s="112"/>
      <c r="K646" s="112"/>
      <c r="L646" s="112"/>
      <c r="M646" s="112"/>
      <c r="N646" s="112"/>
      <c r="O646" s="112"/>
      <c r="P646" s="112"/>
      <c r="Q646" s="112"/>
      <c r="R646" s="112"/>
      <c r="S646" s="112"/>
      <c r="T646" s="112"/>
      <c r="U646" s="124"/>
      <c r="V646" s="124"/>
      <c r="W646" s="124"/>
      <c r="X646" s="124"/>
      <c r="Y646" s="124"/>
      <c r="Z646" s="112"/>
      <c r="AA646" s="112"/>
      <c r="AB646" s="112"/>
      <c r="AC646" s="112"/>
      <c r="AD646" s="112"/>
      <c r="AE646" s="112"/>
      <c r="AF646" s="112"/>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c r="BK646" s="124"/>
      <c r="BL646" s="124"/>
      <c r="BM646" s="124"/>
      <c r="BN646" s="124"/>
      <c r="BO646" s="124"/>
      <c r="BP646" s="124"/>
      <c r="BQ646" s="124"/>
      <c r="BR646" s="124"/>
      <c r="BS646" s="124"/>
      <c r="BT646" s="124"/>
      <c r="BU646" s="124"/>
      <c r="BV646" s="124"/>
      <c r="BW646" s="124"/>
      <c r="BX646" s="124"/>
      <c r="BY646" s="124"/>
      <c r="BZ646" s="124"/>
      <c r="CA646" s="124"/>
    </row>
    <row r="647">
      <c r="D647" s="143"/>
      <c r="E647" s="129"/>
      <c r="F647" s="112"/>
      <c r="G647" s="112"/>
      <c r="H647" s="112"/>
      <c r="I647" s="112"/>
      <c r="J647" s="112"/>
      <c r="K647" s="112"/>
      <c r="L647" s="112"/>
      <c r="M647" s="112"/>
      <c r="N647" s="112"/>
      <c r="O647" s="112"/>
      <c r="P647" s="112"/>
      <c r="Q647" s="112"/>
      <c r="R647" s="112"/>
      <c r="S647" s="112"/>
      <c r="T647" s="112"/>
      <c r="U647" s="124"/>
      <c r="V647" s="124"/>
      <c r="W647" s="124"/>
      <c r="X647" s="124"/>
      <c r="Y647" s="124"/>
      <c r="Z647" s="112"/>
      <c r="AA647" s="112"/>
      <c r="AB647" s="112"/>
      <c r="AC647" s="112"/>
      <c r="AD647" s="112"/>
      <c r="AE647" s="112"/>
      <c r="AF647" s="112"/>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c r="BK647" s="124"/>
      <c r="BL647" s="124"/>
      <c r="BM647" s="124"/>
      <c r="BN647" s="124"/>
      <c r="BO647" s="124"/>
      <c r="BP647" s="124"/>
      <c r="BQ647" s="124"/>
      <c r="BR647" s="124"/>
      <c r="BS647" s="124"/>
      <c r="BT647" s="124"/>
      <c r="BU647" s="124"/>
      <c r="BV647" s="124"/>
      <c r="BW647" s="124"/>
      <c r="BX647" s="124"/>
      <c r="BY647" s="124"/>
      <c r="BZ647" s="124"/>
      <c r="CA647" s="124"/>
    </row>
    <row r="648">
      <c r="D648" s="143"/>
      <c r="E648" s="129"/>
      <c r="F648" s="112"/>
      <c r="G648" s="112"/>
      <c r="H648" s="112"/>
      <c r="I648" s="112"/>
      <c r="J648" s="112"/>
      <c r="K648" s="112"/>
      <c r="L648" s="112"/>
      <c r="M648" s="112"/>
      <c r="N648" s="112"/>
      <c r="O648" s="112"/>
      <c r="P648" s="112"/>
      <c r="Q648" s="112"/>
      <c r="R648" s="112"/>
      <c r="S648" s="112"/>
      <c r="T648" s="112"/>
      <c r="U648" s="124"/>
      <c r="V648" s="124"/>
      <c r="W648" s="124"/>
      <c r="X648" s="124"/>
      <c r="Y648" s="124"/>
      <c r="Z648" s="112"/>
      <c r="AA648" s="112"/>
      <c r="AB648" s="112"/>
      <c r="AC648" s="112"/>
      <c r="AD648" s="112"/>
      <c r="AE648" s="112"/>
      <c r="AF648" s="112"/>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c r="BK648" s="124"/>
      <c r="BL648" s="124"/>
      <c r="BM648" s="124"/>
      <c r="BN648" s="124"/>
      <c r="BO648" s="124"/>
      <c r="BP648" s="124"/>
      <c r="BQ648" s="124"/>
      <c r="BR648" s="124"/>
      <c r="BS648" s="124"/>
      <c r="BT648" s="124"/>
      <c r="BU648" s="124"/>
      <c r="BV648" s="124"/>
      <c r="BW648" s="124"/>
      <c r="BX648" s="124"/>
      <c r="BY648" s="124"/>
      <c r="BZ648" s="124"/>
      <c r="CA648" s="124"/>
    </row>
    <row r="649">
      <c r="D649" s="143"/>
      <c r="E649" s="129"/>
      <c r="F649" s="112"/>
      <c r="G649" s="112"/>
      <c r="H649" s="112"/>
      <c r="I649" s="112"/>
      <c r="J649" s="112"/>
      <c r="K649" s="112"/>
      <c r="L649" s="112"/>
      <c r="M649" s="112"/>
      <c r="N649" s="112"/>
      <c r="O649" s="112"/>
      <c r="P649" s="112"/>
      <c r="Q649" s="112"/>
      <c r="R649" s="112"/>
      <c r="S649" s="112"/>
      <c r="T649" s="112"/>
      <c r="U649" s="124"/>
      <c r="V649" s="124"/>
      <c r="W649" s="124"/>
      <c r="X649" s="124"/>
      <c r="Y649" s="124"/>
      <c r="Z649" s="112"/>
      <c r="AA649" s="112"/>
      <c r="AB649" s="112"/>
      <c r="AC649" s="112"/>
      <c r="AD649" s="112"/>
      <c r="AE649" s="112"/>
      <c r="AF649" s="112"/>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c r="BK649" s="124"/>
      <c r="BL649" s="124"/>
      <c r="BM649" s="124"/>
      <c r="BN649" s="124"/>
      <c r="BO649" s="124"/>
      <c r="BP649" s="124"/>
      <c r="BQ649" s="124"/>
      <c r="BR649" s="124"/>
      <c r="BS649" s="124"/>
      <c r="BT649" s="124"/>
      <c r="BU649" s="124"/>
      <c r="BV649" s="124"/>
      <c r="BW649" s="124"/>
      <c r="BX649" s="124"/>
      <c r="BY649" s="124"/>
      <c r="BZ649" s="124"/>
      <c r="CA649" s="124"/>
    </row>
    <row r="650">
      <c r="D650" s="143"/>
      <c r="E650" s="129"/>
      <c r="F650" s="112"/>
      <c r="G650" s="112"/>
      <c r="H650" s="112"/>
      <c r="I650" s="112"/>
      <c r="J650" s="112"/>
      <c r="K650" s="112"/>
      <c r="L650" s="112"/>
      <c r="M650" s="112"/>
      <c r="N650" s="112"/>
      <c r="O650" s="112"/>
      <c r="P650" s="112"/>
      <c r="Q650" s="112"/>
      <c r="R650" s="112"/>
      <c r="S650" s="112"/>
      <c r="T650" s="112"/>
      <c r="U650" s="124"/>
      <c r="V650" s="124"/>
      <c r="W650" s="124"/>
      <c r="X650" s="124"/>
      <c r="Y650" s="124"/>
      <c r="Z650" s="112"/>
      <c r="AA650" s="112"/>
      <c r="AB650" s="112"/>
      <c r="AC650" s="112"/>
      <c r="AD650" s="112"/>
      <c r="AE650" s="112"/>
      <c r="AF650" s="112"/>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c r="BK650" s="124"/>
      <c r="BL650" s="124"/>
      <c r="BM650" s="124"/>
      <c r="BN650" s="124"/>
      <c r="BO650" s="124"/>
      <c r="BP650" s="124"/>
      <c r="BQ650" s="124"/>
      <c r="BR650" s="124"/>
      <c r="BS650" s="124"/>
      <c r="BT650" s="124"/>
      <c r="BU650" s="124"/>
      <c r="BV650" s="124"/>
      <c r="BW650" s="124"/>
      <c r="BX650" s="124"/>
      <c r="BY650" s="124"/>
      <c r="BZ650" s="124"/>
      <c r="CA650" s="124"/>
    </row>
    <row r="651">
      <c r="D651" s="143"/>
      <c r="E651" s="129"/>
      <c r="F651" s="112"/>
      <c r="G651" s="112"/>
      <c r="H651" s="112"/>
      <c r="I651" s="112"/>
      <c r="J651" s="112"/>
      <c r="K651" s="112"/>
      <c r="L651" s="112"/>
      <c r="M651" s="112"/>
      <c r="N651" s="112"/>
      <c r="O651" s="112"/>
      <c r="P651" s="112"/>
      <c r="Q651" s="112"/>
      <c r="R651" s="112"/>
      <c r="S651" s="112"/>
      <c r="T651" s="112"/>
      <c r="U651" s="124"/>
      <c r="V651" s="124"/>
      <c r="W651" s="124"/>
      <c r="X651" s="124"/>
      <c r="Y651" s="124"/>
      <c r="Z651" s="112"/>
      <c r="AA651" s="112"/>
      <c r="AB651" s="112"/>
      <c r="AC651" s="112"/>
      <c r="AD651" s="112"/>
      <c r="AE651" s="112"/>
      <c r="AF651" s="112"/>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c r="BK651" s="124"/>
      <c r="BL651" s="124"/>
      <c r="BM651" s="124"/>
      <c r="BN651" s="124"/>
      <c r="BO651" s="124"/>
      <c r="BP651" s="124"/>
      <c r="BQ651" s="124"/>
      <c r="BR651" s="124"/>
      <c r="BS651" s="124"/>
      <c r="BT651" s="124"/>
      <c r="BU651" s="124"/>
      <c r="BV651" s="124"/>
      <c r="BW651" s="124"/>
      <c r="BX651" s="124"/>
      <c r="BY651" s="124"/>
      <c r="BZ651" s="124"/>
      <c r="CA651" s="124"/>
    </row>
    <row r="652">
      <c r="D652" s="143"/>
      <c r="E652" s="129"/>
      <c r="F652" s="112"/>
      <c r="G652" s="112"/>
      <c r="H652" s="112"/>
      <c r="I652" s="112"/>
      <c r="J652" s="112"/>
      <c r="K652" s="112"/>
      <c r="L652" s="112"/>
      <c r="M652" s="112"/>
      <c r="N652" s="112"/>
      <c r="O652" s="112"/>
      <c r="P652" s="112"/>
      <c r="Q652" s="112"/>
      <c r="R652" s="112"/>
      <c r="S652" s="112"/>
      <c r="T652" s="112"/>
      <c r="U652" s="124"/>
      <c r="V652" s="124"/>
      <c r="W652" s="124"/>
      <c r="X652" s="124"/>
      <c r="Y652" s="124"/>
      <c r="Z652" s="112"/>
      <c r="AA652" s="112"/>
      <c r="AB652" s="112"/>
      <c r="AC652" s="112"/>
      <c r="AD652" s="112"/>
      <c r="AE652" s="112"/>
      <c r="AF652" s="112"/>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c r="BK652" s="124"/>
      <c r="BL652" s="124"/>
      <c r="BM652" s="124"/>
      <c r="BN652" s="124"/>
      <c r="BO652" s="124"/>
      <c r="BP652" s="124"/>
      <c r="BQ652" s="124"/>
      <c r="BR652" s="124"/>
      <c r="BS652" s="124"/>
      <c r="BT652" s="124"/>
      <c r="BU652" s="124"/>
      <c r="BV652" s="124"/>
      <c r="BW652" s="124"/>
      <c r="BX652" s="124"/>
      <c r="BY652" s="124"/>
      <c r="BZ652" s="124"/>
      <c r="CA652" s="124"/>
    </row>
    <row r="653">
      <c r="D653" s="143"/>
      <c r="E653" s="129"/>
      <c r="F653" s="112"/>
      <c r="G653" s="112"/>
      <c r="H653" s="112"/>
      <c r="I653" s="112"/>
      <c r="J653" s="112"/>
      <c r="K653" s="112"/>
      <c r="L653" s="112"/>
      <c r="M653" s="112"/>
      <c r="N653" s="112"/>
      <c r="O653" s="112"/>
      <c r="P653" s="112"/>
      <c r="Q653" s="112"/>
      <c r="R653" s="112"/>
      <c r="S653" s="112"/>
      <c r="T653" s="112"/>
      <c r="U653" s="124"/>
      <c r="V653" s="124"/>
      <c r="W653" s="124"/>
      <c r="X653" s="124"/>
      <c r="Y653" s="124"/>
      <c r="Z653" s="112"/>
      <c r="AA653" s="112"/>
      <c r="AB653" s="112"/>
      <c r="AC653" s="112"/>
      <c r="AD653" s="112"/>
      <c r="AE653" s="112"/>
      <c r="AF653" s="112"/>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c r="BK653" s="124"/>
      <c r="BL653" s="124"/>
      <c r="BM653" s="124"/>
      <c r="BN653" s="124"/>
      <c r="BO653" s="124"/>
      <c r="BP653" s="124"/>
      <c r="BQ653" s="124"/>
      <c r="BR653" s="124"/>
      <c r="BS653" s="124"/>
      <c r="BT653" s="124"/>
      <c r="BU653" s="124"/>
      <c r="BV653" s="124"/>
      <c r="BW653" s="124"/>
      <c r="BX653" s="124"/>
      <c r="BY653" s="124"/>
      <c r="BZ653" s="124"/>
      <c r="CA653" s="124"/>
    </row>
    <row r="654">
      <c r="D654" s="143"/>
      <c r="E654" s="129"/>
      <c r="F654" s="112"/>
      <c r="G654" s="112"/>
      <c r="H654" s="112"/>
      <c r="I654" s="112"/>
      <c r="J654" s="112"/>
      <c r="K654" s="112"/>
      <c r="L654" s="112"/>
      <c r="M654" s="112"/>
      <c r="N654" s="112"/>
      <c r="O654" s="112"/>
      <c r="P654" s="112"/>
      <c r="Q654" s="112"/>
      <c r="R654" s="112"/>
      <c r="S654" s="112"/>
      <c r="T654" s="112"/>
      <c r="U654" s="124"/>
      <c r="V654" s="124"/>
      <c r="W654" s="124"/>
      <c r="X654" s="124"/>
      <c r="Y654" s="124"/>
      <c r="Z654" s="112"/>
      <c r="AA654" s="112"/>
      <c r="AB654" s="112"/>
      <c r="AC654" s="112"/>
      <c r="AD654" s="112"/>
      <c r="AE654" s="112"/>
      <c r="AF654" s="112"/>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c r="BK654" s="124"/>
      <c r="BL654" s="124"/>
      <c r="BM654" s="124"/>
      <c r="BN654" s="124"/>
      <c r="BO654" s="124"/>
      <c r="BP654" s="124"/>
      <c r="BQ654" s="124"/>
      <c r="BR654" s="124"/>
      <c r="BS654" s="124"/>
      <c r="BT654" s="124"/>
      <c r="BU654" s="124"/>
      <c r="BV654" s="124"/>
      <c r="BW654" s="124"/>
      <c r="BX654" s="124"/>
      <c r="BY654" s="124"/>
      <c r="BZ654" s="124"/>
      <c r="CA654" s="124"/>
    </row>
    <row r="655">
      <c r="D655" s="143"/>
      <c r="E655" s="129"/>
      <c r="F655" s="112"/>
      <c r="G655" s="112"/>
      <c r="H655" s="112"/>
      <c r="I655" s="112"/>
      <c r="J655" s="112"/>
      <c r="K655" s="112"/>
      <c r="L655" s="112"/>
      <c r="M655" s="112"/>
      <c r="N655" s="112"/>
      <c r="O655" s="112"/>
      <c r="P655" s="112"/>
      <c r="Q655" s="112"/>
      <c r="R655" s="112"/>
      <c r="S655" s="112"/>
      <c r="T655" s="112"/>
      <c r="U655" s="124"/>
      <c r="V655" s="124"/>
      <c r="W655" s="124"/>
      <c r="X655" s="124"/>
      <c r="Y655" s="124"/>
      <c r="Z655" s="112"/>
      <c r="AA655" s="112"/>
      <c r="AB655" s="112"/>
      <c r="AC655" s="112"/>
      <c r="AD655" s="112"/>
      <c r="AE655" s="112"/>
      <c r="AF655" s="112"/>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c r="BK655" s="124"/>
      <c r="BL655" s="124"/>
      <c r="BM655" s="124"/>
      <c r="BN655" s="124"/>
      <c r="BO655" s="124"/>
      <c r="BP655" s="124"/>
      <c r="BQ655" s="124"/>
      <c r="BR655" s="124"/>
      <c r="BS655" s="124"/>
      <c r="BT655" s="124"/>
      <c r="BU655" s="124"/>
      <c r="BV655" s="124"/>
      <c r="BW655" s="124"/>
      <c r="BX655" s="124"/>
      <c r="BY655" s="124"/>
      <c r="BZ655" s="124"/>
      <c r="CA655" s="124"/>
    </row>
    <row r="656">
      <c r="D656" s="143"/>
      <c r="E656" s="129"/>
      <c r="F656" s="112"/>
      <c r="G656" s="112"/>
      <c r="H656" s="112"/>
      <c r="I656" s="112"/>
      <c r="J656" s="112"/>
      <c r="K656" s="112"/>
      <c r="L656" s="112"/>
      <c r="M656" s="112"/>
      <c r="N656" s="112"/>
      <c r="O656" s="112"/>
      <c r="P656" s="112"/>
      <c r="Q656" s="112"/>
      <c r="R656" s="112"/>
      <c r="S656" s="112"/>
      <c r="T656" s="112"/>
      <c r="U656" s="124"/>
      <c r="V656" s="124"/>
      <c r="W656" s="124"/>
      <c r="X656" s="124"/>
      <c r="Y656" s="124"/>
      <c r="Z656" s="112"/>
      <c r="AA656" s="112"/>
      <c r="AB656" s="112"/>
      <c r="AC656" s="112"/>
      <c r="AD656" s="112"/>
      <c r="AE656" s="112"/>
      <c r="AF656" s="112"/>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c r="BK656" s="124"/>
      <c r="BL656" s="124"/>
      <c r="BM656" s="124"/>
      <c r="BN656" s="124"/>
      <c r="BO656" s="124"/>
      <c r="BP656" s="124"/>
      <c r="BQ656" s="124"/>
      <c r="BR656" s="124"/>
      <c r="BS656" s="124"/>
      <c r="BT656" s="124"/>
      <c r="BU656" s="124"/>
      <c r="BV656" s="124"/>
      <c r="BW656" s="124"/>
      <c r="BX656" s="124"/>
      <c r="BY656" s="124"/>
      <c r="BZ656" s="124"/>
      <c r="CA656" s="124"/>
    </row>
    <row r="657">
      <c r="D657" s="143"/>
      <c r="E657" s="129"/>
      <c r="F657" s="112"/>
      <c r="G657" s="112"/>
      <c r="H657" s="112"/>
      <c r="I657" s="112"/>
      <c r="J657" s="112"/>
      <c r="K657" s="112"/>
      <c r="L657" s="112"/>
      <c r="M657" s="112"/>
      <c r="N657" s="112"/>
      <c r="O657" s="112"/>
      <c r="P657" s="112"/>
      <c r="Q657" s="112"/>
      <c r="R657" s="112"/>
      <c r="S657" s="112"/>
      <c r="T657" s="112"/>
      <c r="U657" s="124"/>
      <c r="V657" s="124"/>
      <c r="W657" s="124"/>
      <c r="X657" s="124"/>
      <c r="Y657" s="124"/>
      <c r="Z657" s="112"/>
      <c r="AA657" s="112"/>
      <c r="AB657" s="112"/>
      <c r="AC657" s="112"/>
      <c r="AD657" s="112"/>
      <c r="AE657" s="112"/>
      <c r="AF657" s="112"/>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c r="BK657" s="124"/>
      <c r="BL657" s="124"/>
      <c r="BM657" s="124"/>
      <c r="BN657" s="124"/>
      <c r="BO657" s="124"/>
      <c r="BP657" s="124"/>
      <c r="BQ657" s="124"/>
      <c r="BR657" s="124"/>
      <c r="BS657" s="124"/>
      <c r="BT657" s="124"/>
      <c r="BU657" s="124"/>
      <c r="BV657" s="124"/>
      <c r="BW657" s="124"/>
      <c r="BX657" s="124"/>
      <c r="BY657" s="124"/>
      <c r="BZ657" s="124"/>
      <c r="CA657" s="124"/>
    </row>
    <row r="658">
      <c r="D658" s="143"/>
      <c r="E658" s="129"/>
      <c r="F658" s="112"/>
      <c r="G658" s="112"/>
      <c r="H658" s="112"/>
      <c r="I658" s="112"/>
      <c r="J658" s="112"/>
      <c r="K658" s="112"/>
      <c r="L658" s="112"/>
      <c r="M658" s="112"/>
      <c r="N658" s="112"/>
      <c r="O658" s="112"/>
      <c r="P658" s="112"/>
      <c r="Q658" s="112"/>
      <c r="R658" s="112"/>
      <c r="S658" s="112"/>
      <c r="T658" s="112"/>
      <c r="U658" s="124"/>
      <c r="V658" s="124"/>
      <c r="W658" s="124"/>
      <c r="X658" s="124"/>
      <c r="Y658" s="124"/>
      <c r="Z658" s="112"/>
      <c r="AA658" s="112"/>
      <c r="AB658" s="112"/>
      <c r="AC658" s="112"/>
      <c r="AD658" s="112"/>
      <c r="AE658" s="112"/>
      <c r="AF658" s="112"/>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c r="BK658" s="124"/>
      <c r="BL658" s="124"/>
      <c r="BM658" s="124"/>
      <c r="BN658" s="124"/>
      <c r="BO658" s="124"/>
      <c r="BP658" s="124"/>
      <c r="BQ658" s="124"/>
      <c r="BR658" s="124"/>
      <c r="BS658" s="124"/>
      <c r="BT658" s="124"/>
      <c r="BU658" s="124"/>
      <c r="BV658" s="124"/>
      <c r="BW658" s="124"/>
      <c r="BX658" s="124"/>
      <c r="BY658" s="124"/>
      <c r="BZ658" s="124"/>
      <c r="CA658" s="124"/>
    </row>
    <row r="659">
      <c r="D659" s="143"/>
      <c r="E659" s="129"/>
      <c r="F659" s="112"/>
      <c r="G659" s="112"/>
      <c r="H659" s="112"/>
      <c r="I659" s="112"/>
      <c r="J659" s="112"/>
      <c r="K659" s="112"/>
      <c r="L659" s="112"/>
      <c r="M659" s="112"/>
      <c r="N659" s="112"/>
      <c r="O659" s="112"/>
      <c r="P659" s="112"/>
      <c r="Q659" s="112"/>
      <c r="R659" s="112"/>
      <c r="S659" s="112"/>
      <c r="T659" s="112"/>
      <c r="U659" s="124"/>
      <c r="V659" s="124"/>
      <c r="W659" s="124"/>
      <c r="X659" s="124"/>
      <c r="Y659" s="124"/>
      <c r="Z659" s="112"/>
      <c r="AA659" s="112"/>
      <c r="AB659" s="112"/>
      <c r="AC659" s="112"/>
      <c r="AD659" s="112"/>
      <c r="AE659" s="112"/>
      <c r="AF659" s="112"/>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c r="BK659" s="124"/>
      <c r="BL659" s="124"/>
      <c r="BM659" s="124"/>
      <c r="BN659" s="124"/>
      <c r="BO659" s="124"/>
      <c r="BP659" s="124"/>
      <c r="BQ659" s="124"/>
      <c r="BR659" s="124"/>
      <c r="BS659" s="124"/>
      <c r="BT659" s="124"/>
      <c r="BU659" s="124"/>
      <c r="BV659" s="124"/>
      <c r="BW659" s="124"/>
      <c r="BX659" s="124"/>
      <c r="BY659" s="124"/>
      <c r="BZ659" s="124"/>
      <c r="CA659" s="124"/>
    </row>
    <row r="660">
      <c r="D660" s="143"/>
      <c r="E660" s="129"/>
      <c r="F660" s="112"/>
      <c r="G660" s="112"/>
      <c r="H660" s="112"/>
      <c r="I660" s="112"/>
      <c r="J660" s="112"/>
      <c r="K660" s="112"/>
      <c r="L660" s="112"/>
      <c r="M660" s="112"/>
      <c r="N660" s="112"/>
      <c r="O660" s="112"/>
      <c r="P660" s="112"/>
      <c r="Q660" s="112"/>
      <c r="R660" s="112"/>
      <c r="S660" s="112"/>
      <c r="T660" s="112"/>
      <c r="U660" s="124"/>
      <c r="V660" s="124"/>
      <c r="W660" s="124"/>
      <c r="X660" s="124"/>
      <c r="Y660" s="124"/>
      <c r="Z660" s="112"/>
      <c r="AA660" s="112"/>
      <c r="AB660" s="112"/>
      <c r="AC660" s="112"/>
      <c r="AD660" s="112"/>
      <c r="AE660" s="112"/>
      <c r="AF660" s="112"/>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c r="BK660" s="124"/>
      <c r="BL660" s="124"/>
      <c r="BM660" s="124"/>
      <c r="BN660" s="124"/>
      <c r="BO660" s="124"/>
      <c r="BP660" s="124"/>
      <c r="BQ660" s="124"/>
      <c r="BR660" s="124"/>
      <c r="BS660" s="124"/>
      <c r="BT660" s="124"/>
      <c r="BU660" s="124"/>
      <c r="BV660" s="124"/>
      <c r="BW660" s="124"/>
      <c r="BX660" s="124"/>
      <c r="BY660" s="124"/>
      <c r="BZ660" s="124"/>
      <c r="CA660" s="124"/>
    </row>
    <row r="661">
      <c r="D661" s="143"/>
      <c r="E661" s="129"/>
      <c r="F661" s="112"/>
      <c r="G661" s="112"/>
      <c r="H661" s="112"/>
      <c r="I661" s="112"/>
      <c r="J661" s="112"/>
      <c r="K661" s="112"/>
      <c r="L661" s="112"/>
      <c r="M661" s="112"/>
      <c r="N661" s="112"/>
      <c r="O661" s="112"/>
      <c r="P661" s="112"/>
      <c r="Q661" s="112"/>
      <c r="R661" s="112"/>
      <c r="S661" s="112"/>
      <c r="T661" s="112"/>
      <c r="U661" s="124"/>
      <c r="V661" s="124"/>
      <c r="W661" s="124"/>
      <c r="X661" s="124"/>
      <c r="Y661" s="124"/>
      <c r="Z661" s="112"/>
      <c r="AA661" s="112"/>
      <c r="AB661" s="112"/>
      <c r="AC661" s="112"/>
      <c r="AD661" s="112"/>
      <c r="AE661" s="112"/>
      <c r="AF661" s="112"/>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c r="BK661" s="124"/>
      <c r="BL661" s="124"/>
      <c r="BM661" s="124"/>
      <c r="BN661" s="124"/>
      <c r="BO661" s="124"/>
      <c r="BP661" s="124"/>
      <c r="BQ661" s="124"/>
      <c r="BR661" s="124"/>
      <c r="BS661" s="124"/>
      <c r="BT661" s="124"/>
      <c r="BU661" s="124"/>
      <c r="BV661" s="124"/>
      <c r="BW661" s="124"/>
      <c r="BX661" s="124"/>
      <c r="BY661" s="124"/>
      <c r="BZ661" s="124"/>
      <c r="CA661" s="124"/>
    </row>
    <row r="662">
      <c r="D662" s="143"/>
      <c r="E662" s="129"/>
      <c r="F662" s="112"/>
      <c r="G662" s="112"/>
      <c r="H662" s="112"/>
      <c r="I662" s="112"/>
      <c r="J662" s="112"/>
      <c r="K662" s="112"/>
      <c r="L662" s="112"/>
      <c r="M662" s="112"/>
      <c r="N662" s="112"/>
      <c r="O662" s="112"/>
      <c r="P662" s="112"/>
      <c r="Q662" s="112"/>
      <c r="R662" s="112"/>
      <c r="S662" s="112"/>
      <c r="T662" s="112"/>
      <c r="U662" s="124"/>
      <c r="V662" s="124"/>
      <c r="W662" s="124"/>
      <c r="X662" s="124"/>
      <c r="Y662" s="124"/>
      <c r="Z662" s="112"/>
      <c r="AA662" s="112"/>
      <c r="AB662" s="112"/>
      <c r="AC662" s="112"/>
      <c r="AD662" s="112"/>
      <c r="AE662" s="112"/>
      <c r="AF662" s="112"/>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c r="BK662" s="124"/>
      <c r="BL662" s="124"/>
      <c r="BM662" s="124"/>
      <c r="BN662" s="124"/>
      <c r="BO662" s="124"/>
      <c r="BP662" s="124"/>
      <c r="BQ662" s="124"/>
      <c r="BR662" s="124"/>
      <c r="BS662" s="124"/>
      <c r="BT662" s="124"/>
      <c r="BU662" s="124"/>
      <c r="BV662" s="124"/>
      <c r="BW662" s="124"/>
      <c r="BX662" s="124"/>
      <c r="BY662" s="124"/>
      <c r="BZ662" s="124"/>
      <c r="CA662" s="124"/>
    </row>
    <row r="663">
      <c r="D663" s="143"/>
      <c r="E663" s="129"/>
      <c r="F663" s="112"/>
      <c r="G663" s="112"/>
      <c r="H663" s="112"/>
      <c r="I663" s="112"/>
      <c r="J663" s="112"/>
      <c r="K663" s="112"/>
      <c r="L663" s="112"/>
      <c r="M663" s="112"/>
      <c r="N663" s="112"/>
      <c r="O663" s="112"/>
      <c r="P663" s="112"/>
      <c r="Q663" s="112"/>
      <c r="R663" s="112"/>
      <c r="S663" s="112"/>
      <c r="T663" s="112"/>
      <c r="U663" s="124"/>
      <c r="V663" s="124"/>
      <c r="W663" s="124"/>
      <c r="X663" s="124"/>
      <c r="Y663" s="124"/>
      <c r="Z663" s="112"/>
      <c r="AA663" s="112"/>
      <c r="AB663" s="112"/>
      <c r="AC663" s="112"/>
      <c r="AD663" s="112"/>
      <c r="AE663" s="112"/>
      <c r="AF663" s="112"/>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c r="BK663" s="124"/>
      <c r="BL663" s="124"/>
      <c r="BM663" s="124"/>
      <c r="BN663" s="124"/>
      <c r="BO663" s="124"/>
      <c r="BP663" s="124"/>
      <c r="BQ663" s="124"/>
      <c r="BR663" s="124"/>
      <c r="BS663" s="124"/>
      <c r="BT663" s="124"/>
      <c r="BU663" s="124"/>
      <c r="BV663" s="124"/>
      <c r="BW663" s="124"/>
      <c r="BX663" s="124"/>
      <c r="BY663" s="124"/>
      <c r="BZ663" s="124"/>
      <c r="CA663" s="124"/>
    </row>
    <row r="664">
      <c r="D664" s="143"/>
      <c r="E664" s="129"/>
      <c r="F664" s="112"/>
      <c r="G664" s="112"/>
      <c r="H664" s="112"/>
      <c r="I664" s="112"/>
      <c r="J664" s="112"/>
      <c r="K664" s="112"/>
      <c r="L664" s="112"/>
      <c r="M664" s="112"/>
      <c r="N664" s="112"/>
      <c r="O664" s="112"/>
      <c r="P664" s="112"/>
      <c r="Q664" s="112"/>
      <c r="R664" s="112"/>
      <c r="S664" s="112"/>
      <c r="T664" s="112"/>
      <c r="U664" s="124"/>
      <c r="V664" s="124"/>
      <c r="W664" s="124"/>
      <c r="X664" s="124"/>
      <c r="Y664" s="124"/>
      <c r="Z664" s="112"/>
      <c r="AA664" s="112"/>
      <c r="AB664" s="112"/>
      <c r="AC664" s="112"/>
      <c r="AD664" s="112"/>
      <c r="AE664" s="112"/>
      <c r="AF664" s="112"/>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c r="BK664" s="124"/>
      <c r="BL664" s="124"/>
      <c r="BM664" s="124"/>
      <c r="BN664" s="124"/>
      <c r="BO664" s="124"/>
      <c r="BP664" s="124"/>
      <c r="BQ664" s="124"/>
      <c r="BR664" s="124"/>
      <c r="BS664" s="124"/>
      <c r="BT664" s="124"/>
      <c r="BU664" s="124"/>
      <c r="BV664" s="124"/>
      <c r="BW664" s="124"/>
      <c r="BX664" s="124"/>
      <c r="BY664" s="124"/>
      <c r="BZ664" s="124"/>
      <c r="CA664" s="124"/>
    </row>
    <row r="665">
      <c r="D665" s="143"/>
      <c r="E665" s="129"/>
      <c r="F665" s="112"/>
      <c r="G665" s="112"/>
      <c r="H665" s="112"/>
      <c r="I665" s="112"/>
      <c r="J665" s="112"/>
      <c r="K665" s="112"/>
      <c r="L665" s="112"/>
      <c r="M665" s="112"/>
      <c r="N665" s="112"/>
      <c r="O665" s="112"/>
      <c r="P665" s="112"/>
      <c r="Q665" s="112"/>
      <c r="R665" s="112"/>
      <c r="S665" s="112"/>
      <c r="T665" s="112"/>
      <c r="U665" s="124"/>
      <c r="V665" s="124"/>
      <c r="W665" s="124"/>
      <c r="X665" s="124"/>
      <c r="Y665" s="124"/>
      <c r="Z665" s="112"/>
      <c r="AA665" s="112"/>
      <c r="AB665" s="112"/>
      <c r="AC665" s="112"/>
      <c r="AD665" s="112"/>
      <c r="AE665" s="112"/>
      <c r="AF665" s="112"/>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c r="BK665" s="124"/>
      <c r="BL665" s="124"/>
      <c r="BM665" s="124"/>
      <c r="BN665" s="124"/>
      <c r="BO665" s="124"/>
      <c r="BP665" s="124"/>
      <c r="BQ665" s="124"/>
      <c r="BR665" s="124"/>
      <c r="BS665" s="124"/>
      <c r="BT665" s="124"/>
      <c r="BU665" s="124"/>
      <c r="BV665" s="124"/>
      <c r="BW665" s="124"/>
      <c r="BX665" s="124"/>
      <c r="BY665" s="124"/>
      <c r="BZ665" s="124"/>
      <c r="CA665" s="124"/>
    </row>
    <row r="666">
      <c r="D666" s="143"/>
      <c r="E666" s="129"/>
      <c r="F666" s="112"/>
      <c r="G666" s="112"/>
      <c r="H666" s="112"/>
      <c r="I666" s="112"/>
      <c r="J666" s="112"/>
      <c r="K666" s="112"/>
      <c r="L666" s="112"/>
      <c r="M666" s="112"/>
      <c r="N666" s="112"/>
      <c r="O666" s="112"/>
      <c r="P666" s="112"/>
      <c r="Q666" s="112"/>
      <c r="R666" s="112"/>
      <c r="S666" s="112"/>
      <c r="T666" s="112"/>
      <c r="U666" s="124"/>
      <c r="V666" s="124"/>
      <c r="W666" s="124"/>
      <c r="X666" s="124"/>
      <c r="Y666" s="124"/>
      <c r="Z666" s="112"/>
      <c r="AA666" s="112"/>
      <c r="AB666" s="112"/>
      <c r="AC666" s="112"/>
      <c r="AD666" s="112"/>
      <c r="AE666" s="112"/>
      <c r="AF666" s="112"/>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c r="BK666" s="124"/>
      <c r="BL666" s="124"/>
      <c r="BM666" s="124"/>
      <c r="BN666" s="124"/>
      <c r="BO666" s="124"/>
      <c r="BP666" s="124"/>
      <c r="BQ666" s="124"/>
      <c r="BR666" s="124"/>
      <c r="BS666" s="124"/>
      <c r="BT666" s="124"/>
      <c r="BU666" s="124"/>
      <c r="BV666" s="124"/>
      <c r="BW666" s="124"/>
      <c r="BX666" s="124"/>
      <c r="BY666" s="124"/>
      <c r="BZ666" s="124"/>
      <c r="CA666" s="124"/>
    </row>
    <row r="667">
      <c r="D667" s="143"/>
      <c r="E667" s="129"/>
      <c r="F667" s="112"/>
      <c r="G667" s="112"/>
      <c r="H667" s="112"/>
      <c r="I667" s="112"/>
      <c r="J667" s="112"/>
      <c r="K667" s="112"/>
      <c r="L667" s="112"/>
      <c r="M667" s="112"/>
      <c r="N667" s="112"/>
      <c r="O667" s="112"/>
      <c r="P667" s="112"/>
      <c r="Q667" s="112"/>
      <c r="R667" s="112"/>
      <c r="S667" s="112"/>
      <c r="T667" s="112"/>
      <c r="U667" s="124"/>
      <c r="V667" s="124"/>
      <c r="W667" s="124"/>
      <c r="X667" s="124"/>
      <c r="Y667" s="124"/>
      <c r="Z667" s="112"/>
      <c r="AA667" s="112"/>
      <c r="AB667" s="112"/>
      <c r="AC667" s="112"/>
      <c r="AD667" s="112"/>
      <c r="AE667" s="112"/>
      <c r="AF667" s="112"/>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c r="BK667" s="124"/>
      <c r="BL667" s="124"/>
      <c r="BM667" s="124"/>
      <c r="BN667" s="124"/>
      <c r="BO667" s="124"/>
      <c r="BP667" s="124"/>
      <c r="BQ667" s="124"/>
      <c r="BR667" s="124"/>
      <c r="BS667" s="124"/>
      <c r="BT667" s="124"/>
      <c r="BU667" s="124"/>
      <c r="BV667" s="124"/>
      <c r="BW667" s="124"/>
      <c r="BX667" s="124"/>
      <c r="BY667" s="124"/>
      <c r="BZ667" s="124"/>
      <c r="CA667" s="124"/>
    </row>
    <row r="668">
      <c r="D668" s="143"/>
      <c r="E668" s="129"/>
      <c r="F668" s="112"/>
      <c r="G668" s="112"/>
      <c r="H668" s="112"/>
      <c r="I668" s="112"/>
      <c r="J668" s="112"/>
      <c r="K668" s="112"/>
      <c r="L668" s="112"/>
      <c r="M668" s="112"/>
      <c r="N668" s="112"/>
      <c r="O668" s="112"/>
      <c r="P668" s="112"/>
      <c r="Q668" s="112"/>
      <c r="R668" s="112"/>
      <c r="S668" s="112"/>
      <c r="T668" s="112"/>
      <c r="U668" s="124"/>
      <c r="V668" s="124"/>
      <c r="W668" s="124"/>
      <c r="X668" s="124"/>
      <c r="Y668" s="124"/>
      <c r="Z668" s="112"/>
      <c r="AA668" s="112"/>
      <c r="AB668" s="112"/>
      <c r="AC668" s="112"/>
      <c r="AD668" s="112"/>
      <c r="AE668" s="112"/>
      <c r="AF668" s="112"/>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c r="BK668" s="124"/>
      <c r="BL668" s="124"/>
      <c r="BM668" s="124"/>
      <c r="BN668" s="124"/>
      <c r="BO668" s="124"/>
      <c r="BP668" s="124"/>
      <c r="BQ668" s="124"/>
      <c r="BR668" s="124"/>
      <c r="BS668" s="124"/>
      <c r="BT668" s="124"/>
      <c r="BU668" s="124"/>
      <c r="BV668" s="124"/>
      <c r="BW668" s="124"/>
      <c r="BX668" s="124"/>
      <c r="BY668" s="124"/>
      <c r="BZ668" s="124"/>
      <c r="CA668" s="124"/>
    </row>
    <row r="669">
      <c r="D669" s="143"/>
      <c r="E669" s="129"/>
      <c r="F669" s="112"/>
      <c r="G669" s="112"/>
      <c r="H669" s="112"/>
      <c r="I669" s="112"/>
      <c r="J669" s="112"/>
      <c r="K669" s="112"/>
      <c r="L669" s="112"/>
      <c r="M669" s="112"/>
      <c r="N669" s="112"/>
      <c r="O669" s="112"/>
      <c r="P669" s="112"/>
      <c r="Q669" s="112"/>
      <c r="R669" s="112"/>
      <c r="S669" s="112"/>
      <c r="T669" s="112"/>
      <c r="U669" s="124"/>
      <c r="V669" s="124"/>
      <c r="W669" s="124"/>
      <c r="X669" s="124"/>
      <c r="Y669" s="124"/>
      <c r="Z669" s="112"/>
      <c r="AA669" s="112"/>
      <c r="AB669" s="112"/>
      <c r="AC669" s="112"/>
      <c r="AD669" s="112"/>
      <c r="AE669" s="112"/>
      <c r="AF669" s="112"/>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c r="BK669" s="124"/>
      <c r="BL669" s="124"/>
      <c r="BM669" s="124"/>
      <c r="BN669" s="124"/>
      <c r="BO669" s="124"/>
      <c r="BP669" s="124"/>
      <c r="BQ669" s="124"/>
      <c r="BR669" s="124"/>
      <c r="BS669" s="124"/>
      <c r="BT669" s="124"/>
      <c r="BU669" s="124"/>
      <c r="BV669" s="124"/>
      <c r="BW669" s="124"/>
      <c r="BX669" s="124"/>
      <c r="BY669" s="124"/>
      <c r="BZ669" s="124"/>
      <c r="CA669" s="124"/>
    </row>
    <row r="670">
      <c r="D670" s="143"/>
      <c r="E670" s="129"/>
      <c r="F670" s="112"/>
      <c r="G670" s="112"/>
      <c r="H670" s="112"/>
      <c r="I670" s="112"/>
      <c r="J670" s="112"/>
      <c r="K670" s="112"/>
      <c r="L670" s="112"/>
      <c r="M670" s="112"/>
      <c r="N670" s="112"/>
      <c r="O670" s="112"/>
      <c r="P670" s="112"/>
      <c r="Q670" s="112"/>
      <c r="R670" s="112"/>
      <c r="S670" s="112"/>
      <c r="T670" s="112"/>
      <c r="U670" s="124"/>
      <c r="V670" s="124"/>
      <c r="W670" s="124"/>
      <c r="X670" s="124"/>
      <c r="Y670" s="124"/>
      <c r="Z670" s="112"/>
      <c r="AA670" s="112"/>
      <c r="AB670" s="112"/>
      <c r="AC670" s="112"/>
      <c r="AD670" s="112"/>
      <c r="AE670" s="112"/>
      <c r="AF670" s="112"/>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c r="BK670" s="124"/>
      <c r="BL670" s="124"/>
      <c r="BM670" s="124"/>
      <c r="BN670" s="124"/>
      <c r="BO670" s="124"/>
      <c r="BP670" s="124"/>
      <c r="BQ670" s="124"/>
      <c r="BR670" s="124"/>
      <c r="BS670" s="124"/>
      <c r="BT670" s="124"/>
      <c r="BU670" s="124"/>
      <c r="BV670" s="124"/>
      <c r="BW670" s="124"/>
      <c r="BX670" s="124"/>
      <c r="BY670" s="124"/>
      <c r="BZ670" s="124"/>
      <c r="CA670" s="124"/>
    </row>
    <row r="671">
      <c r="D671" s="143"/>
      <c r="E671" s="129"/>
      <c r="F671" s="112"/>
      <c r="G671" s="112"/>
      <c r="H671" s="112"/>
      <c r="I671" s="112"/>
      <c r="J671" s="112"/>
      <c r="K671" s="112"/>
      <c r="L671" s="112"/>
      <c r="M671" s="112"/>
      <c r="N671" s="112"/>
      <c r="O671" s="112"/>
      <c r="P671" s="112"/>
      <c r="Q671" s="112"/>
      <c r="R671" s="112"/>
      <c r="S671" s="112"/>
      <c r="T671" s="112"/>
      <c r="U671" s="124"/>
      <c r="V671" s="124"/>
      <c r="W671" s="124"/>
      <c r="X671" s="124"/>
      <c r="Y671" s="124"/>
      <c r="Z671" s="112"/>
      <c r="AA671" s="112"/>
      <c r="AB671" s="112"/>
      <c r="AC671" s="112"/>
      <c r="AD671" s="112"/>
      <c r="AE671" s="112"/>
      <c r="AF671" s="112"/>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c r="BK671" s="124"/>
      <c r="BL671" s="124"/>
      <c r="BM671" s="124"/>
      <c r="BN671" s="124"/>
      <c r="BO671" s="124"/>
      <c r="BP671" s="124"/>
      <c r="BQ671" s="124"/>
      <c r="BR671" s="124"/>
      <c r="BS671" s="124"/>
      <c r="BT671" s="124"/>
      <c r="BU671" s="124"/>
      <c r="BV671" s="124"/>
      <c r="BW671" s="124"/>
      <c r="BX671" s="124"/>
      <c r="BY671" s="124"/>
      <c r="BZ671" s="124"/>
      <c r="CA671" s="124"/>
    </row>
    <row r="672">
      <c r="D672" s="143"/>
      <c r="E672" s="129"/>
      <c r="F672" s="112"/>
      <c r="G672" s="112"/>
      <c r="H672" s="112"/>
      <c r="I672" s="112"/>
      <c r="J672" s="112"/>
      <c r="K672" s="112"/>
      <c r="L672" s="112"/>
      <c r="M672" s="112"/>
      <c r="N672" s="112"/>
      <c r="O672" s="112"/>
      <c r="P672" s="112"/>
      <c r="Q672" s="112"/>
      <c r="R672" s="112"/>
      <c r="S672" s="112"/>
      <c r="T672" s="112"/>
      <c r="U672" s="124"/>
      <c r="V672" s="124"/>
      <c r="W672" s="124"/>
      <c r="X672" s="124"/>
      <c r="Y672" s="124"/>
      <c r="Z672" s="112"/>
      <c r="AA672" s="112"/>
      <c r="AB672" s="112"/>
      <c r="AC672" s="112"/>
      <c r="AD672" s="112"/>
      <c r="AE672" s="112"/>
      <c r="AF672" s="112"/>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c r="BK672" s="124"/>
      <c r="BL672" s="124"/>
      <c r="BM672" s="124"/>
      <c r="BN672" s="124"/>
      <c r="BO672" s="124"/>
      <c r="BP672" s="124"/>
      <c r="BQ672" s="124"/>
      <c r="BR672" s="124"/>
      <c r="BS672" s="124"/>
      <c r="BT672" s="124"/>
      <c r="BU672" s="124"/>
      <c r="BV672" s="124"/>
      <c r="BW672" s="124"/>
      <c r="BX672" s="124"/>
      <c r="BY672" s="124"/>
      <c r="BZ672" s="124"/>
      <c r="CA672" s="124"/>
    </row>
    <row r="673">
      <c r="D673" s="143"/>
      <c r="E673" s="129"/>
      <c r="F673" s="112"/>
      <c r="G673" s="112"/>
      <c r="H673" s="112"/>
      <c r="I673" s="112"/>
      <c r="J673" s="112"/>
      <c r="K673" s="112"/>
      <c r="L673" s="112"/>
      <c r="M673" s="112"/>
      <c r="N673" s="112"/>
      <c r="O673" s="112"/>
      <c r="P673" s="112"/>
      <c r="Q673" s="112"/>
      <c r="R673" s="112"/>
      <c r="S673" s="112"/>
      <c r="T673" s="112"/>
      <c r="U673" s="124"/>
      <c r="V673" s="124"/>
      <c r="W673" s="124"/>
      <c r="X673" s="124"/>
      <c r="Y673" s="124"/>
      <c r="Z673" s="112"/>
      <c r="AA673" s="112"/>
      <c r="AB673" s="112"/>
      <c r="AC673" s="112"/>
      <c r="AD673" s="112"/>
      <c r="AE673" s="112"/>
      <c r="AF673" s="112"/>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c r="BK673" s="124"/>
      <c r="BL673" s="124"/>
      <c r="BM673" s="124"/>
      <c r="BN673" s="124"/>
      <c r="BO673" s="124"/>
      <c r="BP673" s="124"/>
      <c r="BQ673" s="124"/>
      <c r="BR673" s="124"/>
      <c r="BS673" s="124"/>
      <c r="BT673" s="124"/>
      <c r="BU673" s="124"/>
      <c r="BV673" s="124"/>
      <c r="BW673" s="124"/>
      <c r="BX673" s="124"/>
      <c r="BY673" s="124"/>
      <c r="BZ673" s="124"/>
      <c r="CA673" s="124"/>
    </row>
    <row r="674">
      <c r="D674" s="143"/>
      <c r="E674" s="129"/>
      <c r="F674" s="112"/>
      <c r="G674" s="112"/>
      <c r="H674" s="112"/>
      <c r="I674" s="112"/>
      <c r="J674" s="112"/>
      <c r="K674" s="112"/>
      <c r="L674" s="112"/>
      <c r="M674" s="112"/>
      <c r="N674" s="112"/>
      <c r="O674" s="112"/>
      <c r="P674" s="112"/>
      <c r="Q674" s="112"/>
      <c r="R674" s="112"/>
      <c r="S674" s="112"/>
      <c r="T674" s="112"/>
      <c r="U674" s="124"/>
      <c r="V674" s="124"/>
      <c r="W674" s="124"/>
      <c r="X674" s="124"/>
      <c r="Y674" s="124"/>
      <c r="Z674" s="112"/>
      <c r="AA674" s="112"/>
      <c r="AB674" s="112"/>
      <c r="AC674" s="112"/>
      <c r="AD674" s="112"/>
      <c r="AE674" s="112"/>
      <c r="AF674" s="112"/>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c r="BK674" s="124"/>
      <c r="BL674" s="124"/>
      <c r="BM674" s="124"/>
      <c r="BN674" s="124"/>
      <c r="BO674" s="124"/>
      <c r="BP674" s="124"/>
      <c r="BQ674" s="124"/>
      <c r="BR674" s="124"/>
      <c r="BS674" s="124"/>
      <c r="BT674" s="124"/>
      <c r="BU674" s="124"/>
      <c r="BV674" s="124"/>
      <c r="BW674" s="124"/>
      <c r="BX674" s="124"/>
      <c r="BY674" s="124"/>
      <c r="BZ674" s="124"/>
      <c r="CA674" s="124"/>
    </row>
    <row r="675">
      <c r="D675" s="143"/>
      <c r="E675" s="129"/>
      <c r="F675" s="112"/>
      <c r="G675" s="112"/>
      <c r="H675" s="112"/>
      <c r="I675" s="112"/>
      <c r="J675" s="112"/>
      <c r="K675" s="112"/>
      <c r="L675" s="112"/>
      <c r="M675" s="112"/>
      <c r="N675" s="112"/>
      <c r="O675" s="112"/>
      <c r="P675" s="112"/>
      <c r="Q675" s="112"/>
      <c r="R675" s="112"/>
      <c r="S675" s="112"/>
      <c r="T675" s="112"/>
      <c r="U675" s="124"/>
      <c r="V675" s="124"/>
      <c r="W675" s="124"/>
      <c r="X675" s="124"/>
      <c r="Y675" s="124"/>
      <c r="Z675" s="112"/>
      <c r="AA675" s="112"/>
      <c r="AB675" s="112"/>
      <c r="AC675" s="112"/>
      <c r="AD675" s="112"/>
      <c r="AE675" s="112"/>
      <c r="AF675" s="112"/>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c r="BK675" s="124"/>
      <c r="BL675" s="124"/>
      <c r="BM675" s="124"/>
      <c r="BN675" s="124"/>
      <c r="BO675" s="124"/>
      <c r="BP675" s="124"/>
      <c r="BQ675" s="124"/>
      <c r="BR675" s="124"/>
      <c r="BS675" s="124"/>
      <c r="BT675" s="124"/>
      <c r="BU675" s="124"/>
      <c r="BV675" s="124"/>
      <c r="BW675" s="124"/>
      <c r="BX675" s="124"/>
      <c r="BY675" s="124"/>
      <c r="BZ675" s="124"/>
      <c r="CA675" s="124"/>
    </row>
    <row r="676">
      <c r="D676" s="143"/>
      <c r="E676" s="129"/>
      <c r="F676" s="112"/>
      <c r="G676" s="112"/>
      <c r="H676" s="112"/>
      <c r="I676" s="112"/>
      <c r="J676" s="112"/>
      <c r="K676" s="112"/>
      <c r="L676" s="112"/>
      <c r="M676" s="112"/>
      <c r="N676" s="112"/>
      <c r="O676" s="112"/>
      <c r="P676" s="112"/>
      <c r="Q676" s="112"/>
      <c r="R676" s="112"/>
      <c r="S676" s="112"/>
      <c r="T676" s="112"/>
      <c r="U676" s="124"/>
      <c r="V676" s="124"/>
      <c r="W676" s="124"/>
      <c r="X676" s="124"/>
      <c r="Y676" s="124"/>
      <c r="Z676" s="112"/>
      <c r="AA676" s="112"/>
      <c r="AB676" s="112"/>
      <c r="AC676" s="112"/>
      <c r="AD676" s="112"/>
      <c r="AE676" s="112"/>
      <c r="AF676" s="112"/>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c r="BK676" s="124"/>
      <c r="BL676" s="124"/>
      <c r="BM676" s="124"/>
      <c r="BN676" s="124"/>
      <c r="BO676" s="124"/>
      <c r="BP676" s="124"/>
      <c r="BQ676" s="124"/>
      <c r="BR676" s="124"/>
      <c r="BS676" s="124"/>
      <c r="BT676" s="124"/>
      <c r="BU676" s="124"/>
      <c r="BV676" s="124"/>
      <c r="BW676" s="124"/>
      <c r="BX676" s="124"/>
      <c r="BY676" s="124"/>
      <c r="BZ676" s="124"/>
      <c r="CA676" s="124"/>
    </row>
    <row r="677">
      <c r="D677" s="143"/>
      <c r="E677" s="129"/>
      <c r="F677" s="112"/>
      <c r="G677" s="112"/>
      <c r="H677" s="112"/>
      <c r="I677" s="112"/>
      <c r="J677" s="112"/>
      <c r="K677" s="112"/>
      <c r="L677" s="112"/>
      <c r="M677" s="112"/>
      <c r="N677" s="112"/>
      <c r="O677" s="112"/>
      <c r="P677" s="112"/>
      <c r="Q677" s="112"/>
      <c r="R677" s="112"/>
      <c r="S677" s="112"/>
      <c r="T677" s="112"/>
      <c r="U677" s="124"/>
      <c r="V677" s="124"/>
      <c r="W677" s="124"/>
      <c r="X677" s="124"/>
      <c r="Y677" s="124"/>
      <c r="Z677" s="112"/>
      <c r="AA677" s="112"/>
      <c r="AB677" s="112"/>
      <c r="AC677" s="112"/>
      <c r="AD677" s="112"/>
      <c r="AE677" s="112"/>
      <c r="AF677" s="112"/>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c r="BK677" s="124"/>
      <c r="BL677" s="124"/>
      <c r="BM677" s="124"/>
      <c r="BN677" s="124"/>
      <c r="BO677" s="124"/>
      <c r="BP677" s="124"/>
      <c r="BQ677" s="124"/>
      <c r="BR677" s="124"/>
      <c r="BS677" s="124"/>
      <c r="BT677" s="124"/>
      <c r="BU677" s="124"/>
      <c r="BV677" s="124"/>
      <c r="BW677" s="124"/>
      <c r="BX677" s="124"/>
      <c r="BY677" s="124"/>
      <c r="BZ677" s="124"/>
      <c r="CA677" s="124"/>
    </row>
    <row r="678">
      <c r="D678" s="143"/>
      <c r="E678" s="129"/>
      <c r="F678" s="112"/>
      <c r="G678" s="112"/>
      <c r="H678" s="112"/>
      <c r="I678" s="112"/>
      <c r="J678" s="112"/>
      <c r="K678" s="112"/>
      <c r="L678" s="112"/>
      <c r="M678" s="112"/>
      <c r="N678" s="112"/>
      <c r="O678" s="112"/>
      <c r="P678" s="112"/>
      <c r="Q678" s="112"/>
      <c r="R678" s="112"/>
      <c r="S678" s="112"/>
      <c r="T678" s="112"/>
      <c r="U678" s="124"/>
      <c r="V678" s="124"/>
      <c r="W678" s="124"/>
      <c r="X678" s="124"/>
      <c r="Y678" s="124"/>
      <c r="Z678" s="112"/>
      <c r="AA678" s="112"/>
      <c r="AB678" s="112"/>
      <c r="AC678" s="112"/>
      <c r="AD678" s="112"/>
      <c r="AE678" s="112"/>
      <c r="AF678" s="112"/>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c r="BK678" s="124"/>
      <c r="BL678" s="124"/>
      <c r="BM678" s="124"/>
      <c r="BN678" s="124"/>
      <c r="BO678" s="124"/>
      <c r="BP678" s="124"/>
      <c r="BQ678" s="124"/>
      <c r="BR678" s="124"/>
      <c r="BS678" s="124"/>
      <c r="BT678" s="124"/>
      <c r="BU678" s="124"/>
      <c r="BV678" s="124"/>
      <c r="BW678" s="124"/>
      <c r="BX678" s="124"/>
      <c r="BY678" s="124"/>
      <c r="BZ678" s="124"/>
      <c r="CA678" s="124"/>
    </row>
    <row r="679">
      <c r="D679" s="143"/>
      <c r="E679" s="129"/>
      <c r="F679" s="112"/>
      <c r="G679" s="112"/>
      <c r="H679" s="112"/>
      <c r="I679" s="112"/>
      <c r="J679" s="112"/>
      <c r="K679" s="112"/>
      <c r="L679" s="112"/>
      <c r="M679" s="112"/>
      <c r="N679" s="112"/>
      <c r="O679" s="112"/>
      <c r="P679" s="112"/>
      <c r="Q679" s="112"/>
      <c r="R679" s="112"/>
      <c r="S679" s="112"/>
      <c r="T679" s="112"/>
      <c r="U679" s="124"/>
      <c r="V679" s="124"/>
      <c r="W679" s="124"/>
      <c r="X679" s="124"/>
      <c r="Y679" s="124"/>
      <c r="Z679" s="112"/>
      <c r="AA679" s="112"/>
      <c r="AB679" s="112"/>
      <c r="AC679" s="112"/>
      <c r="AD679" s="112"/>
      <c r="AE679" s="112"/>
      <c r="AF679" s="112"/>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c r="BK679" s="124"/>
      <c r="BL679" s="124"/>
      <c r="BM679" s="124"/>
      <c r="BN679" s="124"/>
      <c r="BO679" s="124"/>
      <c r="BP679" s="124"/>
      <c r="BQ679" s="124"/>
      <c r="BR679" s="124"/>
      <c r="BS679" s="124"/>
      <c r="BT679" s="124"/>
      <c r="BU679" s="124"/>
      <c r="BV679" s="124"/>
      <c r="BW679" s="124"/>
      <c r="BX679" s="124"/>
      <c r="BY679" s="124"/>
      <c r="BZ679" s="124"/>
      <c r="CA679" s="124"/>
    </row>
    <row r="680">
      <c r="D680" s="143"/>
      <c r="E680" s="129"/>
      <c r="F680" s="112"/>
      <c r="G680" s="112"/>
      <c r="H680" s="112"/>
      <c r="I680" s="112"/>
      <c r="J680" s="112"/>
      <c r="K680" s="112"/>
      <c r="L680" s="112"/>
      <c r="M680" s="112"/>
      <c r="N680" s="112"/>
      <c r="O680" s="112"/>
      <c r="P680" s="112"/>
      <c r="Q680" s="112"/>
      <c r="R680" s="112"/>
      <c r="S680" s="112"/>
      <c r="T680" s="112"/>
      <c r="U680" s="124"/>
      <c r="V680" s="124"/>
      <c r="W680" s="124"/>
      <c r="X680" s="124"/>
      <c r="Y680" s="124"/>
      <c r="Z680" s="112"/>
      <c r="AA680" s="112"/>
      <c r="AB680" s="112"/>
      <c r="AC680" s="112"/>
      <c r="AD680" s="112"/>
      <c r="AE680" s="112"/>
      <c r="AF680" s="112"/>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c r="BK680" s="124"/>
      <c r="BL680" s="124"/>
      <c r="BM680" s="124"/>
      <c r="BN680" s="124"/>
      <c r="BO680" s="124"/>
      <c r="BP680" s="124"/>
      <c r="BQ680" s="124"/>
      <c r="BR680" s="124"/>
      <c r="BS680" s="124"/>
      <c r="BT680" s="124"/>
      <c r="BU680" s="124"/>
      <c r="BV680" s="124"/>
      <c r="BW680" s="124"/>
      <c r="BX680" s="124"/>
      <c r="BY680" s="124"/>
      <c r="BZ680" s="124"/>
      <c r="CA680" s="124"/>
    </row>
    <row r="681">
      <c r="D681" s="143"/>
      <c r="E681" s="129"/>
      <c r="F681" s="112"/>
      <c r="G681" s="112"/>
      <c r="H681" s="112"/>
      <c r="I681" s="112"/>
      <c r="J681" s="112"/>
      <c r="K681" s="112"/>
      <c r="L681" s="112"/>
      <c r="M681" s="112"/>
      <c r="N681" s="112"/>
      <c r="O681" s="112"/>
      <c r="P681" s="112"/>
      <c r="Q681" s="112"/>
      <c r="R681" s="112"/>
      <c r="S681" s="112"/>
      <c r="T681" s="112"/>
      <c r="U681" s="124"/>
      <c r="V681" s="124"/>
      <c r="W681" s="124"/>
      <c r="X681" s="124"/>
      <c r="Y681" s="124"/>
      <c r="Z681" s="112"/>
      <c r="AA681" s="112"/>
      <c r="AB681" s="112"/>
      <c r="AC681" s="112"/>
      <c r="AD681" s="112"/>
      <c r="AE681" s="112"/>
      <c r="AF681" s="112"/>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c r="BK681" s="124"/>
      <c r="BL681" s="124"/>
      <c r="BM681" s="124"/>
      <c r="BN681" s="124"/>
      <c r="BO681" s="124"/>
      <c r="BP681" s="124"/>
      <c r="BQ681" s="124"/>
      <c r="BR681" s="124"/>
      <c r="BS681" s="124"/>
      <c r="BT681" s="124"/>
      <c r="BU681" s="124"/>
      <c r="BV681" s="124"/>
      <c r="BW681" s="124"/>
      <c r="BX681" s="124"/>
      <c r="BY681" s="124"/>
      <c r="BZ681" s="124"/>
      <c r="CA681" s="124"/>
    </row>
    <row r="682">
      <c r="D682" s="143"/>
      <c r="E682" s="129"/>
      <c r="F682" s="112"/>
      <c r="G682" s="112"/>
      <c r="H682" s="112"/>
      <c r="I682" s="112"/>
      <c r="J682" s="112"/>
      <c r="K682" s="112"/>
      <c r="L682" s="112"/>
      <c r="M682" s="112"/>
      <c r="N682" s="112"/>
      <c r="O682" s="112"/>
      <c r="P682" s="112"/>
      <c r="Q682" s="112"/>
      <c r="R682" s="112"/>
      <c r="S682" s="112"/>
      <c r="T682" s="112"/>
      <c r="U682" s="124"/>
      <c r="V682" s="124"/>
      <c r="W682" s="124"/>
      <c r="X682" s="124"/>
      <c r="Y682" s="124"/>
      <c r="Z682" s="112"/>
      <c r="AA682" s="112"/>
      <c r="AB682" s="112"/>
      <c r="AC682" s="112"/>
      <c r="AD682" s="112"/>
      <c r="AE682" s="112"/>
      <c r="AF682" s="112"/>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c r="BK682" s="124"/>
      <c r="BL682" s="124"/>
      <c r="BM682" s="124"/>
      <c r="BN682" s="124"/>
      <c r="BO682" s="124"/>
      <c r="BP682" s="124"/>
      <c r="BQ682" s="124"/>
      <c r="BR682" s="124"/>
      <c r="BS682" s="124"/>
      <c r="BT682" s="124"/>
      <c r="BU682" s="124"/>
      <c r="BV682" s="124"/>
      <c r="BW682" s="124"/>
      <c r="BX682" s="124"/>
      <c r="BY682" s="124"/>
      <c r="BZ682" s="124"/>
      <c r="CA682" s="124"/>
    </row>
    <row r="683">
      <c r="D683" s="143"/>
      <c r="E683" s="129"/>
      <c r="F683" s="112"/>
      <c r="G683" s="112"/>
      <c r="H683" s="112"/>
      <c r="I683" s="112"/>
      <c r="J683" s="112"/>
      <c r="K683" s="112"/>
      <c r="L683" s="112"/>
      <c r="M683" s="112"/>
      <c r="N683" s="112"/>
      <c r="O683" s="112"/>
      <c r="P683" s="112"/>
      <c r="Q683" s="112"/>
      <c r="R683" s="112"/>
      <c r="S683" s="112"/>
      <c r="T683" s="112"/>
      <c r="U683" s="124"/>
      <c r="V683" s="124"/>
      <c r="W683" s="124"/>
      <c r="X683" s="124"/>
      <c r="Y683" s="124"/>
      <c r="Z683" s="112"/>
      <c r="AA683" s="112"/>
      <c r="AB683" s="112"/>
      <c r="AC683" s="112"/>
      <c r="AD683" s="112"/>
      <c r="AE683" s="112"/>
      <c r="AF683" s="112"/>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c r="BK683" s="124"/>
      <c r="BL683" s="124"/>
      <c r="BM683" s="124"/>
      <c r="BN683" s="124"/>
      <c r="BO683" s="124"/>
      <c r="BP683" s="124"/>
      <c r="BQ683" s="124"/>
      <c r="BR683" s="124"/>
      <c r="BS683" s="124"/>
      <c r="BT683" s="124"/>
      <c r="BU683" s="124"/>
      <c r="BV683" s="124"/>
      <c r="BW683" s="124"/>
      <c r="BX683" s="124"/>
      <c r="BY683" s="124"/>
      <c r="BZ683" s="124"/>
      <c r="CA683" s="124"/>
    </row>
    <row r="684">
      <c r="D684" s="143"/>
      <c r="E684" s="129"/>
      <c r="F684" s="112"/>
      <c r="G684" s="112"/>
      <c r="H684" s="112"/>
      <c r="I684" s="112"/>
      <c r="J684" s="112"/>
      <c r="K684" s="112"/>
      <c r="L684" s="112"/>
      <c r="M684" s="112"/>
      <c r="N684" s="112"/>
      <c r="O684" s="112"/>
      <c r="P684" s="112"/>
      <c r="Q684" s="112"/>
      <c r="R684" s="112"/>
      <c r="S684" s="112"/>
      <c r="T684" s="112"/>
      <c r="U684" s="124"/>
      <c r="V684" s="124"/>
      <c r="W684" s="124"/>
      <c r="X684" s="124"/>
      <c r="Y684" s="124"/>
      <c r="Z684" s="112"/>
      <c r="AA684" s="112"/>
      <c r="AB684" s="112"/>
      <c r="AC684" s="112"/>
      <c r="AD684" s="112"/>
      <c r="AE684" s="112"/>
      <c r="AF684" s="112"/>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c r="BK684" s="124"/>
      <c r="BL684" s="124"/>
      <c r="BM684" s="124"/>
      <c r="BN684" s="124"/>
      <c r="BO684" s="124"/>
      <c r="BP684" s="124"/>
      <c r="BQ684" s="124"/>
      <c r="BR684" s="124"/>
      <c r="BS684" s="124"/>
      <c r="BT684" s="124"/>
      <c r="BU684" s="124"/>
      <c r="BV684" s="124"/>
      <c r="BW684" s="124"/>
      <c r="BX684" s="124"/>
      <c r="BY684" s="124"/>
      <c r="BZ684" s="124"/>
      <c r="CA684" s="124"/>
    </row>
    <row r="685">
      <c r="D685" s="143"/>
      <c r="E685" s="129"/>
      <c r="F685" s="112"/>
      <c r="G685" s="112"/>
      <c r="H685" s="112"/>
      <c r="I685" s="112"/>
      <c r="J685" s="112"/>
      <c r="K685" s="112"/>
      <c r="L685" s="112"/>
      <c r="M685" s="112"/>
      <c r="N685" s="112"/>
      <c r="O685" s="112"/>
      <c r="P685" s="112"/>
      <c r="Q685" s="112"/>
      <c r="R685" s="112"/>
      <c r="S685" s="112"/>
      <c r="T685" s="112"/>
      <c r="U685" s="124"/>
      <c r="V685" s="124"/>
      <c r="W685" s="124"/>
      <c r="X685" s="124"/>
      <c r="Y685" s="124"/>
      <c r="Z685" s="112"/>
      <c r="AA685" s="112"/>
      <c r="AB685" s="112"/>
      <c r="AC685" s="112"/>
      <c r="AD685" s="112"/>
      <c r="AE685" s="112"/>
      <c r="AF685" s="112"/>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c r="BK685" s="124"/>
      <c r="BL685" s="124"/>
      <c r="BM685" s="124"/>
      <c r="BN685" s="124"/>
      <c r="BO685" s="124"/>
      <c r="BP685" s="124"/>
      <c r="BQ685" s="124"/>
      <c r="BR685" s="124"/>
      <c r="BS685" s="124"/>
      <c r="BT685" s="124"/>
      <c r="BU685" s="124"/>
      <c r="BV685" s="124"/>
      <c r="BW685" s="124"/>
      <c r="BX685" s="124"/>
      <c r="BY685" s="124"/>
      <c r="BZ685" s="124"/>
      <c r="CA685" s="124"/>
    </row>
    <row r="686">
      <c r="D686" s="143"/>
      <c r="E686" s="129"/>
      <c r="F686" s="112"/>
      <c r="G686" s="112"/>
      <c r="H686" s="112"/>
      <c r="I686" s="112"/>
      <c r="J686" s="112"/>
      <c r="K686" s="112"/>
      <c r="L686" s="112"/>
      <c r="M686" s="112"/>
      <c r="N686" s="112"/>
      <c r="O686" s="112"/>
      <c r="P686" s="112"/>
      <c r="Q686" s="112"/>
      <c r="R686" s="112"/>
      <c r="S686" s="112"/>
      <c r="T686" s="112"/>
      <c r="U686" s="124"/>
      <c r="V686" s="124"/>
      <c r="W686" s="124"/>
      <c r="X686" s="124"/>
      <c r="Y686" s="124"/>
      <c r="Z686" s="112"/>
      <c r="AA686" s="112"/>
      <c r="AB686" s="112"/>
      <c r="AC686" s="112"/>
      <c r="AD686" s="112"/>
      <c r="AE686" s="112"/>
      <c r="AF686" s="112"/>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4"/>
      <c r="BR686" s="124"/>
      <c r="BS686" s="124"/>
      <c r="BT686" s="124"/>
      <c r="BU686" s="124"/>
      <c r="BV686" s="124"/>
      <c r="BW686" s="124"/>
      <c r="BX686" s="124"/>
      <c r="BY686" s="124"/>
      <c r="BZ686" s="124"/>
      <c r="CA686" s="124"/>
    </row>
    <row r="687">
      <c r="D687" s="143"/>
      <c r="E687" s="129"/>
      <c r="F687" s="112"/>
      <c r="G687" s="112"/>
      <c r="H687" s="112"/>
      <c r="I687" s="112"/>
      <c r="J687" s="112"/>
      <c r="K687" s="112"/>
      <c r="L687" s="112"/>
      <c r="M687" s="112"/>
      <c r="N687" s="112"/>
      <c r="O687" s="112"/>
      <c r="P687" s="112"/>
      <c r="Q687" s="112"/>
      <c r="R687" s="112"/>
      <c r="S687" s="112"/>
      <c r="T687" s="112"/>
      <c r="U687" s="124"/>
      <c r="V687" s="124"/>
      <c r="W687" s="124"/>
      <c r="X687" s="124"/>
      <c r="Y687" s="124"/>
      <c r="Z687" s="112"/>
      <c r="AA687" s="112"/>
      <c r="AB687" s="112"/>
      <c r="AC687" s="112"/>
      <c r="AD687" s="112"/>
      <c r="AE687" s="112"/>
      <c r="AF687" s="112"/>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c r="BK687" s="124"/>
      <c r="BL687" s="124"/>
      <c r="BM687" s="124"/>
      <c r="BN687" s="124"/>
      <c r="BO687" s="124"/>
      <c r="BP687" s="124"/>
      <c r="BQ687" s="124"/>
      <c r="BR687" s="124"/>
      <c r="BS687" s="124"/>
      <c r="BT687" s="124"/>
      <c r="BU687" s="124"/>
      <c r="BV687" s="124"/>
      <c r="BW687" s="124"/>
      <c r="BX687" s="124"/>
      <c r="BY687" s="124"/>
      <c r="BZ687" s="124"/>
      <c r="CA687" s="124"/>
    </row>
    <row r="688">
      <c r="D688" s="143"/>
      <c r="E688" s="129"/>
      <c r="F688" s="112"/>
      <c r="G688" s="112"/>
      <c r="H688" s="112"/>
      <c r="I688" s="112"/>
      <c r="J688" s="112"/>
      <c r="K688" s="112"/>
      <c r="L688" s="112"/>
      <c r="M688" s="112"/>
      <c r="N688" s="112"/>
      <c r="O688" s="112"/>
      <c r="P688" s="112"/>
      <c r="Q688" s="112"/>
      <c r="R688" s="112"/>
      <c r="S688" s="112"/>
      <c r="T688" s="112"/>
      <c r="U688" s="124"/>
      <c r="V688" s="124"/>
      <c r="W688" s="124"/>
      <c r="X688" s="124"/>
      <c r="Y688" s="124"/>
      <c r="Z688" s="112"/>
      <c r="AA688" s="112"/>
      <c r="AB688" s="112"/>
      <c r="AC688" s="112"/>
      <c r="AD688" s="112"/>
      <c r="AE688" s="112"/>
      <c r="AF688" s="112"/>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c r="BK688" s="124"/>
      <c r="BL688" s="124"/>
      <c r="BM688" s="124"/>
      <c r="BN688" s="124"/>
      <c r="BO688" s="124"/>
      <c r="BP688" s="124"/>
      <c r="BQ688" s="124"/>
      <c r="BR688" s="124"/>
      <c r="BS688" s="124"/>
      <c r="BT688" s="124"/>
      <c r="BU688" s="124"/>
      <c r="BV688" s="124"/>
      <c r="BW688" s="124"/>
      <c r="BX688" s="124"/>
      <c r="BY688" s="124"/>
      <c r="BZ688" s="124"/>
      <c r="CA688" s="124"/>
    </row>
    <row r="689">
      <c r="D689" s="143"/>
      <c r="E689" s="129"/>
      <c r="F689" s="112"/>
      <c r="G689" s="112"/>
      <c r="H689" s="112"/>
      <c r="I689" s="112"/>
      <c r="J689" s="112"/>
      <c r="K689" s="112"/>
      <c r="L689" s="112"/>
      <c r="M689" s="112"/>
      <c r="N689" s="112"/>
      <c r="O689" s="112"/>
      <c r="P689" s="112"/>
      <c r="Q689" s="112"/>
      <c r="R689" s="112"/>
      <c r="S689" s="112"/>
      <c r="T689" s="112"/>
      <c r="U689" s="124"/>
      <c r="V689" s="124"/>
      <c r="W689" s="124"/>
      <c r="X689" s="124"/>
      <c r="Y689" s="124"/>
      <c r="Z689" s="112"/>
      <c r="AA689" s="112"/>
      <c r="AB689" s="112"/>
      <c r="AC689" s="112"/>
      <c r="AD689" s="112"/>
      <c r="AE689" s="112"/>
      <c r="AF689" s="112"/>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c r="BK689" s="124"/>
      <c r="BL689" s="124"/>
      <c r="BM689" s="124"/>
      <c r="BN689" s="124"/>
      <c r="BO689" s="124"/>
      <c r="BP689" s="124"/>
      <c r="BQ689" s="124"/>
      <c r="BR689" s="124"/>
      <c r="BS689" s="124"/>
      <c r="BT689" s="124"/>
      <c r="BU689" s="124"/>
      <c r="BV689" s="124"/>
      <c r="BW689" s="124"/>
      <c r="BX689" s="124"/>
      <c r="BY689" s="124"/>
      <c r="BZ689" s="124"/>
      <c r="CA689" s="124"/>
    </row>
    <row r="690">
      <c r="D690" s="143"/>
      <c r="E690" s="129"/>
      <c r="F690" s="112"/>
      <c r="G690" s="112"/>
      <c r="H690" s="112"/>
      <c r="I690" s="112"/>
      <c r="J690" s="112"/>
      <c r="K690" s="112"/>
      <c r="L690" s="112"/>
      <c r="M690" s="112"/>
      <c r="N690" s="112"/>
      <c r="O690" s="112"/>
      <c r="P690" s="112"/>
      <c r="Q690" s="112"/>
      <c r="R690" s="112"/>
      <c r="S690" s="112"/>
      <c r="T690" s="112"/>
      <c r="U690" s="124"/>
      <c r="V690" s="124"/>
      <c r="W690" s="124"/>
      <c r="X690" s="124"/>
      <c r="Y690" s="124"/>
      <c r="Z690" s="112"/>
      <c r="AA690" s="112"/>
      <c r="AB690" s="112"/>
      <c r="AC690" s="112"/>
      <c r="AD690" s="112"/>
      <c r="AE690" s="112"/>
      <c r="AF690" s="112"/>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c r="BK690" s="124"/>
      <c r="BL690" s="124"/>
      <c r="BM690" s="124"/>
      <c r="BN690" s="124"/>
      <c r="BO690" s="124"/>
      <c r="BP690" s="124"/>
      <c r="BQ690" s="124"/>
      <c r="BR690" s="124"/>
      <c r="BS690" s="124"/>
      <c r="BT690" s="124"/>
      <c r="BU690" s="124"/>
      <c r="BV690" s="124"/>
      <c r="BW690" s="124"/>
      <c r="BX690" s="124"/>
      <c r="BY690" s="124"/>
      <c r="BZ690" s="124"/>
      <c r="CA690" s="124"/>
    </row>
    <row r="691">
      <c r="D691" s="143"/>
      <c r="E691" s="129"/>
      <c r="F691" s="112"/>
      <c r="G691" s="112"/>
      <c r="H691" s="112"/>
      <c r="I691" s="112"/>
      <c r="J691" s="112"/>
      <c r="K691" s="112"/>
      <c r="L691" s="112"/>
      <c r="M691" s="112"/>
      <c r="N691" s="112"/>
      <c r="O691" s="112"/>
      <c r="P691" s="112"/>
      <c r="Q691" s="112"/>
      <c r="R691" s="112"/>
      <c r="S691" s="112"/>
      <c r="T691" s="112"/>
      <c r="U691" s="124"/>
      <c r="V691" s="124"/>
      <c r="W691" s="124"/>
      <c r="X691" s="124"/>
      <c r="Y691" s="124"/>
      <c r="Z691" s="112"/>
      <c r="AA691" s="112"/>
      <c r="AB691" s="112"/>
      <c r="AC691" s="112"/>
      <c r="AD691" s="112"/>
      <c r="AE691" s="112"/>
      <c r="AF691" s="112"/>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c r="BK691" s="124"/>
      <c r="BL691" s="124"/>
      <c r="BM691" s="124"/>
      <c r="BN691" s="124"/>
      <c r="BO691" s="124"/>
      <c r="BP691" s="124"/>
      <c r="BQ691" s="124"/>
      <c r="BR691" s="124"/>
      <c r="BS691" s="124"/>
      <c r="BT691" s="124"/>
      <c r="BU691" s="124"/>
      <c r="BV691" s="124"/>
      <c r="BW691" s="124"/>
      <c r="BX691" s="124"/>
      <c r="BY691" s="124"/>
      <c r="BZ691" s="124"/>
      <c r="CA691" s="124"/>
    </row>
    <row r="692">
      <c r="D692" s="143"/>
      <c r="E692" s="129"/>
      <c r="F692" s="112"/>
      <c r="G692" s="112"/>
      <c r="H692" s="112"/>
      <c r="I692" s="112"/>
      <c r="J692" s="112"/>
      <c r="K692" s="112"/>
      <c r="L692" s="112"/>
      <c r="M692" s="112"/>
      <c r="N692" s="112"/>
      <c r="O692" s="112"/>
      <c r="P692" s="112"/>
      <c r="Q692" s="112"/>
      <c r="R692" s="112"/>
      <c r="S692" s="112"/>
      <c r="T692" s="112"/>
      <c r="U692" s="124"/>
      <c r="V692" s="124"/>
      <c r="W692" s="124"/>
      <c r="X692" s="124"/>
      <c r="Y692" s="124"/>
      <c r="Z692" s="112"/>
      <c r="AA692" s="112"/>
      <c r="AB692" s="112"/>
      <c r="AC692" s="112"/>
      <c r="AD692" s="112"/>
      <c r="AE692" s="112"/>
      <c r="AF692" s="112"/>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c r="BK692" s="124"/>
      <c r="BL692" s="124"/>
      <c r="BM692" s="124"/>
      <c r="BN692" s="124"/>
      <c r="BO692" s="124"/>
      <c r="BP692" s="124"/>
      <c r="BQ692" s="124"/>
      <c r="BR692" s="124"/>
      <c r="BS692" s="124"/>
      <c r="BT692" s="124"/>
      <c r="BU692" s="124"/>
      <c r="BV692" s="124"/>
      <c r="BW692" s="124"/>
      <c r="BX692" s="124"/>
      <c r="BY692" s="124"/>
      <c r="BZ692" s="124"/>
      <c r="CA692" s="124"/>
    </row>
    <row r="693">
      <c r="D693" s="143"/>
      <c r="E693" s="129"/>
      <c r="F693" s="112"/>
      <c r="G693" s="112"/>
      <c r="H693" s="112"/>
      <c r="I693" s="112"/>
      <c r="J693" s="112"/>
      <c r="K693" s="112"/>
      <c r="L693" s="112"/>
      <c r="M693" s="112"/>
      <c r="N693" s="112"/>
      <c r="O693" s="112"/>
      <c r="P693" s="112"/>
      <c r="Q693" s="112"/>
      <c r="R693" s="112"/>
      <c r="S693" s="112"/>
      <c r="T693" s="112"/>
      <c r="U693" s="124"/>
      <c r="V693" s="124"/>
      <c r="W693" s="124"/>
      <c r="X693" s="124"/>
      <c r="Y693" s="124"/>
      <c r="Z693" s="112"/>
      <c r="AA693" s="112"/>
      <c r="AB693" s="112"/>
      <c r="AC693" s="112"/>
      <c r="AD693" s="112"/>
      <c r="AE693" s="112"/>
      <c r="AF693" s="112"/>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c r="BK693" s="124"/>
      <c r="BL693" s="124"/>
      <c r="BM693" s="124"/>
      <c r="BN693" s="124"/>
      <c r="BO693" s="124"/>
      <c r="BP693" s="124"/>
      <c r="BQ693" s="124"/>
      <c r="BR693" s="124"/>
      <c r="BS693" s="124"/>
      <c r="BT693" s="124"/>
      <c r="BU693" s="124"/>
      <c r="BV693" s="124"/>
      <c r="BW693" s="124"/>
      <c r="BX693" s="124"/>
      <c r="BY693" s="124"/>
      <c r="BZ693" s="124"/>
      <c r="CA693" s="124"/>
    </row>
    <row r="694">
      <c r="D694" s="143"/>
      <c r="E694" s="129"/>
      <c r="F694" s="112"/>
      <c r="G694" s="112"/>
      <c r="H694" s="112"/>
      <c r="I694" s="112"/>
      <c r="J694" s="112"/>
      <c r="K694" s="112"/>
      <c r="L694" s="112"/>
      <c r="M694" s="112"/>
      <c r="N694" s="112"/>
      <c r="O694" s="112"/>
      <c r="P694" s="112"/>
      <c r="Q694" s="112"/>
      <c r="R694" s="112"/>
      <c r="S694" s="112"/>
      <c r="T694" s="112"/>
      <c r="U694" s="124"/>
      <c r="V694" s="124"/>
      <c r="W694" s="124"/>
      <c r="X694" s="124"/>
      <c r="Y694" s="124"/>
      <c r="Z694" s="112"/>
      <c r="AA694" s="112"/>
      <c r="AB694" s="112"/>
      <c r="AC694" s="112"/>
      <c r="AD694" s="112"/>
      <c r="AE694" s="112"/>
      <c r="AF694" s="112"/>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c r="BK694" s="124"/>
      <c r="BL694" s="124"/>
      <c r="BM694" s="124"/>
      <c r="BN694" s="124"/>
      <c r="BO694" s="124"/>
      <c r="BP694" s="124"/>
      <c r="BQ694" s="124"/>
      <c r="BR694" s="124"/>
      <c r="BS694" s="124"/>
      <c r="BT694" s="124"/>
      <c r="BU694" s="124"/>
      <c r="BV694" s="124"/>
      <c r="BW694" s="124"/>
      <c r="BX694" s="124"/>
      <c r="BY694" s="124"/>
      <c r="BZ694" s="124"/>
      <c r="CA694" s="124"/>
    </row>
    <row r="695">
      <c r="D695" s="143"/>
      <c r="E695" s="129"/>
      <c r="F695" s="112"/>
      <c r="G695" s="112"/>
      <c r="H695" s="112"/>
      <c r="I695" s="112"/>
      <c r="J695" s="112"/>
      <c r="K695" s="112"/>
      <c r="L695" s="112"/>
      <c r="M695" s="112"/>
      <c r="N695" s="112"/>
      <c r="O695" s="112"/>
      <c r="P695" s="112"/>
      <c r="Q695" s="112"/>
      <c r="R695" s="112"/>
      <c r="S695" s="112"/>
      <c r="T695" s="112"/>
      <c r="U695" s="124"/>
      <c r="V695" s="124"/>
      <c r="W695" s="124"/>
      <c r="X695" s="124"/>
      <c r="Y695" s="124"/>
      <c r="Z695" s="112"/>
      <c r="AA695" s="112"/>
      <c r="AB695" s="112"/>
      <c r="AC695" s="112"/>
      <c r="AD695" s="112"/>
      <c r="AE695" s="112"/>
      <c r="AF695" s="112"/>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c r="BK695" s="124"/>
      <c r="BL695" s="124"/>
      <c r="BM695" s="124"/>
      <c r="BN695" s="124"/>
      <c r="BO695" s="124"/>
      <c r="BP695" s="124"/>
      <c r="BQ695" s="124"/>
      <c r="BR695" s="124"/>
      <c r="BS695" s="124"/>
      <c r="BT695" s="124"/>
      <c r="BU695" s="124"/>
      <c r="BV695" s="124"/>
      <c r="BW695" s="124"/>
      <c r="BX695" s="124"/>
      <c r="BY695" s="124"/>
      <c r="BZ695" s="124"/>
      <c r="CA695" s="124"/>
    </row>
    <row r="696">
      <c r="D696" s="143"/>
      <c r="E696" s="129"/>
      <c r="F696" s="112"/>
      <c r="G696" s="112"/>
      <c r="H696" s="112"/>
      <c r="I696" s="112"/>
      <c r="J696" s="112"/>
      <c r="K696" s="112"/>
      <c r="L696" s="112"/>
      <c r="M696" s="112"/>
      <c r="N696" s="112"/>
      <c r="O696" s="112"/>
      <c r="P696" s="112"/>
      <c r="Q696" s="112"/>
      <c r="R696" s="112"/>
      <c r="S696" s="112"/>
      <c r="T696" s="112"/>
      <c r="U696" s="124"/>
      <c r="V696" s="124"/>
      <c r="W696" s="124"/>
      <c r="X696" s="124"/>
      <c r="Y696" s="124"/>
      <c r="Z696" s="112"/>
      <c r="AA696" s="112"/>
      <c r="AB696" s="112"/>
      <c r="AC696" s="112"/>
      <c r="AD696" s="112"/>
      <c r="AE696" s="112"/>
      <c r="AF696" s="112"/>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c r="BK696" s="124"/>
      <c r="BL696" s="124"/>
      <c r="BM696" s="124"/>
      <c r="BN696" s="124"/>
      <c r="BO696" s="124"/>
      <c r="BP696" s="124"/>
      <c r="BQ696" s="124"/>
      <c r="BR696" s="124"/>
      <c r="BS696" s="124"/>
      <c r="BT696" s="124"/>
      <c r="BU696" s="124"/>
      <c r="BV696" s="124"/>
      <c r="BW696" s="124"/>
      <c r="BX696" s="124"/>
      <c r="BY696" s="124"/>
      <c r="BZ696" s="124"/>
      <c r="CA696" s="124"/>
    </row>
    <row r="697">
      <c r="D697" s="143"/>
      <c r="E697" s="129"/>
      <c r="F697" s="112"/>
      <c r="G697" s="112"/>
      <c r="H697" s="112"/>
      <c r="I697" s="112"/>
      <c r="J697" s="112"/>
      <c r="K697" s="112"/>
      <c r="L697" s="112"/>
      <c r="M697" s="112"/>
      <c r="N697" s="112"/>
      <c r="O697" s="112"/>
      <c r="P697" s="112"/>
      <c r="Q697" s="112"/>
      <c r="R697" s="112"/>
      <c r="S697" s="112"/>
      <c r="T697" s="112"/>
      <c r="U697" s="124"/>
      <c r="V697" s="124"/>
      <c r="W697" s="124"/>
      <c r="X697" s="124"/>
      <c r="Y697" s="124"/>
      <c r="Z697" s="112"/>
      <c r="AA697" s="112"/>
      <c r="AB697" s="112"/>
      <c r="AC697" s="112"/>
      <c r="AD697" s="112"/>
      <c r="AE697" s="112"/>
      <c r="AF697" s="112"/>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c r="BK697" s="124"/>
      <c r="BL697" s="124"/>
      <c r="BM697" s="124"/>
      <c r="BN697" s="124"/>
      <c r="BO697" s="124"/>
      <c r="BP697" s="124"/>
      <c r="BQ697" s="124"/>
      <c r="BR697" s="124"/>
      <c r="BS697" s="124"/>
      <c r="BT697" s="124"/>
      <c r="BU697" s="124"/>
      <c r="BV697" s="124"/>
      <c r="BW697" s="124"/>
      <c r="BX697" s="124"/>
      <c r="BY697" s="124"/>
      <c r="BZ697" s="124"/>
      <c r="CA697" s="124"/>
    </row>
    <row r="698">
      <c r="D698" s="143"/>
      <c r="E698" s="129"/>
      <c r="F698" s="112"/>
      <c r="G698" s="112"/>
      <c r="H698" s="112"/>
      <c r="I698" s="112"/>
      <c r="J698" s="112"/>
      <c r="K698" s="112"/>
      <c r="L698" s="112"/>
      <c r="M698" s="112"/>
      <c r="N698" s="112"/>
      <c r="O698" s="112"/>
      <c r="P698" s="112"/>
      <c r="Q698" s="112"/>
      <c r="R698" s="112"/>
      <c r="S698" s="112"/>
      <c r="T698" s="112"/>
      <c r="U698" s="124"/>
      <c r="V698" s="124"/>
      <c r="W698" s="124"/>
      <c r="X698" s="124"/>
      <c r="Y698" s="124"/>
      <c r="Z698" s="112"/>
      <c r="AA698" s="112"/>
      <c r="AB698" s="112"/>
      <c r="AC698" s="112"/>
      <c r="AD698" s="112"/>
      <c r="AE698" s="112"/>
      <c r="AF698" s="112"/>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c r="BK698" s="124"/>
      <c r="BL698" s="124"/>
      <c r="BM698" s="124"/>
      <c r="BN698" s="124"/>
      <c r="BO698" s="124"/>
      <c r="BP698" s="124"/>
      <c r="BQ698" s="124"/>
      <c r="BR698" s="124"/>
      <c r="BS698" s="124"/>
      <c r="BT698" s="124"/>
      <c r="BU698" s="124"/>
      <c r="BV698" s="124"/>
      <c r="BW698" s="124"/>
      <c r="BX698" s="124"/>
      <c r="BY698" s="124"/>
      <c r="BZ698" s="124"/>
      <c r="CA698" s="124"/>
    </row>
    <row r="699">
      <c r="D699" s="143"/>
      <c r="E699" s="129"/>
      <c r="F699" s="112"/>
      <c r="G699" s="112"/>
      <c r="H699" s="112"/>
      <c r="I699" s="112"/>
      <c r="J699" s="112"/>
      <c r="K699" s="112"/>
      <c r="L699" s="112"/>
      <c r="M699" s="112"/>
      <c r="N699" s="112"/>
      <c r="O699" s="112"/>
      <c r="P699" s="112"/>
      <c r="Q699" s="112"/>
      <c r="R699" s="112"/>
      <c r="S699" s="112"/>
      <c r="T699" s="112"/>
      <c r="U699" s="124"/>
      <c r="V699" s="124"/>
      <c r="W699" s="124"/>
      <c r="X699" s="124"/>
      <c r="Y699" s="124"/>
      <c r="Z699" s="112"/>
      <c r="AA699" s="112"/>
      <c r="AB699" s="112"/>
      <c r="AC699" s="112"/>
      <c r="AD699" s="112"/>
      <c r="AE699" s="112"/>
      <c r="AF699" s="112"/>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c r="BK699" s="124"/>
      <c r="BL699" s="124"/>
      <c r="BM699" s="124"/>
      <c r="BN699" s="124"/>
      <c r="BO699" s="124"/>
      <c r="BP699" s="124"/>
      <c r="BQ699" s="124"/>
      <c r="BR699" s="124"/>
      <c r="BS699" s="124"/>
      <c r="BT699" s="124"/>
      <c r="BU699" s="124"/>
      <c r="BV699" s="124"/>
      <c r="BW699" s="124"/>
      <c r="BX699" s="124"/>
      <c r="BY699" s="124"/>
      <c r="BZ699" s="124"/>
      <c r="CA699" s="124"/>
    </row>
    <row r="700">
      <c r="D700" s="143"/>
      <c r="E700" s="129"/>
      <c r="F700" s="112"/>
      <c r="G700" s="112"/>
      <c r="H700" s="112"/>
      <c r="I700" s="112"/>
      <c r="J700" s="112"/>
      <c r="K700" s="112"/>
      <c r="L700" s="112"/>
      <c r="M700" s="112"/>
      <c r="N700" s="112"/>
      <c r="O700" s="112"/>
      <c r="P700" s="112"/>
      <c r="Q700" s="112"/>
      <c r="R700" s="112"/>
      <c r="S700" s="112"/>
      <c r="T700" s="112"/>
      <c r="U700" s="124"/>
      <c r="V700" s="124"/>
      <c r="W700" s="124"/>
      <c r="X700" s="124"/>
      <c r="Y700" s="124"/>
      <c r="Z700" s="112"/>
      <c r="AA700" s="112"/>
      <c r="AB700" s="112"/>
      <c r="AC700" s="112"/>
      <c r="AD700" s="112"/>
      <c r="AE700" s="112"/>
      <c r="AF700" s="112"/>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c r="BK700" s="124"/>
      <c r="BL700" s="124"/>
      <c r="BM700" s="124"/>
      <c r="BN700" s="124"/>
      <c r="BO700" s="124"/>
      <c r="BP700" s="124"/>
      <c r="BQ700" s="124"/>
      <c r="BR700" s="124"/>
      <c r="BS700" s="124"/>
      <c r="BT700" s="124"/>
      <c r="BU700" s="124"/>
      <c r="BV700" s="124"/>
      <c r="BW700" s="124"/>
      <c r="BX700" s="124"/>
      <c r="BY700" s="124"/>
      <c r="BZ700" s="124"/>
      <c r="CA700" s="124"/>
    </row>
    <row r="701">
      <c r="D701" s="143"/>
      <c r="E701" s="129"/>
      <c r="F701" s="112"/>
      <c r="G701" s="112"/>
      <c r="H701" s="112"/>
      <c r="I701" s="112"/>
      <c r="J701" s="112"/>
      <c r="K701" s="112"/>
      <c r="L701" s="112"/>
      <c r="M701" s="112"/>
      <c r="N701" s="112"/>
      <c r="O701" s="112"/>
      <c r="P701" s="112"/>
      <c r="Q701" s="112"/>
      <c r="R701" s="112"/>
      <c r="S701" s="112"/>
      <c r="T701" s="112"/>
      <c r="U701" s="124"/>
      <c r="V701" s="124"/>
      <c r="W701" s="124"/>
      <c r="X701" s="124"/>
      <c r="Y701" s="124"/>
      <c r="Z701" s="112"/>
      <c r="AA701" s="112"/>
      <c r="AB701" s="112"/>
      <c r="AC701" s="112"/>
      <c r="AD701" s="112"/>
      <c r="AE701" s="112"/>
      <c r="AF701" s="112"/>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c r="BK701" s="124"/>
      <c r="BL701" s="124"/>
      <c r="BM701" s="124"/>
      <c r="BN701" s="124"/>
      <c r="BO701" s="124"/>
      <c r="BP701" s="124"/>
      <c r="BQ701" s="124"/>
      <c r="BR701" s="124"/>
      <c r="BS701" s="124"/>
      <c r="BT701" s="124"/>
      <c r="BU701" s="124"/>
      <c r="BV701" s="124"/>
      <c r="BW701" s="124"/>
      <c r="BX701" s="124"/>
      <c r="BY701" s="124"/>
      <c r="BZ701" s="124"/>
      <c r="CA701" s="124"/>
    </row>
    <row r="702">
      <c r="D702" s="143"/>
      <c r="E702" s="129"/>
      <c r="F702" s="112"/>
      <c r="G702" s="112"/>
      <c r="H702" s="112"/>
      <c r="I702" s="112"/>
      <c r="J702" s="112"/>
      <c r="K702" s="112"/>
      <c r="L702" s="112"/>
      <c r="M702" s="112"/>
      <c r="N702" s="112"/>
      <c r="O702" s="112"/>
      <c r="P702" s="112"/>
      <c r="Q702" s="112"/>
      <c r="R702" s="112"/>
      <c r="S702" s="112"/>
      <c r="T702" s="112"/>
      <c r="U702" s="124"/>
      <c r="V702" s="124"/>
      <c r="W702" s="124"/>
      <c r="X702" s="124"/>
      <c r="Y702" s="124"/>
      <c r="Z702" s="112"/>
      <c r="AA702" s="112"/>
      <c r="AB702" s="112"/>
      <c r="AC702" s="112"/>
      <c r="AD702" s="112"/>
      <c r="AE702" s="112"/>
      <c r="AF702" s="112"/>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c r="BK702" s="124"/>
      <c r="BL702" s="124"/>
      <c r="BM702" s="124"/>
      <c r="BN702" s="124"/>
      <c r="BO702" s="124"/>
      <c r="BP702" s="124"/>
      <c r="BQ702" s="124"/>
      <c r="BR702" s="124"/>
      <c r="BS702" s="124"/>
      <c r="BT702" s="124"/>
      <c r="BU702" s="124"/>
      <c r="BV702" s="124"/>
      <c r="BW702" s="124"/>
      <c r="BX702" s="124"/>
      <c r="BY702" s="124"/>
      <c r="BZ702" s="124"/>
      <c r="CA702" s="124"/>
    </row>
    <row r="703">
      <c r="D703" s="143"/>
      <c r="E703" s="129"/>
      <c r="F703" s="112"/>
      <c r="G703" s="112"/>
      <c r="H703" s="112"/>
      <c r="I703" s="112"/>
      <c r="J703" s="112"/>
      <c r="K703" s="112"/>
      <c r="L703" s="112"/>
      <c r="M703" s="112"/>
      <c r="N703" s="112"/>
      <c r="O703" s="112"/>
      <c r="P703" s="112"/>
      <c r="Q703" s="112"/>
      <c r="R703" s="112"/>
      <c r="S703" s="112"/>
      <c r="T703" s="112"/>
      <c r="U703" s="124"/>
      <c r="V703" s="124"/>
      <c r="W703" s="124"/>
      <c r="X703" s="124"/>
      <c r="Y703" s="124"/>
      <c r="Z703" s="112"/>
      <c r="AA703" s="112"/>
      <c r="AB703" s="112"/>
      <c r="AC703" s="112"/>
      <c r="AD703" s="112"/>
      <c r="AE703" s="112"/>
      <c r="AF703" s="112"/>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c r="BK703" s="124"/>
      <c r="BL703" s="124"/>
      <c r="BM703" s="124"/>
      <c r="BN703" s="124"/>
      <c r="BO703" s="124"/>
      <c r="BP703" s="124"/>
      <c r="BQ703" s="124"/>
      <c r="BR703" s="124"/>
      <c r="BS703" s="124"/>
      <c r="BT703" s="124"/>
      <c r="BU703" s="124"/>
      <c r="BV703" s="124"/>
      <c r="BW703" s="124"/>
      <c r="BX703" s="124"/>
      <c r="BY703" s="124"/>
      <c r="BZ703" s="124"/>
      <c r="CA703" s="124"/>
    </row>
    <row r="704">
      <c r="D704" s="143"/>
      <c r="E704" s="129"/>
      <c r="F704" s="112"/>
      <c r="G704" s="112"/>
      <c r="H704" s="112"/>
      <c r="I704" s="112"/>
      <c r="J704" s="112"/>
      <c r="K704" s="112"/>
      <c r="L704" s="112"/>
      <c r="M704" s="112"/>
      <c r="N704" s="112"/>
      <c r="O704" s="112"/>
      <c r="P704" s="112"/>
      <c r="Q704" s="112"/>
      <c r="R704" s="112"/>
      <c r="S704" s="112"/>
      <c r="T704" s="112"/>
      <c r="U704" s="124"/>
      <c r="V704" s="124"/>
      <c r="W704" s="124"/>
      <c r="X704" s="124"/>
      <c r="Y704" s="124"/>
      <c r="Z704" s="112"/>
      <c r="AA704" s="112"/>
      <c r="AB704" s="112"/>
      <c r="AC704" s="112"/>
      <c r="AD704" s="112"/>
      <c r="AE704" s="112"/>
      <c r="AF704" s="112"/>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c r="BK704" s="124"/>
      <c r="BL704" s="124"/>
      <c r="BM704" s="124"/>
      <c r="BN704" s="124"/>
      <c r="BO704" s="124"/>
      <c r="BP704" s="124"/>
      <c r="BQ704" s="124"/>
      <c r="BR704" s="124"/>
      <c r="BS704" s="124"/>
      <c r="BT704" s="124"/>
      <c r="BU704" s="124"/>
      <c r="BV704" s="124"/>
      <c r="BW704" s="124"/>
      <c r="BX704" s="124"/>
      <c r="BY704" s="124"/>
      <c r="BZ704" s="124"/>
      <c r="CA704" s="124"/>
    </row>
    <row r="705">
      <c r="D705" s="143"/>
      <c r="E705" s="129"/>
      <c r="F705" s="112"/>
      <c r="G705" s="112"/>
      <c r="H705" s="112"/>
      <c r="I705" s="112"/>
      <c r="J705" s="112"/>
      <c r="K705" s="112"/>
      <c r="L705" s="112"/>
      <c r="M705" s="112"/>
      <c r="N705" s="112"/>
      <c r="O705" s="112"/>
      <c r="P705" s="112"/>
      <c r="Q705" s="112"/>
      <c r="R705" s="112"/>
      <c r="S705" s="112"/>
      <c r="T705" s="112"/>
      <c r="U705" s="124"/>
      <c r="V705" s="124"/>
      <c r="W705" s="124"/>
      <c r="X705" s="124"/>
      <c r="Y705" s="124"/>
      <c r="Z705" s="112"/>
      <c r="AA705" s="112"/>
      <c r="AB705" s="112"/>
      <c r="AC705" s="112"/>
      <c r="AD705" s="112"/>
      <c r="AE705" s="112"/>
      <c r="AF705" s="112"/>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c r="BK705" s="124"/>
      <c r="BL705" s="124"/>
      <c r="BM705" s="124"/>
      <c r="BN705" s="124"/>
      <c r="BO705" s="124"/>
      <c r="BP705" s="124"/>
      <c r="BQ705" s="124"/>
      <c r="BR705" s="124"/>
      <c r="BS705" s="124"/>
      <c r="BT705" s="124"/>
      <c r="BU705" s="124"/>
      <c r="BV705" s="124"/>
      <c r="BW705" s="124"/>
      <c r="BX705" s="124"/>
      <c r="BY705" s="124"/>
      <c r="BZ705" s="124"/>
      <c r="CA705" s="124"/>
    </row>
    <row r="706">
      <c r="D706" s="143"/>
      <c r="E706" s="129"/>
      <c r="F706" s="112"/>
      <c r="G706" s="112"/>
      <c r="H706" s="112"/>
      <c r="I706" s="112"/>
      <c r="J706" s="112"/>
      <c r="K706" s="112"/>
      <c r="L706" s="112"/>
      <c r="M706" s="112"/>
      <c r="N706" s="112"/>
      <c r="O706" s="112"/>
      <c r="P706" s="112"/>
      <c r="Q706" s="112"/>
      <c r="R706" s="112"/>
      <c r="S706" s="112"/>
      <c r="T706" s="112"/>
      <c r="U706" s="124"/>
      <c r="V706" s="124"/>
      <c r="W706" s="124"/>
      <c r="X706" s="124"/>
      <c r="Y706" s="124"/>
      <c r="Z706" s="112"/>
      <c r="AA706" s="112"/>
      <c r="AB706" s="112"/>
      <c r="AC706" s="112"/>
      <c r="AD706" s="112"/>
      <c r="AE706" s="112"/>
      <c r="AF706" s="112"/>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c r="BK706" s="124"/>
      <c r="BL706" s="124"/>
      <c r="BM706" s="124"/>
      <c r="BN706" s="124"/>
      <c r="BO706" s="124"/>
      <c r="BP706" s="124"/>
      <c r="BQ706" s="124"/>
      <c r="BR706" s="124"/>
      <c r="BS706" s="124"/>
      <c r="BT706" s="124"/>
      <c r="BU706" s="124"/>
      <c r="BV706" s="124"/>
      <c r="BW706" s="124"/>
      <c r="BX706" s="124"/>
      <c r="BY706" s="124"/>
      <c r="BZ706" s="124"/>
      <c r="CA706" s="124"/>
    </row>
    <row r="707">
      <c r="D707" s="143"/>
      <c r="E707" s="129"/>
      <c r="F707" s="112"/>
      <c r="G707" s="112"/>
      <c r="H707" s="112"/>
      <c r="I707" s="112"/>
      <c r="J707" s="112"/>
      <c r="K707" s="112"/>
      <c r="L707" s="112"/>
      <c r="M707" s="112"/>
      <c r="N707" s="112"/>
      <c r="O707" s="112"/>
      <c r="P707" s="112"/>
      <c r="Q707" s="112"/>
      <c r="R707" s="112"/>
      <c r="S707" s="112"/>
      <c r="T707" s="112"/>
      <c r="U707" s="124"/>
      <c r="V707" s="124"/>
      <c r="W707" s="124"/>
      <c r="X707" s="124"/>
      <c r="Y707" s="124"/>
      <c r="Z707" s="112"/>
      <c r="AA707" s="112"/>
      <c r="AB707" s="112"/>
      <c r="AC707" s="112"/>
      <c r="AD707" s="112"/>
      <c r="AE707" s="112"/>
      <c r="AF707" s="112"/>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c r="BK707" s="124"/>
      <c r="BL707" s="124"/>
      <c r="BM707" s="124"/>
      <c r="BN707" s="124"/>
      <c r="BO707" s="124"/>
      <c r="BP707" s="124"/>
      <c r="BQ707" s="124"/>
      <c r="BR707" s="124"/>
      <c r="BS707" s="124"/>
      <c r="BT707" s="124"/>
      <c r="BU707" s="124"/>
      <c r="BV707" s="124"/>
      <c r="BW707" s="124"/>
      <c r="BX707" s="124"/>
      <c r="BY707" s="124"/>
      <c r="BZ707" s="124"/>
      <c r="CA707" s="124"/>
    </row>
    <row r="708">
      <c r="D708" s="143"/>
      <c r="E708" s="129"/>
      <c r="F708" s="112"/>
      <c r="G708" s="112"/>
      <c r="H708" s="112"/>
      <c r="I708" s="112"/>
      <c r="J708" s="112"/>
      <c r="K708" s="112"/>
      <c r="L708" s="112"/>
      <c r="M708" s="112"/>
      <c r="N708" s="112"/>
      <c r="O708" s="112"/>
      <c r="P708" s="112"/>
      <c r="Q708" s="112"/>
      <c r="R708" s="112"/>
      <c r="S708" s="112"/>
      <c r="T708" s="112"/>
      <c r="U708" s="124"/>
      <c r="V708" s="124"/>
      <c r="W708" s="124"/>
      <c r="X708" s="124"/>
      <c r="Y708" s="124"/>
      <c r="Z708" s="112"/>
      <c r="AA708" s="112"/>
      <c r="AB708" s="112"/>
      <c r="AC708" s="112"/>
      <c r="AD708" s="112"/>
      <c r="AE708" s="112"/>
      <c r="AF708" s="112"/>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c r="BK708" s="124"/>
      <c r="BL708" s="124"/>
      <c r="BM708" s="124"/>
      <c r="BN708" s="124"/>
      <c r="BO708" s="124"/>
      <c r="BP708" s="124"/>
      <c r="BQ708" s="124"/>
      <c r="BR708" s="124"/>
      <c r="BS708" s="124"/>
      <c r="BT708" s="124"/>
      <c r="BU708" s="124"/>
      <c r="BV708" s="124"/>
      <c r="BW708" s="124"/>
      <c r="BX708" s="124"/>
      <c r="BY708" s="124"/>
      <c r="BZ708" s="124"/>
      <c r="CA708" s="124"/>
    </row>
    <row r="709">
      <c r="D709" s="143"/>
      <c r="E709" s="129"/>
      <c r="F709" s="112"/>
      <c r="G709" s="112"/>
      <c r="H709" s="112"/>
      <c r="I709" s="112"/>
      <c r="J709" s="112"/>
      <c r="K709" s="112"/>
      <c r="L709" s="112"/>
      <c r="M709" s="112"/>
      <c r="N709" s="112"/>
      <c r="O709" s="112"/>
      <c r="P709" s="112"/>
      <c r="Q709" s="112"/>
      <c r="R709" s="112"/>
      <c r="S709" s="112"/>
      <c r="T709" s="112"/>
      <c r="U709" s="124"/>
      <c r="V709" s="124"/>
      <c r="W709" s="124"/>
      <c r="X709" s="124"/>
      <c r="Y709" s="124"/>
      <c r="Z709" s="112"/>
      <c r="AA709" s="112"/>
      <c r="AB709" s="112"/>
      <c r="AC709" s="112"/>
      <c r="AD709" s="112"/>
      <c r="AE709" s="112"/>
      <c r="AF709" s="112"/>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c r="BK709" s="124"/>
      <c r="BL709" s="124"/>
      <c r="BM709" s="124"/>
      <c r="BN709" s="124"/>
      <c r="BO709" s="124"/>
      <c r="BP709" s="124"/>
      <c r="BQ709" s="124"/>
      <c r="BR709" s="124"/>
      <c r="BS709" s="124"/>
      <c r="BT709" s="124"/>
      <c r="BU709" s="124"/>
      <c r="BV709" s="124"/>
      <c r="BW709" s="124"/>
      <c r="BX709" s="124"/>
      <c r="BY709" s="124"/>
      <c r="BZ709" s="124"/>
      <c r="CA709" s="124"/>
    </row>
    <row r="710">
      <c r="D710" s="143"/>
      <c r="E710" s="129"/>
      <c r="F710" s="112"/>
      <c r="G710" s="112"/>
      <c r="H710" s="112"/>
      <c r="I710" s="112"/>
      <c r="J710" s="112"/>
      <c r="K710" s="112"/>
      <c r="L710" s="112"/>
      <c r="M710" s="112"/>
      <c r="N710" s="112"/>
      <c r="O710" s="112"/>
      <c r="P710" s="112"/>
      <c r="Q710" s="112"/>
      <c r="R710" s="112"/>
      <c r="S710" s="112"/>
      <c r="T710" s="112"/>
      <c r="U710" s="124"/>
      <c r="V710" s="124"/>
      <c r="W710" s="124"/>
      <c r="X710" s="124"/>
      <c r="Y710" s="124"/>
      <c r="Z710" s="112"/>
      <c r="AA710" s="112"/>
      <c r="AB710" s="112"/>
      <c r="AC710" s="112"/>
      <c r="AD710" s="112"/>
      <c r="AE710" s="112"/>
      <c r="AF710" s="112"/>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c r="BK710" s="124"/>
      <c r="BL710" s="124"/>
      <c r="BM710" s="124"/>
      <c r="BN710" s="124"/>
      <c r="BO710" s="124"/>
      <c r="BP710" s="124"/>
      <c r="BQ710" s="124"/>
      <c r="BR710" s="124"/>
      <c r="BS710" s="124"/>
      <c r="BT710" s="124"/>
      <c r="BU710" s="124"/>
      <c r="BV710" s="124"/>
      <c r="BW710" s="124"/>
      <c r="BX710" s="124"/>
      <c r="BY710" s="124"/>
      <c r="BZ710" s="124"/>
      <c r="CA710" s="124"/>
    </row>
    <row r="711">
      <c r="D711" s="143"/>
      <c r="E711" s="129"/>
      <c r="F711" s="112"/>
      <c r="G711" s="112"/>
      <c r="H711" s="112"/>
      <c r="I711" s="112"/>
      <c r="J711" s="112"/>
      <c r="K711" s="112"/>
      <c r="L711" s="112"/>
      <c r="M711" s="112"/>
      <c r="N711" s="112"/>
      <c r="O711" s="112"/>
      <c r="P711" s="112"/>
      <c r="Q711" s="112"/>
      <c r="R711" s="112"/>
      <c r="S711" s="112"/>
      <c r="T711" s="112"/>
      <c r="U711" s="124"/>
      <c r="V711" s="124"/>
      <c r="W711" s="124"/>
      <c r="X711" s="124"/>
      <c r="Y711" s="124"/>
      <c r="Z711" s="112"/>
      <c r="AA711" s="112"/>
      <c r="AB711" s="112"/>
      <c r="AC711" s="112"/>
      <c r="AD711" s="112"/>
      <c r="AE711" s="112"/>
      <c r="AF711" s="112"/>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c r="BK711" s="124"/>
      <c r="BL711" s="124"/>
      <c r="BM711" s="124"/>
      <c r="BN711" s="124"/>
      <c r="BO711" s="124"/>
      <c r="BP711" s="124"/>
      <c r="BQ711" s="124"/>
      <c r="BR711" s="124"/>
      <c r="BS711" s="124"/>
      <c r="BT711" s="124"/>
      <c r="BU711" s="124"/>
      <c r="BV711" s="124"/>
      <c r="BW711" s="124"/>
      <c r="BX711" s="124"/>
      <c r="BY711" s="124"/>
      <c r="BZ711" s="124"/>
      <c r="CA711" s="124"/>
    </row>
    <row r="712">
      <c r="D712" s="143"/>
      <c r="E712" s="129"/>
      <c r="F712" s="112"/>
      <c r="G712" s="112"/>
      <c r="H712" s="112"/>
      <c r="I712" s="112"/>
      <c r="J712" s="112"/>
      <c r="K712" s="112"/>
      <c r="L712" s="112"/>
      <c r="M712" s="112"/>
      <c r="N712" s="112"/>
      <c r="O712" s="112"/>
      <c r="P712" s="112"/>
      <c r="Q712" s="112"/>
      <c r="R712" s="112"/>
      <c r="S712" s="112"/>
      <c r="T712" s="112"/>
      <c r="U712" s="124"/>
      <c r="V712" s="124"/>
      <c r="W712" s="124"/>
      <c r="X712" s="124"/>
      <c r="Y712" s="124"/>
      <c r="Z712" s="112"/>
      <c r="AA712" s="112"/>
      <c r="AB712" s="112"/>
      <c r="AC712" s="112"/>
      <c r="AD712" s="112"/>
      <c r="AE712" s="112"/>
      <c r="AF712" s="112"/>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c r="BK712" s="124"/>
      <c r="BL712" s="124"/>
      <c r="BM712" s="124"/>
      <c r="BN712" s="124"/>
      <c r="BO712" s="124"/>
      <c r="BP712" s="124"/>
      <c r="BQ712" s="124"/>
      <c r="BR712" s="124"/>
      <c r="BS712" s="124"/>
      <c r="BT712" s="124"/>
      <c r="BU712" s="124"/>
      <c r="BV712" s="124"/>
      <c r="BW712" s="124"/>
      <c r="BX712" s="124"/>
      <c r="BY712" s="124"/>
      <c r="BZ712" s="124"/>
      <c r="CA712" s="124"/>
    </row>
    <row r="713">
      <c r="D713" s="143"/>
      <c r="E713" s="129"/>
      <c r="F713" s="112"/>
      <c r="G713" s="112"/>
      <c r="H713" s="112"/>
      <c r="I713" s="112"/>
      <c r="J713" s="112"/>
      <c r="K713" s="112"/>
      <c r="L713" s="112"/>
      <c r="M713" s="112"/>
      <c r="N713" s="112"/>
      <c r="O713" s="112"/>
      <c r="P713" s="112"/>
      <c r="Q713" s="112"/>
      <c r="R713" s="112"/>
      <c r="S713" s="112"/>
      <c r="T713" s="112"/>
      <c r="U713" s="124"/>
      <c r="V713" s="124"/>
      <c r="W713" s="124"/>
      <c r="X713" s="124"/>
      <c r="Y713" s="124"/>
      <c r="Z713" s="112"/>
      <c r="AA713" s="112"/>
      <c r="AB713" s="112"/>
      <c r="AC713" s="112"/>
      <c r="AD713" s="112"/>
      <c r="AE713" s="112"/>
      <c r="AF713" s="112"/>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c r="BK713" s="124"/>
      <c r="BL713" s="124"/>
      <c r="BM713" s="124"/>
      <c r="BN713" s="124"/>
      <c r="BO713" s="124"/>
      <c r="BP713" s="124"/>
      <c r="BQ713" s="124"/>
      <c r="BR713" s="124"/>
      <c r="BS713" s="124"/>
      <c r="BT713" s="124"/>
      <c r="BU713" s="124"/>
      <c r="BV713" s="124"/>
      <c r="BW713" s="124"/>
      <c r="BX713" s="124"/>
      <c r="BY713" s="124"/>
      <c r="BZ713" s="124"/>
      <c r="CA713" s="124"/>
    </row>
    <row r="714">
      <c r="D714" s="143"/>
      <c r="E714" s="129"/>
      <c r="F714" s="112"/>
      <c r="G714" s="112"/>
      <c r="H714" s="112"/>
      <c r="I714" s="112"/>
      <c r="J714" s="112"/>
      <c r="K714" s="112"/>
      <c r="L714" s="112"/>
      <c r="M714" s="112"/>
      <c r="N714" s="112"/>
      <c r="O714" s="112"/>
      <c r="P714" s="112"/>
      <c r="Q714" s="112"/>
      <c r="R714" s="112"/>
      <c r="S714" s="112"/>
      <c r="T714" s="112"/>
      <c r="U714" s="124"/>
      <c r="V714" s="124"/>
      <c r="W714" s="124"/>
      <c r="X714" s="124"/>
      <c r="Y714" s="124"/>
      <c r="Z714" s="112"/>
      <c r="AA714" s="112"/>
      <c r="AB714" s="112"/>
      <c r="AC714" s="112"/>
      <c r="AD714" s="112"/>
      <c r="AE714" s="112"/>
      <c r="AF714" s="112"/>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c r="BK714" s="124"/>
      <c r="BL714" s="124"/>
      <c r="BM714" s="124"/>
      <c r="BN714" s="124"/>
      <c r="BO714" s="124"/>
      <c r="BP714" s="124"/>
      <c r="BQ714" s="124"/>
      <c r="BR714" s="124"/>
      <c r="BS714" s="124"/>
      <c r="BT714" s="124"/>
      <c r="BU714" s="124"/>
      <c r="BV714" s="124"/>
      <c r="BW714" s="124"/>
      <c r="BX714" s="124"/>
      <c r="BY714" s="124"/>
      <c r="BZ714" s="124"/>
      <c r="CA714" s="124"/>
    </row>
    <row r="715">
      <c r="D715" s="143"/>
      <c r="E715" s="129"/>
      <c r="F715" s="112"/>
      <c r="G715" s="112"/>
      <c r="H715" s="112"/>
      <c r="I715" s="112"/>
      <c r="J715" s="112"/>
      <c r="K715" s="112"/>
      <c r="L715" s="112"/>
      <c r="M715" s="112"/>
      <c r="N715" s="112"/>
      <c r="O715" s="112"/>
      <c r="P715" s="112"/>
      <c r="Q715" s="112"/>
      <c r="R715" s="112"/>
      <c r="S715" s="112"/>
      <c r="T715" s="112"/>
      <c r="U715" s="124"/>
      <c r="V715" s="124"/>
      <c r="W715" s="124"/>
      <c r="X715" s="124"/>
      <c r="Y715" s="124"/>
      <c r="Z715" s="112"/>
      <c r="AA715" s="112"/>
      <c r="AB715" s="112"/>
      <c r="AC715" s="112"/>
      <c r="AD715" s="112"/>
      <c r="AE715" s="112"/>
      <c r="AF715" s="112"/>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c r="BK715" s="124"/>
      <c r="BL715" s="124"/>
      <c r="BM715" s="124"/>
      <c r="BN715" s="124"/>
      <c r="BO715" s="124"/>
      <c r="BP715" s="124"/>
      <c r="BQ715" s="124"/>
      <c r="BR715" s="124"/>
      <c r="BS715" s="124"/>
      <c r="BT715" s="124"/>
      <c r="BU715" s="124"/>
      <c r="BV715" s="124"/>
      <c r="BW715" s="124"/>
      <c r="BX715" s="124"/>
      <c r="BY715" s="124"/>
      <c r="BZ715" s="124"/>
      <c r="CA715" s="124"/>
    </row>
    <row r="716">
      <c r="D716" s="143"/>
      <c r="E716" s="129"/>
      <c r="F716" s="112"/>
      <c r="G716" s="112"/>
      <c r="H716" s="112"/>
      <c r="I716" s="112"/>
      <c r="J716" s="112"/>
      <c r="K716" s="112"/>
      <c r="L716" s="112"/>
      <c r="M716" s="112"/>
      <c r="N716" s="112"/>
      <c r="O716" s="112"/>
      <c r="P716" s="112"/>
      <c r="Q716" s="112"/>
      <c r="R716" s="112"/>
      <c r="S716" s="112"/>
      <c r="T716" s="112"/>
      <c r="U716" s="124"/>
      <c r="V716" s="124"/>
      <c r="W716" s="124"/>
      <c r="X716" s="124"/>
      <c r="Y716" s="124"/>
      <c r="Z716" s="112"/>
      <c r="AA716" s="112"/>
      <c r="AB716" s="112"/>
      <c r="AC716" s="112"/>
      <c r="AD716" s="112"/>
      <c r="AE716" s="112"/>
      <c r="AF716" s="112"/>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c r="BK716" s="124"/>
      <c r="BL716" s="124"/>
      <c r="BM716" s="124"/>
      <c r="BN716" s="124"/>
      <c r="BO716" s="124"/>
      <c r="BP716" s="124"/>
      <c r="BQ716" s="124"/>
      <c r="BR716" s="124"/>
      <c r="BS716" s="124"/>
      <c r="BT716" s="124"/>
      <c r="BU716" s="124"/>
      <c r="BV716" s="124"/>
      <c r="BW716" s="124"/>
      <c r="BX716" s="124"/>
      <c r="BY716" s="124"/>
      <c r="BZ716" s="124"/>
      <c r="CA716" s="124"/>
    </row>
    <row r="717">
      <c r="D717" s="143"/>
      <c r="E717" s="129"/>
      <c r="F717" s="112"/>
      <c r="G717" s="112"/>
      <c r="H717" s="112"/>
      <c r="I717" s="112"/>
      <c r="J717" s="112"/>
      <c r="K717" s="112"/>
      <c r="L717" s="112"/>
      <c r="M717" s="112"/>
      <c r="N717" s="112"/>
      <c r="O717" s="112"/>
      <c r="P717" s="112"/>
      <c r="Q717" s="112"/>
      <c r="R717" s="112"/>
      <c r="S717" s="112"/>
      <c r="T717" s="112"/>
      <c r="U717" s="124"/>
      <c r="V717" s="124"/>
      <c r="W717" s="124"/>
      <c r="X717" s="124"/>
      <c r="Y717" s="124"/>
      <c r="Z717" s="112"/>
      <c r="AA717" s="112"/>
      <c r="AB717" s="112"/>
      <c r="AC717" s="112"/>
      <c r="AD717" s="112"/>
      <c r="AE717" s="112"/>
      <c r="AF717" s="112"/>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c r="BK717" s="124"/>
      <c r="BL717" s="124"/>
      <c r="BM717" s="124"/>
      <c r="BN717" s="124"/>
      <c r="BO717" s="124"/>
      <c r="BP717" s="124"/>
      <c r="BQ717" s="124"/>
      <c r="BR717" s="124"/>
      <c r="BS717" s="124"/>
      <c r="BT717" s="124"/>
      <c r="BU717" s="124"/>
      <c r="BV717" s="124"/>
      <c r="BW717" s="124"/>
      <c r="BX717" s="124"/>
      <c r="BY717" s="124"/>
      <c r="BZ717" s="124"/>
      <c r="CA717" s="124"/>
    </row>
    <row r="718">
      <c r="D718" s="143"/>
      <c r="E718" s="129"/>
      <c r="F718" s="112"/>
      <c r="G718" s="112"/>
      <c r="H718" s="112"/>
      <c r="I718" s="112"/>
      <c r="J718" s="112"/>
      <c r="K718" s="112"/>
      <c r="L718" s="112"/>
      <c r="M718" s="112"/>
      <c r="N718" s="112"/>
      <c r="O718" s="112"/>
      <c r="P718" s="112"/>
      <c r="Q718" s="112"/>
      <c r="R718" s="112"/>
      <c r="S718" s="112"/>
      <c r="T718" s="112"/>
      <c r="U718" s="124"/>
      <c r="V718" s="124"/>
      <c r="W718" s="124"/>
      <c r="X718" s="124"/>
      <c r="Y718" s="124"/>
      <c r="Z718" s="112"/>
      <c r="AA718" s="112"/>
      <c r="AB718" s="112"/>
      <c r="AC718" s="112"/>
      <c r="AD718" s="112"/>
      <c r="AE718" s="112"/>
      <c r="AF718" s="112"/>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c r="BK718" s="124"/>
      <c r="BL718" s="124"/>
      <c r="BM718" s="124"/>
      <c r="BN718" s="124"/>
      <c r="BO718" s="124"/>
      <c r="BP718" s="124"/>
      <c r="BQ718" s="124"/>
      <c r="BR718" s="124"/>
      <c r="BS718" s="124"/>
      <c r="BT718" s="124"/>
      <c r="BU718" s="124"/>
      <c r="BV718" s="124"/>
      <c r="BW718" s="124"/>
      <c r="BX718" s="124"/>
      <c r="BY718" s="124"/>
      <c r="BZ718" s="124"/>
      <c r="CA718" s="124"/>
    </row>
    <row r="719">
      <c r="D719" s="143"/>
      <c r="E719" s="129"/>
      <c r="F719" s="112"/>
      <c r="G719" s="112"/>
      <c r="H719" s="112"/>
      <c r="I719" s="112"/>
      <c r="J719" s="112"/>
      <c r="K719" s="112"/>
      <c r="L719" s="112"/>
      <c r="M719" s="112"/>
      <c r="N719" s="112"/>
      <c r="O719" s="112"/>
      <c r="P719" s="112"/>
      <c r="Q719" s="112"/>
      <c r="R719" s="112"/>
      <c r="S719" s="112"/>
      <c r="T719" s="112"/>
      <c r="U719" s="124"/>
      <c r="V719" s="124"/>
      <c r="W719" s="124"/>
      <c r="X719" s="124"/>
      <c r="Y719" s="124"/>
      <c r="Z719" s="112"/>
      <c r="AA719" s="112"/>
      <c r="AB719" s="112"/>
      <c r="AC719" s="112"/>
      <c r="AD719" s="112"/>
      <c r="AE719" s="112"/>
      <c r="AF719" s="112"/>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c r="BK719" s="124"/>
      <c r="BL719" s="124"/>
      <c r="BM719" s="124"/>
      <c r="BN719" s="124"/>
      <c r="BO719" s="124"/>
      <c r="BP719" s="124"/>
      <c r="BQ719" s="124"/>
      <c r="BR719" s="124"/>
      <c r="BS719" s="124"/>
      <c r="BT719" s="124"/>
      <c r="BU719" s="124"/>
      <c r="BV719" s="124"/>
      <c r="BW719" s="124"/>
      <c r="BX719" s="124"/>
      <c r="BY719" s="124"/>
      <c r="BZ719" s="124"/>
      <c r="CA719" s="124"/>
    </row>
    <row r="720">
      <c r="D720" s="143"/>
      <c r="E720" s="129"/>
      <c r="F720" s="112"/>
      <c r="G720" s="112"/>
      <c r="H720" s="112"/>
      <c r="I720" s="112"/>
      <c r="J720" s="112"/>
      <c r="K720" s="112"/>
      <c r="L720" s="112"/>
      <c r="M720" s="112"/>
      <c r="N720" s="112"/>
      <c r="O720" s="112"/>
      <c r="P720" s="112"/>
      <c r="Q720" s="112"/>
      <c r="R720" s="112"/>
      <c r="S720" s="112"/>
      <c r="T720" s="112"/>
      <c r="U720" s="124"/>
      <c r="V720" s="124"/>
      <c r="W720" s="124"/>
      <c r="X720" s="124"/>
      <c r="Y720" s="124"/>
      <c r="Z720" s="112"/>
      <c r="AA720" s="112"/>
      <c r="AB720" s="112"/>
      <c r="AC720" s="112"/>
      <c r="AD720" s="112"/>
      <c r="AE720" s="112"/>
      <c r="AF720" s="112"/>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c r="BK720" s="124"/>
      <c r="BL720" s="124"/>
      <c r="BM720" s="124"/>
      <c r="BN720" s="124"/>
      <c r="BO720" s="124"/>
      <c r="BP720" s="124"/>
      <c r="BQ720" s="124"/>
      <c r="BR720" s="124"/>
      <c r="BS720" s="124"/>
      <c r="BT720" s="124"/>
      <c r="BU720" s="124"/>
      <c r="BV720" s="124"/>
      <c r="BW720" s="124"/>
      <c r="BX720" s="124"/>
      <c r="BY720" s="124"/>
      <c r="BZ720" s="124"/>
      <c r="CA720" s="124"/>
    </row>
    <row r="721">
      <c r="D721" s="143"/>
      <c r="E721" s="129"/>
      <c r="F721" s="112"/>
      <c r="G721" s="112"/>
      <c r="H721" s="112"/>
      <c r="I721" s="112"/>
      <c r="J721" s="112"/>
      <c r="K721" s="112"/>
      <c r="L721" s="112"/>
      <c r="M721" s="112"/>
      <c r="N721" s="112"/>
      <c r="O721" s="112"/>
      <c r="P721" s="112"/>
      <c r="Q721" s="112"/>
      <c r="R721" s="112"/>
      <c r="S721" s="112"/>
      <c r="T721" s="112"/>
      <c r="U721" s="124"/>
      <c r="V721" s="124"/>
      <c r="W721" s="124"/>
      <c r="X721" s="124"/>
      <c r="Y721" s="124"/>
      <c r="Z721" s="112"/>
      <c r="AA721" s="112"/>
      <c r="AB721" s="112"/>
      <c r="AC721" s="112"/>
      <c r="AD721" s="112"/>
      <c r="AE721" s="112"/>
      <c r="AF721" s="112"/>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c r="BK721" s="124"/>
      <c r="BL721" s="124"/>
      <c r="BM721" s="124"/>
      <c r="BN721" s="124"/>
      <c r="BO721" s="124"/>
      <c r="BP721" s="124"/>
      <c r="BQ721" s="124"/>
      <c r="BR721" s="124"/>
      <c r="BS721" s="124"/>
      <c r="BT721" s="124"/>
      <c r="BU721" s="124"/>
      <c r="BV721" s="124"/>
      <c r="BW721" s="124"/>
      <c r="BX721" s="124"/>
      <c r="BY721" s="124"/>
      <c r="BZ721" s="124"/>
      <c r="CA721" s="124"/>
    </row>
    <row r="722">
      <c r="D722" s="143"/>
      <c r="E722" s="129"/>
      <c r="F722" s="112"/>
      <c r="G722" s="112"/>
      <c r="H722" s="112"/>
      <c r="I722" s="112"/>
      <c r="J722" s="112"/>
      <c r="K722" s="112"/>
      <c r="L722" s="112"/>
      <c r="M722" s="112"/>
      <c r="N722" s="112"/>
      <c r="O722" s="112"/>
      <c r="P722" s="112"/>
      <c r="Q722" s="112"/>
      <c r="R722" s="112"/>
      <c r="S722" s="112"/>
      <c r="T722" s="112"/>
      <c r="U722" s="124"/>
      <c r="V722" s="124"/>
      <c r="W722" s="124"/>
      <c r="X722" s="124"/>
      <c r="Y722" s="124"/>
      <c r="Z722" s="112"/>
      <c r="AA722" s="112"/>
      <c r="AB722" s="112"/>
      <c r="AC722" s="112"/>
      <c r="AD722" s="112"/>
      <c r="AE722" s="112"/>
      <c r="AF722" s="112"/>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c r="BK722" s="124"/>
      <c r="BL722" s="124"/>
      <c r="BM722" s="124"/>
      <c r="BN722" s="124"/>
      <c r="BO722" s="124"/>
      <c r="BP722" s="124"/>
      <c r="BQ722" s="124"/>
      <c r="BR722" s="124"/>
      <c r="BS722" s="124"/>
      <c r="BT722" s="124"/>
      <c r="BU722" s="124"/>
      <c r="BV722" s="124"/>
      <c r="BW722" s="124"/>
      <c r="BX722" s="124"/>
      <c r="BY722" s="124"/>
      <c r="BZ722" s="124"/>
      <c r="CA722" s="124"/>
    </row>
    <row r="723">
      <c r="D723" s="143"/>
      <c r="E723" s="129"/>
      <c r="F723" s="112"/>
      <c r="G723" s="112"/>
      <c r="H723" s="112"/>
      <c r="I723" s="112"/>
      <c r="J723" s="112"/>
      <c r="K723" s="112"/>
      <c r="L723" s="112"/>
      <c r="M723" s="112"/>
      <c r="N723" s="112"/>
      <c r="O723" s="112"/>
      <c r="P723" s="112"/>
      <c r="Q723" s="112"/>
      <c r="R723" s="112"/>
      <c r="S723" s="112"/>
      <c r="T723" s="112"/>
      <c r="U723" s="124"/>
      <c r="V723" s="124"/>
      <c r="W723" s="124"/>
      <c r="X723" s="124"/>
      <c r="Y723" s="124"/>
      <c r="Z723" s="112"/>
      <c r="AA723" s="112"/>
      <c r="AB723" s="112"/>
      <c r="AC723" s="112"/>
      <c r="AD723" s="112"/>
      <c r="AE723" s="112"/>
      <c r="AF723" s="112"/>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c r="BK723" s="124"/>
      <c r="BL723" s="124"/>
      <c r="BM723" s="124"/>
      <c r="BN723" s="124"/>
      <c r="BO723" s="124"/>
      <c r="BP723" s="124"/>
      <c r="BQ723" s="124"/>
      <c r="BR723" s="124"/>
      <c r="BS723" s="124"/>
      <c r="BT723" s="124"/>
      <c r="BU723" s="124"/>
      <c r="BV723" s="124"/>
      <c r="BW723" s="124"/>
      <c r="BX723" s="124"/>
      <c r="BY723" s="124"/>
      <c r="BZ723" s="124"/>
      <c r="CA723" s="124"/>
    </row>
    <row r="724">
      <c r="D724" s="143"/>
      <c r="E724" s="129"/>
      <c r="F724" s="112"/>
      <c r="G724" s="112"/>
      <c r="H724" s="112"/>
      <c r="I724" s="112"/>
      <c r="J724" s="112"/>
      <c r="K724" s="112"/>
      <c r="L724" s="112"/>
      <c r="M724" s="112"/>
      <c r="N724" s="112"/>
      <c r="O724" s="112"/>
      <c r="P724" s="112"/>
      <c r="Q724" s="112"/>
      <c r="R724" s="112"/>
      <c r="S724" s="112"/>
      <c r="T724" s="112"/>
      <c r="U724" s="124"/>
      <c r="V724" s="124"/>
      <c r="W724" s="124"/>
      <c r="X724" s="124"/>
      <c r="Y724" s="124"/>
      <c r="Z724" s="112"/>
      <c r="AA724" s="112"/>
      <c r="AB724" s="112"/>
      <c r="AC724" s="112"/>
      <c r="AD724" s="112"/>
      <c r="AE724" s="112"/>
      <c r="AF724" s="112"/>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c r="BK724" s="124"/>
      <c r="BL724" s="124"/>
      <c r="BM724" s="124"/>
      <c r="BN724" s="124"/>
      <c r="BO724" s="124"/>
      <c r="BP724" s="124"/>
      <c r="BQ724" s="124"/>
      <c r="BR724" s="124"/>
      <c r="BS724" s="124"/>
      <c r="BT724" s="124"/>
      <c r="BU724" s="124"/>
      <c r="BV724" s="124"/>
      <c r="BW724" s="124"/>
      <c r="BX724" s="124"/>
      <c r="BY724" s="124"/>
      <c r="BZ724" s="124"/>
      <c r="CA724" s="124"/>
    </row>
    <row r="725">
      <c r="D725" s="143"/>
      <c r="E725" s="129"/>
      <c r="F725" s="112"/>
      <c r="G725" s="112"/>
      <c r="H725" s="112"/>
      <c r="I725" s="112"/>
      <c r="J725" s="112"/>
      <c r="K725" s="112"/>
      <c r="L725" s="112"/>
      <c r="M725" s="112"/>
      <c r="N725" s="112"/>
      <c r="O725" s="112"/>
      <c r="P725" s="112"/>
      <c r="Q725" s="112"/>
      <c r="R725" s="112"/>
      <c r="S725" s="112"/>
      <c r="T725" s="112"/>
      <c r="U725" s="124"/>
      <c r="V725" s="124"/>
      <c r="W725" s="124"/>
      <c r="X725" s="124"/>
      <c r="Y725" s="124"/>
      <c r="Z725" s="112"/>
      <c r="AA725" s="112"/>
      <c r="AB725" s="112"/>
      <c r="AC725" s="112"/>
      <c r="AD725" s="112"/>
      <c r="AE725" s="112"/>
      <c r="AF725" s="112"/>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c r="BK725" s="124"/>
      <c r="BL725" s="124"/>
      <c r="BM725" s="124"/>
      <c r="BN725" s="124"/>
      <c r="BO725" s="124"/>
      <c r="BP725" s="124"/>
      <c r="BQ725" s="124"/>
      <c r="BR725" s="124"/>
      <c r="BS725" s="124"/>
      <c r="BT725" s="124"/>
      <c r="BU725" s="124"/>
      <c r="BV725" s="124"/>
      <c r="BW725" s="124"/>
      <c r="BX725" s="124"/>
      <c r="BY725" s="124"/>
      <c r="BZ725" s="124"/>
      <c r="CA725" s="124"/>
    </row>
    <row r="726">
      <c r="D726" s="143"/>
      <c r="E726" s="129"/>
      <c r="F726" s="112"/>
      <c r="G726" s="112"/>
      <c r="H726" s="112"/>
      <c r="I726" s="112"/>
      <c r="J726" s="112"/>
      <c r="K726" s="112"/>
      <c r="L726" s="112"/>
      <c r="M726" s="112"/>
      <c r="N726" s="112"/>
      <c r="O726" s="112"/>
      <c r="P726" s="112"/>
      <c r="Q726" s="112"/>
      <c r="R726" s="112"/>
      <c r="S726" s="112"/>
      <c r="T726" s="112"/>
      <c r="U726" s="124"/>
      <c r="V726" s="124"/>
      <c r="W726" s="124"/>
      <c r="X726" s="124"/>
      <c r="Y726" s="124"/>
      <c r="Z726" s="112"/>
      <c r="AA726" s="112"/>
      <c r="AB726" s="112"/>
      <c r="AC726" s="112"/>
      <c r="AD726" s="112"/>
      <c r="AE726" s="112"/>
      <c r="AF726" s="112"/>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c r="BK726" s="124"/>
      <c r="BL726" s="124"/>
      <c r="BM726" s="124"/>
      <c r="BN726" s="124"/>
      <c r="BO726" s="124"/>
      <c r="BP726" s="124"/>
      <c r="BQ726" s="124"/>
      <c r="BR726" s="124"/>
      <c r="BS726" s="124"/>
      <c r="BT726" s="124"/>
      <c r="BU726" s="124"/>
      <c r="BV726" s="124"/>
      <c r="BW726" s="124"/>
      <c r="BX726" s="124"/>
      <c r="BY726" s="124"/>
      <c r="BZ726" s="124"/>
      <c r="CA726" s="124"/>
    </row>
    <row r="727">
      <c r="D727" s="143"/>
      <c r="E727" s="129"/>
      <c r="F727" s="112"/>
      <c r="G727" s="112"/>
      <c r="H727" s="112"/>
      <c r="I727" s="112"/>
      <c r="J727" s="112"/>
      <c r="K727" s="112"/>
      <c r="L727" s="112"/>
      <c r="M727" s="112"/>
      <c r="N727" s="112"/>
      <c r="O727" s="112"/>
      <c r="P727" s="112"/>
      <c r="Q727" s="112"/>
      <c r="R727" s="112"/>
      <c r="S727" s="112"/>
      <c r="T727" s="112"/>
      <c r="U727" s="124"/>
      <c r="V727" s="124"/>
      <c r="W727" s="124"/>
      <c r="X727" s="124"/>
      <c r="Y727" s="124"/>
      <c r="Z727" s="112"/>
      <c r="AA727" s="112"/>
      <c r="AB727" s="112"/>
      <c r="AC727" s="112"/>
      <c r="AD727" s="112"/>
      <c r="AE727" s="112"/>
      <c r="AF727" s="112"/>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c r="BK727" s="124"/>
      <c r="BL727" s="124"/>
      <c r="BM727" s="124"/>
      <c r="BN727" s="124"/>
      <c r="BO727" s="124"/>
      <c r="BP727" s="124"/>
      <c r="BQ727" s="124"/>
      <c r="BR727" s="124"/>
      <c r="BS727" s="124"/>
      <c r="BT727" s="124"/>
      <c r="BU727" s="124"/>
      <c r="BV727" s="124"/>
      <c r="BW727" s="124"/>
      <c r="BX727" s="124"/>
      <c r="BY727" s="124"/>
      <c r="BZ727" s="124"/>
      <c r="CA727" s="124"/>
    </row>
    <row r="728">
      <c r="D728" s="143"/>
      <c r="E728" s="129"/>
      <c r="F728" s="112"/>
      <c r="G728" s="112"/>
      <c r="H728" s="112"/>
      <c r="I728" s="112"/>
      <c r="J728" s="112"/>
      <c r="K728" s="112"/>
      <c r="L728" s="112"/>
      <c r="M728" s="112"/>
      <c r="N728" s="112"/>
      <c r="O728" s="112"/>
      <c r="P728" s="112"/>
      <c r="Q728" s="112"/>
      <c r="R728" s="112"/>
      <c r="S728" s="112"/>
      <c r="T728" s="112"/>
      <c r="U728" s="124"/>
      <c r="V728" s="124"/>
      <c r="W728" s="124"/>
      <c r="X728" s="124"/>
      <c r="Y728" s="124"/>
      <c r="Z728" s="112"/>
      <c r="AA728" s="112"/>
      <c r="AB728" s="112"/>
      <c r="AC728" s="112"/>
      <c r="AD728" s="112"/>
      <c r="AE728" s="112"/>
      <c r="AF728" s="112"/>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c r="BK728" s="124"/>
      <c r="BL728" s="124"/>
      <c r="BM728" s="124"/>
      <c r="BN728" s="124"/>
      <c r="BO728" s="124"/>
      <c r="BP728" s="124"/>
      <c r="BQ728" s="124"/>
      <c r="BR728" s="124"/>
      <c r="BS728" s="124"/>
      <c r="BT728" s="124"/>
      <c r="BU728" s="124"/>
      <c r="BV728" s="124"/>
      <c r="BW728" s="124"/>
      <c r="BX728" s="124"/>
      <c r="BY728" s="124"/>
      <c r="BZ728" s="124"/>
      <c r="CA728" s="124"/>
    </row>
    <row r="729">
      <c r="D729" s="143"/>
      <c r="E729" s="129"/>
      <c r="F729" s="112"/>
      <c r="G729" s="112"/>
      <c r="H729" s="112"/>
      <c r="I729" s="112"/>
      <c r="J729" s="112"/>
      <c r="K729" s="112"/>
      <c r="L729" s="112"/>
      <c r="M729" s="112"/>
      <c r="N729" s="112"/>
      <c r="O729" s="112"/>
      <c r="P729" s="112"/>
      <c r="Q729" s="112"/>
      <c r="R729" s="112"/>
      <c r="S729" s="112"/>
      <c r="T729" s="112"/>
      <c r="U729" s="124"/>
      <c r="V729" s="124"/>
      <c r="W729" s="124"/>
      <c r="X729" s="124"/>
      <c r="Y729" s="124"/>
      <c r="Z729" s="112"/>
      <c r="AA729" s="112"/>
      <c r="AB729" s="112"/>
      <c r="AC729" s="112"/>
      <c r="AD729" s="112"/>
      <c r="AE729" s="112"/>
      <c r="AF729" s="112"/>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c r="BK729" s="124"/>
      <c r="BL729" s="124"/>
      <c r="BM729" s="124"/>
      <c r="BN729" s="124"/>
      <c r="BO729" s="124"/>
      <c r="BP729" s="124"/>
      <c r="BQ729" s="124"/>
      <c r="BR729" s="124"/>
      <c r="BS729" s="124"/>
      <c r="BT729" s="124"/>
      <c r="BU729" s="124"/>
      <c r="BV729" s="124"/>
      <c r="BW729" s="124"/>
      <c r="BX729" s="124"/>
      <c r="BY729" s="124"/>
      <c r="BZ729" s="124"/>
      <c r="CA729" s="124"/>
    </row>
    <row r="730">
      <c r="D730" s="143"/>
      <c r="E730" s="129"/>
      <c r="F730" s="112"/>
      <c r="G730" s="112"/>
      <c r="H730" s="112"/>
      <c r="I730" s="112"/>
      <c r="J730" s="112"/>
      <c r="K730" s="112"/>
      <c r="L730" s="112"/>
      <c r="M730" s="112"/>
      <c r="N730" s="112"/>
      <c r="O730" s="112"/>
      <c r="P730" s="112"/>
      <c r="Q730" s="112"/>
      <c r="R730" s="112"/>
      <c r="S730" s="112"/>
      <c r="T730" s="112"/>
      <c r="U730" s="124"/>
      <c r="V730" s="124"/>
      <c r="W730" s="124"/>
      <c r="X730" s="124"/>
      <c r="Y730" s="124"/>
      <c r="Z730" s="112"/>
      <c r="AA730" s="112"/>
      <c r="AB730" s="112"/>
      <c r="AC730" s="112"/>
      <c r="AD730" s="112"/>
      <c r="AE730" s="112"/>
      <c r="AF730" s="112"/>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c r="BK730" s="124"/>
      <c r="BL730" s="124"/>
      <c r="BM730" s="124"/>
      <c r="BN730" s="124"/>
      <c r="BO730" s="124"/>
      <c r="BP730" s="124"/>
      <c r="BQ730" s="124"/>
      <c r="BR730" s="124"/>
      <c r="BS730" s="124"/>
      <c r="BT730" s="124"/>
      <c r="BU730" s="124"/>
      <c r="BV730" s="124"/>
      <c r="BW730" s="124"/>
      <c r="BX730" s="124"/>
      <c r="BY730" s="124"/>
      <c r="BZ730" s="124"/>
      <c r="CA730" s="124"/>
    </row>
    <row r="731">
      <c r="D731" s="143"/>
      <c r="E731" s="129"/>
      <c r="F731" s="112"/>
      <c r="G731" s="112"/>
      <c r="H731" s="112"/>
      <c r="I731" s="112"/>
      <c r="J731" s="112"/>
      <c r="K731" s="112"/>
      <c r="L731" s="112"/>
      <c r="M731" s="112"/>
      <c r="N731" s="112"/>
      <c r="O731" s="112"/>
      <c r="P731" s="112"/>
      <c r="Q731" s="112"/>
      <c r="R731" s="112"/>
      <c r="S731" s="112"/>
      <c r="T731" s="112"/>
      <c r="U731" s="124"/>
      <c r="V731" s="124"/>
      <c r="W731" s="124"/>
      <c r="X731" s="124"/>
      <c r="Y731" s="124"/>
      <c r="Z731" s="112"/>
      <c r="AA731" s="112"/>
      <c r="AB731" s="112"/>
      <c r="AC731" s="112"/>
      <c r="AD731" s="112"/>
      <c r="AE731" s="112"/>
      <c r="AF731" s="112"/>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c r="BK731" s="124"/>
      <c r="BL731" s="124"/>
      <c r="BM731" s="124"/>
      <c r="BN731" s="124"/>
      <c r="BO731" s="124"/>
      <c r="BP731" s="124"/>
      <c r="BQ731" s="124"/>
      <c r="BR731" s="124"/>
      <c r="BS731" s="124"/>
      <c r="BT731" s="124"/>
      <c r="BU731" s="124"/>
      <c r="BV731" s="124"/>
      <c r="BW731" s="124"/>
      <c r="BX731" s="124"/>
      <c r="BY731" s="124"/>
      <c r="BZ731" s="124"/>
      <c r="CA731" s="124"/>
    </row>
    <row r="732">
      <c r="D732" s="143"/>
      <c r="E732" s="129"/>
      <c r="F732" s="112"/>
      <c r="G732" s="112"/>
      <c r="H732" s="112"/>
      <c r="I732" s="112"/>
      <c r="J732" s="112"/>
      <c r="K732" s="112"/>
      <c r="L732" s="112"/>
      <c r="M732" s="112"/>
      <c r="N732" s="112"/>
      <c r="O732" s="112"/>
      <c r="P732" s="112"/>
      <c r="Q732" s="112"/>
      <c r="R732" s="112"/>
      <c r="S732" s="112"/>
      <c r="T732" s="112"/>
      <c r="U732" s="124"/>
      <c r="V732" s="124"/>
      <c r="W732" s="124"/>
      <c r="X732" s="124"/>
      <c r="Y732" s="124"/>
      <c r="Z732" s="112"/>
      <c r="AA732" s="112"/>
      <c r="AB732" s="112"/>
      <c r="AC732" s="112"/>
      <c r="AD732" s="112"/>
      <c r="AE732" s="112"/>
      <c r="AF732" s="112"/>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c r="BK732" s="124"/>
      <c r="BL732" s="124"/>
      <c r="BM732" s="124"/>
      <c r="BN732" s="124"/>
      <c r="BO732" s="124"/>
      <c r="BP732" s="124"/>
      <c r="BQ732" s="124"/>
      <c r="BR732" s="124"/>
      <c r="BS732" s="124"/>
      <c r="BT732" s="124"/>
      <c r="BU732" s="124"/>
      <c r="BV732" s="124"/>
      <c r="BW732" s="124"/>
      <c r="BX732" s="124"/>
      <c r="BY732" s="124"/>
      <c r="BZ732" s="124"/>
      <c r="CA732" s="124"/>
    </row>
    <row r="733">
      <c r="D733" s="143"/>
      <c r="E733" s="129"/>
      <c r="F733" s="112"/>
      <c r="G733" s="112"/>
      <c r="H733" s="112"/>
      <c r="I733" s="112"/>
      <c r="J733" s="112"/>
      <c r="K733" s="112"/>
      <c r="L733" s="112"/>
      <c r="M733" s="112"/>
      <c r="N733" s="112"/>
      <c r="O733" s="112"/>
      <c r="P733" s="112"/>
      <c r="Q733" s="112"/>
      <c r="R733" s="112"/>
      <c r="S733" s="112"/>
      <c r="T733" s="112"/>
      <c r="U733" s="124"/>
      <c r="V733" s="124"/>
      <c r="W733" s="124"/>
      <c r="X733" s="124"/>
      <c r="Y733" s="124"/>
      <c r="Z733" s="112"/>
      <c r="AA733" s="112"/>
      <c r="AB733" s="112"/>
      <c r="AC733" s="112"/>
      <c r="AD733" s="112"/>
      <c r="AE733" s="112"/>
      <c r="AF733" s="112"/>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c r="BK733" s="124"/>
      <c r="BL733" s="124"/>
      <c r="BM733" s="124"/>
      <c r="BN733" s="124"/>
      <c r="BO733" s="124"/>
      <c r="BP733" s="124"/>
      <c r="BQ733" s="124"/>
      <c r="BR733" s="124"/>
      <c r="BS733" s="124"/>
      <c r="BT733" s="124"/>
      <c r="BU733" s="124"/>
      <c r="BV733" s="124"/>
      <c r="BW733" s="124"/>
      <c r="BX733" s="124"/>
      <c r="BY733" s="124"/>
      <c r="BZ733" s="124"/>
      <c r="CA733" s="124"/>
    </row>
    <row r="734">
      <c r="D734" s="143"/>
      <c r="E734" s="129"/>
      <c r="F734" s="112"/>
      <c r="G734" s="112"/>
      <c r="H734" s="112"/>
      <c r="I734" s="112"/>
      <c r="J734" s="112"/>
      <c r="K734" s="112"/>
      <c r="L734" s="112"/>
      <c r="M734" s="112"/>
      <c r="N734" s="112"/>
      <c r="O734" s="112"/>
      <c r="P734" s="112"/>
      <c r="Q734" s="112"/>
      <c r="R734" s="112"/>
      <c r="S734" s="112"/>
      <c r="T734" s="112"/>
      <c r="U734" s="124"/>
      <c r="V734" s="124"/>
      <c r="W734" s="124"/>
      <c r="X734" s="124"/>
      <c r="Y734" s="124"/>
      <c r="Z734" s="112"/>
      <c r="AA734" s="112"/>
      <c r="AB734" s="112"/>
      <c r="AC734" s="112"/>
      <c r="AD734" s="112"/>
      <c r="AE734" s="112"/>
      <c r="AF734" s="112"/>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c r="BK734" s="124"/>
      <c r="BL734" s="124"/>
      <c r="BM734" s="124"/>
      <c r="BN734" s="124"/>
      <c r="BO734" s="124"/>
      <c r="BP734" s="124"/>
      <c r="BQ734" s="124"/>
      <c r="BR734" s="124"/>
      <c r="BS734" s="124"/>
      <c r="BT734" s="124"/>
      <c r="BU734" s="124"/>
      <c r="BV734" s="124"/>
      <c r="BW734" s="124"/>
      <c r="BX734" s="124"/>
      <c r="BY734" s="124"/>
      <c r="BZ734" s="124"/>
      <c r="CA734" s="124"/>
    </row>
    <row r="735">
      <c r="D735" s="143"/>
      <c r="E735" s="129"/>
      <c r="F735" s="112"/>
      <c r="G735" s="112"/>
      <c r="H735" s="112"/>
      <c r="I735" s="112"/>
      <c r="J735" s="112"/>
      <c r="K735" s="112"/>
      <c r="L735" s="112"/>
      <c r="M735" s="112"/>
      <c r="N735" s="112"/>
      <c r="O735" s="112"/>
      <c r="P735" s="112"/>
      <c r="Q735" s="112"/>
      <c r="R735" s="112"/>
      <c r="S735" s="112"/>
      <c r="T735" s="112"/>
      <c r="U735" s="124"/>
      <c r="V735" s="124"/>
      <c r="W735" s="124"/>
      <c r="X735" s="124"/>
      <c r="Y735" s="124"/>
      <c r="Z735" s="112"/>
      <c r="AA735" s="112"/>
      <c r="AB735" s="112"/>
      <c r="AC735" s="112"/>
      <c r="AD735" s="112"/>
      <c r="AE735" s="112"/>
      <c r="AF735" s="112"/>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c r="BK735" s="124"/>
      <c r="BL735" s="124"/>
      <c r="BM735" s="124"/>
      <c r="BN735" s="124"/>
      <c r="BO735" s="124"/>
      <c r="BP735" s="124"/>
      <c r="BQ735" s="124"/>
      <c r="BR735" s="124"/>
      <c r="BS735" s="124"/>
      <c r="BT735" s="124"/>
      <c r="BU735" s="124"/>
      <c r="BV735" s="124"/>
      <c r="BW735" s="124"/>
      <c r="BX735" s="124"/>
      <c r="BY735" s="124"/>
      <c r="BZ735" s="124"/>
      <c r="CA735" s="124"/>
    </row>
    <row r="736">
      <c r="D736" s="143"/>
      <c r="E736" s="129"/>
      <c r="F736" s="112"/>
      <c r="G736" s="112"/>
      <c r="H736" s="112"/>
      <c r="I736" s="112"/>
      <c r="J736" s="112"/>
      <c r="K736" s="112"/>
      <c r="L736" s="112"/>
      <c r="M736" s="112"/>
      <c r="N736" s="112"/>
      <c r="O736" s="112"/>
      <c r="P736" s="112"/>
      <c r="Q736" s="112"/>
      <c r="R736" s="112"/>
      <c r="S736" s="112"/>
      <c r="T736" s="112"/>
      <c r="U736" s="124"/>
      <c r="V736" s="124"/>
      <c r="W736" s="124"/>
      <c r="X736" s="124"/>
      <c r="Y736" s="124"/>
      <c r="Z736" s="112"/>
      <c r="AA736" s="112"/>
      <c r="AB736" s="112"/>
      <c r="AC736" s="112"/>
      <c r="AD736" s="112"/>
      <c r="AE736" s="112"/>
      <c r="AF736" s="112"/>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c r="BK736" s="124"/>
      <c r="BL736" s="124"/>
      <c r="BM736" s="124"/>
      <c r="BN736" s="124"/>
      <c r="BO736" s="124"/>
      <c r="BP736" s="124"/>
      <c r="BQ736" s="124"/>
      <c r="BR736" s="124"/>
      <c r="BS736" s="124"/>
      <c r="BT736" s="124"/>
      <c r="BU736" s="124"/>
      <c r="BV736" s="124"/>
      <c r="BW736" s="124"/>
      <c r="BX736" s="124"/>
      <c r="BY736" s="124"/>
      <c r="BZ736" s="124"/>
      <c r="CA736" s="124"/>
    </row>
    <row r="737">
      <c r="D737" s="143"/>
      <c r="E737" s="129"/>
      <c r="F737" s="112"/>
      <c r="G737" s="112"/>
      <c r="H737" s="112"/>
      <c r="I737" s="112"/>
      <c r="J737" s="112"/>
      <c r="K737" s="112"/>
      <c r="L737" s="112"/>
      <c r="M737" s="112"/>
      <c r="N737" s="112"/>
      <c r="O737" s="112"/>
      <c r="P737" s="112"/>
      <c r="Q737" s="112"/>
      <c r="R737" s="112"/>
      <c r="S737" s="112"/>
      <c r="T737" s="112"/>
      <c r="U737" s="124"/>
      <c r="V737" s="124"/>
      <c r="W737" s="124"/>
      <c r="X737" s="124"/>
      <c r="Y737" s="124"/>
      <c r="Z737" s="112"/>
      <c r="AA737" s="112"/>
      <c r="AB737" s="112"/>
      <c r="AC737" s="112"/>
      <c r="AD737" s="112"/>
      <c r="AE737" s="112"/>
      <c r="AF737" s="112"/>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c r="BK737" s="124"/>
      <c r="BL737" s="124"/>
      <c r="BM737" s="124"/>
      <c r="BN737" s="124"/>
      <c r="BO737" s="124"/>
      <c r="BP737" s="124"/>
      <c r="BQ737" s="124"/>
      <c r="BR737" s="124"/>
      <c r="BS737" s="124"/>
      <c r="BT737" s="124"/>
      <c r="BU737" s="124"/>
      <c r="BV737" s="124"/>
      <c r="BW737" s="124"/>
      <c r="BX737" s="124"/>
      <c r="BY737" s="124"/>
      <c r="BZ737" s="124"/>
      <c r="CA737" s="124"/>
    </row>
    <row r="738">
      <c r="D738" s="143"/>
      <c r="E738" s="129"/>
      <c r="F738" s="112"/>
      <c r="G738" s="112"/>
      <c r="H738" s="112"/>
      <c r="I738" s="112"/>
      <c r="J738" s="112"/>
      <c r="K738" s="112"/>
      <c r="L738" s="112"/>
      <c r="M738" s="112"/>
      <c r="N738" s="112"/>
      <c r="O738" s="112"/>
      <c r="P738" s="112"/>
      <c r="Q738" s="112"/>
      <c r="R738" s="112"/>
      <c r="S738" s="112"/>
      <c r="T738" s="112"/>
      <c r="U738" s="124"/>
      <c r="V738" s="124"/>
      <c r="W738" s="124"/>
      <c r="X738" s="124"/>
      <c r="Y738" s="124"/>
      <c r="Z738" s="112"/>
      <c r="AA738" s="112"/>
      <c r="AB738" s="112"/>
      <c r="AC738" s="112"/>
      <c r="AD738" s="112"/>
      <c r="AE738" s="112"/>
      <c r="AF738" s="112"/>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c r="BK738" s="124"/>
      <c r="BL738" s="124"/>
      <c r="BM738" s="124"/>
      <c r="BN738" s="124"/>
      <c r="BO738" s="124"/>
      <c r="BP738" s="124"/>
      <c r="BQ738" s="124"/>
      <c r="BR738" s="124"/>
      <c r="BS738" s="124"/>
      <c r="BT738" s="124"/>
      <c r="BU738" s="124"/>
      <c r="BV738" s="124"/>
      <c r="BW738" s="124"/>
      <c r="BX738" s="124"/>
      <c r="BY738" s="124"/>
      <c r="BZ738" s="124"/>
      <c r="CA738" s="124"/>
    </row>
    <row r="739">
      <c r="D739" s="143"/>
      <c r="E739" s="129"/>
      <c r="F739" s="112"/>
      <c r="G739" s="112"/>
      <c r="H739" s="112"/>
      <c r="I739" s="112"/>
      <c r="J739" s="112"/>
      <c r="K739" s="112"/>
      <c r="L739" s="112"/>
      <c r="M739" s="112"/>
      <c r="N739" s="112"/>
      <c r="O739" s="112"/>
      <c r="P739" s="112"/>
      <c r="Q739" s="112"/>
      <c r="R739" s="112"/>
      <c r="S739" s="112"/>
      <c r="T739" s="112"/>
      <c r="U739" s="124"/>
      <c r="V739" s="124"/>
      <c r="W739" s="124"/>
      <c r="X739" s="124"/>
      <c r="Y739" s="124"/>
      <c r="Z739" s="112"/>
      <c r="AA739" s="112"/>
      <c r="AB739" s="112"/>
      <c r="AC739" s="112"/>
      <c r="AD739" s="112"/>
      <c r="AE739" s="112"/>
      <c r="AF739" s="112"/>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c r="BK739" s="124"/>
      <c r="BL739" s="124"/>
      <c r="BM739" s="124"/>
      <c r="BN739" s="124"/>
      <c r="BO739" s="124"/>
      <c r="BP739" s="124"/>
      <c r="BQ739" s="124"/>
      <c r="BR739" s="124"/>
      <c r="BS739" s="124"/>
      <c r="BT739" s="124"/>
      <c r="BU739" s="124"/>
      <c r="BV739" s="124"/>
      <c r="BW739" s="124"/>
      <c r="BX739" s="124"/>
      <c r="BY739" s="124"/>
      <c r="BZ739" s="124"/>
      <c r="CA739" s="124"/>
    </row>
    <row r="740">
      <c r="D740" s="143"/>
      <c r="E740" s="129"/>
      <c r="F740" s="112"/>
      <c r="G740" s="112"/>
      <c r="H740" s="112"/>
      <c r="I740" s="112"/>
      <c r="J740" s="112"/>
      <c r="K740" s="112"/>
      <c r="L740" s="112"/>
      <c r="M740" s="112"/>
      <c r="N740" s="112"/>
      <c r="O740" s="112"/>
      <c r="P740" s="112"/>
      <c r="Q740" s="112"/>
      <c r="R740" s="112"/>
      <c r="S740" s="112"/>
      <c r="T740" s="112"/>
      <c r="U740" s="124"/>
      <c r="V740" s="124"/>
      <c r="W740" s="124"/>
      <c r="X740" s="124"/>
      <c r="Y740" s="124"/>
      <c r="Z740" s="112"/>
      <c r="AA740" s="112"/>
      <c r="AB740" s="112"/>
      <c r="AC740" s="112"/>
      <c r="AD740" s="112"/>
      <c r="AE740" s="112"/>
      <c r="AF740" s="112"/>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c r="BK740" s="124"/>
      <c r="BL740" s="124"/>
      <c r="BM740" s="124"/>
      <c r="BN740" s="124"/>
      <c r="BO740" s="124"/>
      <c r="BP740" s="124"/>
      <c r="BQ740" s="124"/>
      <c r="BR740" s="124"/>
      <c r="BS740" s="124"/>
      <c r="BT740" s="124"/>
      <c r="BU740" s="124"/>
      <c r="BV740" s="124"/>
      <c r="BW740" s="124"/>
      <c r="BX740" s="124"/>
      <c r="BY740" s="124"/>
      <c r="BZ740" s="124"/>
      <c r="CA740" s="124"/>
    </row>
    <row r="741">
      <c r="D741" s="143"/>
      <c r="E741" s="129"/>
      <c r="F741" s="112"/>
      <c r="G741" s="112"/>
      <c r="H741" s="112"/>
      <c r="I741" s="112"/>
      <c r="J741" s="112"/>
      <c r="K741" s="112"/>
      <c r="L741" s="112"/>
      <c r="M741" s="112"/>
      <c r="N741" s="112"/>
      <c r="O741" s="112"/>
      <c r="P741" s="112"/>
      <c r="Q741" s="112"/>
      <c r="R741" s="112"/>
      <c r="S741" s="112"/>
      <c r="T741" s="112"/>
      <c r="U741" s="124"/>
      <c r="V741" s="124"/>
      <c r="W741" s="124"/>
      <c r="X741" s="124"/>
      <c r="Y741" s="124"/>
      <c r="Z741" s="112"/>
      <c r="AA741" s="112"/>
      <c r="AB741" s="112"/>
      <c r="AC741" s="112"/>
      <c r="AD741" s="112"/>
      <c r="AE741" s="112"/>
      <c r="AF741" s="112"/>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c r="BK741" s="124"/>
      <c r="BL741" s="124"/>
      <c r="BM741" s="124"/>
      <c r="BN741" s="124"/>
      <c r="BO741" s="124"/>
      <c r="BP741" s="124"/>
      <c r="BQ741" s="124"/>
      <c r="BR741" s="124"/>
      <c r="BS741" s="124"/>
      <c r="BT741" s="124"/>
      <c r="BU741" s="124"/>
      <c r="BV741" s="124"/>
      <c r="BW741" s="124"/>
      <c r="BX741" s="124"/>
      <c r="BY741" s="124"/>
      <c r="BZ741" s="124"/>
      <c r="CA741" s="124"/>
    </row>
    <row r="742">
      <c r="D742" s="143"/>
      <c r="E742" s="129"/>
      <c r="F742" s="112"/>
      <c r="G742" s="112"/>
      <c r="H742" s="112"/>
      <c r="I742" s="112"/>
      <c r="J742" s="112"/>
      <c r="K742" s="112"/>
      <c r="L742" s="112"/>
      <c r="M742" s="112"/>
      <c r="N742" s="112"/>
      <c r="O742" s="112"/>
      <c r="P742" s="112"/>
      <c r="Q742" s="112"/>
      <c r="R742" s="112"/>
      <c r="S742" s="112"/>
      <c r="T742" s="112"/>
      <c r="U742" s="124"/>
      <c r="V742" s="124"/>
      <c r="W742" s="124"/>
      <c r="X742" s="124"/>
      <c r="Y742" s="124"/>
      <c r="Z742" s="112"/>
      <c r="AA742" s="112"/>
      <c r="AB742" s="112"/>
      <c r="AC742" s="112"/>
      <c r="AD742" s="112"/>
      <c r="AE742" s="112"/>
      <c r="AF742" s="112"/>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c r="BK742" s="124"/>
      <c r="BL742" s="124"/>
      <c r="BM742" s="124"/>
      <c r="BN742" s="124"/>
      <c r="BO742" s="124"/>
      <c r="BP742" s="124"/>
      <c r="BQ742" s="124"/>
      <c r="BR742" s="124"/>
      <c r="BS742" s="124"/>
      <c r="BT742" s="124"/>
      <c r="BU742" s="124"/>
      <c r="BV742" s="124"/>
      <c r="BW742" s="124"/>
      <c r="BX742" s="124"/>
      <c r="BY742" s="124"/>
      <c r="BZ742" s="124"/>
      <c r="CA742" s="124"/>
    </row>
    <row r="743">
      <c r="D743" s="143"/>
      <c r="E743" s="129"/>
      <c r="F743" s="112"/>
      <c r="G743" s="112"/>
      <c r="H743" s="112"/>
      <c r="I743" s="112"/>
      <c r="J743" s="112"/>
      <c r="K743" s="112"/>
      <c r="L743" s="112"/>
      <c r="M743" s="112"/>
      <c r="N743" s="112"/>
      <c r="O743" s="112"/>
      <c r="P743" s="112"/>
      <c r="Q743" s="112"/>
      <c r="R743" s="112"/>
      <c r="S743" s="112"/>
      <c r="T743" s="112"/>
      <c r="U743" s="124"/>
      <c r="V743" s="124"/>
      <c r="W743" s="124"/>
      <c r="X743" s="124"/>
      <c r="Y743" s="124"/>
      <c r="Z743" s="112"/>
      <c r="AA743" s="112"/>
      <c r="AB743" s="112"/>
      <c r="AC743" s="112"/>
      <c r="AD743" s="112"/>
      <c r="AE743" s="112"/>
      <c r="AF743" s="112"/>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c r="BK743" s="124"/>
      <c r="BL743" s="124"/>
      <c r="BM743" s="124"/>
      <c r="BN743" s="124"/>
      <c r="BO743" s="124"/>
      <c r="BP743" s="124"/>
      <c r="BQ743" s="124"/>
      <c r="BR743" s="124"/>
      <c r="BS743" s="124"/>
      <c r="BT743" s="124"/>
      <c r="BU743" s="124"/>
      <c r="BV743" s="124"/>
      <c r="BW743" s="124"/>
      <c r="BX743" s="124"/>
      <c r="BY743" s="124"/>
      <c r="BZ743" s="124"/>
      <c r="CA743" s="124"/>
    </row>
    <row r="744">
      <c r="D744" s="143"/>
      <c r="E744" s="129"/>
      <c r="F744" s="112"/>
      <c r="G744" s="112"/>
      <c r="H744" s="112"/>
      <c r="I744" s="112"/>
      <c r="J744" s="112"/>
      <c r="K744" s="112"/>
      <c r="L744" s="112"/>
      <c r="M744" s="112"/>
      <c r="N744" s="112"/>
      <c r="O744" s="112"/>
      <c r="P744" s="112"/>
      <c r="Q744" s="112"/>
      <c r="R744" s="112"/>
      <c r="S744" s="112"/>
      <c r="T744" s="112"/>
      <c r="U744" s="124"/>
      <c r="V744" s="124"/>
      <c r="W744" s="124"/>
      <c r="X744" s="124"/>
      <c r="Y744" s="124"/>
      <c r="Z744" s="112"/>
      <c r="AA744" s="112"/>
      <c r="AB744" s="112"/>
      <c r="AC744" s="112"/>
      <c r="AD744" s="112"/>
      <c r="AE744" s="112"/>
      <c r="AF744" s="112"/>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c r="BK744" s="124"/>
      <c r="BL744" s="124"/>
      <c r="BM744" s="124"/>
      <c r="BN744" s="124"/>
      <c r="BO744" s="124"/>
      <c r="BP744" s="124"/>
      <c r="BQ744" s="124"/>
      <c r="BR744" s="124"/>
      <c r="BS744" s="124"/>
      <c r="BT744" s="124"/>
      <c r="BU744" s="124"/>
      <c r="BV744" s="124"/>
      <c r="BW744" s="124"/>
      <c r="BX744" s="124"/>
      <c r="BY744" s="124"/>
      <c r="BZ744" s="124"/>
      <c r="CA744" s="124"/>
    </row>
    <row r="745">
      <c r="D745" s="143"/>
      <c r="E745" s="129"/>
      <c r="F745" s="112"/>
      <c r="G745" s="112"/>
      <c r="H745" s="112"/>
      <c r="I745" s="112"/>
      <c r="J745" s="112"/>
      <c r="K745" s="112"/>
      <c r="L745" s="112"/>
      <c r="M745" s="112"/>
      <c r="N745" s="112"/>
      <c r="O745" s="112"/>
      <c r="P745" s="112"/>
      <c r="Q745" s="112"/>
      <c r="R745" s="112"/>
      <c r="S745" s="112"/>
      <c r="T745" s="112"/>
      <c r="U745" s="124"/>
      <c r="V745" s="124"/>
      <c r="W745" s="124"/>
      <c r="X745" s="124"/>
      <c r="Y745" s="124"/>
      <c r="Z745" s="112"/>
      <c r="AA745" s="112"/>
      <c r="AB745" s="112"/>
      <c r="AC745" s="112"/>
      <c r="AD745" s="112"/>
      <c r="AE745" s="112"/>
      <c r="AF745" s="112"/>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c r="BK745" s="124"/>
      <c r="BL745" s="124"/>
      <c r="BM745" s="124"/>
      <c r="BN745" s="124"/>
      <c r="BO745" s="124"/>
      <c r="BP745" s="124"/>
      <c r="BQ745" s="124"/>
      <c r="BR745" s="124"/>
      <c r="BS745" s="124"/>
      <c r="BT745" s="124"/>
      <c r="BU745" s="124"/>
      <c r="BV745" s="124"/>
      <c r="BW745" s="124"/>
      <c r="BX745" s="124"/>
      <c r="BY745" s="124"/>
      <c r="BZ745" s="124"/>
      <c r="CA745" s="124"/>
    </row>
    <row r="746">
      <c r="D746" s="143"/>
      <c r="E746" s="129"/>
      <c r="F746" s="112"/>
      <c r="G746" s="112"/>
      <c r="H746" s="112"/>
      <c r="I746" s="112"/>
      <c r="J746" s="112"/>
      <c r="K746" s="112"/>
      <c r="L746" s="112"/>
      <c r="M746" s="112"/>
      <c r="N746" s="112"/>
      <c r="O746" s="112"/>
      <c r="P746" s="112"/>
      <c r="Q746" s="112"/>
      <c r="R746" s="112"/>
      <c r="S746" s="112"/>
      <c r="T746" s="112"/>
      <c r="U746" s="124"/>
      <c r="V746" s="124"/>
      <c r="W746" s="124"/>
      <c r="X746" s="124"/>
      <c r="Y746" s="124"/>
      <c r="Z746" s="112"/>
      <c r="AA746" s="112"/>
      <c r="AB746" s="112"/>
      <c r="AC746" s="112"/>
      <c r="AD746" s="112"/>
      <c r="AE746" s="112"/>
      <c r="AF746" s="112"/>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c r="BK746" s="124"/>
      <c r="BL746" s="124"/>
      <c r="BM746" s="124"/>
      <c r="BN746" s="124"/>
      <c r="BO746" s="124"/>
      <c r="BP746" s="124"/>
      <c r="BQ746" s="124"/>
      <c r="BR746" s="124"/>
      <c r="BS746" s="124"/>
      <c r="BT746" s="124"/>
      <c r="BU746" s="124"/>
      <c r="BV746" s="124"/>
      <c r="BW746" s="124"/>
      <c r="BX746" s="124"/>
      <c r="BY746" s="124"/>
      <c r="BZ746" s="124"/>
      <c r="CA746" s="124"/>
    </row>
    <row r="747">
      <c r="D747" s="143"/>
      <c r="E747" s="129"/>
      <c r="F747" s="112"/>
      <c r="G747" s="112"/>
      <c r="H747" s="112"/>
      <c r="I747" s="112"/>
      <c r="J747" s="112"/>
      <c r="K747" s="112"/>
      <c r="L747" s="112"/>
      <c r="M747" s="112"/>
      <c r="N747" s="112"/>
      <c r="O747" s="112"/>
      <c r="P747" s="112"/>
      <c r="Q747" s="112"/>
      <c r="R747" s="112"/>
      <c r="S747" s="112"/>
      <c r="T747" s="112"/>
      <c r="U747" s="124"/>
      <c r="V747" s="124"/>
      <c r="W747" s="124"/>
      <c r="X747" s="124"/>
      <c r="Y747" s="124"/>
      <c r="Z747" s="112"/>
      <c r="AA747" s="112"/>
      <c r="AB747" s="112"/>
      <c r="AC747" s="112"/>
      <c r="AD747" s="112"/>
      <c r="AE747" s="112"/>
      <c r="AF747" s="112"/>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c r="BK747" s="124"/>
      <c r="BL747" s="124"/>
      <c r="BM747" s="124"/>
      <c r="BN747" s="124"/>
      <c r="BO747" s="124"/>
      <c r="BP747" s="124"/>
      <c r="BQ747" s="124"/>
      <c r="BR747" s="124"/>
      <c r="BS747" s="124"/>
      <c r="BT747" s="124"/>
      <c r="BU747" s="124"/>
      <c r="BV747" s="124"/>
      <c r="BW747" s="124"/>
      <c r="BX747" s="124"/>
      <c r="BY747" s="124"/>
      <c r="BZ747" s="124"/>
      <c r="CA747" s="124"/>
    </row>
    <row r="748">
      <c r="D748" s="143"/>
      <c r="E748" s="129"/>
      <c r="F748" s="112"/>
      <c r="G748" s="112"/>
      <c r="H748" s="112"/>
      <c r="I748" s="112"/>
      <c r="J748" s="112"/>
      <c r="K748" s="112"/>
      <c r="L748" s="112"/>
      <c r="M748" s="112"/>
      <c r="N748" s="112"/>
      <c r="O748" s="112"/>
      <c r="P748" s="112"/>
      <c r="Q748" s="112"/>
      <c r="R748" s="112"/>
      <c r="S748" s="112"/>
      <c r="T748" s="112"/>
      <c r="U748" s="124"/>
      <c r="V748" s="124"/>
      <c r="W748" s="124"/>
      <c r="X748" s="124"/>
      <c r="Y748" s="124"/>
      <c r="Z748" s="112"/>
      <c r="AA748" s="112"/>
      <c r="AB748" s="112"/>
      <c r="AC748" s="112"/>
      <c r="AD748" s="112"/>
      <c r="AE748" s="112"/>
      <c r="AF748" s="112"/>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c r="BK748" s="124"/>
      <c r="BL748" s="124"/>
      <c r="BM748" s="124"/>
      <c r="BN748" s="124"/>
      <c r="BO748" s="124"/>
      <c r="BP748" s="124"/>
      <c r="BQ748" s="124"/>
      <c r="BR748" s="124"/>
      <c r="BS748" s="124"/>
      <c r="BT748" s="124"/>
      <c r="BU748" s="124"/>
      <c r="BV748" s="124"/>
      <c r="BW748" s="124"/>
      <c r="BX748" s="124"/>
      <c r="BY748" s="124"/>
      <c r="BZ748" s="124"/>
      <c r="CA748" s="124"/>
    </row>
    <row r="749">
      <c r="D749" s="143"/>
      <c r="E749" s="129"/>
      <c r="F749" s="112"/>
      <c r="G749" s="112"/>
      <c r="H749" s="112"/>
      <c r="I749" s="112"/>
      <c r="J749" s="112"/>
      <c r="K749" s="112"/>
      <c r="L749" s="112"/>
      <c r="M749" s="112"/>
      <c r="N749" s="112"/>
      <c r="O749" s="112"/>
      <c r="P749" s="112"/>
      <c r="Q749" s="112"/>
      <c r="R749" s="112"/>
      <c r="S749" s="112"/>
      <c r="T749" s="112"/>
      <c r="U749" s="124"/>
      <c r="V749" s="124"/>
      <c r="W749" s="124"/>
      <c r="X749" s="124"/>
      <c r="Y749" s="124"/>
      <c r="Z749" s="112"/>
      <c r="AA749" s="112"/>
      <c r="AB749" s="112"/>
      <c r="AC749" s="112"/>
      <c r="AD749" s="112"/>
      <c r="AE749" s="112"/>
      <c r="AF749" s="112"/>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c r="BK749" s="124"/>
      <c r="BL749" s="124"/>
      <c r="BM749" s="124"/>
      <c r="BN749" s="124"/>
      <c r="BO749" s="124"/>
      <c r="BP749" s="124"/>
      <c r="BQ749" s="124"/>
      <c r="BR749" s="124"/>
      <c r="BS749" s="124"/>
      <c r="BT749" s="124"/>
      <c r="BU749" s="124"/>
      <c r="BV749" s="124"/>
      <c r="BW749" s="124"/>
      <c r="BX749" s="124"/>
      <c r="BY749" s="124"/>
      <c r="BZ749" s="124"/>
      <c r="CA749" s="124"/>
    </row>
    <row r="750">
      <c r="D750" s="143"/>
      <c r="E750" s="129"/>
      <c r="F750" s="112"/>
      <c r="G750" s="112"/>
      <c r="H750" s="112"/>
      <c r="I750" s="112"/>
      <c r="J750" s="112"/>
      <c r="K750" s="112"/>
      <c r="L750" s="112"/>
      <c r="M750" s="112"/>
      <c r="N750" s="112"/>
      <c r="O750" s="112"/>
      <c r="P750" s="112"/>
      <c r="Q750" s="112"/>
      <c r="R750" s="112"/>
      <c r="S750" s="112"/>
      <c r="T750" s="112"/>
      <c r="U750" s="124"/>
      <c r="V750" s="124"/>
      <c r="W750" s="124"/>
      <c r="X750" s="124"/>
      <c r="Y750" s="124"/>
      <c r="Z750" s="112"/>
      <c r="AA750" s="112"/>
      <c r="AB750" s="112"/>
      <c r="AC750" s="112"/>
      <c r="AD750" s="112"/>
      <c r="AE750" s="112"/>
      <c r="AF750" s="112"/>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c r="BK750" s="124"/>
      <c r="BL750" s="124"/>
      <c r="BM750" s="124"/>
      <c r="BN750" s="124"/>
      <c r="BO750" s="124"/>
      <c r="BP750" s="124"/>
      <c r="BQ750" s="124"/>
      <c r="BR750" s="124"/>
      <c r="BS750" s="124"/>
      <c r="BT750" s="124"/>
      <c r="BU750" s="124"/>
      <c r="BV750" s="124"/>
      <c r="BW750" s="124"/>
      <c r="BX750" s="124"/>
      <c r="BY750" s="124"/>
      <c r="BZ750" s="124"/>
      <c r="CA750" s="124"/>
    </row>
    <row r="751">
      <c r="D751" s="143"/>
      <c r="E751" s="129"/>
      <c r="F751" s="112"/>
      <c r="G751" s="112"/>
      <c r="H751" s="112"/>
      <c r="I751" s="112"/>
      <c r="J751" s="112"/>
      <c r="K751" s="112"/>
      <c r="L751" s="112"/>
      <c r="M751" s="112"/>
      <c r="N751" s="112"/>
      <c r="O751" s="112"/>
      <c r="P751" s="112"/>
      <c r="Q751" s="112"/>
      <c r="R751" s="112"/>
      <c r="S751" s="112"/>
      <c r="T751" s="112"/>
      <c r="U751" s="124"/>
      <c r="V751" s="124"/>
      <c r="W751" s="124"/>
      <c r="X751" s="124"/>
      <c r="Y751" s="124"/>
      <c r="Z751" s="112"/>
      <c r="AA751" s="112"/>
      <c r="AB751" s="112"/>
      <c r="AC751" s="112"/>
      <c r="AD751" s="112"/>
      <c r="AE751" s="112"/>
      <c r="AF751" s="112"/>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4"/>
      <c r="BS751" s="124"/>
      <c r="BT751" s="124"/>
      <c r="BU751" s="124"/>
      <c r="BV751" s="124"/>
      <c r="BW751" s="124"/>
      <c r="BX751" s="124"/>
      <c r="BY751" s="124"/>
      <c r="BZ751" s="124"/>
      <c r="CA751" s="124"/>
    </row>
    <row r="752">
      <c r="D752" s="143"/>
      <c r="E752" s="129"/>
      <c r="F752" s="112"/>
      <c r="G752" s="112"/>
      <c r="H752" s="112"/>
      <c r="I752" s="112"/>
      <c r="J752" s="112"/>
      <c r="K752" s="112"/>
      <c r="L752" s="112"/>
      <c r="M752" s="112"/>
      <c r="N752" s="112"/>
      <c r="O752" s="112"/>
      <c r="P752" s="112"/>
      <c r="Q752" s="112"/>
      <c r="R752" s="112"/>
      <c r="S752" s="112"/>
      <c r="T752" s="112"/>
      <c r="U752" s="124"/>
      <c r="V752" s="124"/>
      <c r="W752" s="124"/>
      <c r="X752" s="124"/>
      <c r="Y752" s="124"/>
      <c r="Z752" s="112"/>
      <c r="AA752" s="112"/>
      <c r="AB752" s="112"/>
      <c r="AC752" s="112"/>
      <c r="AD752" s="112"/>
      <c r="AE752" s="112"/>
      <c r="AF752" s="112"/>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c r="BK752" s="124"/>
      <c r="BL752" s="124"/>
      <c r="BM752" s="124"/>
      <c r="BN752" s="124"/>
      <c r="BO752" s="124"/>
      <c r="BP752" s="124"/>
      <c r="BQ752" s="124"/>
      <c r="BR752" s="124"/>
      <c r="BS752" s="124"/>
      <c r="BT752" s="124"/>
      <c r="BU752" s="124"/>
      <c r="BV752" s="124"/>
      <c r="BW752" s="124"/>
      <c r="BX752" s="124"/>
      <c r="BY752" s="124"/>
      <c r="BZ752" s="124"/>
      <c r="CA752" s="124"/>
    </row>
    <row r="753">
      <c r="D753" s="143"/>
      <c r="E753" s="129"/>
      <c r="F753" s="112"/>
      <c r="G753" s="112"/>
      <c r="H753" s="112"/>
      <c r="I753" s="112"/>
      <c r="J753" s="112"/>
      <c r="K753" s="112"/>
      <c r="L753" s="112"/>
      <c r="M753" s="112"/>
      <c r="N753" s="112"/>
      <c r="O753" s="112"/>
      <c r="P753" s="112"/>
      <c r="Q753" s="112"/>
      <c r="R753" s="112"/>
      <c r="S753" s="112"/>
      <c r="T753" s="112"/>
      <c r="U753" s="124"/>
      <c r="V753" s="124"/>
      <c r="W753" s="124"/>
      <c r="X753" s="124"/>
      <c r="Y753" s="124"/>
      <c r="Z753" s="112"/>
      <c r="AA753" s="112"/>
      <c r="AB753" s="112"/>
      <c r="AC753" s="112"/>
      <c r="AD753" s="112"/>
      <c r="AE753" s="112"/>
      <c r="AF753" s="112"/>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c r="BK753" s="124"/>
      <c r="BL753" s="124"/>
      <c r="BM753" s="124"/>
      <c r="BN753" s="124"/>
      <c r="BO753" s="124"/>
      <c r="BP753" s="124"/>
      <c r="BQ753" s="124"/>
      <c r="BR753" s="124"/>
      <c r="BS753" s="124"/>
      <c r="BT753" s="124"/>
      <c r="BU753" s="124"/>
      <c r="BV753" s="124"/>
      <c r="BW753" s="124"/>
      <c r="BX753" s="124"/>
      <c r="BY753" s="124"/>
      <c r="BZ753" s="124"/>
      <c r="CA753" s="124"/>
    </row>
    <row r="754">
      <c r="D754" s="143"/>
      <c r="E754" s="129"/>
      <c r="F754" s="112"/>
      <c r="G754" s="112"/>
      <c r="H754" s="112"/>
      <c r="I754" s="112"/>
      <c r="J754" s="112"/>
      <c r="K754" s="112"/>
      <c r="L754" s="112"/>
      <c r="M754" s="112"/>
      <c r="N754" s="112"/>
      <c r="O754" s="112"/>
      <c r="P754" s="112"/>
      <c r="Q754" s="112"/>
      <c r="R754" s="112"/>
      <c r="S754" s="112"/>
      <c r="T754" s="112"/>
      <c r="U754" s="124"/>
      <c r="V754" s="124"/>
      <c r="W754" s="124"/>
      <c r="X754" s="124"/>
      <c r="Y754" s="124"/>
      <c r="Z754" s="112"/>
      <c r="AA754" s="112"/>
      <c r="AB754" s="112"/>
      <c r="AC754" s="112"/>
      <c r="AD754" s="112"/>
      <c r="AE754" s="112"/>
      <c r="AF754" s="112"/>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c r="BK754" s="124"/>
      <c r="BL754" s="124"/>
      <c r="BM754" s="124"/>
      <c r="BN754" s="124"/>
      <c r="BO754" s="124"/>
      <c r="BP754" s="124"/>
      <c r="BQ754" s="124"/>
      <c r="BR754" s="124"/>
      <c r="BS754" s="124"/>
      <c r="BT754" s="124"/>
      <c r="BU754" s="124"/>
      <c r="BV754" s="124"/>
      <c r="BW754" s="124"/>
      <c r="BX754" s="124"/>
      <c r="BY754" s="124"/>
      <c r="BZ754" s="124"/>
      <c r="CA754" s="124"/>
    </row>
    <row r="755">
      <c r="D755" s="143"/>
      <c r="E755" s="129"/>
      <c r="F755" s="112"/>
      <c r="G755" s="112"/>
      <c r="H755" s="112"/>
      <c r="I755" s="112"/>
      <c r="J755" s="112"/>
      <c r="K755" s="112"/>
      <c r="L755" s="112"/>
      <c r="M755" s="112"/>
      <c r="N755" s="112"/>
      <c r="O755" s="112"/>
      <c r="P755" s="112"/>
      <c r="Q755" s="112"/>
      <c r="R755" s="112"/>
      <c r="S755" s="112"/>
      <c r="T755" s="112"/>
      <c r="U755" s="124"/>
      <c r="V755" s="124"/>
      <c r="W755" s="124"/>
      <c r="X755" s="124"/>
      <c r="Y755" s="124"/>
      <c r="Z755" s="112"/>
      <c r="AA755" s="112"/>
      <c r="AB755" s="112"/>
      <c r="AC755" s="112"/>
      <c r="AD755" s="112"/>
      <c r="AE755" s="112"/>
      <c r="AF755" s="112"/>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c r="BK755" s="124"/>
      <c r="BL755" s="124"/>
      <c r="BM755" s="124"/>
      <c r="BN755" s="124"/>
      <c r="BO755" s="124"/>
      <c r="BP755" s="124"/>
      <c r="BQ755" s="124"/>
      <c r="BR755" s="124"/>
      <c r="BS755" s="124"/>
      <c r="BT755" s="124"/>
      <c r="BU755" s="124"/>
      <c r="BV755" s="124"/>
      <c r="BW755" s="124"/>
      <c r="BX755" s="124"/>
      <c r="BY755" s="124"/>
      <c r="BZ755" s="124"/>
      <c r="CA755" s="124"/>
    </row>
    <row r="756">
      <c r="D756" s="143"/>
      <c r="E756" s="129"/>
      <c r="F756" s="112"/>
      <c r="G756" s="112"/>
      <c r="H756" s="112"/>
      <c r="I756" s="112"/>
      <c r="J756" s="112"/>
      <c r="K756" s="112"/>
      <c r="L756" s="112"/>
      <c r="M756" s="112"/>
      <c r="N756" s="112"/>
      <c r="O756" s="112"/>
      <c r="P756" s="112"/>
      <c r="Q756" s="112"/>
      <c r="R756" s="112"/>
      <c r="S756" s="112"/>
      <c r="T756" s="112"/>
      <c r="U756" s="124"/>
      <c r="V756" s="124"/>
      <c r="W756" s="124"/>
      <c r="X756" s="124"/>
      <c r="Y756" s="124"/>
      <c r="Z756" s="112"/>
      <c r="AA756" s="112"/>
      <c r="AB756" s="112"/>
      <c r="AC756" s="112"/>
      <c r="AD756" s="112"/>
      <c r="AE756" s="112"/>
      <c r="AF756" s="112"/>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c r="BK756" s="124"/>
      <c r="BL756" s="124"/>
      <c r="BM756" s="124"/>
      <c r="BN756" s="124"/>
      <c r="BO756" s="124"/>
      <c r="BP756" s="124"/>
      <c r="BQ756" s="124"/>
      <c r="BR756" s="124"/>
      <c r="BS756" s="124"/>
      <c r="BT756" s="124"/>
      <c r="BU756" s="124"/>
      <c r="BV756" s="124"/>
      <c r="BW756" s="124"/>
      <c r="BX756" s="124"/>
      <c r="BY756" s="124"/>
      <c r="BZ756" s="124"/>
      <c r="CA756" s="124"/>
    </row>
    <row r="757">
      <c r="D757" s="143"/>
      <c r="E757" s="129"/>
      <c r="F757" s="112"/>
      <c r="G757" s="112"/>
      <c r="H757" s="112"/>
      <c r="I757" s="112"/>
      <c r="J757" s="112"/>
      <c r="K757" s="112"/>
      <c r="L757" s="112"/>
      <c r="M757" s="112"/>
      <c r="N757" s="112"/>
      <c r="O757" s="112"/>
      <c r="P757" s="112"/>
      <c r="Q757" s="112"/>
      <c r="R757" s="112"/>
      <c r="S757" s="112"/>
      <c r="T757" s="112"/>
      <c r="U757" s="124"/>
      <c r="V757" s="124"/>
      <c r="W757" s="124"/>
      <c r="X757" s="124"/>
      <c r="Y757" s="124"/>
      <c r="Z757" s="112"/>
      <c r="AA757" s="112"/>
      <c r="AB757" s="112"/>
      <c r="AC757" s="112"/>
      <c r="AD757" s="112"/>
      <c r="AE757" s="112"/>
      <c r="AF757" s="112"/>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c r="BK757" s="124"/>
      <c r="BL757" s="124"/>
      <c r="BM757" s="124"/>
      <c r="BN757" s="124"/>
      <c r="BO757" s="124"/>
      <c r="BP757" s="124"/>
      <c r="BQ757" s="124"/>
      <c r="BR757" s="124"/>
      <c r="BS757" s="124"/>
      <c r="BT757" s="124"/>
      <c r="BU757" s="124"/>
      <c r="BV757" s="124"/>
      <c r="BW757" s="124"/>
      <c r="BX757" s="124"/>
      <c r="BY757" s="124"/>
      <c r="BZ757" s="124"/>
      <c r="CA757" s="124"/>
    </row>
    <row r="758">
      <c r="D758" s="143"/>
      <c r="E758" s="129"/>
      <c r="F758" s="112"/>
      <c r="G758" s="112"/>
      <c r="H758" s="112"/>
      <c r="I758" s="112"/>
      <c r="J758" s="112"/>
      <c r="K758" s="112"/>
      <c r="L758" s="112"/>
      <c r="M758" s="112"/>
      <c r="N758" s="112"/>
      <c r="O758" s="112"/>
      <c r="P758" s="112"/>
      <c r="Q758" s="112"/>
      <c r="R758" s="112"/>
      <c r="S758" s="112"/>
      <c r="T758" s="112"/>
      <c r="U758" s="124"/>
      <c r="V758" s="124"/>
      <c r="W758" s="124"/>
      <c r="X758" s="124"/>
      <c r="Y758" s="124"/>
      <c r="Z758" s="112"/>
      <c r="AA758" s="112"/>
      <c r="AB758" s="112"/>
      <c r="AC758" s="112"/>
      <c r="AD758" s="112"/>
      <c r="AE758" s="112"/>
      <c r="AF758" s="112"/>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c r="BK758" s="124"/>
      <c r="BL758" s="124"/>
      <c r="BM758" s="124"/>
      <c r="BN758" s="124"/>
      <c r="BO758" s="124"/>
      <c r="BP758" s="124"/>
      <c r="BQ758" s="124"/>
      <c r="BR758" s="124"/>
      <c r="BS758" s="124"/>
      <c r="BT758" s="124"/>
      <c r="BU758" s="124"/>
      <c r="BV758" s="124"/>
      <c r="BW758" s="124"/>
      <c r="BX758" s="124"/>
      <c r="BY758" s="124"/>
      <c r="BZ758" s="124"/>
      <c r="CA758" s="124"/>
    </row>
    <row r="759">
      <c r="D759" s="143"/>
      <c r="E759" s="129"/>
      <c r="F759" s="112"/>
      <c r="G759" s="112"/>
      <c r="H759" s="112"/>
      <c r="I759" s="112"/>
      <c r="J759" s="112"/>
      <c r="K759" s="112"/>
      <c r="L759" s="112"/>
      <c r="M759" s="112"/>
      <c r="N759" s="112"/>
      <c r="O759" s="112"/>
      <c r="P759" s="112"/>
      <c r="Q759" s="112"/>
      <c r="R759" s="112"/>
      <c r="S759" s="112"/>
      <c r="T759" s="112"/>
      <c r="U759" s="124"/>
      <c r="V759" s="124"/>
      <c r="W759" s="124"/>
      <c r="X759" s="124"/>
      <c r="Y759" s="124"/>
      <c r="Z759" s="112"/>
      <c r="AA759" s="112"/>
      <c r="AB759" s="112"/>
      <c r="AC759" s="112"/>
      <c r="AD759" s="112"/>
      <c r="AE759" s="112"/>
      <c r="AF759" s="112"/>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c r="BK759" s="124"/>
      <c r="BL759" s="124"/>
      <c r="BM759" s="124"/>
      <c r="BN759" s="124"/>
      <c r="BO759" s="124"/>
      <c r="BP759" s="124"/>
      <c r="BQ759" s="124"/>
      <c r="BR759" s="124"/>
      <c r="BS759" s="124"/>
      <c r="BT759" s="124"/>
      <c r="BU759" s="124"/>
      <c r="BV759" s="124"/>
      <c r="BW759" s="124"/>
      <c r="BX759" s="124"/>
      <c r="BY759" s="124"/>
      <c r="BZ759" s="124"/>
      <c r="CA759" s="124"/>
    </row>
    <row r="760">
      <c r="D760" s="143"/>
      <c r="E760" s="129"/>
      <c r="F760" s="112"/>
      <c r="G760" s="112"/>
      <c r="H760" s="112"/>
      <c r="I760" s="112"/>
      <c r="J760" s="112"/>
      <c r="K760" s="112"/>
      <c r="L760" s="112"/>
      <c r="M760" s="112"/>
      <c r="N760" s="112"/>
      <c r="O760" s="112"/>
      <c r="P760" s="112"/>
      <c r="Q760" s="112"/>
      <c r="R760" s="112"/>
      <c r="S760" s="112"/>
      <c r="T760" s="112"/>
      <c r="U760" s="124"/>
      <c r="V760" s="124"/>
      <c r="W760" s="124"/>
      <c r="X760" s="124"/>
      <c r="Y760" s="124"/>
      <c r="Z760" s="112"/>
      <c r="AA760" s="112"/>
      <c r="AB760" s="112"/>
      <c r="AC760" s="112"/>
      <c r="AD760" s="112"/>
      <c r="AE760" s="112"/>
      <c r="AF760" s="112"/>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c r="BK760" s="124"/>
      <c r="BL760" s="124"/>
      <c r="BM760" s="124"/>
      <c r="BN760" s="124"/>
      <c r="BO760" s="124"/>
      <c r="BP760" s="124"/>
      <c r="BQ760" s="124"/>
      <c r="BR760" s="124"/>
      <c r="BS760" s="124"/>
      <c r="BT760" s="124"/>
      <c r="BU760" s="124"/>
      <c r="BV760" s="124"/>
      <c r="BW760" s="124"/>
      <c r="BX760" s="124"/>
      <c r="BY760" s="124"/>
      <c r="BZ760" s="124"/>
      <c r="CA760" s="124"/>
    </row>
    <row r="761">
      <c r="D761" s="143"/>
      <c r="E761" s="129"/>
      <c r="F761" s="112"/>
      <c r="G761" s="112"/>
      <c r="H761" s="112"/>
      <c r="I761" s="112"/>
      <c r="J761" s="112"/>
      <c r="K761" s="112"/>
      <c r="L761" s="112"/>
      <c r="M761" s="112"/>
      <c r="N761" s="112"/>
      <c r="O761" s="112"/>
      <c r="P761" s="112"/>
      <c r="Q761" s="112"/>
      <c r="R761" s="112"/>
      <c r="S761" s="112"/>
      <c r="T761" s="112"/>
      <c r="U761" s="124"/>
      <c r="V761" s="124"/>
      <c r="W761" s="124"/>
      <c r="X761" s="124"/>
      <c r="Y761" s="124"/>
      <c r="Z761" s="112"/>
      <c r="AA761" s="112"/>
      <c r="AB761" s="112"/>
      <c r="AC761" s="112"/>
      <c r="AD761" s="112"/>
      <c r="AE761" s="112"/>
      <c r="AF761" s="112"/>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c r="BK761" s="124"/>
      <c r="BL761" s="124"/>
      <c r="BM761" s="124"/>
      <c r="BN761" s="124"/>
      <c r="BO761" s="124"/>
      <c r="BP761" s="124"/>
      <c r="BQ761" s="124"/>
      <c r="BR761" s="124"/>
      <c r="BS761" s="124"/>
      <c r="BT761" s="124"/>
      <c r="BU761" s="124"/>
      <c r="BV761" s="124"/>
      <c r="BW761" s="124"/>
      <c r="BX761" s="124"/>
      <c r="BY761" s="124"/>
      <c r="BZ761" s="124"/>
      <c r="CA761" s="124"/>
    </row>
    <row r="762">
      <c r="D762" s="143"/>
      <c r="E762" s="129"/>
      <c r="F762" s="112"/>
      <c r="G762" s="112"/>
      <c r="H762" s="112"/>
      <c r="I762" s="112"/>
      <c r="J762" s="112"/>
      <c r="K762" s="112"/>
      <c r="L762" s="112"/>
      <c r="M762" s="112"/>
      <c r="N762" s="112"/>
      <c r="O762" s="112"/>
      <c r="P762" s="112"/>
      <c r="Q762" s="112"/>
      <c r="R762" s="112"/>
      <c r="S762" s="112"/>
      <c r="T762" s="112"/>
      <c r="U762" s="124"/>
      <c r="V762" s="124"/>
      <c r="W762" s="124"/>
      <c r="X762" s="124"/>
      <c r="Y762" s="124"/>
      <c r="Z762" s="112"/>
      <c r="AA762" s="112"/>
      <c r="AB762" s="112"/>
      <c r="AC762" s="112"/>
      <c r="AD762" s="112"/>
      <c r="AE762" s="112"/>
      <c r="AF762" s="112"/>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c r="BK762" s="124"/>
      <c r="BL762" s="124"/>
      <c r="BM762" s="124"/>
      <c r="BN762" s="124"/>
      <c r="BO762" s="124"/>
      <c r="BP762" s="124"/>
      <c r="BQ762" s="124"/>
      <c r="BR762" s="124"/>
      <c r="BS762" s="124"/>
      <c r="BT762" s="124"/>
      <c r="BU762" s="124"/>
      <c r="BV762" s="124"/>
      <c r="BW762" s="124"/>
      <c r="BX762" s="124"/>
      <c r="BY762" s="124"/>
      <c r="BZ762" s="124"/>
      <c r="CA762" s="124"/>
    </row>
    <row r="763">
      <c r="D763" s="143"/>
      <c r="E763" s="129"/>
      <c r="F763" s="112"/>
      <c r="G763" s="112"/>
      <c r="H763" s="112"/>
      <c r="I763" s="112"/>
      <c r="J763" s="112"/>
      <c r="K763" s="112"/>
      <c r="L763" s="112"/>
      <c r="M763" s="112"/>
      <c r="N763" s="112"/>
      <c r="O763" s="112"/>
      <c r="P763" s="112"/>
      <c r="Q763" s="112"/>
      <c r="R763" s="112"/>
      <c r="S763" s="112"/>
      <c r="T763" s="112"/>
      <c r="U763" s="124"/>
      <c r="V763" s="124"/>
      <c r="W763" s="124"/>
      <c r="X763" s="124"/>
      <c r="Y763" s="124"/>
      <c r="Z763" s="112"/>
      <c r="AA763" s="112"/>
      <c r="AB763" s="112"/>
      <c r="AC763" s="112"/>
      <c r="AD763" s="112"/>
      <c r="AE763" s="112"/>
      <c r="AF763" s="112"/>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c r="BK763" s="124"/>
      <c r="BL763" s="124"/>
      <c r="BM763" s="124"/>
      <c r="BN763" s="124"/>
      <c r="BO763" s="124"/>
      <c r="BP763" s="124"/>
      <c r="BQ763" s="124"/>
      <c r="BR763" s="124"/>
      <c r="BS763" s="124"/>
      <c r="BT763" s="124"/>
      <c r="BU763" s="124"/>
      <c r="BV763" s="124"/>
      <c r="BW763" s="124"/>
      <c r="BX763" s="124"/>
      <c r="BY763" s="124"/>
      <c r="BZ763" s="124"/>
      <c r="CA763" s="124"/>
    </row>
    <row r="764">
      <c r="D764" s="143"/>
      <c r="E764" s="129"/>
      <c r="F764" s="112"/>
      <c r="G764" s="112"/>
      <c r="H764" s="112"/>
      <c r="I764" s="112"/>
      <c r="J764" s="112"/>
      <c r="K764" s="112"/>
      <c r="L764" s="112"/>
      <c r="M764" s="112"/>
      <c r="N764" s="112"/>
      <c r="O764" s="112"/>
      <c r="P764" s="112"/>
      <c r="Q764" s="112"/>
      <c r="R764" s="112"/>
      <c r="S764" s="112"/>
      <c r="T764" s="112"/>
      <c r="U764" s="124"/>
      <c r="V764" s="124"/>
      <c r="W764" s="124"/>
      <c r="X764" s="124"/>
      <c r="Y764" s="124"/>
      <c r="Z764" s="112"/>
      <c r="AA764" s="112"/>
      <c r="AB764" s="112"/>
      <c r="AC764" s="112"/>
      <c r="AD764" s="112"/>
      <c r="AE764" s="112"/>
      <c r="AF764" s="112"/>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c r="BK764" s="124"/>
      <c r="BL764" s="124"/>
      <c r="BM764" s="124"/>
      <c r="BN764" s="124"/>
      <c r="BO764" s="124"/>
      <c r="BP764" s="124"/>
      <c r="BQ764" s="124"/>
      <c r="BR764" s="124"/>
      <c r="BS764" s="124"/>
      <c r="BT764" s="124"/>
      <c r="BU764" s="124"/>
      <c r="BV764" s="124"/>
      <c r="BW764" s="124"/>
      <c r="BX764" s="124"/>
      <c r="BY764" s="124"/>
      <c r="BZ764" s="124"/>
      <c r="CA764" s="124"/>
    </row>
    <row r="765">
      <c r="D765" s="143"/>
      <c r="E765" s="129"/>
      <c r="F765" s="112"/>
      <c r="G765" s="112"/>
      <c r="H765" s="112"/>
      <c r="I765" s="112"/>
      <c r="J765" s="112"/>
      <c r="K765" s="112"/>
      <c r="L765" s="112"/>
      <c r="M765" s="112"/>
      <c r="N765" s="112"/>
      <c r="O765" s="112"/>
      <c r="P765" s="112"/>
      <c r="Q765" s="112"/>
      <c r="R765" s="112"/>
      <c r="S765" s="112"/>
      <c r="T765" s="112"/>
      <c r="U765" s="124"/>
      <c r="V765" s="124"/>
      <c r="W765" s="124"/>
      <c r="X765" s="124"/>
      <c r="Y765" s="124"/>
      <c r="Z765" s="112"/>
      <c r="AA765" s="112"/>
      <c r="AB765" s="112"/>
      <c r="AC765" s="112"/>
      <c r="AD765" s="112"/>
      <c r="AE765" s="112"/>
      <c r="AF765" s="112"/>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c r="BK765" s="124"/>
      <c r="BL765" s="124"/>
      <c r="BM765" s="124"/>
      <c r="BN765" s="124"/>
      <c r="BO765" s="124"/>
      <c r="BP765" s="124"/>
      <c r="BQ765" s="124"/>
      <c r="BR765" s="124"/>
      <c r="BS765" s="124"/>
      <c r="BT765" s="124"/>
      <c r="BU765" s="124"/>
      <c r="BV765" s="124"/>
      <c r="BW765" s="124"/>
      <c r="BX765" s="124"/>
      <c r="BY765" s="124"/>
      <c r="BZ765" s="124"/>
      <c r="CA765" s="124"/>
    </row>
    <row r="766">
      <c r="D766" s="143"/>
      <c r="E766" s="129"/>
      <c r="F766" s="112"/>
      <c r="G766" s="112"/>
      <c r="H766" s="112"/>
      <c r="I766" s="112"/>
      <c r="J766" s="112"/>
      <c r="K766" s="112"/>
      <c r="L766" s="112"/>
      <c r="M766" s="112"/>
      <c r="N766" s="112"/>
      <c r="O766" s="112"/>
      <c r="P766" s="112"/>
      <c r="Q766" s="112"/>
      <c r="R766" s="112"/>
      <c r="S766" s="112"/>
      <c r="T766" s="112"/>
      <c r="U766" s="124"/>
      <c r="V766" s="124"/>
      <c r="W766" s="124"/>
      <c r="X766" s="124"/>
      <c r="Y766" s="124"/>
      <c r="Z766" s="112"/>
      <c r="AA766" s="112"/>
      <c r="AB766" s="112"/>
      <c r="AC766" s="112"/>
      <c r="AD766" s="112"/>
      <c r="AE766" s="112"/>
      <c r="AF766" s="112"/>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c r="BK766" s="124"/>
      <c r="BL766" s="124"/>
      <c r="BM766" s="124"/>
      <c r="BN766" s="124"/>
      <c r="BO766" s="124"/>
      <c r="BP766" s="124"/>
      <c r="BQ766" s="124"/>
      <c r="BR766" s="124"/>
      <c r="BS766" s="124"/>
      <c r="BT766" s="124"/>
      <c r="BU766" s="124"/>
      <c r="BV766" s="124"/>
      <c r="BW766" s="124"/>
      <c r="BX766" s="124"/>
      <c r="BY766" s="124"/>
      <c r="BZ766" s="124"/>
      <c r="CA766" s="124"/>
    </row>
    <row r="767">
      <c r="D767" s="143"/>
      <c r="E767" s="129"/>
      <c r="F767" s="112"/>
      <c r="G767" s="112"/>
      <c r="H767" s="112"/>
      <c r="I767" s="112"/>
      <c r="J767" s="112"/>
      <c r="K767" s="112"/>
      <c r="L767" s="112"/>
      <c r="M767" s="112"/>
      <c r="N767" s="112"/>
      <c r="O767" s="112"/>
      <c r="P767" s="112"/>
      <c r="Q767" s="112"/>
      <c r="R767" s="112"/>
      <c r="S767" s="112"/>
      <c r="T767" s="112"/>
      <c r="U767" s="124"/>
      <c r="V767" s="124"/>
      <c r="W767" s="124"/>
      <c r="X767" s="124"/>
      <c r="Y767" s="124"/>
      <c r="Z767" s="112"/>
      <c r="AA767" s="112"/>
      <c r="AB767" s="112"/>
      <c r="AC767" s="112"/>
      <c r="AD767" s="112"/>
      <c r="AE767" s="112"/>
      <c r="AF767" s="112"/>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c r="BK767" s="124"/>
      <c r="BL767" s="124"/>
      <c r="BM767" s="124"/>
      <c r="BN767" s="124"/>
      <c r="BO767" s="124"/>
      <c r="BP767" s="124"/>
      <c r="BQ767" s="124"/>
      <c r="BR767" s="124"/>
      <c r="BS767" s="124"/>
      <c r="BT767" s="124"/>
      <c r="BU767" s="124"/>
      <c r="BV767" s="124"/>
      <c r="BW767" s="124"/>
      <c r="BX767" s="124"/>
      <c r="BY767" s="124"/>
      <c r="BZ767" s="124"/>
      <c r="CA767" s="124"/>
    </row>
    <row r="768">
      <c r="D768" s="143"/>
      <c r="E768" s="129"/>
      <c r="F768" s="112"/>
      <c r="G768" s="112"/>
      <c r="H768" s="112"/>
      <c r="I768" s="112"/>
      <c r="J768" s="112"/>
      <c r="K768" s="112"/>
      <c r="L768" s="112"/>
      <c r="M768" s="112"/>
      <c r="N768" s="112"/>
      <c r="O768" s="112"/>
      <c r="P768" s="112"/>
      <c r="Q768" s="112"/>
      <c r="R768" s="112"/>
      <c r="S768" s="112"/>
      <c r="T768" s="112"/>
      <c r="U768" s="124"/>
      <c r="V768" s="124"/>
      <c r="W768" s="124"/>
      <c r="X768" s="124"/>
      <c r="Y768" s="124"/>
      <c r="Z768" s="112"/>
      <c r="AA768" s="112"/>
      <c r="AB768" s="112"/>
      <c r="AC768" s="112"/>
      <c r="AD768" s="112"/>
      <c r="AE768" s="112"/>
      <c r="AF768" s="112"/>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c r="BK768" s="124"/>
      <c r="BL768" s="124"/>
      <c r="BM768" s="124"/>
      <c r="BN768" s="124"/>
      <c r="BO768" s="124"/>
      <c r="BP768" s="124"/>
      <c r="BQ768" s="124"/>
      <c r="BR768" s="124"/>
      <c r="BS768" s="124"/>
      <c r="BT768" s="124"/>
      <c r="BU768" s="124"/>
      <c r="BV768" s="124"/>
      <c r="BW768" s="124"/>
      <c r="BX768" s="124"/>
      <c r="BY768" s="124"/>
      <c r="BZ768" s="124"/>
      <c r="CA768" s="124"/>
    </row>
    <row r="769">
      <c r="D769" s="143"/>
      <c r="E769" s="129"/>
      <c r="F769" s="112"/>
      <c r="G769" s="112"/>
      <c r="H769" s="112"/>
      <c r="I769" s="112"/>
      <c r="J769" s="112"/>
      <c r="K769" s="112"/>
      <c r="L769" s="112"/>
      <c r="M769" s="112"/>
      <c r="N769" s="112"/>
      <c r="O769" s="112"/>
      <c r="P769" s="112"/>
      <c r="Q769" s="112"/>
      <c r="R769" s="112"/>
      <c r="S769" s="112"/>
      <c r="T769" s="112"/>
      <c r="U769" s="124"/>
      <c r="V769" s="124"/>
      <c r="W769" s="124"/>
      <c r="X769" s="124"/>
      <c r="Y769" s="124"/>
      <c r="Z769" s="112"/>
      <c r="AA769" s="112"/>
      <c r="AB769" s="112"/>
      <c r="AC769" s="112"/>
      <c r="AD769" s="112"/>
      <c r="AE769" s="112"/>
      <c r="AF769" s="112"/>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c r="BK769" s="124"/>
      <c r="BL769" s="124"/>
      <c r="BM769" s="124"/>
      <c r="BN769" s="124"/>
      <c r="BO769" s="124"/>
      <c r="BP769" s="124"/>
      <c r="BQ769" s="124"/>
      <c r="BR769" s="124"/>
      <c r="BS769" s="124"/>
      <c r="BT769" s="124"/>
      <c r="BU769" s="124"/>
      <c r="BV769" s="124"/>
      <c r="BW769" s="124"/>
      <c r="BX769" s="124"/>
      <c r="BY769" s="124"/>
      <c r="BZ769" s="124"/>
      <c r="CA769" s="124"/>
    </row>
    <row r="770">
      <c r="D770" s="143"/>
      <c r="E770" s="129"/>
      <c r="F770" s="112"/>
      <c r="G770" s="112"/>
      <c r="H770" s="112"/>
      <c r="I770" s="112"/>
      <c r="J770" s="112"/>
      <c r="K770" s="112"/>
      <c r="L770" s="112"/>
      <c r="M770" s="112"/>
      <c r="N770" s="112"/>
      <c r="O770" s="112"/>
      <c r="P770" s="112"/>
      <c r="Q770" s="112"/>
      <c r="R770" s="112"/>
      <c r="S770" s="112"/>
      <c r="T770" s="112"/>
      <c r="U770" s="124"/>
      <c r="V770" s="124"/>
      <c r="W770" s="124"/>
      <c r="X770" s="124"/>
      <c r="Y770" s="124"/>
      <c r="Z770" s="112"/>
      <c r="AA770" s="112"/>
      <c r="AB770" s="112"/>
      <c r="AC770" s="112"/>
      <c r="AD770" s="112"/>
      <c r="AE770" s="112"/>
      <c r="AF770" s="112"/>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c r="BK770" s="124"/>
      <c r="BL770" s="124"/>
      <c r="BM770" s="124"/>
      <c r="BN770" s="124"/>
      <c r="BO770" s="124"/>
      <c r="BP770" s="124"/>
      <c r="BQ770" s="124"/>
      <c r="BR770" s="124"/>
      <c r="BS770" s="124"/>
      <c r="BT770" s="124"/>
      <c r="BU770" s="124"/>
      <c r="BV770" s="124"/>
      <c r="BW770" s="124"/>
      <c r="BX770" s="124"/>
      <c r="BY770" s="124"/>
      <c r="BZ770" s="124"/>
      <c r="CA770" s="124"/>
    </row>
    <row r="771">
      <c r="D771" s="143"/>
      <c r="E771" s="129"/>
      <c r="F771" s="112"/>
      <c r="G771" s="112"/>
      <c r="H771" s="112"/>
      <c r="I771" s="112"/>
      <c r="J771" s="112"/>
      <c r="K771" s="112"/>
      <c r="L771" s="112"/>
      <c r="M771" s="112"/>
      <c r="N771" s="112"/>
      <c r="O771" s="112"/>
      <c r="P771" s="112"/>
      <c r="Q771" s="112"/>
      <c r="R771" s="112"/>
      <c r="S771" s="112"/>
      <c r="T771" s="112"/>
      <c r="U771" s="124"/>
      <c r="V771" s="124"/>
      <c r="W771" s="124"/>
      <c r="X771" s="124"/>
      <c r="Y771" s="124"/>
      <c r="Z771" s="112"/>
      <c r="AA771" s="112"/>
      <c r="AB771" s="112"/>
      <c r="AC771" s="112"/>
      <c r="AD771" s="112"/>
      <c r="AE771" s="112"/>
      <c r="AF771" s="112"/>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c r="BK771" s="124"/>
      <c r="BL771" s="124"/>
      <c r="BM771" s="124"/>
      <c r="BN771" s="124"/>
      <c r="BO771" s="124"/>
      <c r="BP771" s="124"/>
      <c r="BQ771" s="124"/>
      <c r="BR771" s="124"/>
      <c r="BS771" s="124"/>
      <c r="BT771" s="124"/>
      <c r="BU771" s="124"/>
      <c r="BV771" s="124"/>
      <c r="BW771" s="124"/>
      <c r="BX771" s="124"/>
      <c r="BY771" s="124"/>
      <c r="BZ771" s="124"/>
      <c r="CA771" s="124"/>
    </row>
    <row r="772">
      <c r="D772" s="143"/>
      <c r="E772" s="129"/>
      <c r="F772" s="112"/>
      <c r="G772" s="112"/>
      <c r="H772" s="112"/>
      <c r="I772" s="112"/>
      <c r="J772" s="112"/>
      <c r="K772" s="112"/>
      <c r="L772" s="112"/>
      <c r="M772" s="112"/>
      <c r="N772" s="112"/>
      <c r="O772" s="112"/>
      <c r="P772" s="112"/>
      <c r="Q772" s="112"/>
      <c r="R772" s="112"/>
      <c r="S772" s="112"/>
      <c r="T772" s="112"/>
      <c r="U772" s="124"/>
      <c r="V772" s="124"/>
      <c r="W772" s="124"/>
      <c r="X772" s="124"/>
      <c r="Y772" s="124"/>
      <c r="Z772" s="112"/>
      <c r="AA772" s="112"/>
      <c r="AB772" s="112"/>
      <c r="AC772" s="112"/>
      <c r="AD772" s="112"/>
      <c r="AE772" s="112"/>
      <c r="AF772" s="112"/>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c r="BK772" s="124"/>
      <c r="BL772" s="124"/>
      <c r="BM772" s="124"/>
      <c r="BN772" s="124"/>
      <c r="BO772" s="124"/>
      <c r="BP772" s="124"/>
      <c r="BQ772" s="124"/>
      <c r="BR772" s="124"/>
      <c r="BS772" s="124"/>
      <c r="BT772" s="124"/>
      <c r="BU772" s="124"/>
      <c r="BV772" s="124"/>
      <c r="BW772" s="124"/>
      <c r="BX772" s="124"/>
      <c r="BY772" s="124"/>
      <c r="BZ772" s="124"/>
      <c r="CA772" s="124"/>
    </row>
    <row r="773">
      <c r="D773" s="143"/>
      <c r="E773" s="129"/>
      <c r="F773" s="112"/>
      <c r="G773" s="112"/>
      <c r="H773" s="112"/>
      <c r="I773" s="112"/>
      <c r="J773" s="112"/>
      <c r="K773" s="112"/>
      <c r="L773" s="112"/>
      <c r="M773" s="112"/>
      <c r="N773" s="112"/>
      <c r="O773" s="112"/>
      <c r="P773" s="112"/>
      <c r="Q773" s="112"/>
      <c r="R773" s="112"/>
      <c r="S773" s="112"/>
      <c r="T773" s="112"/>
      <c r="U773" s="124"/>
      <c r="V773" s="124"/>
      <c r="W773" s="124"/>
      <c r="X773" s="124"/>
      <c r="Y773" s="124"/>
      <c r="Z773" s="112"/>
      <c r="AA773" s="112"/>
      <c r="AB773" s="112"/>
      <c r="AC773" s="112"/>
      <c r="AD773" s="112"/>
      <c r="AE773" s="112"/>
      <c r="AF773" s="112"/>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c r="BK773" s="124"/>
      <c r="BL773" s="124"/>
      <c r="BM773" s="124"/>
      <c r="BN773" s="124"/>
      <c r="BO773" s="124"/>
      <c r="BP773" s="124"/>
      <c r="BQ773" s="124"/>
      <c r="BR773" s="124"/>
      <c r="BS773" s="124"/>
      <c r="BT773" s="124"/>
      <c r="BU773" s="124"/>
      <c r="BV773" s="124"/>
      <c r="BW773" s="124"/>
      <c r="BX773" s="124"/>
      <c r="BY773" s="124"/>
      <c r="BZ773" s="124"/>
      <c r="CA773" s="124"/>
    </row>
    <row r="774">
      <c r="D774" s="143"/>
      <c r="E774" s="129"/>
      <c r="F774" s="112"/>
      <c r="G774" s="112"/>
      <c r="H774" s="112"/>
      <c r="I774" s="112"/>
      <c r="J774" s="112"/>
      <c r="K774" s="112"/>
      <c r="L774" s="112"/>
      <c r="M774" s="112"/>
      <c r="N774" s="112"/>
      <c r="O774" s="112"/>
      <c r="P774" s="112"/>
      <c r="Q774" s="112"/>
      <c r="R774" s="112"/>
      <c r="S774" s="112"/>
      <c r="T774" s="112"/>
      <c r="U774" s="124"/>
      <c r="V774" s="124"/>
      <c r="W774" s="124"/>
      <c r="X774" s="124"/>
      <c r="Y774" s="124"/>
      <c r="Z774" s="112"/>
      <c r="AA774" s="112"/>
      <c r="AB774" s="112"/>
      <c r="AC774" s="112"/>
      <c r="AD774" s="112"/>
      <c r="AE774" s="112"/>
      <c r="AF774" s="112"/>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c r="BK774" s="124"/>
      <c r="BL774" s="124"/>
      <c r="BM774" s="124"/>
      <c r="BN774" s="124"/>
      <c r="BO774" s="124"/>
      <c r="BP774" s="124"/>
      <c r="BQ774" s="124"/>
      <c r="BR774" s="124"/>
      <c r="BS774" s="124"/>
      <c r="BT774" s="124"/>
      <c r="BU774" s="124"/>
      <c r="BV774" s="124"/>
      <c r="BW774" s="124"/>
      <c r="BX774" s="124"/>
      <c r="BY774" s="124"/>
      <c r="BZ774" s="124"/>
      <c r="CA774" s="124"/>
    </row>
    <row r="775">
      <c r="D775" s="143"/>
      <c r="E775" s="129"/>
      <c r="F775" s="112"/>
      <c r="G775" s="112"/>
      <c r="H775" s="112"/>
      <c r="I775" s="112"/>
      <c r="J775" s="112"/>
      <c r="K775" s="112"/>
      <c r="L775" s="112"/>
      <c r="M775" s="112"/>
      <c r="N775" s="112"/>
      <c r="O775" s="112"/>
      <c r="P775" s="112"/>
      <c r="Q775" s="112"/>
      <c r="R775" s="112"/>
      <c r="S775" s="112"/>
      <c r="T775" s="112"/>
      <c r="U775" s="124"/>
      <c r="V775" s="124"/>
      <c r="W775" s="124"/>
      <c r="X775" s="124"/>
      <c r="Y775" s="124"/>
      <c r="Z775" s="112"/>
      <c r="AA775" s="112"/>
      <c r="AB775" s="112"/>
      <c r="AC775" s="112"/>
      <c r="AD775" s="112"/>
      <c r="AE775" s="112"/>
      <c r="AF775" s="112"/>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c r="BK775" s="124"/>
      <c r="BL775" s="124"/>
      <c r="BM775" s="124"/>
      <c r="BN775" s="124"/>
      <c r="BO775" s="124"/>
      <c r="BP775" s="124"/>
      <c r="BQ775" s="124"/>
      <c r="BR775" s="124"/>
      <c r="BS775" s="124"/>
      <c r="BT775" s="124"/>
      <c r="BU775" s="124"/>
      <c r="BV775" s="124"/>
      <c r="BW775" s="124"/>
      <c r="BX775" s="124"/>
      <c r="BY775" s="124"/>
      <c r="BZ775" s="124"/>
      <c r="CA775" s="124"/>
    </row>
    <row r="776">
      <c r="D776" s="143"/>
      <c r="E776" s="129"/>
      <c r="F776" s="112"/>
      <c r="G776" s="112"/>
      <c r="H776" s="112"/>
      <c r="I776" s="112"/>
      <c r="J776" s="112"/>
      <c r="K776" s="112"/>
      <c r="L776" s="112"/>
      <c r="M776" s="112"/>
      <c r="N776" s="112"/>
      <c r="O776" s="112"/>
      <c r="P776" s="112"/>
      <c r="Q776" s="112"/>
      <c r="R776" s="112"/>
      <c r="S776" s="112"/>
      <c r="T776" s="112"/>
      <c r="U776" s="124"/>
      <c r="V776" s="124"/>
      <c r="W776" s="124"/>
      <c r="X776" s="124"/>
      <c r="Y776" s="124"/>
      <c r="Z776" s="112"/>
      <c r="AA776" s="112"/>
      <c r="AB776" s="112"/>
      <c r="AC776" s="112"/>
      <c r="AD776" s="112"/>
      <c r="AE776" s="112"/>
      <c r="AF776" s="112"/>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c r="BK776" s="124"/>
      <c r="BL776" s="124"/>
      <c r="BM776" s="124"/>
      <c r="BN776" s="124"/>
      <c r="BO776" s="124"/>
      <c r="BP776" s="124"/>
      <c r="BQ776" s="124"/>
      <c r="BR776" s="124"/>
      <c r="BS776" s="124"/>
      <c r="BT776" s="124"/>
      <c r="BU776" s="124"/>
      <c r="BV776" s="124"/>
      <c r="BW776" s="124"/>
      <c r="BX776" s="124"/>
      <c r="BY776" s="124"/>
      <c r="BZ776" s="124"/>
      <c r="CA776" s="124"/>
    </row>
    <row r="777">
      <c r="D777" s="143"/>
      <c r="E777" s="129"/>
      <c r="F777" s="112"/>
      <c r="G777" s="112"/>
      <c r="H777" s="112"/>
      <c r="I777" s="112"/>
      <c r="J777" s="112"/>
      <c r="K777" s="112"/>
      <c r="L777" s="112"/>
      <c r="M777" s="112"/>
      <c r="N777" s="112"/>
      <c r="O777" s="112"/>
      <c r="P777" s="112"/>
      <c r="Q777" s="112"/>
      <c r="R777" s="112"/>
      <c r="S777" s="112"/>
      <c r="T777" s="112"/>
      <c r="U777" s="124"/>
      <c r="V777" s="124"/>
      <c r="W777" s="124"/>
      <c r="X777" s="124"/>
      <c r="Y777" s="124"/>
      <c r="Z777" s="112"/>
      <c r="AA777" s="112"/>
      <c r="AB777" s="112"/>
      <c r="AC777" s="112"/>
      <c r="AD777" s="112"/>
      <c r="AE777" s="112"/>
      <c r="AF777" s="112"/>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c r="BK777" s="124"/>
      <c r="BL777" s="124"/>
      <c r="BM777" s="124"/>
      <c r="BN777" s="124"/>
      <c r="BO777" s="124"/>
      <c r="BP777" s="124"/>
      <c r="BQ777" s="124"/>
      <c r="BR777" s="124"/>
      <c r="BS777" s="124"/>
      <c r="BT777" s="124"/>
      <c r="BU777" s="124"/>
      <c r="BV777" s="124"/>
      <c r="BW777" s="124"/>
      <c r="BX777" s="124"/>
      <c r="BY777" s="124"/>
      <c r="BZ777" s="124"/>
      <c r="CA777" s="124"/>
    </row>
    <row r="778">
      <c r="D778" s="143"/>
      <c r="E778" s="129"/>
      <c r="F778" s="112"/>
      <c r="G778" s="112"/>
      <c r="H778" s="112"/>
      <c r="I778" s="112"/>
      <c r="J778" s="112"/>
      <c r="K778" s="112"/>
      <c r="L778" s="112"/>
      <c r="M778" s="112"/>
      <c r="N778" s="112"/>
      <c r="O778" s="112"/>
      <c r="P778" s="112"/>
      <c r="Q778" s="112"/>
      <c r="R778" s="112"/>
      <c r="S778" s="112"/>
      <c r="T778" s="112"/>
      <c r="U778" s="124"/>
      <c r="V778" s="124"/>
      <c r="W778" s="124"/>
      <c r="X778" s="124"/>
      <c r="Y778" s="124"/>
      <c r="Z778" s="112"/>
      <c r="AA778" s="112"/>
      <c r="AB778" s="112"/>
      <c r="AC778" s="112"/>
      <c r="AD778" s="112"/>
      <c r="AE778" s="112"/>
      <c r="AF778" s="112"/>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c r="BK778" s="124"/>
      <c r="BL778" s="124"/>
      <c r="BM778" s="124"/>
      <c r="BN778" s="124"/>
      <c r="BO778" s="124"/>
      <c r="BP778" s="124"/>
      <c r="BQ778" s="124"/>
      <c r="BR778" s="124"/>
      <c r="BS778" s="124"/>
      <c r="BT778" s="124"/>
      <c r="BU778" s="124"/>
      <c r="BV778" s="124"/>
      <c r="BW778" s="124"/>
      <c r="BX778" s="124"/>
      <c r="BY778" s="124"/>
      <c r="BZ778" s="124"/>
      <c r="CA778" s="124"/>
    </row>
    <row r="779">
      <c r="D779" s="143"/>
      <c r="E779" s="129"/>
      <c r="F779" s="112"/>
      <c r="G779" s="112"/>
      <c r="H779" s="112"/>
      <c r="I779" s="112"/>
      <c r="J779" s="112"/>
      <c r="K779" s="112"/>
      <c r="L779" s="112"/>
      <c r="M779" s="112"/>
      <c r="N779" s="112"/>
      <c r="O779" s="112"/>
      <c r="P779" s="112"/>
      <c r="Q779" s="112"/>
      <c r="R779" s="112"/>
      <c r="S779" s="112"/>
      <c r="T779" s="112"/>
      <c r="U779" s="124"/>
      <c r="V779" s="124"/>
      <c r="W779" s="124"/>
      <c r="X779" s="124"/>
      <c r="Y779" s="124"/>
      <c r="Z779" s="112"/>
      <c r="AA779" s="112"/>
      <c r="AB779" s="112"/>
      <c r="AC779" s="112"/>
      <c r="AD779" s="112"/>
      <c r="AE779" s="112"/>
      <c r="AF779" s="112"/>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c r="BK779" s="124"/>
      <c r="BL779" s="124"/>
      <c r="BM779" s="124"/>
      <c r="BN779" s="124"/>
      <c r="BO779" s="124"/>
      <c r="BP779" s="124"/>
      <c r="BQ779" s="124"/>
      <c r="BR779" s="124"/>
      <c r="BS779" s="124"/>
      <c r="BT779" s="124"/>
      <c r="BU779" s="124"/>
      <c r="BV779" s="124"/>
      <c r="BW779" s="124"/>
      <c r="BX779" s="124"/>
      <c r="BY779" s="124"/>
      <c r="BZ779" s="124"/>
      <c r="CA779" s="124"/>
    </row>
    <row r="780">
      <c r="D780" s="143"/>
      <c r="E780" s="129"/>
      <c r="F780" s="112"/>
      <c r="G780" s="112"/>
      <c r="H780" s="112"/>
      <c r="I780" s="112"/>
      <c r="J780" s="112"/>
      <c r="K780" s="112"/>
      <c r="L780" s="112"/>
      <c r="M780" s="112"/>
      <c r="N780" s="112"/>
      <c r="O780" s="112"/>
      <c r="P780" s="112"/>
      <c r="Q780" s="112"/>
      <c r="R780" s="112"/>
      <c r="S780" s="112"/>
      <c r="T780" s="112"/>
      <c r="U780" s="124"/>
      <c r="V780" s="124"/>
      <c r="W780" s="124"/>
      <c r="X780" s="124"/>
      <c r="Y780" s="124"/>
      <c r="Z780" s="112"/>
      <c r="AA780" s="112"/>
      <c r="AB780" s="112"/>
      <c r="AC780" s="112"/>
      <c r="AD780" s="112"/>
      <c r="AE780" s="112"/>
      <c r="AF780" s="112"/>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c r="BK780" s="124"/>
      <c r="BL780" s="124"/>
      <c r="BM780" s="124"/>
      <c r="BN780" s="124"/>
      <c r="BO780" s="124"/>
      <c r="BP780" s="124"/>
      <c r="BQ780" s="124"/>
      <c r="BR780" s="124"/>
      <c r="BS780" s="124"/>
      <c r="BT780" s="124"/>
      <c r="BU780" s="124"/>
      <c r="BV780" s="124"/>
      <c r="BW780" s="124"/>
      <c r="BX780" s="124"/>
      <c r="BY780" s="124"/>
      <c r="BZ780" s="124"/>
      <c r="CA780" s="124"/>
    </row>
    <row r="781">
      <c r="D781" s="143"/>
      <c r="E781" s="129"/>
      <c r="F781" s="112"/>
      <c r="G781" s="112"/>
      <c r="H781" s="112"/>
      <c r="I781" s="112"/>
      <c r="J781" s="112"/>
      <c r="K781" s="112"/>
      <c r="L781" s="112"/>
      <c r="M781" s="112"/>
      <c r="N781" s="112"/>
      <c r="O781" s="112"/>
      <c r="P781" s="112"/>
      <c r="Q781" s="112"/>
      <c r="R781" s="112"/>
      <c r="S781" s="112"/>
      <c r="T781" s="112"/>
      <c r="U781" s="124"/>
      <c r="V781" s="124"/>
      <c r="W781" s="124"/>
      <c r="X781" s="124"/>
      <c r="Y781" s="124"/>
      <c r="Z781" s="112"/>
      <c r="AA781" s="112"/>
      <c r="AB781" s="112"/>
      <c r="AC781" s="112"/>
      <c r="AD781" s="112"/>
      <c r="AE781" s="112"/>
      <c r="AF781" s="112"/>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c r="BK781" s="124"/>
      <c r="BL781" s="124"/>
      <c r="BM781" s="124"/>
      <c r="BN781" s="124"/>
      <c r="BO781" s="124"/>
      <c r="BP781" s="124"/>
      <c r="BQ781" s="124"/>
      <c r="BR781" s="124"/>
      <c r="BS781" s="124"/>
      <c r="BT781" s="124"/>
      <c r="BU781" s="124"/>
      <c r="BV781" s="124"/>
      <c r="BW781" s="124"/>
      <c r="BX781" s="124"/>
      <c r="BY781" s="124"/>
      <c r="BZ781" s="124"/>
      <c r="CA781" s="124"/>
    </row>
    <row r="782">
      <c r="D782" s="143"/>
      <c r="E782" s="129"/>
      <c r="F782" s="112"/>
      <c r="G782" s="112"/>
      <c r="H782" s="112"/>
      <c r="I782" s="112"/>
      <c r="J782" s="112"/>
      <c r="K782" s="112"/>
      <c r="L782" s="112"/>
      <c r="M782" s="112"/>
      <c r="N782" s="112"/>
      <c r="O782" s="112"/>
      <c r="P782" s="112"/>
      <c r="Q782" s="112"/>
      <c r="R782" s="112"/>
      <c r="S782" s="112"/>
      <c r="T782" s="112"/>
      <c r="U782" s="124"/>
      <c r="V782" s="124"/>
      <c r="W782" s="124"/>
      <c r="X782" s="124"/>
      <c r="Y782" s="124"/>
      <c r="Z782" s="112"/>
      <c r="AA782" s="112"/>
      <c r="AB782" s="112"/>
      <c r="AC782" s="112"/>
      <c r="AD782" s="112"/>
      <c r="AE782" s="112"/>
      <c r="AF782" s="112"/>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c r="BK782" s="124"/>
      <c r="BL782" s="124"/>
      <c r="BM782" s="124"/>
      <c r="BN782" s="124"/>
      <c r="BO782" s="124"/>
      <c r="BP782" s="124"/>
      <c r="BQ782" s="124"/>
      <c r="BR782" s="124"/>
      <c r="BS782" s="124"/>
      <c r="BT782" s="124"/>
      <c r="BU782" s="124"/>
      <c r="BV782" s="124"/>
      <c r="BW782" s="124"/>
      <c r="BX782" s="124"/>
      <c r="BY782" s="124"/>
      <c r="BZ782" s="124"/>
      <c r="CA782" s="124"/>
    </row>
    <row r="783">
      <c r="D783" s="143"/>
      <c r="E783" s="129"/>
      <c r="F783" s="112"/>
      <c r="G783" s="112"/>
      <c r="H783" s="112"/>
      <c r="I783" s="112"/>
      <c r="J783" s="112"/>
      <c r="K783" s="112"/>
      <c r="L783" s="112"/>
      <c r="M783" s="112"/>
      <c r="N783" s="112"/>
      <c r="O783" s="112"/>
      <c r="P783" s="112"/>
      <c r="Q783" s="112"/>
      <c r="R783" s="112"/>
      <c r="S783" s="112"/>
      <c r="T783" s="112"/>
      <c r="U783" s="124"/>
      <c r="V783" s="124"/>
      <c r="W783" s="124"/>
      <c r="X783" s="124"/>
      <c r="Y783" s="124"/>
      <c r="Z783" s="112"/>
      <c r="AA783" s="112"/>
      <c r="AB783" s="112"/>
      <c r="AC783" s="112"/>
      <c r="AD783" s="112"/>
      <c r="AE783" s="112"/>
      <c r="AF783" s="112"/>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c r="BK783" s="124"/>
      <c r="BL783" s="124"/>
      <c r="BM783" s="124"/>
      <c r="BN783" s="124"/>
      <c r="BO783" s="124"/>
      <c r="BP783" s="124"/>
      <c r="BQ783" s="124"/>
      <c r="BR783" s="124"/>
      <c r="BS783" s="124"/>
      <c r="BT783" s="124"/>
      <c r="BU783" s="124"/>
      <c r="BV783" s="124"/>
      <c r="BW783" s="124"/>
      <c r="BX783" s="124"/>
      <c r="BY783" s="124"/>
      <c r="BZ783" s="124"/>
      <c r="CA783" s="124"/>
    </row>
    <row r="784">
      <c r="D784" s="143"/>
      <c r="E784" s="129"/>
      <c r="F784" s="112"/>
      <c r="G784" s="112"/>
      <c r="H784" s="112"/>
      <c r="I784" s="112"/>
      <c r="J784" s="112"/>
      <c r="K784" s="112"/>
      <c r="L784" s="112"/>
      <c r="M784" s="112"/>
      <c r="N784" s="112"/>
      <c r="O784" s="112"/>
      <c r="P784" s="112"/>
      <c r="Q784" s="112"/>
      <c r="R784" s="112"/>
      <c r="S784" s="112"/>
      <c r="T784" s="112"/>
      <c r="U784" s="124"/>
      <c r="V784" s="124"/>
      <c r="W784" s="124"/>
      <c r="X784" s="124"/>
      <c r="Y784" s="124"/>
      <c r="Z784" s="112"/>
      <c r="AA784" s="112"/>
      <c r="AB784" s="112"/>
      <c r="AC784" s="112"/>
      <c r="AD784" s="112"/>
      <c r="AE784" s="112"/>
      <c r="AF784" s="112"/>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c r="BK784" s="124"/>
      <c r="BL784" s="124"/>
      <c r="BM784" s="124"/>
      <c r="BN784" s="124"/>
      <c r="BO784" s="124"/>
      <c r="BP784" s="124"/>
      <c r="BQ784" s="124"/>
      <c r="BR784" s="124"/>
      <c r="BS784" s="124"/>
      <c r="BT784" s="124"/>
      <c r="BU784" s="124"/>
      <c r="BV784" s="124"/>
      <c r="BW784" s="124"/>
      <c r="BX784" s="124"/>
      <c r="BY784" s="124"/>
      <c r="BZ784" s="124"/>
      <c r="CA784" s="124"/>
    </row>
    <row r="785">
      <c r="D785" s="143"/>
      <c r="E785" s="129"/>
      <c r="F785" s="112"/>
      <c r="G785" s="112"/>
      <c r="H785" s="112"/>
      <c r="I785" s="112"/>
      <c r="J785" s="112"/>
      <c r="K785" s="112"/>
      <c r="L785" s="112"/>
      <c r="M785" s="112"/>
      <c r="N785" s="112"/>
      <c r="O785" s="112"/>
      <c r="P785" s="112"/>
      <c r="Q785" s="112"/>
      <c r="R785" s="112"/>
      <c r="S785" s="112"/>
      <c r="T785" s="112"/>
      <c r="U785" s="124"/>
      <c r="V785" s="124"/>
      <c r="W785" s="124"/>
      <c r="X785" s="124"/>
      <c r="Y785" s="124"/>
      <c r="Z785" s="112"/>
      <c r="AA785" s="112"/>
      <c r="AB785" s="112"/>
      <c r="AC785" s="112"/>
      <c r="AD785" s="112"/>
      <c r="AE785" s="112"/>
      <c r="AF785" s="112"/>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c r="BK785" s="124"/>
      <c r="BL785" s="124"/>
      <c r="BM785" s="124"/>
      <c r="BN785" s="124"/>
      <c r="BO785" s="124"/>
      <c r="BP785" s="124"/>
      <c r="BQ785" s="124"/>
      <c r="BR785" s="124"/>
      <c r="BS785" s="124"/>
      <c r="BT785" s="124"/>
      <c r="BU785" s="124"/>
      <c r="BV785" s="124"/>
      <c r="BW785" s="124"/>
      <c r="BX785" s="124"/>
      <c r="BY785" s="124"/>
      <c r="BZ785" s="124"/>
      <c r="CA785" s="124"/>
    </row>
    <row r="786">
      <c r="D786" s="143"/>
      <c r="E786" s="129"/>
      <c r="F786" s="112"/>
      <c r="G786" s="112"/>
      <c r="H786" s="112"/>
      <c r="I786" s="112"/>
      <c r="J786" s="112"/>
      <c r="K786" s="112"/>
      <c r="L786" s="112"/>
      <c r="M786" s="112"/>
      <c r="N786" s="112"/>
      <c r="O786" s="112"/>
      <c r="P786" s="112"/>
      <c r="Q786" s="112"/>
      <c r="R786" s="112"/>
      <c r="S786" s="112"/>
      <c r="T786" s="112"/>
      <c r="U786" s="124"/>
      <c r="V786" s="124"/>
      <c r="W786" s="124"/>
      <c r="X786" s="124"/>
      <c r="Y786" s="124"/>
      <c r="Z786" s="112"/>
      <c r="AA786" s="112"/>
      <c r="AB786" s="112"/>
      <c r="AC786" s="112"/>
      <c r="AD786" s="112"/>
      <c r="AE786" s="112"/>
      <c r="AF786" s="112"/>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c r="BK786" s="124"/>
      <c r="BL786" s="124"/>
      <c r="BM786" s="124"/>
      <c r="BN786" s="124"/>
      <c r="BO786" s="124"/>
      <c r="BP786" s="124"/>
      <c r="BQ786" s="124"/>
      <c r="BR786" s="124"/>
      <c r="BS786" s="124"/>
      <c r="BT786" s="124"/>
      <c r="BU786" s="124"/>
      <c r="BV786" s="124"/>
      <c r="BW786" s="124"/>
      <c r="BX786" s="124"/>
      <c r="BY786" s="124"/>
      <c r="BZ786" s="124"/>
      <c r="CA786" s="124"/>
    </row>
    <row r="787">
      <c r="D787" s="143"/>
      <c r="E787" s="129"/>
      <c r="F787" s="112"/>
      <c r="G787" s="112"/>
      <c r="H787" s="112"/>
      <c r="I787" s="112"/>
      <c r="J787" s="112"/>
      <c r="K787" s="112"/>
      <c r="L787" s="112"/>
      <c r="M787" s="112"/>
      <c r="N787" s="112"/>
      <c r="O787" s="112"/>
      <c r="P787" s="112"/>
      <c r="Q787" s="112"/>
      <c r="R787" s="112"/>
      <c r="S787" s="112"/>
      <c r="T787" s="112"/>
      <c r="U787" s="124"/>
      <c r="V787" s="124"/>
      <c r="W787" s="124"/>
      <c r="X787" s="124"/>
      <c r="Y787" s="124"/>
      <c r="Z787" s="112"/>
      <c r="AA787" s="112"/>
      <c r="AB787" s="112"/>
      <c r="AC787" s="112"/>
      <c r="AD787" s="112"/>
      <c r="AE787" s="112"/>
      <c r="AF787" s="112"/>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c r="BK787" s="124"/>
      <c r="BL787" s="124"/>
      <c r="BM787" s="124"/>
      <c r="BN787" s="124"/>
      <c r="BO787" s="124"/>
      <c r="BP787" s="124"/>
      <c r="BQ787" s="124"/>
      <c r="BR787" s="124"/>
      <c r="BS787" s="124"/>
      <c r="BT787" s="124"/>
      <c r="BU787" s="124"/>
      <c r="BV787" s="124"/>
      <c r="BW787" s="124"/>
      <c r="BX787" s="124"/>
      <c r="BY787" s="124"/>
      <c r="BZ787" s="124"/>
      <c r="CA787" s="124"/>
    </row>
    <row r="788">
      <c r="D788" s="143"/>
      <c r="E788" s="129"/>
      <c r="F788" s="112"/>
      <c r="G788" s="112"/>
      <c r="H788" s="112"/>
      <c r="I788" s="112"/>
      <c r="J788" s="112"/>
      <c r="K788" s="112"/>
      <c r="L788" s="112"/>
      <c r="M788" s="112"/>
      <c r="N788" s="112"/>
      <c r="O788" s="112"/>
      <c r="P788" s="112"/>
      <c r="Q788" s="112"/>
      <c r="R788" s="112"/>
      <c r="S788" s="112"/>
      <c r="T788" s="112"/>
      <c r="U788" s="124"/>
      <c r="V788" s="124"/>
      <c r="W788" s="124"/>
      <c r="X788" s="124"/>
      <c r="Y788" s="124"/>
      <c r="Z788" s="112"/>
      <c r="AA788" s="112"/>
      <c r="AB788" s="112"/>
      <c r="AC788" s="112"/>
      <c r="AD788" s="112"/>
      <c r="AE788" s="112"/>
      <c r="AF788" s="112"/>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c r="BK788" s="124"/>
      <c r="BL788" s="124"/>
      <c r="BM788" s="124"/>
      <c r="BN788" s="124"/>
      <c r="BO788" s="124"/>
      <c r="BP788" s="124"/>
      <c r="BQ788" s="124"/>
      <c r="BR788" s="124"/>
      <c r="BS788" s="124"/>
      <c r="BT788" s="124"/>
      <c r="BU788" s="124"/>
      <c r="BV788" s="124"/>
      <c r="BW788" s="124"/>
      <c r="BX788" s="124"/>
      <c r="BY788" s="124"/>
      <c r="BZ788" s="124"/>
      <c r="CA788" s="124"/>
    </row>
    <row r="789">
      <c r="D789" s="143"/>
      <c r="E789" s="129"/>
      <c r="F789" s="112"/>
      <c r="G789" s="112"/>
      <c r="H789" s="112"/>
      <c r="I789" s="112"/>
      <c r="J789" s="112"/>
      <c r="K789" s="112"/>
      <c r="L789" s="112"/>
      <c r="M789" s="112"/>
      <c r="N789" s="112"/>
      <c r="O789" s="112"/>
      <c r="P789" s="112"/>
      <c r="Q789" s="112"/>
      <c r="R789" s="112"/>
      <c r="S789" s="112"/>
      <c r="T789" s="112"/>
      <c r="U789" s="124"/>
      <c r="V789" s="124"/>
      <c r="W789" s="124"/>
      <c r="X789" s="124"/>
      <c r="Y789" s="124"/>
      <c r="Z789" s="112"/>
      <c r="AA789" s="112"/>
      <c r="AB789" s="112"/>
      <c r="AC789" s="112"/>
      <c r="AD789" s="112"/>
      <c r="AE789" s="112"/>
      <c r="AF789" s="112"/>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c r="BK789" s="124"/>
      <c r="BL789" s="124"/>
      <c r="BM789" s="124"/>
      <c r="BN789" s="124"/>
      <c r="BO789" s="124"/>
      <c r="BP789" s="124"/>
      <c r="BQ789" s="124"/>
      <c r="BR789" s="124"/>
      <c r="BS789" s="124"/>
      <c r="BT789" s="124"/>
      <c r="BU789" s="124"/>
      <c r="BV789" s="124"/>
      <c r="BW789" s="124"/>
      <c r="BX789" s="124"/>
      <c r="BY789" s="124"/>
      <c r="BZ789" s="124"/>
      <c r="CA789" s="124"/>
    </row>
    <row r="790">
      <c r="D790" s="143"/>
      <c r="E790" s="129"/>
      <c r="F790" s="112"/>
      <c r="G790" s="112"/>
      <c r="H790" s="112"/>
      <c r="I790" s="112"/>
      <c r="J790" s="112"/>
      <c r="K790" s="112"/>
      <c r="L790" s="112"/>
      <c r="M790" s="112"/>
      <c r="N790" s="112"/>
      <c r="O790" s="112"/>
      <c r="P790" s="112"/>
      <c r="Q790" s="112"/>
      <c r="R790" s="112"/>
      <c r="S790" s="112"/>
      <c r="T790" s="112"/>
      <c r="U790" s="124"/>
      <c r="V790" s="124"/>
      <c r="W790" s="124"/>
      <c r="X790" s="124"/>
      <c r="Y790" s="124"/>
      <c r="Z790" s="112"/>
      <c r="AA790" s="112"/>
      <c r="AB790" s="112"/>
      <c r="AC790" s="112"/>
      <c r="AD790" s="112"/>
      <c r="AE790" s="112"/>
      <c r="AF790" s="112"/>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c r="BK790" s="124"/>
      <c r="BL790" s="124"/>
      <c r="BM790" s="124"/>
      <c r="BN790" s="124"/>
      <c r="BO790" s="124"/>
      <c r="BP790" s="124"/>
      <c r="BQ790" s="124"/>
      <c r="BR790" s="124"/>
      <c r="BS790" s="124"/>
      <c r="BT790" s="124"/>
      <c r="BU790" s="124"/>
      <c r="BV790" s="124"/>
      <c r="BW790" s="124"/>
      <c r="BX790" s="124"/>
      <c r="BY790" s="124"/>
      <c r="BZ790" s="124"/>
      <c r="CA790" s="124"/>
    </row>
    <row r="791">
      <c r="D791" s="143"/>
      <c r="E791" s="129"/>
      <c r="F791" s="112"/>
      <c r="G791" s="112"/>
      <c r="H791" s="112"/>
      <c r="I791" s="112"/>
      <c r="J791" s="112"/>
      <c r="K791" s="112"/>
      <c r="L791" s="112"/>
      <c r="M791" s="112"/>
      <c r="N791" s="112"/>
      <c r="O791" s="112"/>
      <c r="P791" s="112"/>
      <c r="Q791" s="112"/>
      <c r="R791" s="112"/>
      <c r="S791" s="112"/>
      <c r="T791" s="112"/>
      <c r="U791" s="124"/>
      <c r="V791" s="124"/>
      <c r="W791" s="124"/>
      <c r="X791" s="124"/>
      <c r="Y791" s="124"/>
      <c r="Z791" s="112"/>
      <c r="AA791" s="112"/>
      <c r="AB791" s="112"/>
      <c r="AC791" s="112"/>
      <c r="AD791" s="112"/>
      <c r="AE791" s="112"/>
      <c r="AF791" s="112"/>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c r="BK791" s="124"/>
      <c r="BL791" s="124"/>
      <c r="BM791" s="124"/>
      <c r="BN791" s="124"/>
      <c r="BO791" s="124"/>
      <c r="BP791" s="124"/>
      <c r="BQ791" s="124"/>
      <c r="BR791" s="124"/>
      <c r="BS791" s="124"/>
      <c r="BT791" s="124"/>
      <c r="BU791" s="124"/>
      <c r="BV791" s="124"/>
      <c r="BW791" s="124"/>
      <c r="BX791" s="124"/>
      <c r="BY791" s="124"/>
      <c r="BZ791" s="124"/>
      <c r="CA791" s="124"/>
    </row>
    <row r="792">
      <c r="D792" s="143"/>
      <c r="E792" s="129"/>
      <c r="F792" s="112"/>
      <c r="G792" s="112"/>
      <c r="H792" s="112"/>
      <c r="I792" s="112"/>
      <c r="J792" s="112"/>
      <c r="K792" s="112"/>
      <c r="L792" s="112"/>
      <c r="M792" s="112"/>
      <c r="N792" s="112"/>
      <c r="O792" s="112"/>
      <c r="P792" s="112"/>
      <c r="Q792" s="112"/>
      <c r="R792" s="112"/>
      <c r="S792" s="112"/>
      <c r="T792" s="112"/>
      <c r="U792" s="124"/>
      <c r="V792" s="124"/>
      <c r="W792" s="124"/>
      <c r="X792" s="124"/>
      <c r="Y792" s="124"/>
      <c r="Z792" s="112"/>
      <c r="AA792" s="112"/>
      <c r="AB792" s="112"/>
      <c r="AC792" s="112"/>
      <c r="AD792" s="112"/>
      <c r="AE792" s="112"/>
      <c r="AF792" s="112"/>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c r="BK792" s="124"/>
      <c r="BL792" s="124"/>
      <c r="BM792" s="124"/>
      <c r="BN792" s="124"/>
      <c r="BO792" s="124"/>
      <c r="BP792" s="124"/>
      <c r="BQ792" s="124"/>
      <c r="BR792" s="124"/>
      <c r="BS792" s="124"/>
      <c r="BT792" s="124"/>
      <c r="BU792" s="124"/>
      <c r="BV792" s="124"/>
      <c r="BW792" s="124"/>
      <c r="BX792" s="124"/>
      <c r="BY792" s="124"/>
      <c r="BZ792" s="124"/>
      <c r="CA792" s="124"/>
    </row>
    <row r="793">
      <c r="D793" s="143"/>
      <c r="E793" s="129"/>
      <c r="F793" s="112"/>
      <c r="G793" s="112"/>
      <c r="H793" s="112"/>
      <c r="I793" s="112"/>
      <c r="J793" s="112"/>
      <c r="K793" s="112"/>
      <c r="L793" s="112"/>
      <c r="M793" s="112"/>
      <c r="N793" s="112"/>
      <c r="O793" s="112"/>
      <c r="P793" s="112"/>
      <c r="Q793" s="112"/>
      <c r="R793" s="112"/>
      <c r="S793" s="112"/>
      <c r="T793" s="112"/>
      <c r="U793" s="124"/>
      <c r="V793" s="124"/>
      <c r="W793" s="124"/>
      <c r="X793" s="124"/>
      <c r="Y793" s="124"/>
      <c r="Z793" s="112"/>
      <c r="AA793" s="112"/>
      <c r="AB793" s="112"/>
      <c r="AC793" s="112"/>
      <c r="AD793" s="112"/>
      <c r="AE793" s="112"/>
      <c r="AF793" s="112"/>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c r="BK793" s="124"/>
      <c r="BL793" s="124"/>
      <c r="BM793" s="124"/>
      <c r="BN793" s="124"/>
      <c r="BO793" s="124"/>
      <c r="BP793" s="124"/>
      <c r="BQ793" s="124"/>
      <c r="BR793" s="124"/>
      <c r="BS793" s="124"/>
      <c r="BT793" s="124"/>
      <c r="BU793" s="124"/>
      <c r="BV793" s="124"/>
      <c r="BW793" s="124"/>
      <c r="BX793" s="124"/>
      <c r="BY793" s="124"/>
      <c r="BZ793" s="124"/>
      <c r="CA793" s="124"/>
    </row>
    <row r="794">
      <c r="D794" s="143"/>
      <c r="E794" s="129"/>
      <c r="F794" s="112"/>
      <c r="G794" s="112"/>
      <c r="H794" s="112"/>
      <c r="I794" s="112"/>
      <c r="J794" s="112"/>
      <c r="K794" s="112"/>
      <c r="L794" s="112"/>
      <c r="M794" s="112"/>
      <c r="N794" s="112"/>
      <c r="O794" s="112"/>
      <c r="P794" s="112"/>
      <c r="Q794" s="112"/>
      <c r="R794" s="112"/>
      <c r="S794" s="112"/>
      <c r="T794" s="112"/>
      <c r="U794" s="124"/>
      <c r="V794" s="124"/>
      <c r="W794" s="124"/>
      <c r="X794" s="124"/>
      <c r="Y794" s="124"/>
      <c r="Z794" s="112"/>
      <c r="AA794" s="112"/>
      <c r="AB794" s="112"/>
      <c r="AC794" s="112"/>
      <c r="AD794" s="112"/>
      <c r="AE794" s="112"/>
      <c r="AF794" s="112"/>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c r="BK794" s="124"/>
      <c r="BL794" s="124"/>
      <c r="BM794" s="124"/>
      <c r="BN794" s="124"/>
      <c r="BO794" s="124"/>
      <c r="BP794" s="124"/>
      <c r="BQ794" s="124"/>
      <c r="BR794" s="124"/>
      <c r="BS794" s="124"/>
      <c r="BT794" s="124"/>
      <c r="BU794" s="124"/>
      <c r="BV794" s="124"/>
      <c r="BW794" s="124"/>
      <c r="BX794" s="124"/>
      <c r="BY794" s="124"/>
      <c r="BZ794" s="124"/>
      <c r="CA794" s="124"/>
    </row>
    <row r="795">
      <c r="D795" s="143"/>
      <c r="E795" s="129"/>
      <c r="F795" s="112"/>
      <c r="G795" s="112"/>
      <c r="H795" s="112"/>
      <c r="I795" s="112"/>
      <c r="J795" s="112"/>
      <c r="K795" s="112"/>
      <c r="L795" s="112"/>
      <c r="M795" s="112"/>
      <c r="N795" s="112"/>
      <c r="O795" s="112"/>
      <c r="P795" s="112"/>
      <c r="Q795" s="112"/>
      <c r="R795" s="112"/>
      <c r="S795" s="112"/>
      <c r="T795" s="112"/>
      <c r="U795" s="124"/>
      <c r="V795" s="124"/>
      <c r="W795" s="124"/>
      <c r="X795" s="124"/>
      <c r="Y795" s="124"/>
      <c r="Z795" s="112"/>
      <c r="AA795" s="112"/>
      <c r="AB795" s="112"/>
      <c r="AC795" s="112"/>
      <c r="AD795" s="112"/>
      <c r="AE795" s="112"/>
      <c r="AF795" s="112"/>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c r="BK795" s="124"/>
      <c r="BL795" s="124"/>
      <c r="BM795" s="124"/>
      <c r="BN795" s="124"/>
      <c r="BO795" s="124"/>
      <c r="BP795" s="124"/>
      <c r="BQ795" s="124"/>
      <c r="BR795" s="124"/>
      <c r="BS795" s="124"/>
      <c r="BT795" s="124"/>
      <c r="BU795" s="124"/>
      <c r="BV795" s="124"/>
      <c r="BW795" s="124"/>
      <c r="BX795" s="124"/>
      <c r="BY795" s="124"/>
      <c r="BZ795" s="124"/>
      <c r="CA795" s="124"/>
    </row>
    <row r="796">
      <c r="D796" s="143"/>
      <c r="E796" s="129"/>
      <c r="F796" s="112"/>
      <c r="G796" s="112"/>
      <c r="H796" s="112"/>
      <c r="I796" s="112"/>
      <c r="J796" s="112"/>
      <c r="K796" s="112"/>
      <c r="L796" s="112"/>
      <c r="M796" s="112"/>
      <c r="N796" s="112"/>
      <c r="O796" s="112"/>
      <c r="P796" s="112"/>
      <c r="Q796" s="112"/>
      <c r="R796" s="112"/>
      <c r="S796" s="112"/>
      <c r="T796" s="112"/>
      <c r="U796" s="124"/>
      <c r="V796" s="124"/>
      <c r="W796" s="124"/>
      <c r="X796" s="124"/>
      <c r="Y796" s="124"/>
      <c r="Z796" s="112"/>
      <c r="AA796" s="112"/>
      <c r="AB796" s="112"/>
      <c r="AC796" s="112"/>
      <c r="AD796" s="112"/>
      <c r="AE796" s="112"/>
      <c r="AF796" s="112"/>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c r="BK796" s="124"/>
      <c r="BL796" s="124"/>
      <c r="BM796" s="124"/>
      <c r="BN796" s="124"/>
      <c r="BO796" s="124"/>
      <c r="BP796" s="124"/>
      <c r="BQ796" s="124"/>
      <c r="BR796" s="124"/>
      <c r="BS796" s="124"/>
      <c r="BT796" s="124"/>
      <c r="BU796" s="124"/>
      <c r="BV796" s="124"/>
      <c r="BW796" s="124"/>
      <c r="BX796" s="124"/>
      <c r="BY796" s="124"/>
      <c r="BZ796" s="124"/>
      <c r="CA796" s="124"/>
    </row>
    <row r="797">
      <c r="D797" s="143"/>
      <c r="E797" s="129"/>
      <c r="F797" s="112"/>
      <c r="G797" s="112"/>
      <c r="H797" s="112"/>
      <c r="I797" s="112"/>
      <c r="J797" s="112"/>
      <c r="K797" s="112"/>
      <c r="L797" s="112"/>
      <c r="M797" s="112"/>
      <c r="N797" s="112"/>
      <c r="O797" s="112"/>
      <c r="P797" s="112"/>
      <c r="Q797" s="112"/>
      <c r="R797" s="112"/>
      <c r="S797" s="112"/>
      <c r="T797" s="112"/>
      <c r="U797" s="124"/>
      <c r="V797" s="124"/>
      <c r="W797" s="124"/>
      <c r="X797" s="124"/>
      <c r="Y797" s="124"/>
      <c r="Z797" s="112"/>
      <c r="AA797" s="112"/>
      <c r="AB797" s="112"/>
      <c r="AC797" s="112"/>
      <c r="AD797" s="112"/>
      <c r="AE797" s="112"/>
      <c r="AF797" s="112"/>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c r="BK797" s="124"/>
      <c r="BL797" s="124"/>
      <c r="BM797" s="124"/>
      <c r="BN797" s="124"/>
      <c r="BO797" s="124"/>
      <c r="BP797" s="124"/>
      <c r="BQ797" s="124"/>
      <c r="BR797" s="124"/>
      <c r="BS797" s="124"/>
      <c r="BT797" s="124"/>
      <c r="BU797" s="124"/>
      <c r="BV797" s="124"/>
      <c r="BW797" s="124"/>
      <c r="BX797" s="124"/>
      <c r="BY797" s="124"/>
      <c r="BZ797" s="124"/>
      <c r="CA797" s="124"/>
    </row>
    <row r="798">
      <c r="D798" s="143"/>
      <c r="E798" s="129"/>
      <c r="F798" s="112"/>
      <c r="G798" s="112"/>
      <c r="H798" s="112"/>
      <c r="I798" s="112"/>
      <c r="J798" s="112"/>
      <c r="K798" s="112"/>
      <c r="L798" s="112"/>
      <c r="M798" s="112"/>
      <c r="N798" s="112"/>
      <c r="O798" s="112"/>
      <c r="P798" s="112"/>
      <c r="Q798" s="112"/>
      <c r="R798" s="112"/>
      <c r="S798" s="112"/>
      <c r="T798" s="112"/>
      <c r="U798" s="124"/>
      <c r="V798" s="124"/>
      <c r="W798" s="124"/>
      <c r="X798" s="124"/>
      <c r="Y798" s="124"/>
      <c r="Z798" s="112"/>
      <c r="AA798" s="112"/>
      <c r="AB798" s="112"/>
      <c r="AC798" s="112"/>
      <c r="AD798" s="112"/>
      <c r="AE798" s="112"/>
      <c r="AF798" s="112"/>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c r="BK798" s="124"/>
      <c r="BL798" s="124"/>
      <c r="BM798" s="124"/>
      <c r="BN798" s="124"/>
      <c r="BO798" s="124"/>
      <c r="BP798" s="124"/>
      <c r="BQ798" s="124"/>
      <c r="BR798" s="124"/>
      <c r="BS798" s="124"/>
      <c r="BT798" s="124"/>
      <c r="BU798" s="124"/>
      <c r="BV798" s="124"/>
      <c r="BW798" s="124"/>
      <c r="BX798" s="124"/>
      <c r="BY798" s="124"/>
      <c r="BZ798" s="124"/>
      <c r="CA798" s="124"/>
    </row>
    <row r="799">
      <c r="D799" s="143"/>
      <c r="E799" s="129"/>
      <c r="F799" s="112"/>
      <c r="G799" s="112"/>
      <c r="H799" s="112"/>
      <c r="I799" s="112"/>
      <c r="J799" s="112"/>
      <c r="K799" s="112"/>
      <c r="L799" s="112"/>
      <c r="M799" s="112"/>
      <c r="N799" s="112"/>
      <c r="O799" s="112"/>
      <c r="P799" s="112"/>
      <c r="Q799" s="112"/>
      <c r="R799" s="112"/>
      <c r="S799" s="112"/>
      <c r="T799" s="112"/>
      <c r="U799" s="124"/>
      <c r="V799" s="124"/>
      <c r="W799" s="124"/>
      <c r="X799" s="124"/>
      <c r="Y799" s="124"/>
      <c r="Z799" s="112"/>
      <c r="AA799" s="112"/>
      <c r="AB799" s="112"/>
      <c r="AC799" s="112"/>
      <c r="AD799" s="112"/>
      <c r="AE799" s="112"/>
      <c r="AF799" s="112"/>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c r="BK799" s="124"/>
      <c r="BL799" s="124"/>
      <c r="BM799" s="124"/>
      <c r="BN799" s="124"/>
      <c r="BO799" s="124"/>
      <c r="BP799" s="124"/>
      <c r="BQ799" s="124"/>
      <c r="BR799" s="124"/>
      <c r="BS799" s="124"/>
      <c r="BT799" s="124"/>
      <c r="BU799" s="124"/>
      <c r="BV799" s="124"/>
      <c r="BW799" s="124"/>
      <c r="BX799" s="124"/>
      <c r="BY799" s="124"/>
      <c r="BZ799" s="124"/>
      <c r="CA799" s="124"/>
    </row>
    <row r="800">
      <c r="D800" s="143"/>
      <c r="E800" s="129"/>
      <c r="F800" s="112"/>
      <c r="G800" s="112"/>
      <c r="H800" s="112"/>
      <c r="I800" s="112"/>
      <c r="J800" s="112"/>
      <c r="K800" s="112"/>
      <c r="L800" s="112"/>
      <c r="M800" s="112"/>
      <c r="N800" s="112"/>
      <c r="O800" s="112"/>
      <c r="P800" s="112"/>
      <c r="Q800" s="112"/>
      <c r="R800" s="112"/>
      <c r="S800" s="112"/>
      <c r="T800" s="112"/>
      <c r="U800" s="124"/>
      <c r="V800" s="124"/>
      <c r="W800" s="124"/>
      <c r="X800" s="124"/>
      <c r="Y800" s="124"/>
      <c r="Z800" s="112"/>
      <c r="AA800" s="112"/>
      <c r="AB800" s="112"/>
      <c r="AC800" s="112"/>
      <c r="AD800" s="112"/>
      <c r="AE800" s="112"/>
      <c r="AF800" s="112"/>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c r="BK800" s="124"/>
      <c r="BL800" s="124"/>
      <c r="BM800" s="124"/>
      <c r="BN800" s="124"/>
      <c r="BO800" s="124"/>
      <c r="BP800" s="124"/>
      <c r="BQ800" s="124"/>
      <c r="BR800" s="124"/>
      <c r="BS800" s="124"/>
      <c r="BT800" s="124"/>
      <c r="BU800" s="124"/>
      <c r="BV800" s="124"/>
      <c r="BW800" s="124"/>
      <c r="BX800" s="124"/>
      <c r="BY800" s="124"/>
      <c r="BZ800" s="124"/>
      <c r="CA800" s="124"/>
    </row>
    <row r="801">
      <c r="D801" s="143"/>
      <c r="E801" s="129"/>
      <c r="F801" s="112"/>
      <c r="G801" s="112"/>
      <c r="H801" s="112"/>
      <c r="I801" s="112"/>
      <c r="J801" s="112"/>
      <c r="K801" s="112"/>
      <c r="L801" s="112"/>
      <c r="M801" s="112"/>
      <c r="N801" s="112"/>
      <c r="O801" s="112"/>
      <c r="P801" s="112"/>
      <c r="Q801" s="112"/>
      <c r="R801" s="112"/>
      <c r="S801" s="112"/>
      <c r="T801" s="112"/>
      <c r="U801" s="124"/>
      <c r="V801" s="124"/>
      <c r="W801" s="124"/>
      <c r="X801" s="124"/>
      <c r="Y801" s="124"/>
      <c r="Z801" s="112"/>
      <c r="AA801" s="112"/>
      <c r="AB801" s="112"/>
      <c r="AC801" s="112"/>
      <c r="AD801" s="112"/>
      <c r="AE801" s="112"/>
      <c r="AF801" s="112"/>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c r="BK801" s="124"/>
      <c r="BL801" s="124"/>
      <c r="BM801" s="124"/>
      <c r="BN801" s="124"/>
      <c r="BO801" s="124"/>
      <c r="BP801" s="124"/>
      <c r="BQ801" s="124"/>
      <c r="BR801" s="124"/>
      <c r="BS801" s="124"/>
      <c r="BT801" s="124"/>
      <c r="BU801" s="124"/>
      <c r="BV801" s="124"/>
      <c r="BW801" s="124"/>
      <c r="BX801" s="124"/>
      <c r="BY801" s="124"/>
      <c r="BZ801" s="124"/>
      <c r="CA801" s="124"/>
    </row>
    <row r="802">
      <c r="D802" s="143"/>
      <c r="E802" s="129"/>
      <c r="F802" s="112"/>
      <c r="G802" s="112"/>
      <c r="H802" s="112"/>
      <c r="I802" s="112"/>
      <c r="J802" s="112"/>
      <c r="K802" s="112"/>
      <c r="L802" s="112"/>
      <c r="M802" s="112"/>
      <c r="N802" s="112"/>
      <c r="O802" s="112"/>
      <c r="P802" s="112"/>
      <c r="Q802" s="112"/>
      <c r="R802" s="112"/>
      <c r="S802" s="112"/>
      <c r="T802" s="112"/>
      <c r="U802" s="124"/>
      <c r="V802" s="124"/>
      <c r="W802" s="124"/>
      <c r="X802" s="124"/>
      <c r="Y802" s="124"/>
      <c r="Z802" s="112"/>
      <c r="AA802" s="112"/>
      <c r="AB802" s="112"/>
      <c r="AC802" s="112"/>
      <c r="AD802" s="112"/>
      <c r="AE802" s="112"/>
      <c r="AF802" s="112"/>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c r="BK802" s="124"/>
      <c r="BL802" s="124"/>
      <c r="BM802" s="124"/>
      <c r="BN802" s="124"/>
      <c r="BO802" s="124"/>
      <c r="BP802" s="124"/>
      <c r="BQ802" s="124"/>
      <c r="BR802" s="124"/>
      <c r="BS802" s="124"/>
      <c r="BT802" s="124"/>
      <c r="BU802" s="124"/>
      <c r="BV802" s="124"/>
      <c r="BW802" s="124"/>
      <c r="BX802" s="124"/>
      <c r="BY802" s="124"/>
      <c r="BZ802" s="124"/>
      <c r="CA802" s="124"/>
    </row>
    <row r="803">
      <c r="D803" s="143"/>
      <c r="E803" s="129"/>
      <c r="F803" s="112"/>
      <c r="G803" s="112"/>
      <c r="H803" s="112"/>
      <c r="I803" s="112"/>
      <c r="J803" s="112"/>
      <c r="K803" s="112"/>
      <c r="L803" s="112"/>
      <c r="M803" s="112"/>
      <c r="N803" s="112"/>
      <c r="O803" s="112"/>
      <c r="P803" s="112"/>
      <c r="Q803" s="112"/>
      <c r="R803" s="112"/>
      <c r="S803" s="112"/>
      <c r="T803" s="112"/>
      <c r="U803" s="124"/>
      <c r="V803" s="124"/>
      <c r="W803" s="124"/>
      <c r="X803" s="124"/>
      <c r="Y803" s="124"/>
      <c r="Z803" s="112"/>
      <c r="AA803" s="112"/>
      <c r="AB803" s="112"/>
      <c r="AC803" s="112"/>
      <c r="AD803" s="112"/>
      <c r="AE803" s="112"/>
      <c r="AF803" s="112"/>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c r="BK803" s="124"/>
      <c r="BL803" s="124"/>
      <c r="BM803" s="124"/>
      <c r="BN803" s="124"/>
      <c r="BO803" s="124"/>
      <c r="BP803" s="124"/>
      <c r="BQ803" s="124"/>
      <c r="BR803" s="124"/>
      <c r="BS803" s="124"/>
      <c r="BT803" s="124"/>
      <c r="BU803" s="124"/>
      <c r="BV803" s="124"/>
      <c r="BW803" s="124"/>
      <c r="BX803" s="124"/>
      <c r="BY803" s="124"/>
      <c r="BZ803" s="124"/>
      <c r="CA803" s="124"/>
    </row>
    <row r="804">
      <c r="D804" s="143"/>
      <c r="E804" s="129"/>
      <c r="F804" s="112"/>
      <c r="G804" s="112"/>
      <c r="H804" s="112"/>
      <c r="I804" s="112"/>
      <c r="J804" s="112"/>
      <c r="K804" s="112"/>
      <c r="L804" s="112"/>
      <c r="M804" s="112"/>
      <c r="N804" s="112"/>
      <c r="O804" s="112"/>
      <c r="P804" s="112"/>
      <c r="Q804" s="112"/>
      <c r="R804" s="112"/>
      <c r="S804" s="112"/>
      <c r="T804" s="112"/>
      <c r="U804" s="124"/>
      <c r="V804" s="124"/>
      <c r="W804" s="124"/>
      <c r="X804" s="124"/>
      <c r="Y804" s="124"/>
      <c r="Z804" s="112"/>
      <c r="AA804" s="112"/>
      <c r="AB804" s="112"/>
      <c r="AC804" s="112"/>
      <c r="AD804" s="112"/>
      <c r="AE804" s="112"/>
      <c r="AF804" s="112"/>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c r="BK804" s="124"/>
      <c r="BL804" s="124"/>
      <c r="BM804" s="124"/>
      <c r="BN804" s="124"/>
      <c r="BO804" s="124"/>
      <c r="BP804" s="124"/>
      <c r="BQ804" s="124"/>
      <c r="BR804" s="124"/>
      <c r="BS804" s="124"/>
      <c r="BT804" s="124"/>
      <c r="BU804" s="124"/>
      <c r="BV804" s="124"/>
      <c r="BW804" s="124"/>
      <c r="BX804" s="124"/>
      <c r="BY804" s="124"/>
      <c r="BZ804" s="124"/>
      <c r="CA804" s="124"/>
    </row>
    <row r="805">
      <c r="D805" s="143"/>
      <c r="E805" s="129"/>
      <c r="F805" s="112"/>
      <c r="G805" s="112"/>
      <c r="H805" s="112"/>
      <c r="I805" s="112"/>
      <c r="J805" s="112"/>
      <c r="K805" s="112"/>
      <c r="L805" s="112"/>
      <c r="M805" s="112"/>
      <c r="N805" s="112"/>
      <c r="O805" s="112"/>
      <c r="P805" s="112"/>
      <c r="Q805" s="112"/>
      <c r="R805" s="112"/>
      <c r="S805" s="112"/>
      <c r="T805" s="112"/>
      <c r="U805" s="124"/>
      <c r="V805" s="124"/>
      <c r="W805" s="124"/>
      <c r="X805" s="124"/>
      <c r="Y805" s="124"/>
      <c r="Z805" s="112"/>
      <c r="AA805" s="112"/>
      <c r="AB805" s="112"/>
      <c r="AC805" s="112"/>
      <c r="AD805" s="112"/>
      <c r="AE805" s="112"/>
      <c r="AF805" s="112"/>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c r="BK805" s="124"/>
      <c r="BL805" s="124"/>
      <c r="BM805" s="124"/>
      <c r="BN805" s="124"/>
      <c r="BO805" s="124"/>
      <c r="BP805" s="124"/>
      <c r="BQ805" s="124"/>
      <c r="BR805" s="124"/>
      <c r="BS805" s="124"/>
      <c r="BT805" s="124"/>
      <c r="BU805" s="124"/>
      <c r="BV805" s="124"/>
      <c r="BW805" s="124"/>
      <c r="BX805" s="124"/>
      <c r="BY805" s="124"/>
      <c r="BZ805" s="124"/>
      <c r="CA805" s="124"/>
    </row>
    <row r="806">
      <c r="D806" s="143"/>
      <c r="E806" s="129"/>
      <c r="F806" s="112"/>
      <c r="G806" s="112"/>
      <c r="H806" s="112"/>
      <c r="I806" s="112"/>
      <c r="J806" s="112"/>
      <c r="K806" s="112"/>
      <c r="L806" s="112"/>
      <c r="M806" s="112"/>
      <c r="N806" s="112"/>
      <c r="O806" s="112"/>
      <c r="P806" s="112"/>
      <c r="Q806" s="112"/>
      <c r="R806" s="112"/>
      <c r="S806" s="112"/>
      <c r="T806" s="112"/>
      <c r="U806" s="124"/>
      <c r="V806" s="124"/>
      <c r="W806" s="124"/>
      <c r="X806" s="124"/>
      <c r="Y806" s="124"/>
      <c r="Z806" s="112"/>
      <c r="AA806" s="112"/>
      <c r="AB806" s="112"/>
      <c r="AC806" s="112"/>
      <c r="AD806" s="112"/>
      <c r="AE806" s="112"/>
      <c r="AF806" s="112"/>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c r="BK806" s="124"/>
      <c r="BL806" s="124"/>
      <c r="BM806" s="124"/>
      <c r="BN806" s="124"/>
      <c r="BO806" s="124"/>
      <c r="BP806" s="124"/>
      <c r="BQ806" s="124"/>
      <c r="BR806" s="124"/>
      <c r="BS806" s="124"/>
      <c r="BT806" s="124"/>
      <c r="BU806" s="124"/>
      <c r="BV806" s="124"/>
      <c r="BW806" s="124"/>
      <c r="BX806" s="124"/>
      <c r="BY806" s="124"/>
      <c r="BZ806" s="124"/>
      <c r="CA806" s="124"/>
    </row>
    <row r="807">
      <c r="D807" s="143"/>
      <c r="E807" s="129"/>
      <c r="F807" s="112"/>
      <c r="G807" s="112"/>
      <c r="H807" s="112"/>
      <c r="I807" s="112"/>
      <c r="J807" s="112"/>
      <c r="K807" s="112"/>
      <c r="L807" s="112"/>
      <c r="M807" s="112"/>
      <c r="N807" s="112"/>
      <c r="O807" s="112"/>
      <c r="P807" s="112"/>
      <c r="Q807" s="112"/>
      <c r="R807" s="112"/>
      <c r="S807" s="112"/>
      <c r="T807" s="112"/>
      <c r="U807" s="124"/>
      <c r="V807" s="124"/>
      <c r="W807" s="124"/>
      <c r="X807" s="124"/>
      <c r="Y807" s="124"/>
      <c r="Z807" s="112"/>
      <c r="AA807" s="112"/>
      <c r="AB807" s="112"/>
      <c r="AC807" s="112"/>
      <c r="AD807" s="112"/>
      <c r="AE807" s="112"/>
      <c r="AF807" s="112"/>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c r="BK807" s="124"/>
      <c r="BL807" s="124"/>
      <c r="BM807" s="124"/>
      <c r="BN807" s="124"/>
      <c r="BO807" s="124"/>
      <c r="BP807" s="124"/>
      <c r="BQ807" s="124"/>
      <c r="BR807" s="124"/>
      <c r="BS807" s="124"/>
      <c r="BT807" s="124"/>
      <c r="BU807" s="124"/>
      <c r="BV807" s="124"/>
      <c r="BW807" s="124"/>
      <c r="BX807" s="124"/>
      <c r="BY807" s="124"/>
      <c r="BZ807" s="124"/>
      <c r="CA807" s="124"/>
    </row>
    <row r="808">
      <c r="D808" s="143"/>
      <c r="E808" s="129"/>
      <c r="F808" s="112"/>
      <c r="G808" s="112"/>
      <c r="H808" s="112"/>
      <c r="I808" s="112"/>
      <c r="J808" s="112"/>
      <c r="K808" s="112"/>
      <c r="L808" s="112"/>
      <c r="M808" s="112"/>
      <c r="N808" s="112"/>
      <c r="O808" s="112"/>
      <c r="P808" s="112"/>
      <c r="Q808" s="112"/>
      <c r="R808" s="112"/>
      <c r="S808" s="112"/>
      <c r="T808" s="112"/>
      <c r="U808" s="124"/>
      <c r="V808" s="124"/>
      <c r="W808" s="124"/>
      <c r="X808" s="124"/>
      <c r="Y808" s="124"/>
      <c r="Z808" s="112"/>
      <c r="AA808" s="112"/>
      <c r="AB808" s="112"/>
      <c r="AC808" s="112"/>
      <c r="AD808" s="112"/>
      <c r="AE808" s="112"/>
      <c r="AF808" s="112"/>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c r="BK808" s="124"/>
      <c r="BL808" s="124"/>
      <c r="BM808" s="124"/>
      <c r="BN808" s="124"/>
      <c r="BO808" s="124"/>
      <c r="BP808" s="124"/>
      <c r="BQ808" s="124"/>
      <c r="BR808" s="124"/>
      <c r="BS808" s="124"/>
      <c r="BT808" s="124"/>
      <c r="BU808" s="124"/>
      <c r="BV808" s="124"/>
      <c r="BW808" s="124"/>
      <c r="BX808" s="124"/>
      <c r="BY808" s="124"/>
      <c r="BZ808" s="124"/>
      <c r="CA808" s="124"/>
    </row>
    <row r="809">
      <c r="D809" s="143"/>
      <c r="E809" s="129"/>
      <c r="F809" s="112"/>
      <c r="G809" s="112"/>
      <c r="H809" s="112"/>
      <c r="I809" s="112"/>
      <c r="J809" s="112"/>
      <c r="K809" s="112"/>
      <c r="L809" s="112"/>
      <c r="M809" s="112"/>
      <c r="N809" s="112"/>
      <c r="O809" s="112"/>
      <c r="P809" s="112"/>
      <c r="Q809" s="112"/>
      <c r="R809" s="112"/>
      <c r="S809" s="112"/>
      <c r="T809" s="112"/>
      <c r="U809" s="124"/>
      <c r="V809" s="124"/>
      <c r="W809" s="124"/>
      <c r="X809" s="124"/>
      <c r="Y809" s="124"/>
      <c r="Z809" s="112"/>
      <c r="AA809" s="112"/>
      <c r="AB809" s="112"/>
      <c r="AC809" s="112"/>
      <c r="AD809" s="112"/>
      <c r="AE809" s="112"/>
      <c r="AF809" s="112"/>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c r="BK809" s="124"/>
      <c r="BL809" s="124"/>
      <c r="BM809" s="124"/>
      <c r="BN809" s="124"/>
      <c r="BO809" s="124"/>
      <c r="BP809" s="124"/>
      <c r="BQ809" s="124"/>
      <c r="BR809" s="124"/>
      <c r="BS809" s="124"/>
      <c r="BT809" s="124"/>
      <c r="BU809" s="124"/>
      <c r="BV809" s="124"/>
      <c r="BW809" s="124"/>
      <c r="BX809" s="124"/>
      <c r="BY809" s="124"/>
      <c r="BZ809" s="124"/>
      <c r="CA809" s="124"/>
    </row>
    <row r="810">
      <c r="D810" s="143"/>
      <c r="E810" s="129"/>
      <c r="F810" s="112"/>
      <c r="G810" s="112"/>
      <c r="H810" s="112"/>
      <c r="I810" s="112"/>
      <c r="J810" s="112"/>
      <c r="K810" s="112"/>
      <c r="L810" s="112"/>
      <c r="M810" s="112"/>
      <c r="N810" s="112"/>
      <c r="O810" s="112"/>
      <c r="P810" s="112"/>
      <c r="Q810" s="112"/>
      <c r="R810" s="112"/>
      <c r="S810" s="112"/>
      <c r="T810" s="112"/>
      <c r="U810" s="124"/>
      <c r="V810" s="124"/>
      <c r="W810" s="124"/>
      <c r="X810" s="124"/>
      <c r="Y810" s="124"/>
      <c r="Z810" s="112"/>
      <c r="AA810" s="112"/>
      <c r="AB810" s="112"/>
      <c r="AC810" s="112"/>
      <c r="AD810" s="112"/>
      <c r="AE810" s="112"/>
      <c r="AF810" s="112"/>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c r="BK810" s="124"/>
      <c r="BL810" s="124"/>
      <c r="BM810" s="124"/>
      <c r="BN810" s="124"/>
      <c r="BO810" s="124"/>
      <c r="BP810" s="124"/>
      <c r="BQ810" s="124"/>
      <c r="BR810" s="124"/>
      <c r="BS810" s="124"/>
      <c r="BT810" s="124"/>
      <c r="BU810" s="124"/>
      <c r="BV810" s="124"/>
      <c r="BW810" s="124"/>
      <c r="BX810" s="124"/>
      <c r="BY810" s="124"/>
      <c r="BZ810" s="124"/>
      <c r="CA810" s="124"/>
    </row>
    <row r="811">
      <c r="D811" s="143"/>
      <c r="E811" s="129"/>
      <c r="F811" s="112"/>
      <c r="G811" s="112"/>
      <c r="H811" s="112"/>
      <c r="I811" s="112"/>
      <c r="J811" s="112"/>
      <c r="K811" s="112"/>
      <c r="L811" s="112"/>
      <c r="M811" s="112"/>
      <c r="N811" s="112"/>
      <c r="O811" s="112"/>
      <c r="P811" s="112"/>
      <c r="Q811" s="112"/>
      <c r="R811" s="112"/>
      <c r="S811" s="112"/>
      <c r="T811" s="112"/>
      <c r="U811" s="124"/>
      <c r="V811" s="124"/>
      <c r="W811" s="124"/>
      <c r="X811" s="124"/>
      <c r="Y811" s="124"/>
      <c r="Z811" s="112"/>
      <c r="AA811" s="112"/>
      <c r="AB811" s="112"/>
      <c r="AC811" s="112"/>
      <c r="AD811" s="112"/>
      <c r="AE811" s="112"/>
      <c r="AF811" s="112"/>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c r="BK811" s="124"/>
      <c r="BL811" s="124"/>
      <c r="BM811" s="124"/>
      <c r="BN811" s="124"/>
      <c r="BO811" s="124"/>
      <c r="BP811" s="124"/>
      <c r="BQ811" s="124"/>
      <c r="BR811" s="124"/>
      <c r="BS811" s="124"/>
      <c r="BT811" s="124"/>
      <c r="BU811" s="124"/>
      <c r="BV811" s="124"/>
      <c r="BW811" s="124"/>
      <c r="BX811" s="124"/>
      <c r="BY811" s="124"/>
      <c r="BZ811" s="124"/>
      <c r="CA811" s="124"/>
    </row>
    <row r="812">
      <c r="D812" s="143"/>
      <c r="E812" s="129"/>
      <c r="F812" s="112"/>
      <c r="G812" s="112"/>
      <c r="H812" s="112"/>
      <c r="I812" s="112"/>
      <c r="J812" s="112"/>
      <c r="K812" s="112"/>
      <c r="L812" s="112"/>
      <c r="M812" s="112"/>
      <c r="N812" s="112"/>
      <c r="O812" s="112"/>
      <c r="P812" s="112"/>
      <c r="Q812" s="112"/>
      <c r="R812" s="112"/>
      <c r="S812" s="112"/>
      <c r="T812" s="112"/>
      <c r="U812" s="124"/>
      <c r="V812" s="124"/>
      <c r="W812" s="124"/>
      <c r="X812" s="124"/>
      <c r="Y812" s="124"/>
      <c r="Z812" s="112"/>
      <c r="AA812" s="112"/>
      <c r="AB812" s="112"/>
      <c r="AC812" s="112"/>
      <c r="AD812" s="112"/>
      <c r="AE812" s="112"/>
      <c r="AF812" s="112"/>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c r="BK812" s="124"/>
      <c r="BL812" s="124"/>
      <c r="BM812" s="124"/>
      <c r="BN812" s="124"/>
      <c r="BO812" s="124"/>
      <c r="BP812" s="124"/>
      <c r="BQ812" s="124"/>
      <c r="BR812" s="124"/>
      <c r="BS812" s="124"/>
      <c r="BT812" s="124"/>
      <c r="BU812" s="124"/>
      <c r="BV812" s="124"/>
      <c r="BW812" s="124"/>
      <c r="BX812" s="124"/>
      <c r="BY812" s="124"/>
      <c r="BZ812" s="124"/>
      <c r="CA812" s="124"/>
    </row>
    <row r="813">
      <c r="D813" s="143"/>
      <c r="E813" s="129"/>
      <c r="F813" s="112"/>
      <c r="G813" s="112"/>
      <c r="H813" s="112"/>
      <c r="I813" s="112"/>
      <c r="J813" s="112"/>
      <c r="K813" s="112"/>
      <c r="L813" s="112"/>
      <c r="M813" s="112"/>
      <c r="N813" s="112"/>
      <c r="O813" s="112"/>
      <c r="P813" s="112"/>
      <c r="Q813" s="112"/>
      <c r="R813" s="112"/>
      <c r="S813" s="112"/>
      <c r="T813" s="112"/>
      <c r="U813" s="124"/>
      <c r="V813" s="124"/>
      <c r="W813" s="124"/>
      <c r="X813" s="124"/>
      <c r="Y813" s="124"/>
      <c r="Z813" s="112"/>
      <c r="AA813" s="112"/>
      <c r="AB813" s="112"/>
      <c r="AC813" s="112"/>
      <c r="AD813" s="112"/>
      <c r="AE813" s="112"/>
      <c r="AF813" s="112"/>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c r="BK813" s="124"/>
      <c r="BL813" s="124"/>
      <c r="BM813" s="124"/>
      <c r="BN813" s="124"/>
      <c r="BO813" s="124"/>
      <c r="BP813" s="124"/>
      <c r="BQ813" s="124"/>
      <c r="BR813" s="124"/>
      <c r="BS813" s="124"/>
      <c r="BT813" s="124"/>
      <c r="BU813" s="124"/>
      <c r="BV813" s="124"/>
      <c r="BW813" s="124"/>
      <c r="BX813" s="124"/>
      <c r="BY813" s="124"/>
      <c r="BZ813" s="124"/>
      <c r="CA813" s="124"/>
    </row>
    <row r="814">
      <c r="D814" s="143"/>
      <c r="E814" s="129"/>
      <c r="F814" s="112"/>
      <c r="G814" s="112"/>
      <c r="H814" s="112"/>
      <c r="I814" s="112"/>
      <c r="J814" s="112"/>
      <c r="K814" s="112"/>
      <c r="L814" s="112"/>
      <c r="M814" s="112"/>
      <c r="N814" s="112"/>
      <c r="O814" s="112"/>
      <c r="P814" s="112"/>
      <c r="Q814" s="112"/>
      <c r="R814" s="112"/>
      <c r="S814" s="112"/>
      <c r="T814" s="112"/>
      <c r="U814" s="124"/>
      <c r="V814" s="124"/>
      <c r="W814" s="124"/>
      <c r="X814" s="124"/>
      <c r="Y814" s="124"/>
      <c r="Z814" s="112"/>
      <c r="AA814" s="112"/>
      <c r="AB814" s="112"/>
      <c r="AC814" s="112"/>
      <c r="AD814" s="112"/>
      <c r="AE814" s="112"/>
      <c r="AF814" s="112"/>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c r="BK814" s="124"/>
      <c r="BL814" s="124"/>
      <c r="BM814" s="124"/>
      <c r="BN814" s="124"/>
      <c r="BO814" s="124"/>
      <c r="BP814" s="124"/>
      <c r="BQ814" s="124"/>
      <c r="BR814" s="124"/>
      <c r="BS814" s="124"/>
      <c r="BT814" s="124"/>
      <c r="BU814" s="124"/>
      <c r="BV814" s="124"/>
      <c r="BW814" s="124"/>
      <c r="BX814" s="124"/>
      <c r="BY814" s="124"/>
      <c r="BZ814" s="124"/>
      <c r="CA814" s="124"/>
    </row>
    <row r="815">
      <c r="D815" s="143"/>
      <c r="E815" s="129"/>
      <c r="F815" s="112"/>
      <c r="G815" s="112"/>
      <c r="H815" s="112"/>
      <c r="I815" s="112"/>
      <c r="J815" s="112"/>
      <c r="K815" s="112"/>
      <c r="L815" s="112"/>
      <c r="M815" s="112"/>
      <c r="N815" s="112"/>
      <c r="O815" s="112"/>
      <c r="P815" s="112"/>
      <c r="Q815" s="112"/>
      <c r="R815" s="112"/>
      <c r="S815" s="112"/>
      <c r="T815" s="112"/>
      <c r="U815" s="124"/>
      <c r="V815" s="124"/>
      <c r="W815" s="124"/>
      <c r="X815" s="124"/>
      <c r="Y815" s="124"/>
      <c r="Z815" s="112"/>
      <c r="AA815" s="112"/>
      <c r="AB815" s="112"/>
      <c r="AC815" s="112"/>
      <c r="AD815" s="112"/>
      <c r="AE815" s="112"/>
      <c r="AF815" s="112"/>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c r="BK815" s="124"/>
      <c r="BL815" s="124"/>
      <c r="BM815" s="124"/>
      <c r="BN815" s="124"/>
      <c r="BO815" s="124"/>
      <c r="BP815" s="124"/>
      <c r="BQ815" s="124"/>
      <c r="BR815" s="124"/>
      <c r="BS815" s="124"/>
      <c r="BT815" s="124"/>
      <c r="BU815" s="124"/>
      <c r="BV815" s="124"/>
      <c r="BW815" s="124"/>
      <c r="BX815" s="124"/>
      <c r="BY815" s="124"/>
      <c r="BZ815" s="124"/>
      <c r="CA815" s="124"/>
    </row>
    <row r="816">
      <c r="D816" s="143"/>
      <c r="E816" s="129"/>
      <c r="F816" s="112"/>
      <c r="G816" s="112"/>
      <c r="H816" s="112"/>
      <c r="I816" s="112"/>
      <c r="J816" s="112"/>
      <c r="K816" s="112"/>
      <c r="L816" s="112"/>
      <c r="M816" s="112"/>
      <c r="N816" s="112"/>
      <c r="O816" s="112"/>
      <c r="P816" s="112"/>
      <c r="Q816" s="112"/>
      <c r="R816" s="112"/>
      <c r="S816" s="112"/>
      <c r="T816" s="112"/>
      <c r="U816" s="124"/>
      <c r="V816" s="124"/>
      <c r="W816" s="124"/>
      <c r="X816" s="124"/>
      <c r="Y816" s="124"/>
      <c r="Z816" s="112"/>
      <c r="AA816" s="112"/>
      <c r="AB816" s="112"/>
      <c r="AC816" s="112"/>
      <c r="AD816" s="112"/>
      <c r="AE816" s="112"/>
      <c r="AF816" s="112"/>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c r="BK816" s="124"/>
      <c r="BL816" s="124"/>
      <c r="BM816" s="124"/>
      <c r="BN816" s="124"/>
      <c r="BO816" s="124"/>
      <c r="BP816" s="124"/>
      <c r="BQ816" s="124"/>
      <c r="BR816" s="124"/>
      <c r="BS816" s="124"/>
      <c r="BT816" s="124"/>
      <c r="BU816" s="124"/>
      <c r="BV816" s="124"/>
      <c r="BW816" s="124"/>
      <c r="BX816" s="124"/>
      <c r="BY816" s="124"/>
      <c r="BZ816" s="124"/>
      <c r="CA816" s="124"/>
    </row>
    <row r="817">
      <c r="D817" s="143"/>
      <c r="E817" s="129"/>
      <c r="F817" s="112"/>
      <c r="G817" s="112"/>
      <c r="H817" s="112"/>
      <c r="I817" s="112"/>
      <c r="J817" s="112"/>
      <c r="K817" s="112"/>
      <c r="L817" s="112"/>
      <c r="M817" s="112"/>
      <c r="N817" s="112"/>
      <c r="O817" s="112"/>
      <c r="P817" s="112"/>
      <c r="Q817" s="112"/>
      <c r="R817" s="112"/>
      <c r="S817" s="112"/>
      <c r="T817" s="112"/>
      <c r="U817" s="124"/>
      <c r="V817" s="124"/>
      <c r="W817" s="124"/>
      <c r="X817" s="124"/>
      <c r="Y817" s="124"/>
      <c r="Z817" s="112"/>
      <c r="AA817" s="112"/>
      <c r="AB817" s="112"/>
      <c r="AC817" s="112"/>
      <c r="AD817" s="112"/>
      <c r="AE817" s="112"/>
      <c r="AF817" s="112"/>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c r="BK817" s="124"/>
      <c r="BL817" s="124"/>
      <c r="BM817" s="124"/>
      <c r="BN817" s="124"/>
      <c r="BO817" s="124"/>
      <c r="BP817" s="124"/>
      <c r="BQ817" s="124"/>
      <c r="BR817" s="124"/>
      <c r="BS817" s="124"/>
      <c r="BT817" s="124"/>
      <c r="BU817" s="124"/>
      <c r="BV817" s="124"/>
      <c r="BW817" s="124"/>
      <c r="BX817" s="124"/>
      <c r="BY817" s="124"/>
      <c r="BZ817" s="124"/>
      <c r="CA817" s="124"/>
    </row>
    <row r="818">
      <c r="D818" s="143"/>
      <c r="E818" s="129"/>
      <c r="F818" s="112"/>
      <c r="G818" s="112"/>
      <c r="H818" s="112"/>
      <c r="I818" s="112"/>
      <c r="J818" s="112"/>
      <c r="K818" s="112"/>
      <c r="L818" s="112"/>
      <c r="M818" s="112"/>
      <c r="N818" s="112"/>
      <c r="O818" s="112"/>
      <c r="P818" s="112"/>
      <c r="Q818" s="112"/>
      <c r="R818" s="112"/>
      <c r="S818" s="112"/>
      <c r="T818" s="112"/>
      <c r="U818" s="124"/>
      <c r="V818" s="124"/>
      <c r="W818" s="124"/>
      <c r="X818" s="124"/>
      <c r="Y818" s="124"/>
      <c r="Z818" s="112"/>
      <c r="AA818" s="112"/>
      <c r="AB818" s="112"/>
      <c r="AC818" s="112"/>
      <c r="AD818" s="112"/>
      <c r="AE818" s="112"/>
      <c r="AF818" s="112"/>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c r="BK818" s="124"/>
      <c r="BL818" s="124"/>
      <c r="BM818" s="124"/>
      <c r="BN818" s="124"/>
      <c r="BO818" s="124"/>
      <c r="BP818" s="124"/>
      <c r="BQ818" s="124"/>
      <c r="BR818" s="124"/>
      <c r="BS818" s="124"/>
      <c r="BT818" s="124"/>
      <c r="BU818" s="124"/>
      <c r="BV818" s="124"/>
      <c r="BW818" s="124"/>
      <c r="BX818" s="124"/>
      <c r="BY818" s="124"/>
      <c r="BZ818" s="124"/>
      <c r="CA818" s="124"/>
    </row>
    <row r="819">
      <c r="D819" s="143"/>
      <c r="E819" s="129"/>
      <c r="F819" s="112"/>
      <c r="G819" s="112"/>
      <c r="H819" s="112"/>
      <c r="I819" s="112"/>
      <c r="J819" s="112"/>
      <c r="K819" s="112"/>
      <c r="L819" s="112"/>
      <c r="M819" s="112"/>
      <c r="N819" s="112"/>
      <c r="O819" s="112"/>
      <c r="P819" s="112"/>
      <c r="Q819" s="112"/>
      <c r="R819" s="112"/>
      <c r="S819" s="112"/>
      <c r="T819" s="112"/>
      <c r="U819" s="124"/>
      <c r="V819" s="124"/>
      <c r="W819" s="124"/>
      <c r="X819" s="124"/>
      <c r="Y819" s="124"/>
      <c r="Z819" s="112"/>
      <c r="AA819" s="112"/>
      <c r="AB819" s="112"/>
      <c r="AC819" s="112"/>
      <c r="AD819" s="112"/>
      <c r="AE819" s="112"/>
      <c r="AF819" s="112"/>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c r="BK819" s="124"/>
      <c r="BL819" s="124"/>
      <c r="BM819" s="124"/>
      <c r="BN819" s="124"/>
      <c r="BO819" s="124"/>
      <c r="BP819" s="124"/>
      <c r="BQ819" s="124"/>
      <c r="BR819" s="124"/>
      <c r="BS819" s="124"/>
      <c r="BT819" s="124"/>
      <c r="BU819" s="124"/>
      <c r="BV819" s="124"/>
      <c r="BW819" s="124"/>
      <c r="BX819" s="124"/>
      <c r="BY819" s="124"/>
      <c r="BZ819" s="124"/>
      <c r="CA819" s="124"/>
    </row>
    <row r="820">
      <c r="D820" s="143"/>
      <c r="E820" s="129"/>
      <c r="F820" s="112"/>
      <c r="G820" s="112"/>
      <c r="H820" s="112"/>
      <c r="I820" s="112"/>
      <c r="J820" s="112"/>
      <c r="K820" s="112"/>
      <c r="L820" s="112"/>
      <c r="M820" s="112"/>
      <c r="N820" s="112"/>
      <c r="O820" s="112"/>
      <c r="P820" s="112"/>
      <c r="Q820" s="112"/>
      <c r="R820" s="112"/>
      <c r="S820" s="112"/>
      <c r="T820" s="112"/>
      <c r="U820" s="124"/>
      <c r="V820" s="124"/>
      <c r="W820" s="124"/>
      <c r="X820" s="124"/>
      <c r="Y820" s="124"/>
      <c r="Z820" s="112"/>
      <c r="AA820" s="112"/>
      <c r="AB820" s="112"/>
      <c r="AC820" s="112"/>
      <c r="AD820" s="112"/>
      <c r="AE820" s="112"/>
      <c r="AF820" s="112"/>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c r="BK820" s="124"/>
      <c r="BL820" s="124"/>
      <c r="BM820" s="124"/>
      <c r="BN820" s="124"/>
      <c r="BO820" s="124"/>
      <c r="BP820" s="124"/>
      <c r="BQ820" s="124"/>
      <c r="BR820" s="124"/>
      <c r="BS820" s="124"/>
      <c r="BT820" s="124"/>
      <c r="BU820" s="124"/>
      <c r="BV820" s="124"/>
      <c r="BW820" s="124"/>
      <c r="BX820" s="124"/>
      <c r="BY820" s="124"/>
      <c r="BZ820" s="124"/>
      <c r="CA820" s="124"/>
    </row>
    <row r="821">
      <c r="D821" s="143"/>
      <c r="E821" s="129"/>
      <c r="F821" s="112"/>
      <c r="G821" s="112"/>
      <c r="H821" s="112"/>
      <c r="I821" s="112"/>
      <c r="J821" s="112"/>
      <c r="K821" s="112"/>
      <c r="L821" s="112"/>
      <c r="M821" s="112"/>
      <c r="N821" s="112"/>
      <c r="O821" s="112"/>
      <c r="P821" s="112"/>
      <c r="Q821" s="112"/>
      <c r="R821" s="112"/>
      <c r="S821" s="112"/>
      <c r="T821" s="112"/>
      <c r="U821" s="124"/>
      <c r="V821" s="124"/>
      <c r="W821" s="124"/>
      <c r="X821" s="124"/>
      <c r="Y821" s="124"/>
      <c r="Z821" s="112"/>
      <c r="AA821" s="112"/>
      <c r="AB821" s="112"/>
      <c r="AC821" s="112"/>
      <c r="AD821" s="112"/>
      <c r="AE821" s="112"/>
      <c r="AF821" s="112"/>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c r="BK821" s="124"/>
      <c r="BL821" s="124"/>
      <c r="BM821" s="124"/>
      <c r="BN821" s="124"/>
      <c r="BO821" s="124"/>
      <c r="BP821" s="124"/>
      <c r="BQ821" s="124"/>
      <c r="BR821" s="124"/>
      <c r="BS821" s="124"/>
      <c r="BT821" s="124"/>
      <c r="BU821" s="124"/>
      <c r="BV821" s="124"/>
      <c r="BW821" s="124"/>
      <c r="BX821" s="124"/>
      <c r="BY821" s="124"/>
      <c r="BZ821" s="124"/>
      <c r="CA821" s="124"/>
    </row>
    <row r="822">
      <c r="D822" s="143"/>
      <c r="E822" s="129"/>
      <c r="F822" s="112"/>
      <c r="G822" s="112"/>
      <c r="H822" s="112"/>
      <c r="I822" s="112"/>
      <c r="J822" s="112"/>
      <c r="K822" s="112"/>
      <c r="L822" s="112"/>
      <c r="M822" s="112"/>
      <c r="N822" s="112"/>
      <c r="O822" s="112"/>
      <c r="P822" s="112"/>
      <c r="Q822" s="112"/>
      <c r="R822" s="112"/>
      <c r="S822" s="112"/>
      <c r="T822" s="112"/>
      <c r="U822" s="124"/>
      <c r="V822" s="124"/>
      <c r="W822" s="124"/>
      <c r="X822" s="124"/>
      <c r="Y822" s="124"/>
      <c r="Z822" s="112"/>
      <c r="AA822" s="112"/>
      <c r="AB822" s="112"/>
      <c r="AC822" s="112"/>
      <c r="AD822" s="112"/>
      <c r="AE822" s="112"/>
      <c r="AF822" s="112"/>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c r="BK822" s="124"/>
      <c r="BL822" s="124"/>
      <c r="BM822" s="124"/>
      <c r="BN822" s="124"/>
      <c r="BO822" s="124"/>
      <c r="BP822" s="124"/>
      <c r="BQ822" s="124"/>
      <c r="BR822" s="124"/>
      <c r="BS822" s="124"/>
      <c r="BT822" s="124"/>
      <c r="BU822" s="124"/>
      <c r="BV822" s="124"/>
      <c r="BW822" s="124"/>
      <c r="BX822" s="124"/>
      <c r="BY822" s="124"/>
      <c r="BZ822" s="124"/>
      <c r="CA822" s="124"/>
    </row>
    <row r="823">
      <c r="D823" s="143"/>
      <c r="E823" s="129"/>
      <c r="F823" s="112"/>
      <c r="G823" s="112"/>
      <c r="H823" s="112"/>
      <c r="I823" s="112"/>
      <c r="J823" s="112"/>
      <c r="K823" s="112"/>
      <c r="L823" s="112"/>
      <c r="M823" s="112"/>
      <c r="N823" s="112"/>
      <c r="O823" s="112"/>
      <c r="P823" s="112"/>
      <c r="Q823" s="112"/>
      <c r="R823" s="112"/>
      <c r="S823" s="112"/>
      <c r="T823" s="112"/>
      <c r="U823" s="124"/>
      <c r="V823" s="124"/>
      <c r="W823" s="124"/>
      <c r="X823" s="124"/>
      <c r="Y823" s="124"/>
      <c r="Z823" s="112"/>
      <c r="AA823" s="112"/>
      <c r="AB823" s="112"/>
      <c r="AC823" s="112"/>
      <c r="AD823" s="112"/>
      <c r="AE823" s="112"/>
      <c r="AF823" s="112"/>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c r="BK823" s="124"/>
      <c r="BL823" s="124"/>
      <c r="BM823" s="124"/>
      <c r="BN823" s="124"/>
      <c r="BO823" s="124"/>
      <c r="BP823" s="124"/>
      <c r="BQ823" s="124"/>
      <c r="BR823" s="124"/>
      <c r="BS823" s="124"/>
      <c r="BT823" s="124"/>
      <c r="BU823" s="124"/>
      <c r="BV823" s="124"/>
      <c r="BW823" s="124"/>
      <c r="BX823" s="124"/>
      <c r="BY823" s="124"/>
      <c r="BZ823" s="124"/>
      <c r="CA823" s="124"/>
    </row>
    <row r="824">
      <c r="D824" s="143"/>
      <c r="E824" s="129"/>
      <c r="F824" s="112"/>
      <c r="G824" s="112"/>
      <c r="H824" s="112"/>
      <c r="I824" s="112"/>
      <c r="J824" s="112"/>
      <c r="K824" s="112"/>
      <c r="L824" s="112"/>
      <c r="M824" s="112"/>
      <c r="N824" s="112"/>
      <c r="O824" s="112"/>
      <c r="P824" s="112"/>
      <c r="Q824" s="112"/>
      <c r="R824" s="112"/>
      <c r="S824" s="112"/>
      <c r="T824" s="112"/>
      <c r="U824" s="124"/>
      <c r="V824" s="124"/>
      <c r="W824" s="124"/>
      <c r="X824" s="124"/>
      <c r="Y824" s="124"/>
      <c r="Z824" s="112"/>
      <c r="AA824" s="112"/>
      <c r="AB824" s="112"/>
      <c r="AC824" s="112"/>
      <c r="AD824" s="112"/>
      <c r="AE824" s="112"/>
      <c r="AF824" s="112"/>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c r="BK824" s="124"/>
      <c r="BL824" s="124"/>
      <c r="BM824" s="124"/>
      <c r="BN824" s="124"/>
      <c r="BO824" s="124"/>
      <c r="BP824" s="124"/>
      <c r="BQ824" s="124"/>
      <c r="BR824" s="124"/>
      <c r="BS824" s="124"/>
      <c r="BT824" s="124"/>
      <c r="BU824" s="124"/>
      <c r="BV824" s="124"/>
      <c r="BW824" s="124"/>
      <c r="BX824" s="124"/>
      <c r="BY824" s="124"/>
      <c r="BZ824" s="124"/>
      <c r="CA824" s="124"/>
    </row>
    <row r="825">
      <c r="D825" s="143"/>
      <c r="E825" s="129"/>
      <c r="F825" s="112"/>
      <c r="G825" s="112"/>
      <c r="H825" s="112"/>
      <c r="I825" s="112"/>
      <c r="J825" s="112"/>
      <c r="K825" s="112"/>
      <c r="L825" s="112"/>
      <c r="M825" s="112"/>
      <c r="N825" s="112"/>
      <c r="O825" s="112"/>
      <c r="P825" s="112"/>
      <c r="Q825" s="112"/>
      <c r="R825" s="112"/>
      <c r="S825" s="112"/>
      <c r="T825" s="112"/>
      <c r="U825" s="124"/>
      <c r="V825" s="124"/>
      <c r="W825" s="124"/>
      <c r="X825" s="124"/>
      <c r="Y825" s="124"/>
      <c r="Z825" s="112"/>
      <c r="AA825" s="112"/>
      <c r="AB825" s="112"/>
      <c r="AC825" s="112"/>
      <c r="AD825" s="112"/>
      <c r="AE825" s="112"/>
      <c r="AF825" s="112"/>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c r="BK825" s="124"/>
      <c r="BL825" s="124"/>
      <c r="BM825" s="124"/>
      <c r="BN825" s="124"/>
      <c r="BO825" s="124"/>
      <c r="BP825" s="124"/>
      <c r="BQ825" s="124"/>
      <c r="BR825" s="124"/>
      <c r="BS825" s="124"/>
      <c r="BT825" s="124"/>
      <c r="BU825" s="124"/>
      <c r="BV825" s="124"/>
      <c r="BW825" s="124"/>
      <c r="BX825" s="124"/>
      <c r="BY825" s="124"/>
      <c r="BZ825" s="124"/>
      <c r="CA825" s="124"/>
    </row>
    <row r="826">
      <c r="D826" s="143"/>
      <c r="E826" s="129"/>
      <c r="F826" s="112"/>
      <c r="G826" s="112"/>
      <c r="H826" s="112"/>
      <c r="I826" s="112"/>
      <c r="J826" s="112"/>
      <c r="K826" s="112"/>
      <c r="L826" s="112"/>
      <c r="M826" s="112"/>
      <c r="N826" s="112"/>
      <c r="O826" s="112"/>
      <c r="P826" s="112"/>
      <c r="Q826" s="112"/>
      <c r="R826" s="112"/>
      <c r="S826" s="112"/>
      <c r="T826" s="112"/>
      <c r="U826" s="124"/>
      <c r="V826" s="124"/>
      <c r="W826" s="124"/>
      <c r="X826" s="124"/>
      <c r="Y826" s="124"/>
      <c r="Z826" s="112"/>
      <c r="AA826" s="112"/>
      <c r="AB826" s="112"/>
      <c r="AC826" s="112"/>
      <c r="AD826" s="112"/>
      <c r="AE826" s="112"/>
      <c r="AF826" s="112"/>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c r="BK826" s="124"/>
      <c r="BL826" s="124"/>
      <c r="BM826" s="124"/>
      <c r="BN826" s="124"/>
      <c r="BO826" s="124"/>
      <c r="BP826" s="124"/>
      <c r="BQ826" s="124"/>
      <c r="BR826" s="124"/>
      <c r="BS826" s="124"/>
      <c r="BT826" s="124"/>
      <c r="BU826" s="124"/>
      <c r="BV826" s="124"/>
      <c r="BW826" s="124"/>
      <c r="BX826" s="124"/>
      <c r="BY826" s="124"/>
      <c r="BZ826" s="124"/>
      <c r="CA826" s="124"/>
    </row>
    <row r="827">
      <c r="D827" s="143"/>
      <c r="E827" s="129"/>
      <c r="F827" s="112"/>
      <c r="G827" s="112"/>
      <c r="H827" s="112"/>
      <c r="I827" s="112"/>
      <c r="J827" s="112"/>
      <c r="K827" s="112"/>
      <c r="L827" s="112"/>
      <c r="M827" s="112"/>
      <c r="N827" s="112"/>
      <c r="O827" s="112"/>
      <c r="P827" s="112"/>
      <c r="Q827" s="112"/>
      <c r="R827" s="112"/>
      <c r="S827" s="112"/>
      <c r="T827" s="112"/>
      <c r="U827" s="124"/>
      <c r="V827" s="124"/>
      <c r="W827" s="124"/>
      <c r="X827" s="124"/>
      <c r="Y827" s="124"/>
      <c r="Z827" s="112"/>
      <c r="AA827" s="112"/>
      <c r="AB827" s="112"/>
      <c r="AC827" s="112"/>
      <c r="AD827" s="112"/>
      <c r="AE827" s="112"/>
      <c r="AF827" s="112"/>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c r="BK827" s="124"/>
      <c r="BL827" s="124"/>
      <c r="BM827" s="124"/>
      <c r="BN827" s="124"/>
      <c r="BO827" s="124"/>
      <c r="BP827" s="124"/>
      <c r="BQ827" s="124"/>
      <c r="BR827" s="124"/>
      <c r="BS827" s="124"/>
      <c r="BT827" s="124"/>
      <c r="BU827" s="124"/>
      <c r="BV827" s="124"/>
      <c r="BW827" s="124"/>
      <c r="BX827" s="124"/>
      <c r="BY827" s="124"/>
      <c r="BZ827" s="124"/>
      <c r="CA827" s="124"/>
    </row>
    <row r="828">
      <c r="D828" s="143"/>
      <c r="E828" s="129"/>
      <c r="F828" s="112"/>
      <c r="G828" s="112"/>
      <c r="H828" s="112"/>
      <c r="I828" s="112"/>
      <c r="J828" s="112"/>
      <c r="K828" s="112"/>
      <c r="L828" s="112"/>
      <c r="M828" s="112"/>
      <c r="N828" s="112"/>
      <c r="O828" s="112"/>
      <c r="P828" s="112"/>
      <c r="Q828" s="112"/>
      <c r="R828" s="112"/>
      <c r="S828" s="112"/>
      <c r="T828" s="112"/>
      <c r="U828" s="124"/>
      <c r="V828" s="124"/>
      <c r="W828" s="124"/>
      <c r="X828" s="124"/>
      <c r="Y828" s="124"/>
      <c r="Z828" s="112"/>
      <c r="AA828" s="112"/>
      <c r="AB828" s="112"/>
      <c r="AC828" s="112"/>
      <c r="AD828" s="112"/>
      <c r="AE828" s="112"/>
      <c r="AF828" s="112"/>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c r="BK828" s="124"/>
      <c r="BL828" s="124"/>
      <c r="BM828" s="124"/>
      <c r="BN828" s="124"/>
      <c r="BO828" s="124"/>
      <c r="BP828" s="124"/>
      <c r="BQ828" s="124"/>
      <c r="BR828" s="124"/>
      <c r="BS828" s="124"/>
      <c r="BT828" s="124"/>
      <c r="BU828" s="124"/>
      <c r="BV828" s="124"/>
      <c r="BW828" s="124"/>
      <c r="BX828" s="124"/>
      <c r="BY828" s="124"/>
      <c r="BZ828" s="124"/>
      <c r="CA828" s="124"/>
    </row>
    <row r="829">
      <c r="D829" s="143"/>
      <c r="E829" s="129"/>
      <c r="F829" s="112"/>
      <c r="G829" s="112"/>
      <c r="H829" s="112"/>
      <c r="I829" s="112"/>
      <c r="J829" s="112"/>
      <c r="K829" s="112"/>
      <c r="L829" s="112"/>
      <c r="M829" s="112"/>
      <c r="N829" s="112"/>
      <c r="O829" s="112"/>
      <c r="P829" s="112"/>
      <c r="Q829" s="112"/>
      <c r="R829" s="112"/>
      <c r="S829" s="112"/>
      <c r="T829" s="112"/>
      <c r="U829" s="124"/>
      <c r="V829" s="124"/>
      <c r="W829" s="124"/>
      <c r="X829" s="124"/>
      <c r="Y829" s="124"/>
      <c r="Z829" s="112"/>
      <c r="AA829" s="112"/>
      <c r="AB829" s="112"/>
      <c r="AC829" s="112"/>
      <c r="AD829" s="112"/>
      <c r="AE829" s="112"/>
      <c r="AF829" s="112"/>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c r="BK829" s="124"/>
      <c r="BL829" s="124"/>
      <c r="BM829" s="124"/>
      <c r="BN829" s="124"/>
      <c r="BO829" s="124"/>
      <c r="BP829" s="124"/>
      <c r="BQ829" s="124"/>
      <c r="BR829" s="124"/>
      <c r="BS829" s="124"/>
      <c r="BT829" s="124"/>
      <c r="BU829" s="124"/>
      <c r="BV829" s="124"/>
      <c r="BW829" s="124"/>
      <c r="BX829" s="124"/>
      <c r="BY829" s="124"/>
      <c r="BZ829" s="124"/>
      <c r="CA829" s="124"/>
    </row>
    <row r="830">
      <c r="D830" s="143"/>
      <c r="E830" s="129"/>
      <c r="F830" s="112"/>
      <c r="G830" s="112"/>
      <c r="H830" s="112"/>
      <c r="I830" s="112"/>
      <c r="J830" s="112"/>
      <c r="K830" s="112"/>
      <c r="L830" s="112"/>
      <c r="M830" s="112"/>
      <c r="N830" s="112"/>
      <c r="O830" s="112"/>
      <c r="P830" s="112"/>
      <c r="Q830" s="112"/>
      <c r="R830" s="112"/>
      <c r="S830" s="112"/>
      <c r="T830" s="112"/>
      <c r="U830" s="124"/>
      <c r="V830" s="124"/>
      <c r="W830" s="124"/>
      <c r="X830" s="124"/>
      <c r="Y830" s="124"/>
      <c r="Z830" s="112"/>
      <c r="AA830" s="112"/>
      <c r="AB830" s="112"/>
      <c r="AC830" s="112"/>
      <c r="AD830" s="112"/>
      <c r="AE830" s="112"/>
      <c r="AF830" s="112"/>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c r="BK830" s="124"/>
      <c r="BL830" s="124"/>
      <c r="BM830" s="124"/>
      <c r="BN830" s="124"/>
      <c r="BO830" s="124"/>
      <c r="BP830" s="124"/>
      <c r="BQ830" s="124"/>
      <c r="BR830" s="124"/>
      <c r="BS830" s="124"/>
      <c r="BT830" s="124"/>
      <c r="BU830" s="124"/>
      <c r="BV830" s="124"/>
      <c r="BW830" s="124"/>
      <c r="BX830" s="124"/>
      <c r="BY830" s="124"/>
      <c r="BZ830" s="124"/>
      <c r="CA830" s="124"/>
    </row>
    <row r="831">
      <c r="D831" s="143"/>
      <c r="E831" s="129"/>
      <c r="F831" s="112"/>
      <c r="G831" s="112"/>
      <c r="H831" s="112"/>
      <c r="I831" s="112"/>
      <c r="J831" s="112"/>
      <c r="K831" s="112"/>
      <c r="L831" s="112"/>
      <c r="M831" s="112"/>
      <c r="N831" s="112"/>
      <c r="O831" s="112"/>
      <c r="P831" s="112"/>
      <c r="Q831" s="112"/>
      <c r="R831" s="112"/>
      <c r="S831" s="112"/>
      <c r="T831" s="112"/>
      <c r="U831" s="124"/>
      <c r="V831" s="124"/>
      <c r="W831" s="124"/>
      <c r="X831" s="124"/>
      <c r="Y831" s="124"/>
      <c r="Z831" s="112"/>
      <c r="AA831" s="112"/>
      <c r="AB831" s="112"/>
      <c r="AC831" s="112"/>
      <c r="AD831" s="112"/>
      <c r="AE831" s="112"/>
      <c r="AF831" s="112"/>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c r="BK831" s="124"/>
      <c r="BL831" s="124"/>
      <c r="BM831" s="124"/>
      <c r="BN831" s="124"/>
      <c r="BO831" s="124"/>
      <c r="BP831" s="124"/>
      <c r="BQ831" s="124"/>
      <c r="BR831" s="124"/>
      <c r="BS831" s="124"/>
      <c r="BT831" s="124"/>
      <c r="BU831" s="124"/>
      <c r="BV831" s="124"/>
      <c r="BW831" s="124"/>
      <c r="BX831" s="124"/>
      <c r="BY831" s="124"/>
      <c r="BZ831" s="124"/>
      <c r="CA831" s="124"/>
    </row>
    <row r="832">
      <c r="D832" s="143"/>
      <c r="E832" s="129"/>
      <c r="F832" s="112"/>
      <c r="G832" s="112"/>
      <c r="H832" s="112"/>
      <c r="I832" s="112"/>
      <c r="J832" s="112"/>
      <c r="K832" s="112"/>
      <c r="L832" s="112"/>
      <c r="M832" s="112"/>
      <c r="N832" s="112"/>
      <c r="O832" s="112"/>
      <c r="P832" s="112"/>
      <c r="Q832" s="112"/>
      <c r="R832" s="112"/>
      <c r="S832" s="112"/>
      <c r="T832" s="112"/>
      <c r="U832" s="124"/>
      <c r="V832" s="124"/>
      <c r="W832" s="124"/>
      <c r="X832" s="124"/>
      <c r="Y832" s="124"/>
      <c r="Z832" s="112"/>
      <c r="AA832" s="112"/>
      <c r="AB832" s="112"/>
      <c r="AC832" s="112"/>
      <c r="AD832" s="112"/>
      <c r="AE832" s="112"/>
      <c r="AF832" s="112"/>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c r="BK832" s="124"/>
      <c r="BL832" s="124"/>
      <c r="BM832" s="124"/>
      <c r="BN832" s="124"/>
      <c r="BO832" s="124"/>
      <c r="BP832" s="124"/>
      <c r="BQ832" s="124"/>
      <c r="BR832" s="124"/>
      <c r="BS832" s="124"/>
      <c r="BT832" s="124"/>
      <c r="BU832" s="124"/>
      <c r="BV832" s="124"/>
      <c r="BW832" s="124"/>
      <c r="BX832" s="124"/>
      <c r="BY832" s="124"/>
      <c r="BZ832" s="124"/>
      <c r="CA832" s="124"/>
    </row>
    <row r="833">
      <c r="D833" s="143"/>
      <c r="E833" s="129"/>
      <c r="F833" s="112"/>
      <c r="G833" s="112"/>
      <c r="H833" s="112"/>
      <c r="I833" s="112"/>
      <c r="J833" s="112"/>
      <c r="K833" s="112"/>
      <c r="L833" s="112"/>
      <c r="M833" s="112"/>
      <c r="N833" s="112"/>
      <c r="O833" s="112"/>
      <c r="P833" s="112"/>
      <c r="Q833" s="112"/>
      <c r="R833" s="112"/>
      <c r="S833" s="112"/>
      <c r="T833" s="112"/>
      <c r="U833" s="124"/>
      <c r="V833" s="124"/>
      <c r="W833" s="124"/>
      <c r="X833" s="124"/>
      <c r="Y833" s="124"/>
      <c r="Z833" s="112"/>
      <c r="AA833" s="112"/>
      <c r="AB833" s="112"/>
      <c r="AC833" s="112"/>
      <c r="AD833" s="112"/>
      <c r="AE833" s="112"/>
      <c r="AF833" s="112"/>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c r="BK833" s="124"/>
      <c r="BL833" s="124"/>
      <c r="BM833" s="124"/>
      <c r="BN833" s="124"/>
      <c r="BO833" s="124"/>
      <c r="BP833" s="124"/>
      <c r="BQ833" s="124"/>
      <c r="BR833" s="124"/>
      <c r="BS833" s="124"/>
      <c r="BT833" s="124"/>
      <c r="BU833" s="124"/>
      <c r="BV833" s="124"/>
      <c r="BW833" s="124"/>
      <c r="BX833" s="124"/>
      <c r="BY833" s="124"/>
      <c r="BZ833" s="124"/>
      <c r="CA833" s="124"/>
    </row>
    <row r="834">
      <c r="D834" s="143"/>
      <c r="E834" s="129"/>
      <c r="F834" s="112"/>
      <c r="G834" s="112"/>
      <c r="H834" s="112"/>
      <c r="I834" s="112"/>
      <c r="J834" s="112"/>
      <c r="K834" s="112"/>
      <c r="L834" s="112"/>
      <c r="M834" s="112"/>
      <c r="N834" s="112"/>
      <c r="O834" s="112"/>
      <c r="P834" s="112"/>
      <c r="Q834" s="112"/>
      <c r="R834" s="112"/>
      <c r="S834" s="112"/>
      <c r="T834" s="112"/>
      <c r="U834" s="124"/>
      <c r="V834" s="124"/>
      <c r="W834" s="124"/>
      <c r="X834" s="124"/>
      <c r="Y834" s="124"/>
      <c r="Z834" s="112"/>
      <c r="AA834" s="112"/>
      <c r="AB834" s="112"/>
      <c r="AC834" s="112"/>
      <c r="AD834" s="112"/>
      <c r="AE834" s="112"/>
      <c r="AF834" s="112"/>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c r="BK834" s="124"/>
      <c r="BL834" s="124"/>
      <c r="BM834" s="124"/>
      <c r="BN834" s="124"/>
      <c r="BO834" s="124"/>
      <c r="BP834" s="124"/>
      <c r="BQ834" s="124"/>
      <c r="BR834" s="124"/>
      <c r="BS834" s="124"/>
      <c r="BT834" s="124"/>
      <c r="BU834" s="124"/>
      <c r="BV834" s="124"/>
      <c r="BW834" s="124"/>
      <c r="BX834" s="124"/>
      <c r="BY834" s="124"/>
      <c r="BZ834" s="124"/>
      <c r="CA834" s="124"/>
    </row>
    <row r="835">
      <c r="D835" s="143"/>
      <c r="E835" s="129"/>
      <c r="F835" s="112"/>
      <c r="G835" s="112"/>
      <c r="H835" s="112"/>
      <c r="I835" s="112"/>
      <c r="J835" s="112"/>
      <c r="K835" s="112"/>
      <c r="L835" s="112"/>
      <c r="M835" s="112"/>
      <c r="N835" s="112"/>
      <c r="O835" s="112"/>
      <c r="P835" s="112"/>
      <c r="Q835" s="112"/>
      <c r="R835" s="112"/>
      <c r="S835" s="112"/>
      <c r="T835" s="112"/>
      <c r="U835" s="124"/>
      <c r="V835" s="124"/>
      <c r="W835" s="124"/>
      <c r="X835" s="124"/>
      <c r="Y835" s="124"/>
      <c r="Z835" s="112"/>
      <c r="AA835" s="112"/>
      <c r="AB835" s="112"/>
      <c r="AC835" s="112"/>
      <c r="AD835" s="112"/>
      <c r="AE835" s="112"/>
      <c r="AF835" s="112"/>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c r="BK835" s="124"/>
      <c r="BL835" s="124"/>
      <c r="BM835" s="124"/>
      <c r="BN835" s="124"/>
      <c r="BO835" s="124"/>
      <c r="BP835" s="124"/>
      <c r="BQ835" s="124"/>
      <c r="BR835" s="124"/>
      <c r="BS835" s="124"/>
      <c r="BT835" s="124"/>
      <c r="BU835" s="124"/>
      <c r="BV835" s="124"/>
      <c r="BW835" s="124"/>
      <c r="BX835" s="124"/>
      <c r="BY835" s="124"/>
      <c r="BZ835" s="124"/>
      <c r="CA835" s="124"/>
    </row>
    <row r="836">
      <c r="D836" s="143"/>
      <c r="E836" s="129"/>
      <c r="F836" s="112"/>
      <c r="G836" s="112"/>
      <c r="H836" s="112"/>
      <c r="I836" s="112"/>
      <c r="J836" s="112"/>
      <c r="K836" s="112"/>
      <c r="L836" s="112"/>
      <c r="M836" s="112"/>
      <c r="N836" s="112"/>
      <c r="O836" s="112"/>
      <c r="P836" s="112"/>
      <c r="Q836" s="112"/>
      <c r="R836" s="112"/>
      <c r="S836" s="112"/>
      <c r="T836" s="112"/>
      <c r="U836" s="124"/>
      <c r="V836" s="124"/>
      <c r="W836" s="124"/>
      <c r="X836" s="124"/>
      <c r="Y836" s="124"/>
      <c r="Z836" s="112"/>
      <c r="AA836" s="112"/>
      <c r="AB836" s="112"/>
      <c r="AC836" s="112"/>
      <c r="AD836" s="112"/>
      <c r="AE836" s="112"/>
      <c r="AF836" s="112"/>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c r="BK836" s="124"/>
      <c r="BL836" s="124"/>
      <c r="BM836" s="124"/>
      <c r="BN836" s="124"/>
      <c r="BO836" s="124"/>
      <c r="BP836" s="124"/>
      <c r="BQ836" s="124"/>
      <c r="BR836" s="124"/>
      <c r="BS836" s="124"/>
      <c r="BT836" s="124"/>
      <c r="BU836" s="124"/>
      <c r="BV836" s="124"/>
      <c r="BW836" s="124"/>
      <c r="BX836" s="124"/>
      <c r="BY836" s="124"/>
      <c r="BZ836" s="124"/>
      <c r="CA836" s="124"/>
    </row>
    <row r="837">
      <c r="D837" s="143"/>
      <c r="E837" s="129"/>
      <c r="F837" s="112"/>
      <c r="G837" s="112"/>
      <c r="H837" s="112"/>
      <c r="I837" s="112"/>
      <c r="J837" s="112"/>
      <c r="K837" s="112"/>
      <c r="L837" s="112"/>
      <c r="M837" s="112"/>
      <c r="N837" s="112"/>
      <c r="O837" s="112"/>
      <c r="P837" s="112"/>
      <c r="Q837" s="112"/>
      <c r="R837" s="112"/>
      <c r="S837" s="112"/>
      <c r="T837" s="112"/>
      <c r="U837" s="124"/>
      <c r="V837" s="124"/>
      <c r="W837" s="124"/>
      <c r="X837" s="124"/>
      <c r="Y837" s="124"/>
      <c r="Z837" s="112"/>
      <c r="AA837" s="112"/>
      <c r="AB837" s="112"/>
      <c r="AC837" s="112"/>
      <c r="AD837" s="112"/>
      <c r="AE837" s="112"/>
      <c r="AF837" s="112"/>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c r="BK837" s="124"/>
      <c r="BL837" s="124"/>
      <c r="BM837" s="124"/>
      <c r="BN837" s="124"/>
      <c r="BO837" s="124"/>
      <c r="BP837" s="124"/>
      <c r="BQ837" s="124"/>
      <c r="BR837" s="124"/>
      <c r="BS837" s="124"/>
      <c r="BT837" s="124"/>
      <c r="BU837" s="124"/>
      <c r="BV837" s="124"/>
      <c r="BW837" s="124"/>
      <c r="BX837" s="124"/>
      <c r="BY837" s="124"/>
      <c r="BZ837" s="124"/>
      <c r="CA837" s="124"/>
    </row>
    <row r="838">
      <c r="D838" s="143"/>
      <c r="E838" s="129"/>
      <c r="F838" s="112"/>
      <c r="G838" s="112"/>
      <c r="H838" s="112"/>
      <c r="I838" s="112"/>
      <c r="J838" s="112"/>
      <c r="K838" s="112"/>
      <c r="L838" s="112"/>
      <c r="M838" s="112"/>
      <c r="N838" s="112"/>
      <c r="O838" s="112"/>
      <c r="P838" s="112"/>
      <c r="Q838" s="112"/>
      <c r="R838" s="112"/>
      <c r="S838" s="112"/>
      <c r="T838" s="112"/>
      <c r="U838" s="124"/>
      <c r="V838" s="124"/>
      <c r="W838" s="124"/>
      <c r="X838" s="124"/>
      <c r="Y838" s="124"/>
      <c r="Z838" s="112"/>
      <c r="AA838" s="112"/>
      <c r="AB838" s="112"/>
      <c r="AC838" s="112"/>
      <c r="AD838" s="112"/>
      <c r="AE838" s="112"/>
      <c r="AF838" s="112"/>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c r="BK838" s="124"/>
      <c r="BL838" s="124"/>
      <c r="BM838" s="124"/>
      <c r="BN838" s="124"/>
      <c r="BO838" s="124"/>
      <c r="BP838" s="124"/>
      <c r="BQ838" s="124"/>
      <c r="BR838" s="124"/>
      <c r="BS838" s="124"/>
      <c r="BT838" s="124"/>
      <c r="BU838" s="124"/>
      <c r="BV838" s="124"/>
      <c r="BW838" s="124"/>
      <c r="BX838" s="124"/>
      <c r="BY838" s="124"/>
      <c r="BZ838" s="124"/>
      <c r="CA838" s="124"/>
    </row>
    <row r="839">
      <c r="D839" s="143"/>
      <c r="E839" s="129"/>
      <c r="F839" s="112"/>
      <c r="G839" s="112"/>
      <c r="H839" s="112"/>
      <c r="I839" s="112"/>
      <c r="J839" s="112"/>
      <c r="K839" s="112"/>
      <c r="L839" s="112"/>
      <c r="M839" s="112"/>
      <c r="N839" s="112"/>
      <c r="O839" s="112"/>
      <c r="P839" s="112"/>
      <c r="Q839" s="112"/>
      <c r="R839" s="112"/>
      <c r="S839" s="112"/>
      <c r="T839" s="112"/>
      <c r="U839" s="124"/>
      <c r="V839" s="124"/>
      <c r="W839" s="124"/>
      <c r="X839" s="124"/>
      <c r="Y839" s="124"/>
      <c r="Z839" s="112"/>
      <c r="AA839" s="112"/>
      <c r="AB839" s="112"/>
      <c r="AC839" s="112"/>
      <c r="AD839" s="112"/>
      <c r="AE839" s="112"/>
      <c r="AF839" s="112"/>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c r="BK839" s="124"/>
      <c r="BL839" s="124"/>
      <c r="BM839" s="124"/>
      <c r="BN839" s="124"/>
      <c r="BO839" s="124"/>
      <c r="BP839" s="124"/>
      <c r="BQ839" s="124"/>
      <c r="BR839" s="124"/>
      <c r="BS839" s="124"/>
      <c r="BT839" s="124"/>
      <c r="BU839" s="124"/>
      <c r="BV839" s="124"/>
      <c r="BW839" s="124"/>
      <c r="BX839" s="124"/>
      <c r="BY839" s="124"/>
      <c r="BZ839" s="124"/>
      <c r="CA839" s="124"/>
    </row>
    <row r="840">
      <c r="D840" s="143"/>
      <c r="E840" s="129"/>
      <c r="F840" s="112"/>
      <c r="G840" s="112"/>
      <c r="H840" s="112"/>
      <c r="I840" s="112"/>
      <c r="J840" s="112"/>
      <c r="K840" s="112"/>
      <c r="L840" s="112"/>
      <c r="M840" s="112"/>
      <c r="N840" s="112"/>
      <c r="O840" s="112"/>
      <c r="P840" s="112"/>
      <c r="Q840" s="112"/>
      <c r="R840" s="112"/>
      <c r="S840" s="112"/>
      <c r="T840" s="112"/>
      <c r="U840" s="124"/>
      <c r="V840" s="124"/>
      <c r="W840" s="124"/>
      <c r="X840" s="124"/>
      <c r="Y840" s="124"/>
      <c r="Z840" s="112"/>
      <c r="AA840" s="112"/>
      <c r="AB840" s="112"/>
      <c r="AC840" s="112"/>
      <c r="AD840" s="112"/>
      <c r="AE840" s="112"/>
      <c r="AF840" s="112"/>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c r="BK840" s="124"/>
      <c r="BL840" s="124"/>
      <c r="BM840" s="124"/>
      <c r="BN840" s="124"/>
      <c r="BO840" s="124"/>
      <c r="BP840" s="124"/>
      <c r="BQ840" s="124"/>
      <c r="BR840" s="124"/>
      <c r="BS840" s="124"/>
      <c r="BT840" s="124"/>
      <c r="BU840" s="124"/>
      <c r="BV840" s="124"/>
      <c r="BW840" s="124"/>
      <c r="BX840" s="124"/>
      <c r="BY840" s="124"/>
      <c r="BZ840" s="124"/>
      <c r="CA840" s="124"/>
    </row>
    <row r="841">
      <c r="D841" s="143"/>
      <c r="E841" s="129"/>
      <c r="F841" s="112"/>
      <c r="G841" s="112"/>
      <c r="H841" s="112"/>
      <c r="I841" s="112"/>
      <c r="J841" s="112"/>
      <c r="K841" s="112"/>
      <c r="L841" s="112"/>
      <c r="M841" s="112"/>
      <c r="N841" s="112"/>
      <c r="O841" s="112"/>
      <c r="P841" s="112"/>
      <c r="Q841" s="112"/>
      <c r="R841" s="112"/>
      <c r="S841" s="112"/>
      <c r="T841" s="112"/>
      <c r="U841" s="124"/>
      <c r="V841" s="124"/>
      <c r="W841" s="124"/>
      <c r="X841" s="124"/>
      <c r="Y841" s="124"/>
      <c r="Z841" s="112"/>
      <c r="AA841" s="112"/>
      <c r="AB841" s="112"/>
      <c r="AC841" s="112"/>
      <c r="AD841" s="112"/>
      <c r="AE841" s="112"/>
      <c r="AF841" s="112"/>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c r="BK841" s="124"/>
      <c r="BL841" s="124"/>
      <c r="BM841" s="124"/>
      <c r="BN841" s="124"/>
      <c r="BO841" s="124"/>
      <c r="BP841" s="124"/>
      <c r="BQ841" s="124"/>
      <c r="BR841" s="124"/>
      <c r="BS841" s="124"/>
      <c r="BT841" s="124"/>
      <c r="BU841" s="124"/>
      <c r="BV841" s="124"/>
      <c r="BW841" s="124"/>
      <c r="BX841" s="124"/>
      <c r="BY841" s="124"/>
      <c r="BZ841" s="124"/>
      <c r="CA841" s="124"/>
    </row>
    <row r="842">
      <c r="D842" s="143"/>
      <c r="E842" s="129"/>
      <c r="F842" s="112"/>
      <c r="G842" s="112"/>
      <c r="H842" s="112"/>
      <c r="I842" s="112"/>
      <c r="J842" s="112"/>
      <c r="K842" s="112"/>
      <c r="L842" s="112"/>
      <c r="M842" s="112"/>
      <c r="N842" s="112"/>
      <c r="O842" s="112"/>
      <c r="P842" s="112"/>
      <c r="Q842" s="112"/>
      <c r="R842" s="112"/>
      <c r="S842" s="112"/>
      <c r="T842" s="112"/>
      <c r="U842" s="124"/>
      <c r="V842" s="124"/>
      <c r="W842" s="124"/>
      <c r="X842" s="124"/>
      <c r="Y842" s="124"/>
      <c r="Z842" s="112"/>
      <c r="AA842" s="112"/>
      <c r="AB842" s="112"/>
      <c r="AC842" s="112"/>
      <c r="AD842" s="112"/>
      <c r="AE842" s="112"/>
      <c r="AF842" s="112"/>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c r="BK842" s="124"/>
      <c r="BL842" s="124"/>
      <c r="BM842" s="124"/>
      <c r="BN842" s="124"/>
      <c r="BO842" s="124"/>
      <c r="BP842" s="124"/>
      <c r="BQ842" s="124"/>
      <c r="BR842" s="124"/>
      <c r="BS842" s="124"/>
      <c r="BT842" s="124"/>
      <c r="BU842" s="124"/>
      <c r="BV842" s="124"/>
      <c r="BW842" s="124"/>
      <c r="BX842" s="124"/>
      <c r="BY842" s="124"/>
      <c r="BZ842" s="124"/>
      <c r="CA842" s="124"/>
    </row>
    <row r="843">
      <c r="D843" s="143"/>
      <c r="E843" s="129"/>
      <c r="F843" s="112"/>
      <c r="G843" s="112"/>
      <c r="H843" s="112"/>
      <c r="I843" s="112"/>
      <c r="J843" s="112"/>
      <c r="K843" s="112"/>
      <c r="L843" s="112"/>
      <c r="M843" s="112"/>
      <c r="N843" s="112"/>
      <c r="O843" s="112"/>
      <c r="P843" s="112"/>
      <c r="Q843" s="112"/>
      <c r="R843" s="112"/>
      <c r="S843" s="112"/>
      <c r="T843" s="112"/>
      <c r="U843" s="124"/>
      <c r="V843" s="124"/>
      <c r="W843" s="124"/>
      <c r="X843" s="124"/>
      <c r="Y843" s="124"/>
      <c r="Z843" s="112"/>
      <c r="AA843" s="112"/>
      <c r="AB843" s="112"/>
      <c r="AC843" s="112"/>
      <c r="AD843" s="112"/>
      <c r="AE843" s="112"/>
      <c r="AF843" s="112"/>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c r="BK843" s="124"/>
      <c r="BL843" s="124"/>
      <c r="BM843" s="124"/>
      <c r="BN843" s="124"/>
      <c r="BO843" s="124"/>
      <c r="BP843" s="124"/>
      <c r="BQ843" s="124"/>
      <c r="BR843" s="124"/>
      <c r="BS843" s="124"/>
      <c r="BT843" s="124"/>
      <c r="BU843" s="124"/>
      <c r="BV843" s="124"/>
      <c r="BW843" s="124"/>
      <c r="BX843" s="124"/>
      <c r="BY843" s="124"/>
      <c r="BZ843" s="124"/>
      <c r="CA843" s="124"/>
    </row>
    <row r="844">
      <c r="D844" s="143"/>
      <c r="E844" s="129"/>
      <c r="F844" s="112"/>
      <c r="G844" s="112"/>
      <c r="H844" s="112"/>
      <c r="I844" s="112"/>
      <c r="J844" s="112"/>
      <c r="K844" s="112"/>
      <c r="L844" s="112"/>
      <c r="M844" s="112"/>
      <c r="N844" s="112"/>
      <c r="O844" s="112"/>
      <c r="P844" s="112"/>
      <c r="Q844" s="112"/>
      <c r="R844" s="112"/>
      <c r="S844" s="112"/>
      <c r="T844" s="112"/>
      <c r="U844" s="124"/>
      <c r="V844" s="124"/>
      <c r="W844" s="124"/>
      <c r="X844" s="124"/>
      <c r="Y844" s="124"/>
      <c r="Z844" s="112"/>
      <c r="AA844" s="112"/>
      <c r="AB844" s="112"/>
      <c r="AC844" s="112"/>
      <c r="AD844" s="112"/>
      <c r="AE844" s="112"/>
      <c r="AF844" s="112"/>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c r="BK844" s="124"/>
      <c r="BL844" s="124"/>
      <c r="BM844" s="124"/>
      <c r="BN844" s="124"/>
      <c r="BO844" s="124"/>
      <c r="BP844" s="124"/>
      <c r="BQ844" s="124"/>
      <c r="BR844" s="124"/>
      <c r="BS844" s="124"/>
      <c r="BT844" s="124"/>
      <c r="BU844" s="124"/>
      <c r="BV844" s="124"/>
      <c r="BW844" s="124"/>
      <c r="BX844" s="124"/>
      <c r="BY844" s="124"/>
      <c r="BZ844" s="124"/>
      <c r="CA844" s="124"/>
    </row>
    <row r="845">
      <c r="D845" s="143"/>
      <c r="E845" s="129"/>
      <c r="F845" s="112"/>
      <c r="G845" s="112"/>
      <c r="H845" s="112"/>
      <c r="I845" s="112"/>
      <c r="J845" s="112"/>
      <c r="K845" s="112"/>
      <c r="L845" s="112"/>
      <c r="M845" s="112"/>
      <c r="N845" s="112"/>
      <c r="O845" s="112"/>
      <c r="P845" s="112"/>
      <c r="Q845" s="112"/>
      <c r="R845" s="112"/>
      <c r="S845" s="112"/>
      <c r="T845" s="112"/>
      <c r="U845" s="124"/>
      <c r="V845" s="124"/>
      <c r="W845" s="124"/>
      <c r="X845" s="124"/>
      <c r="Y845" s="124"/>
      <c r="Z845" s="112"/>
      <c r="AA845" s="112"/>
      <c r="AB845" s="112"/>
      <c r="AC845" s="112"/>
      <c r="AD845" s="112"/>
      <c r="AE845" s="112"/>
      <c r="AF845" s="112"/>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c r="BK845" s="124"/>
      <c r="BL845" s="124"/>
      <c r="BM845" s="124"/>
      <c r="BN845" s="124"/>
      <c r="BO845" s="124"/>
      <c r="BP845" s="124"/>
      <c r="BQ845" s="124"/>
      <c r="BR845" s="124"/>
      <c r="BS845" s="124"/>
      <c r="BT845" s="124"/>
      <c r="BU845" s="124"/>
      <c r="BV845" s="124"/>
      <c r="BW845" s="124"/>
      <c r="BX845" s="124"/>
      <c r="BY845" s="124"/>
      <c r="BZ845" s="124"/>
      <c r="CA845" s="124"/>
    </row>
    <row r="846">
      <c r="D846" s="143"/>
      <c r="E846" s="129"/>
      <c r="F846" s="112"/>
      <c r="G846" s="112"/>
      <c r="H846" s="112"/>
      <c r="I846" s="112"/>
      <c r="J846" s="112"/>
      <c r="K846" s="112"/>
      <c r="L846" s="112"/>
      <c r="M846" s="112"/>
      <c r="N846" s="112"/>
      <c r="O846" s="112"/>
      <c r="P846" s="112"/>
      <c r="Q846" s="112"/>
      <c r="R846" s="112"/>
      <c r="S846" s="112"/>
      <c r="T846" s="112"/>
      <c r="U846" s="124"/>
      <c r="V846" s="124"/>
      <c r="W846" s="124"/>
      <c r="X846" s="124"/>
      <c r="Y846" s="124"/>
      <c r="Z846" s="112"/>
      <c r="AA846" s="112"/>
      <c r="AB846" s="112"/>
      <c r="AC846" s="112"/>
      <c r="AD846" s="112"/>
      <c r="AE846" s="112"/>
      <c r="AF846" s="112"/>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c r="BK846" s="124"/>
      <c r="BL846" s="124"/>
      <c r="BM846" s="124"/>
      <c r="BN846" s="124"/>
      <c r="BO846" s="124"/>
      <c r="BP846" s="124"/>
      <c r="BQ846" s="124"/>
      <c r="BR846" s="124"/>
      <c r="BS846" s="124"/>
      <c r="BT846" s="124"/>
      <c r="BU846" s="124"/>
      <c r="BV846" s="124"/>
      <c r="BW846" s="124"/>
      <c r="BX846" s="124"/>
      <c r="BY846" s="124"/>
      <c r="BZ846" s="124"/>
      <c r="CA846" s="124"/>
    </row>
    <row r="847">
      <c r="D847" s="143"/>
      <c r="E847" s="129"/>
      <c r="F847" s="112"/>
      <c r="G847" s="112"/>
      <c r="H847" s="112"/>
      <c r="I847" s="112"/>
      <c r="J847" s="112"/>
      <c r="K847" s="112"/>
      <c r="L847" s="112"/>
      <c r="M847" s="112"/>
      <c r="N847" s="112"/>
      <c r="O847" s="112"/>
      <c r="P847" s="112"/>
      <c r="Q847" s="112"/>
      <c r="R847" s="112"/>
      <c r="S847" s="112"/>
      <c r="T847" s="112"/>
      <c r="U847" s="124"/>
      <c r="V847" s="124"/>
      <c r="W847" s="124"/>
      <c r="X847" s="124"/>
      <c r="Y847" s="124"/>
      <c r="Z847" s="112"/>
      <c r="AA847" s="112"/>
      <c r="AB847" s="112"/>
      <c r="AC847" s="112"/>
      <c r="AD847" s="112"/>
      <c r="AE847" s="112"/>
      <c r="AF847" s="112"/>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c r="BK847" s="124"/>
      <c r="BL847" s="124"/>
      <c r="BM847" s="124"/>
      <c r="BN847" s="124"/>
      <c r="BO847" s="124"/>
      <c r="BP847" s="124"/>
      <c r="BQ847" s="124"/>
      <c r="BR847" s="124"/>
      <c r="BS847" s="124"/>
      <c r="BT847" s="124"/>
      <c r="BU847" s="124"/>
      <c r="BV847" s="124"/>
      <c r="BW847" s="124"/>
      <c r="BX847" s="124"/>
      <c r="BY847" s="124"/>
      <c r="BZ847" s="124"/>
      <c r="CA847" s="124"/>
    </row>
    <row r="848">
      <c r="D848" s="143"/>
      <c r="E848" s="129"/>
      <c r="F848" s="112"/>
      <c r="G848" s="112"/>
      <c r="H848" s="112"/>
      <c r="I848" s="112"/>
      <c r="J848" s="112"/>
      <c r="K848" s="112"/>
      <c r="L848" s="112"/>
      <c r="M848" s="112"/>
      <c r="N848" s="112"/>
      <c r="O848" s="112"/>
      <c r="P848" s="112"/>
      <c r="Q848" s="112"/>
      <c r="R848" s="112"/>
      <c r="S848" s="112"/>
      <c r="T848" s="112"/>
      <c r="U848" s="124"/>
      <c r="V848" s="124"/>
      <c r="W848" s="124"/>
      <c r="X848" s="124"/>
      <c r="Y848" s="124"/>
      <c r="Z848" s="112"/>
      <c r="AA848" s="112"/>
      <c r="AB848" s="112"/>
      <c r="AC848" s="112"/>
      <c r="AD848" s="112"/>
      <c r="AE848" s="112"/>
      <c r="AF848" s="112"/>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c r="BK848" s="124"/>
      <c r="BL848" s="124"/>
      <c r="BM848" s="124"/>
      <c r="BN848" s="124"/>
      <c r="BO848" s="124"/>
      <c r="BP848" s="124"/>
      <c r="BQ848" s="124"/>
      <c r="BR848" s="124"/>
      <c r="BS848" s="124"/>
      <c r="BT848" s="124"/>
      <c r="BU848" s="124"/>
      <c r="BV848" s="124"/>
      <c r="BW848" s="124"/>
      <c r="BX848" s="124"/>
      <c r="BY848" s="124"/>
      <c r="BZ848" s="124"/>
      <c r="CA848" s="124"/>
    </row>
    <row r="849">
      <c r="D849" s="143"/>
      <c r="E849" s="129"/>
      <c r="F849" s="112"/>
      <c r="G849" s="112"/>
      <c r="H849" s="112"/>
      <c r="I849" s="112"/>
      <c r="J849" s="112"/>
      <c r="K849" s="112"/>
      <c r="L849" s="112"/>
      <c r="M849" s="112"/>
      <c r="N849" s="112"/>
      <c r="O849" s="112"/>
      <c r="P849" s="112"/>
      <c r="Q849" s="112"/>
      <c r="R849" s="112"/>
      <c r="S849" s="112"/>
      <c r="T849" s="112"/>
      <c r="U849" s="124"/>
      <c r="V849" s="124"/>
      <c r="W849" s="124"/>
      <c r="X849" s="124"/>
      <c r="Y849" s="124"/>
      <c r="Z849" s="112"/>
      <c r="AA849" s="112"/>
      <c r="AB849" s="112"/>
      <c r="AC849" s="112"/>
      <c r="AD849" s="112"/>
      <c r="AE849" s="112"/>
      <c r="AF849" s="112"/>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c r="BK849" s="124"/>
      <c r="BL849" s="124"/>
      <c r="BM849" s="124"/>
      <c r="BN849" s="124"/>
      <c r="BO849" s="124"/>
      <c r="BP849" s="124"/>
      <c r="BQ849" s="124"/>
      <c r="BR849" s="124"/>
      <c r="BS849" s="124"/>
      <c r="BT849" s="124"/>
      <c r="BU849" s="124"/>
      <c r="BV849" s="124"/>
      <c r="BW849" s="124"/>
      <c r="BX849" s="124"/>
      <c r="BY849" s="124"/>
      <c r="BZ849" s="124"/>
      <c r="CA849" s="124"/>
    </row>
    <row r="850">
      <c r="D850" s="143"/>
      <c r="E850" s="129"/>
      <c r="F850" s="112"/>
      <c r="G850" s="112"/>
      <c r="H850" s="112"/>
      <c r="I850" s="112"/>
      <c r="J850" s="112"/>
      <c r="K850" s="112"/>
      <c r="L850" s="112"/>
      <c r="M850" s="112"/>
      <c r="N850" s="112"/>
      <c r="O850" s="112"/>
      <c r="P850" s="112"/>
      <c r="Q850" s="112"/>
      <c r="R850" s="112"/>
      <c r="S850" s="112"/>
      <c r="T850" s="112"/>
      <c r="U850" s="124"/>
      <c r="V850" s="124"/>
      <c r="W850" s="124"/>
      <c r="X850" s="124"/>
      <c r="Y850" s="124"/>
      <c r="Z850" s="112"/>
      <c r="AA850" s="112"/>
      <c r="AB850" s="112"/>
      <c r="AC850" s="112"/>
      <c r="AD850" s="112"/>
      <c r="AE850" s="112"/>
      <c r="AF850" s="112"/>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c r="BK850" s="124"/>
      <c r="BL850" s="124"/>
      <c r="BM850" s="124"/>
      <c r="BN850" s="124"/>
      <c r="BO850" s="124"/>
      <c r="BP850" s="124"/>
      <c r="BQ850" s="124"/>
      <c r="BR850" s="124"/>
      <c r="BS850" s="124"/>
      <c r="BT850" s="124"/>
      <c r="BU850" s="124"/>
      <c r="BV850" s="124"/>
      <c r="BW850" s="124"/>
      <c r="BX850" s="124"/>
      <c r="BY850" s="124"/>
      <c r="BZ850" s="124"/>
      <c r="CA850" s="124"/>
    </row>
    <row r="851">
      <c r="D851" s="143"/>
      <c r="E851" s="129"/>
      <c r="F851" s="112"/>
      <c r="G851" s="112"/>
      <c r="H851" s="112"/>
      <c r="I851" s="112"/>
      <c r="J851" s="112"/>
      <c r="K851" s="112"/>
      <c r="L851" s="112"/>
      <c r="M851" s="112"/>
      <c r="N851" s="112"/>
      <c r="O851" s="112"/>
      <c r="P851" s="112"/>
      <c r="Q851" s="112"/>
      <c r="R851" s="112"/>
      <c r="S851" s="112"/>
      <c r="T851" s="112"/>
      <c r="U851" s="124"/>
      <c r="V851" s="124"/>
      <c r="W851" s="124"/>
      <c r="X851" s="124"/>
      <c r="Y851" s="124"/>
      <c r="Z851" s="112"/>
      <c r="AA851" s="112"/>
      <c r="AB851" s="112"/>
      <c r="AC851" s="112"/>
      <c r="AD851" s="112"/>
      <c r="AE851" s="112"/>
      <c r="AF851" s="112"/>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c r="BK851" s="124"/>
      <c r="BL851" s="124"/>
      <c r="BM851" s="124"/>
      <c r="BN851" s="124"/>
      <c r="BO851" s="124"/>
      <c r="BP851" s="124"/>
      <c r="BQ851" s="124"/>
      <c r="BR851" s="124"/>
      <c r="BS851" s="124"/>
      <c r="BT851" s="124"/>
      <c r="BU851" s="124"/>
      <c r="BV851" s="124"/>
      <c r="BW851" s="124"/>
      <c r="BX851" s="124"/>
      <c r="BY851" s="124"/>
      <c r="BZ851" s="124"/>
      <c r="CA851" s="124"/>
    </row>
    <row r="852">
      <c r="D852" s="143"/>
      <c r="E852" s="129"/>
      <c r="F852" s="112"/>
      <c r="G852" s="112"/>
      <c r="H852" s="112"/>
      <c r="I852" s="112"/>
      <c r="J852" s="112"/>
      <c r="K852" s="112"/>
      <c r="L852" s="112"/>
      <c r="M852" s="112"/>
      <c r="N852" s="112"/>
      <c r="O852" s="112"/>
      <c r="P852" s="112"/>
      <c r="Q852" s="112"/>
      <c r="R852" s="112"/>
      <c r="S852" s="112"/>
      <c r="T852" s="112"/>
      <c r="U852" s="124"/>
      <c r="V852" s="124"/>
      <c r="W852" s="124"/>
      <c r="X852" s="124"/>
      <c r="Y852" s="124"/>
      <c r="Z852" s="112"/>
      <c r="AA852" s="112"/>
      <c r="AB852" s="112"/>
      <c r="AC852" s="112"/>
      <c r="AD852" s="112"/>
      <c r="AE852" s="112"/>
      <c r="AF852" s="112"/>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c r="BK852" s="124"/>
      <c r="BL852" s="124"/>
      <c r="BM852" s="124"/>
      <c r="BN852" s="124"/>
      <c r="BO852" s="124"/>
      <c r="BP852" s="124"/>
      <c r="BQ852" s="124"/>
      <c r="BR852" s="124"/>
      <c r="BS852" s="124"/>
      <c r="BT852" s="124"/>
      <c r="BU852" s="124"/>
      <c r="BV852" s="124"/>
      <c r="BW852" s="124"/>
      <c r="BX852" s="124"/>
      <c r="BY852" s="124"/>
      <c r="BZ852" s="124"/>
      <c r="CA852" s="124"/>
    </row>
    <row r="853">
      <c r="D853" s="143"/>
      <c r="E853" s="129"/>
      <c r="F853" s="112"/>
      <c r="G853" s="112"/>
      <c r="H853" s="112"/>
      <c r="I853" s="112"/>
      <c r="J853" s="112"/>
      <c r="K853" s="112"/>
      <c r="L853" s="112"/>
      <c r="M853" s="112"/>
      <c r="N853" s="112"/>
      <c r="O853" s="112"/>
      <c r="P853" s="112"/>
      <c r="Q853" s="112"/>
      <c r="R853" s="112"/>
      <c r="S853" s="112"/>
      <c r="T853" s="112"/>
      <c r="U853" s="124"/>
      <c r="V853" s="124"/>
      <c r="W853" s="124"/>
      <c r="X853" s="124"/>
      <c r="Y853" s="124"/>
      <c r="Z853" s="112"/>
      <c r="AA853" s="112"/>
      <c r="AB853" s="112"/>
      <c r="AC853" s="112"/>
      <c r="AD853" s="112"/>
      <c r="AE853" s="112"/>
      <c r="AF853" s="112"/>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c r="BK853" s="124"/>
      <c r="BL853" s="124"/>
      <c r="BM853" s="124"/>
      <c r="BN853" s="124"/>
      <c r="BO853" s="124"/>
      <c r="BP853" s="124"/>
      <c r="BQ853" s="124"/>
      <c r="BR853" s="124"/>
      <c r="BS853" s="124"/>
      <c r="BT853" s="124"/>
      <c r="BU853" s="124"/>
      <c r="BV853" s="124"/>
      <c r="BW853" s="124"/>
      <c r="BX853" s="124"/>
      <c r="BY853" s="124"/>
      <c r="BZ853" s="124"/>
      <c r="CA853" s="124"/>
    </row>
    <row r="854">
      <c r="D854" s="143"/>
      <c r="E854" s="129"/>
      <c r="F854" s="112"/>
      <c r="G854" s="112"/>
      <c r="H854" s="112"/>
      <c r="I854" s="112"/>
      <c r="J854" s="112"/>
      <c r="K854" s="112"/>
      <c r="L854" s="112"/>
      <c r="M854" s="112"/>
      <c r="N854" s="112"/>
      <c r="O854" s="112"/>
      <c r="P854" s="112"/>
      <c r="Q854" s="112"/>
      <c r="R854" s="112"/>
      <c r="S854" s="112"/>
      <c r="T854" s="112"/>
      <c r="U854" s="124"/>
      <c r="V854" s="124"/>
      <c r="W854" s="124"/>
      <c r="X854" s="124"/>
      <c r="Y854" s="124"/>
      <c r="Z854" s="112"/>
      <c r="AA854" s="112"/>
      <c r="AB854" s="112"/>
      <c r="AC854" s="112"/>
      <c r="AD854" s="112"/>
      <c r="AE854" s="112"/>
      <c r="AF854" s="112"/>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c r="BK854" s="124"/>
      <c r="BL854" s="124"/>
      <c r="BM854" s="124"/>
      <c r="BN854" s="124"/>
      <c r="BO854" s="124"/>
      <c r="BP854" s="124"/>
      <c r="BQ854" s="124"/>
      <c r="BR854" s="124"/>
      <c r="BS854" s="124"/>
      <c r="BT854" s="124"/>
      <c r="BU854" s="124"/>
      <c r="BV854" s="124"/>
      <c r="BW854" s="124"/>
      <c r="BX854" s="124"/>
      <c r="BY854" s="124"/>
      <c r="BZ854" s="124"/>
      <c r="CA854" s="124"/>
    </row>
    <row r="855">
      <c r="D855" s="143"/>
      <c r="E855" s="129"/>
      <c r="F855" s="112"/>
      <c r="G855" s="112"/>
      <c r="H855" s="112"/>
      <c r="I855" s="112"/>
      <c r="J855" s="112"/>
      <c r="K855" s="112"/>
      <c r="L855" s="112"/>
      <c r="M855" s="112"/>
      <c r="N855" s="112"/>
      <c r="O855" s="112"/>
      <c r="P855" s="112"/>
      <c r="Q855" s="112"/>
      <c r="R855" s="112"/>
      <c r="S855" s="112"/>
      <c r="T855" s="112"/>
      <c r="U855" s="124"/>
      <c r="V855" s="124"/>
      <c r="W855" s="124"/>
      <c r="X855" s="124"/>
      <c r="Y855" s="124"/>
      <c r="Z855" s="112"/>
      <c r="AA855" s="112"/>
      <c r="AB855" s="112"/>
      <c r="AC855" s="112"/>
      <c r="AD855" s="112"/>
      <c r="AE855" s="112"/>
      <c r="AF855" s="112"/>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c r="BK855" s="124"/>
      <c r="BL855" s="124"/>
      <c r="BM855" s="124"/>
      <c r="BN855" s="124"/>
      <c r="BO855" s="124"/>
      <c r="BP855" s="124"/>
      <c r="BQ855" s="124"/>
      <c r="BR855" s="124"/>
      <c r="BS855" s="124"/>
      <c r="BT855" s="124"/>
      <c r="BU855" s="124"/>
      <c r="BV855" s="124"/>
      <c r="BW855" s="124"/>
      <c r="BX855" s="124"/>
      <c r="BY855" s="124"/>
      <c r="BZ855" s="124"/>
      <c r="CA855" s="124"/>
    </row>
    <row r="856">
      <c r="D856" s="143"/>
      <c r="E856" s="129"/>
      <c r="F856" s="112"/>
      <c r="G856" s="112"/>
      <c r="H856" s="112"/>
      <c r="I856" s="112"/>
      <c r="J856" s="112"/>
      <c r="K856" s="112"/>
      <c r="L856" s="112"/>
      <c r="M856" s="112"/>
      <c r="N856" s="112"/>
      <c r="O856" s="112"/>
      <c r="P856" s="112"/>
      <c r="Q856" s="112"/>
      <c r="R856" s="112"/>
      <c r="S856" s="112"/>
      <c r="T856" s="112"/>
      <c r="U856" s="124"/>
      <c r="V856" s="124"/>
      <c r="W856" s="124"/>
      <c r="X856" s="124"/>
      <c r="Y856" s="124"/>
      <c r="Z856" s="112"/>
      <c r="AA856" s="112"/>
      <c r="AB856" s="112"/>
      <c r="AC856" s="112"/>
      <c r="AD856" s="112"/>
      <c r="AE856" s="112"/>
      <c r="AF856" s="112"/>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c r="BK856" s="124"/>
      <c r="BL856" s="124"/>
      <c r="BM856" s="124"/>
      <c r="BN856" s="124"/>
      <c r="BO856" s="124"/>
      <c r="BP856" s="124"/>
      <c r="BQ856" s="124"/>
      <c r="BR856" s="124"/>
      <c r="BS856" s="124"/>
      <c r="BT856" s="124"/>
      <c r="BU856" s="124"/>
      <c r="BV856" s="124"/>
      <c r="BW856" s="124"/>
      <c r="BX856" s="124"/>
      <c r="BY856" s="124"/>
      <c r="BZ856" s="124"/>
      <c r="CA856" s="124"/>
    </row>
    <row r="857">
      <c r="D857" s="143"/>
      <c r="E857" s="129"/>
      <c r="F857" s="112"/>
      <c r="G857" s="112"/>
      <c r="H857" s="112"/>
      <c r="I857" s="112"/>
      <c r="J857" s="112"/>
      <c r="K857" s="112"/>
      <c r="L857" s="112"/>
      <c r="M857" s="112"/>
      <c r="N857" s="112"/>
      <c r="O857" s="112"/>
      <c r="P857" s="112"/>
      <c r="Q857" s="112"/>
      <c r="R857" s="112"/>
      <c r="S857" s="112"/>
      <c r="T857" s="112"/>
      <c r="U857" s="124"/>
      <c r="V857" s="124"/>
      <c r="W857" s="124"/>
      <c r="X857" s="124"/>
      <c r="Y857" s="124"/>
      <c r="Z857" s="112"/>
      <c r="AA857" s="112"/>
      <c r="AB857" s="112"/>
      <c r="AC857" s="112"/>
      <c r="AD857" s="112"/>
      <c r="AE857" s="112"/>
      <c r="AF857" s="112"/>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c r="BK857" s="124"/>
      <c r="BL857" s="124"/>
      <c r="BM857" s="124"/>
      <c r="BN857" s="124"/>
      <c r="BO857" s="124"/>
      <c r="BP857" s="124"/>
      <c r="BQ857" s="124"/>
      <c r="BR857" s="124"/>
      <c r="BS857" s="124"/>
      <c r="BT857" s="124"/>
      <c r="BU857" s="124"/>
      <c r="BV857" s="124"/>
      <c r="BW857" s="124"/>
      <c r="BX857" s="124"/>
      <c r="BY857" s="124"/>
      <c r="BZ857" s="124"/>
      <c r="CA857" s="124"/>
    </row>
    <row r="858">
      <c r="D858" s="143"/>
      <c r="E858" s="129"/>
      <c r="F858" s="112"/>
      <c r="G858" s="112"/>
      <c r="H858" s="112"/>
      <c r="I858" s="112"/>
      <c r="J858" s="112"/>
      <c r="K858" s="112"/>
      <c r="L858" s="112"/>
      <c r="M858" s="112"/>
      <c r="N858" s="112"/>
      <c r="O858" s="112"/>
      <c r="P858" s="112"/>
      <c r="Q858" s="112"/>
      <c r="R858" s="112"/>
      <c r="S858" s="112"/>
      <c r="T858" s="112"/>
      <c r="U858" s="124"/>
      <c r="V858" s="124"/>
      <c r="W858" s="124"/>
      <c r="X858" s="124"/>
      <c r="Y858" s="124"/>
      <c r="Z858" s="112"/>
      <c r="AA858" s="112"/>
      <c r="AB858" s="112"/>
      <c r="AC858" s="112"/>
      <c r="AD858" s="112"/>
      <c r="AE858" s="112"/>
      <c r="AF858" s="112"/>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c r="BK858" s="124"/>
      <c r="BL858" s="124"/>
      <c r="BM858" s="124"/>
      <c r="BN858" s="124"/>
      <c r="BO858" s="124"/>
      <c r="BP858" s="124"/>
      <c r="BQ858" s="124"/>
      <c r="BR858" s="124"/>
      <c r="BS858" s="124"/>
      <c r="BT858" s="124"/>
      <c r="BU858" s="124"/>
      <c r="BV858" s="124"/>
      <c r="BW858" s="124"/>
      <c r="BX858" s="124"/>
      <c r="BY858" s="124"/>
      <c r="BZ858" s="124"/>
      <c r="CA858" s="124"/>
    </row>
    <row r="859">
      <c r="D859" s="143"/>
      <c r="E859" s="129"/>
      <c r="F859" s="112"/>
      <c r="G859" s="112"/>
      <c r="H859" s="112"/>
      <c r="I859" s="112"/>
      <c r="J859" s="112"/>
      <c r="K859" s="112"/>
      <c r="L859" s="112"/>
      <c r="M859" s="112"/>
      <c r="N859" s="112"/>
      <c r="O859" s="112"/>
      <c r="P859" s="112"/>
      <c r="Q859" s="112"/>
      <c r="R859" s="112"/>
      <c r="S859" s="112"/>
      <c r="T859" s="112"/>
      <c r="U859" s="124"/>
      <c r="V859" s="124"/>
      <c r="W859" s="124"/>
      <c r="X859" s="124"/>
      <c r="Y859" s="124"/>
      <c r="Z859" s="112"/>
      <c r="AA859" s="112"/>
      <c r="AB859" s="112"/>
      <c r="AC859" s="112"/>
      <c r="AD859" s="112"/>
      <c r="AE859" s="112"/>
      <c r="AF859" s="112"/>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c r="BK859" s="124"/>
      <c r="BL859" s="124"/>
      <c r="BM859" s="124"/>
      <c r="BN859" s="124"/>
      <c r="BO859" s="124"/>
      <c r="BP859" s="124"/>
      <c r="BQ859" s="124"/>
      <c r="BR859" s="124"/>
      <c r="BS859" s="124"/>
      <c r="BT859" s="124"/>
      <c r="BU859" s="124"/>
      <c r="BV859" s="124"/>
      <c r="BW859" s="124"/>
      <c r="BX859" s="124"/>
      <c r="BY859" s="124"/>
      <c r="BZ859" s="124"/>
      <c r="CA859" s="124"/>
    </row>
    <row r="860">
      <c r="D860" s="143"/>
      <c r="E860" s="129"/>
      <c r="F860" s="112"/>
      <c r="G860" s="112"/>
      <c r="H860" s="112"/>
      <c r="I860" s="112"/>
      <c r="J860" s="112"/>
      <c r="K860" s="112"/>
      <c r="L860" s="112"/>
      <c r="M860" s="112"/>
      <c r="N860" s="112"/>
      <c r="O860" s="112"/>
      <c r="P860" s="112"/>
      <c r="Q860" s="112"/>
      <c r="R860" s="112"/>
      <c r="S860" s="112"/>
      <c r="T860" s="112"/>
      <c r="U860" s="124"/>
      <c r="V860" s="124"/>
      <c r="W860" s="124"/>
      <c r="X860" s="124"/>
      <c r="Y860" s="124"/>
      <c r="Z860" s="112"/>
      <c r="AA860" s="112"/>
      <c r="AB860" s="112"/>
      <c r="AC860" s="112"/>
      <c r="AD860" s="112"/>
      <c r="AE860" s="112"/>
      <c r="AF860" s="112"/>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c r="BK860" s="124"/>
      <c r="BL860" s="124"/>
      <c r="BM860" s="124"/>
      <c r="BN860" s="124"/>
      <c r="BO860" s="124"/>
      <c r="BP860" s="124"/>
      <c r="BQ860" s="124"/>
      <c r="BR860" s="124"/>
      <c r="BS860" s="124"/>
      <c r="BT860" s="124"/>
      <c r="BU860" s="124"/>
      <c r="BV860" s="124"/>
      <c r="BW860" s="124"/>
      <c r="BX860" s="124"/>
      <c r="BY860" s="124"/>
      <c r="BZ860" s="124"/>
      <c r="CA860" s="124"/>
    </row>
    <row r="861">
      <c r="D861" s="143"/>
      <c r="E861" s="129"/>
      <c r="F861" s="112"/>
      <c r="G861" s="112"/>
      <c r="H861" s="112"/>
      <c r="I861" s="112"/>
      <c r="J861" s="112"/>
      <c r="K861" s="112"/>
      <c r="L861" s="112"/>
      <c r="M861" s="112"/>
      <c r="N861" s="112"/>
      <c r="O861" s="112"/>
      <c r="P861" s="112"/>
      <c r="Q861" s="112"/>
      <c r="R861" s="112"/>
      <c r="S861" s="112"/>
      <c r="T861" s="112"/>
      <c r="U861" s="124"/>
      <c r="V861" s="124"/>
      <c r="W861" s="124"/>
      <c r="X861" s="124"/>
      <c r="Y861" s="124"/>
      <c r="Z861" s="112"/>
      <c r="AA861" s="112"/>
      <c r="AB861" s="112"/>
      <c r="AC861" s="112"/>
      <c r="AD861" s="112"/>
      <c r="AE861" s="112"/>
      <c r="AF861" s="112"/>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c r="BK861" s="124"/>
      <c r="BL861" s="124"/>
      <c r="BM861" s="124"/>
      <c r="BN861" s="124"/>
      <c r="BO861" s="124"/>
      <c r="BP861" s="124"/>
      <c r="BQ861" s="124"/>
      <c r="BR861" s="124"/>
      <c r="BS861" s="124"/>
      <c r="BT861" s="124"/>
      <c r="BU861" s="124"/>
      <c r="BV861" s="124"/>
      <c r="BW861" s="124"/>
      <c r="BX861" s="124"/>
      <c r="BY861" s="124"/>
      <c r="BZ861" s="124"/>
      <c r="CA861" s="124"/>
    </row>
    <row r="862">
      <c r="D862" s="143"/>
      <c r="E862" s="129"/>
      <c r="F862" s="112"/>
      <c r="G862" s="112"/>
      <c r="H862" s="112"/>
      <c r="I862" s="112"/>
      <c r="J862" s="112"/>
      <c r="K862" s="112"/>
      <c r="L862" s="112"/>
      <c r="M862" s="112"/>
      <c r="N862" s="112"/>
      <c r="O862" s="112"/>
      <c r="P862" s="112"/>
      <c r="Q862" s="112"/>
      <c r="R862" s="112"/>
      <c r="S862" s="112"/>
      <c r="T862" s="112"/>
      <c r="U862" s="124"/>
      <c r="V862" s="124"/>
      <c r="W862" s="124"/>
      <c r="X862" s="124"/>
      <c r="Y862" s="124"/>
      <c r="Z862" s="112"/>
      <c r="AA862" s="112"/>
      <c r="AB862" s="112"/>
      <c r="AC862" s="112"/>
      <c r="AD862" s="112"/>
      <c r="AE862" s="112"/>
      <c r="AF862" s="112"/>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c r="BK862" s="124"/>
      <c r="BL862" s="124"/>
      <c r="BM862" s="124"/>
      <c r="BN862" s="124"/>
      <c r="BO862" s="124"/>
      <c r="BP862" s="124"/>
      <c r="BQ862" s="124"/>
      <c r="BR862" s="124"/>
      <c r="BS862" s="124"/>
      <c r="BT862" s="124"/>
      <c r="BU862" s="124"/>
      <c r="BV862" s="124"/>
      <c r="BW862" s="124"/>
      <c r="BX862" s="124"/>
      <c r="BY862" s="124"/>
      <c r="BZ862" s="124"/>
      <c r="CA862" s="124"/>
    </row>
    <row r="863">
      <c r="D863" s="143"/>
      <c r="E863" s="129"/>
      <c r="F863" s="112"/>
      <c r="G863" s="112"/>
      <c r="H863" s="112"/>
      <c r="I863" s="112"/>
      <c r="J863" s="112"/>
      <c r="K863" s="112"/>
      <c r="L863" s="112"/>
      <c r="M863" s="112"/>
      <c r="N863" s="112"/>
      <c r="O863" s="112"/>
      <c r="P863" s="112"/>
      <c r="Q863" s="112"/>
      <c r="R863" s="112"/>
      <c r="S863" s="112"/>
      <c r="T863" s="112"/>
      <c r="U863" s="124"/>
      <c r="V863" s="124"/>
      <c r="W863" s="124"/>
      <c r="X863" s="124"/>
      <c r="Y863" s="124"/>
      <c r="Z863" s="112"/>
      <c r="AA863" s="112"/>
      <c r="AB863" s="112"/>
      <c r="AC863" s="112"/>
      <c r="AD863" s="112"/>
      <c r="AE863" s="112"/>
      <c r="AF863" s="112"/>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c r="BK863" s="124"/>
      <c r="BL863" s="124"/>
      <c r="BM863" s="124"/>
      <c r="BN863" s="124"/>
      <c r="BO863" s="124"/>
      <c r="BP863" s="124"/>
      <c r="BQ863" s="124"/>
      <c r="BR863" s="124"/>
      <c r="BS863" s="124"/>
      <c r="BT863" s="124"/>
      <c r="BU863" s="124"/>
      <c r="BV863" s="124"/>
      <c r="BW863" s="124"/>
      <c r="BX863" s="124"/>
      <c r="BY863" s="124"/>
      <c r="BZ863" s="124"/>
      <c r="CA863" s="124"/>
    </row>
    <row r="864">
      <c r="D864" s="143"/>
      <c r="E864" s="129"/>
      <c r="F864" s="112"/>
      <c r="G864" s="112"/>
      <c r="H864" s="112"/>
      <c r="I864" s="112"/>
      <c r="J864" s="112"/>
      <c r="K864" s="112"/>
      <c r="L864" s="112"/>
      <c r="M864" s="112"/>
      <c r="N864" s="112"/>
      <c r="O864" s="112"/>
      <c r="P864" s="112"/>
      <c r="Q864" s="112"/>
      <c r="R864" s="112"/>
      <c r="S864" s="112"/>
      <c r="T864" s="112"/>
      <c r="U864" s="124"/>
      <c r="V864" s="124"/>
      <c r="W864" s="124"/>
      <c r="X864" s="124"/>
      <c r="Y864" s="124"/>
      <c r="Z864" s="112"/>
      <c r="AA864" s="112"/>
      <c r="AB864" s="112"/>
      <c r="AC864" s="112"/>
      <c r="AD864" s="112"/>
      <c r="AE864" s="112"/>
      <c r="AF864" s="112"/>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c r="BK864" s="124"/>
      <c r="BL864" s="124"/>
      <c r="BM864" s="124"/>
      <c r="BN864" s="124"/>
      <c r="BO864" s="124"/>
      <c r="BP864" s="124"/>
      <c r="BQ864" s="124"/>
      <c r="BR864" s="124"/>
      <c r="BS864" s="124"/>
      <c r="BT864" s="124"/>
      <c r="BU864" s="124"/>
      <c r="BV864" s="124"/>
      <c r="BW864" s="124"/>
      <c r="BX864" s="124"/>
      <c r="BY864" s="124"/>
      <c r="BZ864" s="124"/>
      <c r="CA864" s="124"/>
    </row>
    <row r="865">
      <c r="D865" s="143"/>
      <c r="E865" s="129"/>
      <c r="F865" s="112"/>
      <c r="G865" s="112"/>
      <c r="H865" s="112"/>
      <c r="I865" s="112"/>
      <c r="J865" s="112"/>
      <c r="K865" s="112"/>
      <c r="L865" s="112"/>
      <c r="M865" s="112"/>
      <c r="N865" s="112"/>
      <c r="O865" s="112"/>
      <c r="P865" s="112"/>
      <c r="Q865" s="112"/>
      <c r="R865" s="112"/>
      <c r="S865" s="112"/>
      <c r="T865" s="112"/>
      <c r="U865" s="124"/>
      <c r="V865" s="124"/>
      <c r="W865" s="124"/>
      <c r="X865" s="124"/>
      <c r="Y865" s="124"/>
      <c r="Z865" s="112"/>
      <c r="AA865" s="112"/>
      <c r="AB865" s="112"/>
      <c r="AC865" s="112"/>
      <c r="AD865" s="112"/>
      <c r="AE865" s="112"/>
      <c r="AF865" s="112"/>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c r="BK865" s="124"/>
      <c r="BL865" s="124"/>
      <c r="BM865" s="124"/>
      <c r="BN865" s="124"/>
      <c r="BO865" s="124"/>
      <c r="BP865" s="124"/>
      <c r="BQ865" s="124"/>
      <c r="BR865" s="124"/>
      <c r="BS865" s="124"/>
      <c r="BT865" s="124"/>
      <c r="BU865" s="124"/>
      <c r="BV865" s="124"/>
      <c r="BW865" s="124"/>
      <c r="BX865" s="124"/>
      <c r="BY865" s="124"/>
      <c r="BZ865" s="124"/>
      <c r="CA865" s="124"/>
    </row>
    <row r="866">
      <c r="D866" s="143"/>
      <c r="E866" s="129"/>
      <c r="F866" s="112"/>
      <c r="G866" s="112"/>
      <c r="H866" s="112"/>
      <c r="I866" s="112"/>
      <c r="J866" s="112"/>
      <c r="K866" s="112"/>
      <c r="L866" s="112"/>
      <c r="M866" s="112"/>
      <c r="N866" s="112"/>
      <c r="O866" s="112"/>
      <c r="P866" s="112"/>
      <c r="Q866" s="112"/>
      <c r="R866" s="112"/>
      <c r="S866" s="112"/>
      <c r="T866" s="112"/>
      <c r="U866" s="124"/>
      <c r="V866" s="124"/>
      <c r="W866" s="124"/>
      <c r="X866" s="124"/>
      <c r="Y866" s="124"/>
      <c r="Z866" s="112"/>
      <c r="AA866" s="112"/>
      <c r="AB866" s="112"/>
      <c r="AC866" s="112"/>
      <c r="AD866" s="112"/>
      <c r="AE866" s="112"/>
      <c r="AF866" s="112"/>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c r="BK866" s="124"/>
      <c r="BL866" s="124"/>
      <c r="BM866" s="124"/>
      <c r="BN866" s="124"/>
      <c r="BO866" s="124"/>
      <c r="BP866" s="124"/>
      <c r="BQ866" s="124"/>
      <c r="BR866" s="124"/>
      <c r="BS866" s="124"/>
      <c r="BT866" s="124"/>
      <c r="BU866" s="124"/>
      <c r="BV866" s="124"/>
      <c r="BW866" s="124"/>
      <c r="BX866" s="124"/>
      <c r="BY866" s="124"/>
      <c r="BZ866" s="124"/>
      <c r="CA866" s="124"/>
    </row>
    <row r="867">
      <c r="D867" s="143"/>
      <c r="E867" s="129"/>
      <c r="F867" s="112"/>
      <c r="G867" s="112"/>
      <c r="H867" s="112"/>
      <c r="I867" s="112"/>
      <c r="J867" s="112"/>
      <c r="K867" s="112"/>
      <c r="L867" s="112"/>
      <c r="M867" s="112"/>
      <c r="N867" s="112"/>
      <c r="O867" s="112"/>
      <c r="P867" s="112"/>
      <c r="Q867" s="112"/>
      <c r="R867" s="112"/>
      <c r="S867" s="112"/>
      <c r="T867" s="112"/>
      <c r="U867" s="124"/>
      <c r="V867" s="124"/>
      <c r="W867" s="124"/>
      <c r="X867" s="124"/>
      <c r="Y867" s="124"/>
      <c r="Z867" s="112"/>
      <c r="AA867" s="112"/>
      <c r="AB867" s="112"/>
      <c r="AC867" s="112"/>
      <c r="AD867" s="112"/>
      <c r="AE867" s="112"/>
      <c r="AF867" s="112"/>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c r="BK867" s="124"/>
      <c r="BL867" s="124"/>
      <c r="BM867" s="124"/>
      <c r="BN867" s="124"/>
      <c r="BO867" s="124"/>
      <c r="BP867" s="124"/>
      <c r="BQ867" s="124"/>
      <c r="BR867" s="124"/>
      <c r="BS867" s="124"/>
      <c r="BT867" s="124"/>
      <c r="BU867" s="124"/>
      <c r="BV867" s="124"/>
      <c r="BW867" s="124"/>
      <c r="BX867" s="124"/>
      <c r="BY867" s="124"/>
      <c r="BZ867" s="124"/>
      <c r="CA867" s="124"/>
    </row>
    <row r="868">
      <c r="D868" s="143"/>
      <c r="E868" s="129"/>
      <c r="F868" s="112"/>
      <c r="G868" s="112"/>
      <c r="H868" s="112"/>
      <c r="I868" s="112"/>
      <c r="J868" s="112"/>
      <c r="K868" s="112"/>
      <c r="L868" s="112"/>
      <c r="M868" s="112"/>
      <c r="N868" s="112"/>
      <c r="O868" s="112"/>
      <c r="P868" s="112"/>
      <c r="Q868" s="112"/>
      <c r="R868" s="112"/>
      <c r="S868" s="112"/>
      <c r="T868" s="112"/>
      <c r="U868" s="124"/>
      <c r="V868" s="124"/>
      <c r="W868" s="124"/>
      <c r="X868" s="124"/>
      <c r="Y868" s="124"/>
      <c r="Z868" s="112"/>
      <c r="AA868" s="112"/>
      <c r="AB868" s="112"/>
      <c r="AC868" s="112"/>
      <c r="AD868" s="112"/>
      <c r="AE868" s="112"/>
      <c r="AF868" s="112"/>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c r="BK868" s="124"/>
      <c r="BL868" s="124"/>
      <c r="BM868" s="124"/>
      <c r="BN868" s="124"/>
      <c r="BO868" s="124"/>
      <c r="BP868" s="124"/>
      <c r="BQ868" s="124"/>
      <c r="BR868" s="124"/>
      <c r="BS868" s="124"/>
      <c r="BT868" s="124"/>
      <c r="BU868" s="124"/>
      <c r="BV868" s="124"/>
      <c r="BW868" s="124"/>
      <c r="BX868" s="124"/>
      <c r="BY868" s="124"/>
      <c r="BZ868" s="124"/>
      <c r="CA868" s="124"/>
    </row>
    <row r="869">
      <c r="D869" s="143"/>
      <c r="E869" s="129"/>
      <c r="F869" s="112"/>
      <c r="G869" s="112"/>
      <c r="H869" s="112"/>
      <c r="I869" s="112"/>
      <c r="J869" s="112"/>
      <c r="K869" s="112"/>
      <c r="L869" s="112"/>
      <c r="M869" s="112"/>
      <c r="N869" s="112"/>
      <c r="O869" s="112"/>
      <c r="P869" s="112"/>
      <c r="Q869" s="112"/>
      <c r="R869" s="112"/>
      <c r="S869" s="112"/>
      <c r="T869" s="112"/>
      <c r="U869" s="124"/>
      <c r="V869" s="124"/>
      <c r="W869" s="124"/>
      <c r="X869" s="124"/>
      <c r="Y869" s="124"/>
      <c r="Z869" s="112"/>
      <c r="AA869" s="112"/>
      <c r="AB869" s="112"/>
      <c r="AC869" s="112"/>
      <c r="AD869" s="112"/>
      <c r="AE869" s="112"/>
      <c r="AF869" s="112"/>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c r="BK869" s="124"/>
      <c r="BL869" s="124"/>
      <c r="BM869" s="124"/>
      <c r="BN869" s="124"/>
      <c r="BO869" s="124"/>
      <c r="BP869" s="124"/>
      <c r="BQ869" s="124"/>
      <c r="BR869" s="124"/>
      <c r="BS869" s="124"/>
      <c r="BT869" s="124"/>
      <c r="BU869" s="124"/>
      <c r="BV869" s="124"/>
      <c r="BW869" s="124"/>
      <c r="BX869" s="124"/>
      <c r="BY869" s="124"/>
      <c r="BZ869" s="124"/>
      <c r="CA869" s="124"/>
    </row>
    <row r="870">
      <c r="D870" s="143"/>
      <c r="E870" s="129"/>
      <c r="F870" s="112"/>
      <c r="G870" s="112"/>
      <c r="H870" s="112"/>
      <c r="I870" s="112"/>
      <c r="J870" s="112"/>
      <c r="K870" s="112"/>
      <c r="L870" s="112"/>
      <c r="M870" s="112"/>
      <c r="N870" s="112"/>
      <c r="O870" s="112"/>
      <c r="P870" s="112"/>
      <c r="Q870" s="112"/>
      <c r="R870" s="112"/>
      <c r="S870" s="112"/>
      <c r="T870" s="112"/>
      <c r="U870" s="124"/>
      <c r="V870" s="124"/>
      <c r="W870" s="124"/>
      <c r="X870" s="124"/>
      <c r="Y870" s="124"/>
      <c r="Z870" s="112"/>
      <c r="AA870" s="112"/>
      <c r="AB870" s="112"/>
      <c r="AC870" s="112"/>
      <c r="AD870" s="112"/>
      <c r="AE870" s="112"/>
      <c r="AF870" s="112"/>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c r="BK870" s="124"/>
      <c r="BL870" s="124"/>
      <c r="BM870" s="124"/>
      <c r="BN870" s="124"/>
      <c r="BO870" s="124"/>
      <c r="BP870" s="124"/>
      <c r="BQ870" s="124"/>
      <c r="BR870" s="124"/>
      <c r="BS870" s="124"/>
      <c r="BT870" s="124"/>
      <c r="BU870" s="124"/>
      <c r="BV870" s="124"/>
      <c r="BW870" s="124"/>
      <c r="BX870" s="124"/>
      <c r="BY870" s="124"/>
      <c r="BZ870" s="124"/>
      <c r="CA870" s="124"/>
    </row>
    <row r="871">
      <c r="D871" s="143"/>
      <c r="E871" s="129"/>
      <c r="F871" s="112"/>
      <c r="G871" s="112"/>
      <c r="H871" s="112"/>
      <c r="I871" s="112"/>
      <c r="J871" s="112"/>
      <c r="K871" s="112"/>
      <c r="L871" s="112"/>
      <c r="M871" s="112"/>
      <c r="N871" s="112"/>
      <c r="O871" s="112"/>
      <c r="P871" s="112"/>
      <c r="Q871" s="112"/>
      <c r="R871" s="112"/>
      <c r="S871" s="112"/>
      <c r="T871" s="112"/>
      <c r="U871" s="124"/>
      <c r="V871" s="124"/>
      <c r="W871" s="124"/>
      <c r="X871" s="124"/>
      <c r="Y871" s="124"/>
      <c r="Z871" s="112"/>
      <c r="AA871" s="112"/>
      <c r="AB871" s="112"/>
      <c r="AC871" s="112"/>
      <c r="AD871" s="112"/>
      <c r="AE871" s="112"/>
      <c r="AF871" s="112"/>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c r="BK871" s="124"/>
      <c r="BL871" s="124"/>
      <c r="BM871" s="124"/>
      <c r="BN871" s="124"/>
      <c r="BO871" s="124"/>
      <c r="BP871" s="124"/>
      <c r="BQ871" s="124"/>
      <c r="BR871" s="124"/>
      <c r="BS871" s="124"/>
      <c r="BT871" s="124"/>
      <c r="BU871" s="124"/>
      <c r="BV871" s="124"/>
      <c r="BW871" s="124"/>
      <c r="BX871" s="124"/>
      <c r="BY871" s="124"/>
      <c r="BZ871" s="124"/>
      <c r="CA871" s="124"/>
    </row>
    <row r="872">
      <c r="D872" s="143"/>
      <c r="E872" s="129"/>
      <c r="F872" s="112"/>
      <c r="G872" s="112"/>
      <c r="H872" s="112"/>
      <c r="I872" s="112"/>
      <c r="J872" s="112"/>
      <c r="K872" s="112"/>
      <c r="L872" s="112"/>
      <c r="M872" s="112"/>
      <c r="N872" s="112"/>
      <c r="O872" s="112"/>
      <c r="P872" s="112"/>
      <c r="Q872" s="112"/>
      <c r="R872" s="112"/>
      <c r="S872" s="112"/>
      <c r="T872" s="112"/>
      <c r="U872" s="124"/>
      <c r="V872" s="124"/>
      <c r="W872" s="124"/>
      <c r="X872" s="124"/>
      <c r="Y872" s="124"/>
      <c r="Z872" s="112"/>
      <c r="AA872" s="112"/>
      <c r="AB872" s="112"/>
      <c r="AC872" s="112"/>
      <c r="AD872" s="112"/>
      <c r="AE872" s="112"/>
      <c r="AF872" s="112"/>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c r="BK872" s="124"/>
      <c r="BL872" s="124"/>
      <c r="BM872" s="124"/>
      <c r="BN872" s="124"/>
      <c r="BO872" s="124"/>
      <c r="BP872" s="124"/>
      <c r="BQ872" s="124"/>
      <c r="BR872" s="124"/>
      <c r="BS872" s="124"/>
      <c r="BT872" s="124"/>
      <c r="BU872" s="124"/>
      <c r="BV872" s="124"/>
      <c r="BW872" s="124"/>
      <c r="BX872" s="124"/>
      <c r="BY872" s="124"/>
      <c r="BZ872" s="124"/>
      <c r="CA872" s="124"/>
    </row>
    <row r="873">
      <c r="D873" s="143"/>
      <c r="E873" s="129"/>
      <c r="F873" s="112"/>
      <c r="G873" s="112"/>
      <c r="H873" s="112"/>
      <c r="I873" s="112"/>
      <c r="J873" s="112"/>
      <c r="K873" s="112"/>
      <c r="L873" s="112"/>
      <c r="M873" s="112"/>
      <c r="N873" s="112"/>
      <c r="O873" s="112"/>
      <c r="P873" s="112"/>
      <c r="Q873" s="112"/>
      <c r="R873" s="112"/>
      <c r="S873" s="112"/>
      <c r="T873" s="112"/>
      <c r="U873" s="124"/>
      <c r="V873" s="124"/>
      <c r="W873" s="124"/>
      <c r="X873" s="124"/>
      <c r="Y873" s="124"/>
      <c r="Z873" s="112"/>
      <c r="AA873" s="112"/>
      <c r="AB873" s="112"/>
      <c r="AC873" s="112"/>
      <c r="AD873" s="112"/>
      <c r="AE873" s="112"/>
      <c r="AF873" s="112"/>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c r="BK873" s="124"/>
      <c r="BL873" s="124"/>
      <c r="BM873" s="124"/>
      <c r="BN873" s="124"/>
      <c r="BO873" s="124"/>
      <c r="BP873" s="124"/>
      <c r="BQ873" s="124"/>
      <c r="BR873" s="124"/>
      <c r="BS873" s="124"/>
      <c r="BT873" s="124"/>
      <c r="BU873" s="124"/>
      <c r="BV873" s="124"/>
      <c r="BW873" s="124"/>
      <c r="BX873" s="124"/>
      <c r="BY873" s="124"/>
      <c r="BZ873" s="124"/>
      <c r="CA873" s="124"/>
    </row>
    <row r="874">
      <c r="D874" s="143"/>
      <c r="E874" s="129"/>
      <c r="F874" s="112"/>
      <c r="G874" s="112"/>
      <c r="H874" s="112"/>
      <c r="I874" s="112"/>
      <c r="J874" s="112"/>
      <c r="K874" s="112"/>
      <c r="L874" s="112"/>
      <c r="M874" s="112"/>
      <c r="N874" s="112"/>
      <c r="O874" s="112"/>
      <c r="P874" s="112"/>
      <c r="Q874" s="112"/>
      <c r="R874" s="112"/>
      <c r="S874" s="112"/>
      <c r="T874" s="112"/>
      <c r="U874" s="124"/>
      <c r="V874" s="124"/>
      <c r="W874" s="124"/>
      <c r="X874" s="124"/>
      <c r="Y874" s="124"/>
      <c r="Z874" s="112"/>
      <c r="AA874" s="112"/>
      <c r="AB874" s="112"/>
      <c r="AC874" s="112"/>
      <c r="AD874" s="112"/>
      <c r="AE874" s="112"/>
      <c r="AF874" s="112"/>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c r="BK874" s="124"/>
      <c r="BL874" s="124"/>
      <c r="BM874" s="124"/>
      <c r="BN874" s="124"/>
      <c r="BO874" s="124"/>
      <c r="BP874" s="124"/>
      <c r="BQ874" s="124"/>
      <c r="BR874" s="124"/>
      <c r="BS874" s="124"/>
      <c r="BT874" s="124"/>
      <c r="BU874" s="124"/>
      <c r="BV874" s="124"/>
      <c r="BW874" s="124"/>
      <c r="BX874" s="124"/>
      <c r="BY874" s="124"/>
      <c r="BZ874" s="124"/>
      <c r="CA874" s="124"/>
    </row>
    <row r="875">
      <c r="D875" s="143"/>
      <c r="E875" s="129"/>
      <c r="F875" s="112"/>
      <c r="G875" s="112"/>
      <c r="H875" s="112"/>
      <c r="I875" s="112"/>
      <c r="J875" s="112"/>
      <c r="K875" s="112"/>
      <c r="L875" s="112"/>
      <c r="M875" s="112"/>
      <c r="N875" s="112"/>
      <c r="O875" s="112"/>
      <c r="P875" s="112"/>
      <c r="Q875" s="112"/>
      <c r="R875" s="112"/>
      <c r="S875" s="112"/>
      <c r="T875" s="112"/>
      <c r="U875" s="124"/>
      <c r="V875" s="124"/>
      <c r="W875" s="124"/>
      <c r="X875" s="124"/>
      <c r="Y875" s="124"/>
      <c r="Z875" s="112"/>
      <c r="AA875" s="112"/>
      <c r="AB875" s="112"/>
      <c r="AC875" s="112"/>
      <c r="AD875" s="112"/>
      <c r="AE875" s="112"/>
      <c r="AF875" s="112"/>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c r="BK875" s="124"/>
      <c r="BL875" s="124"/>
      <c r="BM875" s="124"/>
      <c r="BN875" s="124"/>
      <c r="BO875" s="124"/>
      <c r="BP875" s="124"/>
      <c r="BQ875" s="124"/>
      <c r="BR875" s="124"/>
      <c r="BS875" s="124"/>
      <c r="BT875" s="124"/>
      <c r="BU875" s="124"/>
      <c r="BV875" s="124"/>
      <c r="BW875" s="124"/>
      <c r="BX875" s="124"/>
      <c r="BY875" s="124"/>
      <c r="BZ875" s="124"/>
      <c r="CA875" s="124"/>
    </row>
    <row r="876">
      <c r="D876" s="143"/>
      <c r="E876" s="129"/>
      <c r="F876" s="112"/>
      <c r="G876" s="112"/>
      <c r="H876" s="112"/>
      <c r="I876" s="112"/>
      <c r="J876" s="112"/>
      <c r="K876" s="112"/>
      <c r="L876" s="112"/>
      <c r="M876" s="112"/>
      <c r="N876" s="112"/>
      <c r="O876" s="112"/>
      <c r="P876" s="112"/>
      <c r="Q876" s="112"/>
      <c r="R876" s="112"/>
      <c r="S876" s="112"/>
      <c r="T876" s="112"/>
      <c r="U876" s="124"/>
      <c r="V876" s="124"/>
      <c r="W876" s="124"/>
      <c r="X876" s="124"/>
      <c r="Y876" s="124"/>
      <c r="Z876" s="112"/>
      <c r="AA876" s="112"/>
      <c r="AB876" s="112"/>
      <c r="AC876" s="112"/>
      <c r="AD876" s="112"/>
      <c r="AE876" s="112"/>
      <c r="AF876" s="112"/>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c r="BK876" s="124"/>
      <c r="BL876" s="124"/>
      <c r="BM876" s="124"/>
      <c r="BN876" s="124"/>
      <c r="BO876" s="124"/>
      <c r="BP876" s="124"/>
      <c r="BQ876" s="124"/>
      <c r="BR876" s="124"/>
      <c r="BS876" s="124"/>
      <c r="BT876" s="124"/>
      <c r="BU876" s="124"/>
      <c r="BV876" s="124"/>
      <c r="BW876" s="124"/>
      <c r="BX876" s="124"/>
      <c r="BY876" s="124"/>
      <c r="BZ876" s="124"/>
      <c r="CA876" s="124"/>
    </row>
    <row r="877">
      <c r="D877" s="143"/>
      <c r="E877" s="129"/>
      <c r="F877" s="112"/>
      <c r="G877" s="112"/>
      <c r="H877" s="112"/>
      <c r="I877" s="112"/>
      <c r="J877" s="112"/>
      <c r="K877" s="112"/>
      <c r="L877" s="112"/>
      <c r="M877" s="112"/>
      <c r="N877" s="112"/>
      <c r="O877" s="112"/>
      <c r="P877" s="112"/>
      <c r="Q877" s="112"/>
      <c r="R877" s="112"/>
      <c r="S877" s="112"/>
      <c r="T877" s="112"/>
      <c r="U877" s="124"/>
      <c r="V877" s="124"/>
      <c r="W877" s="124"/>
      <c r="X877" s="124"/>
      <c r="Y877" s="124"/>
      <c r="Z877" s="112"/>
      <c r="AA877" s="112"/>
      <c r="AB877" s="112"/>
      <c r="AC877" s="112"/>
      <c r="AD877" s="112"/>
      <c r="AE877" s="112"/>
      <c r="AF877" s="112"/>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c r="BK877" s="124"/>
      <c r="BL877" s="124"/>
      <c r="BM877" s="124"/>
      <c r="BN877" s="124"/>
      <c r="BO877" s="124"/>
      <c r="BP877" s="124"/>
      <c r="BQ877" s="124"/>
      <c r="BR877" s="124"/>
      <c r="BS877" s="124"/>
      <c r="BT877" s="124"/>
      <c r="BU877" s="124"/>
      <c r="BV877" s="124"/>
      <c r="BW877" s="124"/>
      <c r="BX877" s="124"/>
      <c r="BY877" s="124"/>
      <c r="BZ877" s="124"/>
      <c r="CA877" s="124"/>
    </row>
    <row r="878">
      <c r="D878" s="143"/>
      <c r="E878" s="129"/>
      <c r="F878" s="112"/>
      <c r="G878" s="112"/>
      <c r="H878" s="112"/>
      <c r="I878" s="112"/>
      <c r="J878" s="112"/>
      <c r="K878" s="112"/>
      <c r="L878" s="112"/>
      <c r="M878" s="112"/>
      <c r="N878" s="112"/>
      <c r="O878" s="112"/>
      <c r="P878" s="112"/>
      <c r="Q878" s="112"/>
      <c r="R878" s="112"/>
      <c r="S878" s="112"/>
      <c r="T878" s="112"/>
      <c r="U878" s="124"/>
      <c r="V878" s="124"/>
      <c r="W878" s="124"/>
      <c r="X878" s="124"/>
      <c r="Y878" s="124"/>
      <c r="Z878" s="112"/>
      <c r="AA878" s="112"/>
      <c r="AB878" s="112"/>
      <c r="AC878" s="112"/>
      <c r="AD878" s="112"/>
      <c r="AE878" s="112"/>
      <c r="AF878" s="112"/>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c r="BK878" s="124"/>
      <c r="BL878" s="124"/>
      <c r="BM878" s="124"/>
      <c r="BN878" s="124"/>
      <c r="BO878" s="124"/>
      <c r="BP878" s="124"/>
      <c r="BQ878" s="124"/>
      <c r="BR878" s="124"/>
      <c r="BS878" s="124"/>
      <c r="BT878" s="124"/>
      <c r="BU878" s="124"/>
      <c r="BV878" s="124"/>
      <c r="BW878" s="124"/>
      <c r="BX878" s="124"/>
      <c r="BY878" s="124"/>
      <c r="BZ878" s="124"/>
      <c r="CA878" s="124"/>
    </row>
    <row r="879">
      <c r="D879" s="143"/>
      <c r="E879" s="129"/>
      <c r="F879" s="112"/>
      <c r="G879" s="112"/>
      <c r="H879" s="112"/>
      <c r="I879" s="112"/>
      <c r="J879" s="112"/>
      <c r="K879" s="112"/>
      <c r="L879" s="112"/>
      <c r="M879" s="112"/>
      <c r="N879" s="112"/>
      <c r="O879" s="112"/>
      <c r="P879" s="112"/>
      <c r="Q879" s="112"/>
      <c r="R879" s="112"/>
      <c r="S879" s="112"/>
      <c r="T879" s="112"/>
      <c r="U879" s="124"/>
      <c r="V879" s="124"/>
      <c r="W879" s="124"/>
      <c r="X879" s="124"/>
      <c r="Y879" s="124"/>
      <c r="Z879" s="112"/>
      <c r="AA879" s="112"/>
      <c r="AB879" s="112"/>
      <c r="AC879" s="112"/>
      <c r="AD879" s="112"/>
      <c r="AE879" s="112"/>
      <c r="AF879" s="112"/>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c r="BK879" s="124"/>
      <c r="BL879" s="124"/>
      <c r="BM879" s="124"/>
      <c r="BN879" s="124"/>
      <c r="BO879" s="124"/>
      <c r="BP879" s="124"/>
      <c r="BQ879" s="124"/>
      <c r="BR879" s="124"/>
      <c r="BS879" s="124"/>
      <c r="BT879" s="124"/>
      <c r="BU879" s="124"/>
      <c r="BV879" s="124"/>
      <c r="BW879" s="124"/>
      <c r="BX879" s="124"/>
      <c r="BY879" s="124"/>
      <c r="BZ879" s="124"/>
      <c r="CA879" s="124"/>
    </row>
    <row r="880">
      <c r="D880" s="143"/>
      <c r="E880" s="129"/>
      <c r="F880" s="112"/>
      <c r="G880" s="112"/>
      <c r="H880" s="112"/>
      <c r="I880" s="112"/>
      <c r="J880" s="112"/>
      <c r="K880" s="112"/>
      <c r="L880" s="112"/>
      <c r="M880" s="112"/>
      <c r="N880" s="112"/>
      <c r="O880" s="112"/>
      <c r="P880" s="112"/>
      <c r="Q880" s="112"/>
      <c r="R880" s="112"/>
      <c r="S880" s="112"/>
      <c r="T880" s="112"/>
      <c r="U880" s="124"/>
      <c r="V880" s="124"/>
      <c r="W880" s="124"/>
      <c r="X880" s="124"/>
      <c r="Y880" s="124"/>
      <c r="Z880" s="112"/>
      <c r="AA880" s="112"/>
      <c r="AB880" s="112"/>
      <c r="AC880" s="112"/>
      <c r="AD880" s="112"/>
      <c r="AE880" s="112"/>
      <c r="AF880" s="112"/>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c r="BK880" s="124"/>
      <c r="BL880" s="124"/>
      <c r="BM880" s="124"/>
      <c r="BN880" s="124"/>
      <c r="BO880" s="124"/>
      <c r="BP880" s="124"/>
      <c r="BQ880" s="124"/>
      <c r="BR880" s="124"/>
      <c r="BS880" s="124"/>
      <c r="BT880" s="124"/>
      <c r="BU880" s="124"/>
      <c r="BV880" s="124"/>
      <c r="BW880" s="124"/>
      <c r="BX880" s="124"/>
      <c r="BY880" s="124"/>
      <c r="BZ880" s="124"/>
      <c r="CA880" s="124"/>
    </row>
    <row r="881">
      <c r="D881" s="143"/>
      <c r="E881" s="129"/>
      <c r="F881" s="112"/>
      <c r="G881" s="112"/>
      <c r="H881" s="112"/>
      <c r="I881" s="112"/>
      <c r="J881" s="112"/>
      <c r="K881" s="112"/>
      <c r="L881" s="112"/>
      <c r="M881" s="112"/>
      <c r="N881" s="112"/>
      <c r="O881" s="112"/>
      <c r="P881" s="112"/>
      <c r="Q881" s="112"/>
      <c r="R881" s="112"/>
      <c r="S881" s="112"/>
      <c r="T881" s="112"/>
      <c r="U881" s="124"/>
      <c r="V881" s="124"/>
      <c r="W881" s="124"/>
      <c r="X881" s="124"/>
      <c r="Y881" s="124"/>
      <c r="Z881" s="112"/>
      <c r="AA881" s="112"/>
      <c r="AB881" s="112"/>
      <c r="AC881" s="112"/>
      <c r="AD881" s="112"/>
      <c r="AE881" s="112"/>
      <c r="AF881" s="112"/>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c r="BK881" s="124"/>
      <c r="BL881" s="124"/>
      <c r="BM881" s="124"/>
      <c r="BN881" s="124"/>
      <c r="BO881" s="124"/>
      <c r="BP881" s="124"/>
      <c r="BQ881" s="124"/>
      <c r="BR881" s="124"/>
      <c r="BS881" s="124"/>
      <c r="BT881" s="124"/>
      <c r="BU881" s="124"/>
      <c r="BV881" s="124"/>
      <c r="BW881" s="124"/>
      <c r="BX881" s="124"/>
      <c r="BY881" s="124"/>
      <c r="BZ881" s="124"/>
      <c r="CA881" s="124"/>
    </row>
    <row r="882">
      <c r="D882" s="143"/>
      <c r="E882" s="129"/>
      <c r="F882" s="112"/>
      <c r="G882" s="112"/>
      <c r="H882" s="112"/>
      <c r="I882" s="112"/>
      <c r="J882" s="112"/>
      <c r="K882" s="112"/>
      <c r="L882" s="112"/>
      <c r="M882" s="112"/>
      <c r="N882" s="112"/>
      <c r="O882" s="112"/>
      <c r="P882" s="112"/>
      <c r="Q882" s="112"/>
      <c r="R882" s="112"/>
      <c r="S882" s="112"/>
      <c r="T882" s="112"/>
      <c r="U882" s="124"/>
      <c r="V882" s="124"/>
      <c r="W882" s="124"/>
      <c r="X882" s="124"/>
      <c r="Y882" s="124"/>
      <c r="Z882" s="112"/>
      <c r="AA882" s="112"/>
      <c r="AB882" s="112"/>
      <c r="AC882" s="112"/>
      <c r="AD882" s="112"/>
      <c r="AE882" s="112"/>
      <c r="AF882" s="112"/>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c r="BK882" s="124"/>
      <c r="BL882" s="124"/>
      <c r="BM882" s="124"/>
      <c r="BN882" s="124"/>
      <c r="BO882" s="124"/>
      <c r="BP882" s="124"/>
      <c r="BQ882" s="124"/>
      <c r="BR882" s="124"/>
      <c r="BS882" s="124"/>
      <c r="BT882" s="124"/>
      <c r="BU882" s="124"/>
      <c r="BV882" s="124"/>
      <c r="BW882" s="124"/>
      <c r="BX882" s="124"/>
      <c r="BY882" s="124"/>
      <c r="BZ882" s="124"/>
      <c r="CA882" s="124"/>
    </row>
    <row r="883">
      <c r="D883" s="143"/>
      <c r="E883" s="129"/>
      <c r="F883" s="112"/>
      <c r="G883" s="112"/>
      <c r="H883" s="112"/>
      <c r="I883" s="112"/>
      <c r="J883" s="112"/>
      <c r="K883" s="112"/>
      <c r="L883" s="112"/>
      <c r="M883" s="112"/>
      <c r="N883" s="112"/>
      <c r="O883" s="112"/>
      <c r="P883" s="112"/>
      <c r="Q883" s="112"/>
      <c r="R883" s="112"/>
      <c r="S883" s="112"/>
      <c r="T883" s="112"/>
      <c r="U883" s="124"/>
      <c r="V883" s="124"/>
      <c r="W883" s="124"/>
      <c r="X883" s="124"/>
      <c r="Y883" s="124"/>
      <c r="Z883" s="112"/>
      <c r="AA883" s="112"/>
      <c r="AB883" s="112"/>
      <c r="AC883" s="112"/>
      <c r="AD883" s="112"/>
      <c r="AE883" s="112"/>
      <c r="AF883" s="112"/>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c r="BK883" s="124"/>
      <c r="BL883" s="124"/>
      <c r="BM883" s="124"/>
      <c r="BN883" s="124"/>
      <c r="BO883" s="124"/>
      <c r="BP883" s="124"/>
      <c r="BQ883" s="124"/>
      <c r="BR883" s="124"/>
      <c r="BS883" s="124"/>
      <c r="BT883" s="124"/>
      <c r="BU883" s="124"/>
      <c r="BV883" s="124"/>
      <c r="BW883" s="124"/>
      <c r="BX883" s="124"/>
      <c r="BY883" s="124"/>
      <c r="BZ883" s="124"/>
      <c r="CA883" s="124"/>
    </row>
    <row r="884">
      <c r="D884" s="143"/>
      <c r="E884" s="129"/>
      <c r="F884" s="112"/>
      <c r="G884" s="112"/>
      <c r="H884" s="112"/>
      <c r="I884" s="112"/>
      <c r="J884" s="112"/>
      <c r="K884" s="112"/>
      <c r="L884" s="112"/>
      <c r="M884" s="112"/>
      <c r="N884" s="112"/>
      <c r="O884" s="112"/>
      <c r="P884" s="112"/>
      <c r="Q884" s="112"/>
      <c r="R884" s="112"/>
      <c r="S884" s="112"/>
      <c r="T884" s="112"/>
      <c r="U884" s="124"/>
      <c r="V884" s="124"/>
      <c r="W884" s="124"/>
      <c r="X884" s="124"/>
      <c r="Y884" s="124"/>
      <c r="Z884" s="112"/>
      <c r="AA884" s="112"/>
      <c r="AB884" s="112"/>
      <c r="AC884" s="112"/>
      <c r="AD884" s="112"/>
      <c r="AE884" s="112"/>
      <c r="AF884" s="112"/>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c r="BK884" s="124"/>
      <c r="BL884" s="124"/>
      <c r="BM884" s="124"/>
      <c r="BN884" s="124"/>
      <c r="BO884" s="124"/>
      <c r="BP884" s="124"/>
      <c r="BQ884" s="124"/>
      <c r="BR884" s="124"/>
      <c r="BS884" s="124"/>
      <c r="BT884" s="124"/>
      <c r="BU884" s="124"/>
      <c r="BV884" s="124"/>
      <c r="BW884" s="124"/>
      <c r="BX884" s="124"/>
      <c r="BY884" s="124"/>
      <c r="BZ884" s="124"/>
      <c r="CA884" s="124"/>
    </row>
    <row r="885">
      <c r="D885" s="143"/>
      <c r="E885" s="129"/>
      <c r="F885" s="112"/>
      <c r="G885" s="112"/>
      <c r="H885" s="112"/>
      <c r="I885" s="112"/>
      <c r="J885" s="112"/>
      <c r="K885" s="112"/>
      <c r="L885" s="112"/>
      <c r="M885" s="112"/>
      <c r="N885" s="112"/>
      <c r="O885" s="112"/>
      <c r="P885" s="112"/>
      <c r="Q885" s="112"/>
      <c r="R885" s="112"/>
      <c r="S885" s="112"/>
      <c r="T885" s="112"/>
      <c r="U885" s="124"/>
      <c r="V885" s="124"/>
      <c r="W885" s="124"/>
      <c r="X885" s="124"/>
      <c r="Y885" s="124"/>
      <c r="Z885" s="112"/>
      <c r="AA885" s="112"/>
      <c r="AB885" s="112"/>
      <c r="AC885" s="112"/>
      <c r="AD885" s="112"/>
      <c r="AE885" s="112"/>
      <c r="AF885" s="112"/>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c r="BK885" s="124"/>
      <c r="BL885" s="124"/>
      <c r="BM885" s="124"/>
      <c r="BN885" s="124"/>
      <c r="BO885" s="124"/>
      <c r="BP885" s="124"/>
      <c r="BQ885" s="124"/>
      <c r="BR885" s="124"/>
      <c r="BS885" s="124"/>
      <c r="BT885" s="124"/>
      <c r="BU885" s="124"/>
      <c r="BV885" s="124"/>
      <c r="BW885" s="124"/>
      <c r="BX885" s="124"/>
      <c r="BY885" s="124"/>
      <c r="BZ885" s="124"/>
      <c r="CA885" s="124"/>
    </row>
    <row r="886">
      <c r="D886" s="143"/>
      <c r="E886" s="129"/>
      <c r="F886" s="112"/>
      <c r="G886" s="112"/>
      <c r="H886" s="112"/>
      <c r="I886" s="112"/>
      <c r="J886" s="112"/>
      <c r="K886" s="112"/>
      <c r="L886" s="112"/>
      <c r="M886" s="112"/>
      <c r="N886" s="112"/>
      <c r="O886" s="112"/>
      <c r="P886" s="112"/>
      <c r="Q886" s="112"/>
      <c r="R886" s="112"/>
      <c r="S886" s="112"/>
      <c r="T886" s="112"/>
      <c r="U886" s="124"/>
      <c r="V886" s="124"/>
      <c r="W886" s="124"/>
      <c r="X886" s="124"/>
      <c r="Y886" s="124"/>
      <c r="Z886" s="112"/>
      <c r="AA886" s="112"/>
      <c r="AB886" s="112"/>
      <c r="AC886" s="112"/>
      <c r="AD886" s="112"/>
      <c r="AE886" s="112"/>
      <c r="AF886" s="112"/>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c r="BK886" s="124"/>
      <c r="BL886" s="124"/>
      <c r="BM886" s="124"/>
      <c r="BN886" s="124"/>
      <c r="BO886" s="124"/>
      <c r="BP886" s="124"/>
      <c r="BQ886" s="124"/>
      <c r="BR886" s="124"/>
      <c r="BS886" s="124"/>
      <c r="BT886" s="124"/>
      <c r="BU886" s="124"/>
      <c r="BV886" s="124"/>
      <c r="BW886" s="124"/>
      <c r="BX886" s="124"/>
      <c r="BY886" s="124"/>
      <c r="BZ886" s="124"/>
      <c r="CA886" s="124"/>
    </row>
    <row r="887">
      <c r="D887" s="143"/>
      <c r="E887" s="129"/>
      <c r="F887" s="112"/>
      <c r="G887" s="112"/>
      <c r="H887" s="112"/>
      <c r="I887" s="112"/>
      <c r="J887" s="112"/>
      <c r="K887" s="112"/>
      <c r="L887" s="112"/>
      <c r="M887" s="112"/>
      <c r="N887" s="112"/>
      <c r="O887" s="112"/>
      <c r="P887" s="112"/>
      <c r="Q887" s="112"/>
      <c r="R887" s="112"/>
      <c r="S887" s="112"/>
      <c r="T887" s="112"/>
      <c r="U887" s="124"/>
      <c r="V887" s="124"/>
      <c r="W887" s="124"/>
      <c r="X887" s="124"/>
      <c r="Y887" s="124"/>
      <c r="Z887" s="112"/>
      <c r="AA887" s="112"/>
      <c r="AB887" s="112"/>
      <c r="AC887" s="112"/>
      <c r="AD887" s="112"/>
      <c r="AE887" s="112"/>
      <c r="AF887" s="112"/>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c r="BK887" s="124"/>
      <c r="BL887" s="124"/>
      <c r="BM887" s="124"/>
      <c r="BN887" s="124"/>
      <c r="BO887" s="124"/>
      <c r="BP887" s="124"/>
      <c r="BQ887" s="124"/>
      <c r="BR887" s="124"/>
      <c r="BS887" s="124"/>
      <c r="BT887" s="124"/>
      <c r="BU887" s="124"/>
      <c r="BV887" s="124"/>
      <c r="BW887" s="124"/>
      <c r="BX887" s="124"/>
      <c r="BY887" s="124"/>
      <c r="BZ887" s="124"/>
      <c r="CA887" s="124"/>
    </row>
    <row r="888">
      <c r="D888" s="143"/>
      <c r="E888" s="129"/>
      <c r="F888" s="112"/>
      <c r="G888" s="112"/>
      <c r="H888" s="112"/>
      <c r="I888" s="112"/>
      <c r="J888" s="112"/>
      <c r="K888" s="112"/>
      <c r="L888" s="112"/>
      <c r="M888" s="112"/>
      <c r="N888" s="112"/>
      <c r="O888" s="112"/>
      <c r="P888" s="112"/>
      <c r="Q888" s="112"/>
      <c r="R888" s="112"/>
      <c r="S888" s="112"/>
      <c r="T888" s="112"/>
      <c r="U888" s="124"/>
      <c r="V888" s="124"/>
      <c r="W888" s="124"/>
      <c r="X888" s="124"/>
      <c r="Y888" s="124"/>
      <c r="Z888" s="112"/>
      <c r="AA888" s="112"/>
      <c r="AB888" s="112"/>
      <c r="AC888" s="112"/>
      <c r="AD888" s="112"/>
      <c r="AE888" s="112"/>
      <c r="AF888" s="112"/>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c r="BK888" s="124"/>
      <c r="BL888" s="124"/>
      <c r="BM888" s="124"/>
      <c r="BN888" s="124"/>
      <c r="BO888" s="124"/>
      <c r="BP888" s="124"/>
      <c r="BQ888" s="124"/>
      <c r="BR888" s="124"/>
      <c r="BS888" s="124"/>
      <c r="BT888" s="124"/>
      <c r="BU888" s="124"/>
      <c r="BV888" s="124"/>
      <c r="BW888" s="124"/>
      <c r="BX888" s="124"/>
      <c r="BY888" s="124"/>
      <c r="BZ888" s="124"/>
      <c r="CA888" s="124"/>
    </row>
    <row r="889">
      <c r="D889" s="143"/>
      <c r="E889" s="129"/>
      <c r="F889" s="112"/>
      <c r="G889" s="112"/>
      <c r="H889" s="112"/>
      <c r="I889" s="112"/>
      <c r="J889" s="112"/>
      <c r="K889" s="112"/>
      <c r="L889" s="112"/>
      <c r="M889" s="112"/>
      <c r="N889" s="112"/>
      <c r="O889" s="112"/>
      <c r="P889" s="112"/>
      <c r="Q889" s="112"/>
      <c r="R889" s="112"/>
      <c r="S889" s="112"/>
      <c r="T889" s="112"/>
      <c r="U889" s="124"/>
      <c r="V889" s="124"/>
      <c r="W889" s="124"/>
      <c r="X889" s="124"/>
      <c r="Y889" s="124"/>
      <c r="Z889" s="112"/>
      <c r="AA889" s="112"/>
      <c r="AB889" s="112"/>
      <c r="AC889" s="112"/>
      <c r="AD889" s="112"/>
      <c r="AE889" s="112"/>
      <c r="AF889" s="112"/>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c r="BK889" s="124"/>
      <c r="BL889" s="124"/>
      <c r="BM889" s="124"/>
      <c r="BN889" s="124"/>
      <c r="BO889" s="124"/>
      <c r="BP889" s="124"/>
      <c r="BQ889" s="124"/>
      <c r="BR889" s="124"/>
      <c r="BS889" s="124"/>
      <c r="BT889" s="124"/>
      <c r="BU889" s="124"/>
      <c r="BV889" s="124"/>
      <c r="BW889" s="124"/>
      <c r="BX889" s="124"/>
      <c r="BY889" s="124"/>
      <c r="BZ889" s="124"/>
      <c r="CA889" s="124"/>
    </row>
    <row r="890">
      <c r="D890" s="143"/>
      <c r="E890" s="129"/>
      <c r="F890" s="112"/>
      <c r="G890" s="112"/>
      <c r="H890" s="112"/>
      <c r="I890" s="112"/>
      <c r="J890" s="112"/>
      <c r="K890" s="112"/>
      <c r="L890" s="112"/>
      <c r="M890" s="112"/>
      <c r="N890" s="112"/>
      <c r="O890" s="112"/>
      <c r="P890" s="112"/>
      <c r="Q890" s="112"/>
      <c r="R890" s="112"/>
      <c r="S890" s="112"/>
      <c r="T890" s="112"/>
      <c r="U890" s="124"/>
      <c r="V890" s="124"/>
      <c r="W890" s="124"/>
      <c r="X890" s="124"/>
      <c r="Y890" s="124"/>
      <c r="Z890" s="112"/>
      <c r="AA890" s="112"/>
      <c r="AB890" s="112"/>
      <c r="AC890" s="112"/>
      <c r="AD890" s="112"/>
      <c r="AE890" s="112"/>
      <c r="AF890" s="112"/>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c r="BK890" s="124"/>
      <c r="BL890" s="124"/>
      <c r="BM890" s="124"/>
      <c r="BN890" s="124"/>
      <c r="BO890" s="124"/>
      <c r="BP890" s="124"/>
      <c r="BQ890" s="124"/>
      <c r="BR890" s="124"/>
      <c r="BS890" s="124"/>
      <c r="BT890" s="124"/>
      <c r="BU890" s="124"/>
      <c r="BV890" s="124"/>
      <c r="BW890" s="124"/>
      <c r="BX890" s="124"/>
      <c r="BY890" s="124"/>
      <c r="BZ890" s="124"/>
      <c r="CA890" s="124"/>
    </row>
    <row r="891">
      <c r="D891" s="143"/>
      <c r="E891" s="129"/>
      <c r="F891" s="112"/>
      <c r="G891" s="112"/>
      <c r="H891" s="112"/>
      <c r="I891" s="112"/>
      <c r="J891" s="112"/>
      <c r="K891" s="112"/>
      <c r="L891" s="112"/>
      <c r="M891" s="112"/>
      <c r="N891" s="112"/>
      <c r="O891" s="112"/>
      <c r="P891" s="112"/>
      <c r="Q891" s="112"/>
      <c r="R891" s="112"/>
      <c r="S891" s="112"/>
      <c r="T891" s="112"/>
      <c r="U891" s="124"/>
      <c r="V891" s="124"/>
      <c r="W891" s="124"/>
      <c r="X891" s="124"/>
      <c r="Y891" s="124"/>
      <c r="Z891" s="112"/>
      <c r="AA891" s="112"/>
      <c r="AB891" s="112"/>
      <c r="AC891" s="112"/>
      <c r="AD891" s="112"/>
      <c r="AE891" s="112"/>
      <c r="AF891" s="112"/>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c r="BK891" s="124"/>
      <c r="BL891" s="124"/>
      <c r="BM891" s="124"/>
      <c r="BN891" s="124"/>
      <c r="BO891" s="124"/>
      <c r="BP891" s="124"/>
      <c r="BQ891" s="124"/>
      <c r="BR891" s="124"/>
      <c r="BS891" s="124"/>
      <c r="BT891" s="124"/>
      <c r="BU891" s="124"/>
      <c r="BV891" s="124"/>
      <c r="BW891" s="124"/>
      <c r="BX891" s="124"/>
      <c r="BY891" s="124"/>
      <c r="BZ891" s="124"/>
      <c r="CA891" s="124"/>
    </row>
    <row r="892">
      <c r="D892" s="143"/>
      <c r="E892" s="129"/>
      <c r="F892" s="112"/>
      <c r="G892" s="112"/>
      <c r="H892" s="112"/>
      <c r="I892" s="112"/>
      <c r="J892" s="112"/>
      <c r="K892" s="112"/>
      <c r="L892" s="112"/>
      <c r="M892" s="112"/>
      <c r="N892" s="112"/>
      <c r="O892" s="112"/>
      <c r="P892" s="112"/>
      <c r="Q892" s="112"/>
      <c r="R892" s="112"/>
      <c r="S892" s="112"/>
      <c r="T892" s="112"/>
      <c r="U892" s="124"/>
      <c r="V892" s="124"/>
      <c r="W892" s="124"/>
      <c r="X892" s="124"/>
      <c r="Y892" s="124"/>
      <c r="Z892" s="112"/>
      <c r="AA892" s="112"/>
      <c r="AB892" s="112"/>
      <c r="AC892" s="112"/>
      <c r="AD892" s="112"/>
      <c r="AE892" s="112"/>
      <c r="AF892" s="112"/>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c r="BK892" s="124"/>
      <c r="BL892" s="124"/>
      <c r="BM892" s="124"/>
      <c r="BN892" s="124"/>
      <c r="BO892" s="124"/>
      <c r="BP892" s="124"/>
      <c r="BQ892" s="124"/>
      <c r="BR892" s="124"/>
      <c r="BS892" s="124"/>
      <c r="BT892" s="124"/>
      <c r="BU892" s="124"/>
      <c r="BV892" s="124"/>
      <c r="BW892" s="124"/>
      <c r="BX892" s="124"/>
      <c r="BY892" s="124"/>
      <c r="BZ892" s="124"/>
      <c r="CA892" s="124"/>
    </row>
    <row r="893">
      <c r="D893" s="143"/>
      <c r="E893" s="129"/>
      <c r="F893" s="112"/>
      <c r="G893" s="112"/>
      <c r="H893" s="112"/>
      <c r="I893" s="112"/>
      <c r="J893" s="112"/>
      <c r="K893" s="112"/>
      <c r="L893" s="112"/>
      <c r="M893" s="112"/>
      <c r="N893" s="112"/>
      <c r="O893" s="112"/>
      <c r="P893" s="112"/>
      <c r="Q893" s="112"/>
      <c r="R893" s="112"/>
      <c r="S893" s="112"/>
      <c r="T893" s="112"/>
      <c r="U893" s="124"/>
      <c r="V893" s="124"/>
      <c r="W893" s="124"/>
      <c r="X893" s="124"/>
      <c r="Y893" s="124"/>
      <c r="Z893" s="112"/>
      <c r="AA893" s="112"/>
      <c r="AB893" s="112"/>
      <c r="AC893" s="112"/>
      <c r="AD893" s="112"/>
      <c r="AE893" s="112"/>
      <c r="AF893" s="112"/>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c r="BK893" s="124"/>
      <c r="BL893" s="124"/>
      <c r="BM893" s="124"/>
      <c r="BN893" s="124"/>
      <c r="BO893" s="124"/>
      <c r="BP893" s="124"/>
      <c r="BQ893" s="124"/>
      <c r="BR893" s="124"/>
      <c r="BS893" s="124"/>
      <c r="BT893" s="124"/>
      <c r="BU893" s="124"/>
      <c r="BV893" s="124"/>
      <c r="BW893" s="124"/>
      <c r="BX893" s="124"/>
      <c r="BY893" s="124"/>
      <c r="BZ893" s="124"/>
      <c r="CA893" s="124"/>
    </row>
    <row r="894">
      <c r="D894" s="143"/>
      <c r="E894" s="129"/>
      <c r="F894" s="112"/>
      <c r="G894" s="112"/>
      <c r="H894" s="112"/>
      <c r="I894" s="112"/>
      <c r="J894" s="112"/>
      <c r="K894" s="112"/>
      <c r="L894" s="112"/>
      <c r="M894" s="112"/>
      <c r="N894" s="112"/>
      <c r="O894" s="112"/>
      <c r="P894" s="112"/>
      <c r="Q894" s="112"/>
      <c r="R894" s="112"/>
      <c r="S894" s="112"/>
      <c r="T894" s="112"/>
      <c r="U894" s="124"/>
      <c r="V894" s="124"/>
      <c r="W894" s="124"/>
      <c r="X894" s="124"/>
      <c r="Y894" s="124"/>
      <c r="Z894" s="112"/>
      <c r="AA894" s="112"/>
      <c r="AB894" s="112"/>
      <c r="AC894" s="112"/>
      <c r="AD894" s="112"/>
      <c r="AE894" s="112"/>
      <c r="AF894" s="112"/>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c r="BK894" s="124"/>
      <c r="BL894" s="124"/>
      <c r="BM894" s="124"/>
      <c r="BN894" s="124"/>
      <c r="BO894" s="124"/>
      <c r="BP894" s="124"/>
      <c r="BQ894" s="124"/>
      <c r="BR894" s="124"/>
      <c r="BS894" s="124"/>
      <c r="BT894" s="124"/>
      <c r="BU894" s="124"/>
      <c r="BV894" s="124"/>
      <c r="BW894" s="124"/>
      <c r="BX894" s="124"/>
      <c r="BY894" s="124"/>
      <c r="BZ894" s="124"/>
      <c r="CA894" s="124"/>
    </row>
    <row r="895">
      <c r="D895" s="143"/>
      <c r="E895" s="129"/>
      <c r="F895" s="112"/>
      <c r="G895" s="112"/>
      <c r="H895" s="112"/>
      <c r="I895" s="112"/>
      <c r="J895" s="112"/>
      <c r="K895" s="112"/>
      <c r="L895" s="112"/>
      <c r="M895" s="112"/>
      <c r="N895" s="112"/>
      <c r="O895" s="112"/>
      <c r="P895" s="112"/>
      <c r="Q895" s="112"/>
      <c r="R895" s="112"/>
      <c r="S895" s="112"/>
      <c r="T895" s="112"/>
      <c r="U895" s="124"/>
      <c r="V895" s="124"/>
      <c r="W895" s="124"/>
      <c r="X895" s="124"/>
      <c r="Y895" s="124"/>
      <c r="Z895" s="112"/>
      <c r="AA895" s="112"/>
      <c r="AB895" s="112"/>
      <c r="AC895" s="112"/>
      <c r="AD895" s="112"/>
      <c r="AE895" s="112"/>
      <c r="AF895" s="112"/>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c r="BK895" s="124"/>
      <c r="BL895" s="124"/>
      <c r="BM895" s="124"/>
      <c r="BN895" s="124"/>
      <c r="BO895" s="124"/>
      <c r="BP895" s="124"/>
      <c r="BQ895" s="124"/>
      <c r="BR895" s="124"/>
      <c r="BS895" s="124"/>
      <c r="BT895" s="124"/>
      <c r="BU895" s="124"/>
      <c r="BV895" s="124"/>
      <c r="BW895" s="124"/>
      <c r="BX895" s="124"/>
      <c r="BY895" s="124"/>
      <c r="BZ895" s="124"/>
      <c r="CA895" s="124"/>
    </row>
    <row r="896">
      <c r="D896" s="143"/>
      <c r="E896" s="129"/>
      <c r="F896" s="112"/>
      <c r="G896" s="112"/>
      <c r="H896" s="112"/>
      <c r="I896" s="112"/>
      <c r="J896" s="112"/>
      <c r="K896" s="112"/>
      <c r="L896" s="112"/>
      <c r="M896" s="112"/>
      <c r="N896" s="112"/>
      <c r="O896" s="112"/>
      <c r="P896" s="112"/>
      <c r="Q896" s="112"/>
      <c r="R896" s="112"/>
      <c r="S896" s="112"/>
      <c r="T896" s="112"/>
      <c r="U896" s="124"/>
      <c r="V896" s="124"/>
      <c r="W896" s="124"/>
      <c r="X896" s="124"/>
      <c r="Y896" s="124"/>
      <c r="Z896" s="112"/>
      <c r="AA896" s="112"/>
      <c r="AB896" s="112"/>
      <c r="AC896" s="112"/>
      <c r="AD896" s="112"/>
      <c r="AE896" s="112"/>
      <c r="AF896" s="112"/>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c r="BK896" s="124"/>
      <c r="BL896" s="124"/>
      <c r="BM896" s="124"/>
      <c r="BN896" s="124"/>
      <c r="BO896" s="124"/>
      <c r="BP896" s="124"/>
      <c r="BQ896" s="124"/>
      <c r="BR896" s="124"/>
      <c r="BS896" s="124"/>
      <c r="BT896" s="124"/>
      <c r="BU896" s="124"/>
      <c r="BV896" s="124"/>
      <c r="BW896" s="124"/>
      <c r="BX896" s="124"/>
      <c r="BY896" s="124"/>
      <c r="BZ896" s="124"/>
      <c r="CA896" s="124"/>
    </row>
    <row r="897">
      <c r="D897" s="143"/>
      <c r="E897" s="129"/>
      <c r="F897" s="112"/>
      <c r="G897" s="112"/>
      <c r="H897" s="112"/>
      <c r="I897" s="112"/>
      <c r="J897" s="112"/>
      <c r="K897" s="112"/>
      <c r="L897" s="112"/>
      <c r="M897" s="112"/>
      <c r="N897" s="112"/>
      <c r="O897" s="112"/>
      <c r="P897" s="112"/>
      <c r="Q897" s="112"/>
      <c r="R897" s="112"/>
      <c r="S897" s="112"/>
      <c r="T897" s="112"/>
      <c r="U897" s="124"/>
      <c r="V897" s="124"/>
      <c r="W897" s="124"/>
      <c r="X897" s="124"/>
      <c r="Y897" s="124"/>
      <c r="Z897" s="112"/>
      <c r="AA897" s="112"/>
      <c r="AB897" s="112"/>
      <c r="AC897" s="112"/>
      <c r="AD897" s="112"/>
      <c r="AE897" s="112"/>
      <c r="AF897" s="112"/>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c r="BK897" s="124"/>
      <c r="BL897" s="124"/>
      <c r="BM897" s="124"/>
      <c r="BN897" s="124"/>
      <c r="BO897" s="124"/>
      <c r="BP897" s="124"/>
      <c r="BQ897" s="124"/>
      <c r="BR897" s="124"/>
      <c r="BS897" s="124"/>
      <c r="BT897" s="124"/>
      <c r="BU897" s="124"/>
      <c r="BV897" s="124"/>
      <c r="BW897" s="124"/>
      <c r="BX897" s="124"/>
      <c r="BY897" s="124"/>
      <c r="BZ897" s="124"/>
      <c r="CA897" s="124"/>
    </row>
    <row r="898">
      <c r="D898" s="143"/>
      <c r="E898" s="129"/>
      <c r="F898" s="112"/>
      <c r="G898" s="112"/>
      <c r="H898" s="112"/>
      <c r="I898" s="112"/>
      <c r="J898" s="112"/>
      <c r="K898" s="112"/>
      <c r="L898" s="112"/>
      <c r="M898" s="112"/>
      <c r="N898" s="112"/>
      <c r="O898" s="112"/>
      <c r="P898" s="112"/>
      <c r="Q898" s="112"/>
      <c r="R898" s="112"/>
      <c r="S898" s="112"/>
      <c r="T898" s="112"/>
      <c r="U898" s="124"/>
      <c r="V898" s="124"/>
      <c r="W898" s="124"/>
      <c r="X898" s="124"/>
      <c r="Y898" s="124"/>
      <c r="Z898" s="112"/>
      <c r="AA898" s="112"/>
      <c r="AB898" s="112"/>
      <c r="AC898" s="112"/>
      <c r="AD898" s="112"/>
      <c r="AE898" s="112"/>
      <c r="AF898" s="112"/>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c r="BK898" s="124"/>
      <c r="BL898" s="124"/>
      <c r="BM898" s="124"/>
      <c r="BN898" s="124"/>
      <c r="BO898" s="124"/>
      <c r="BP898" s="124"/>
      <c r="BQ898" s="124"/>
      <c r="BR898" s="124"/>
      <c r="BS898" s="124"/>
      <c r="BT898" s="124"/>
      <c r="BU898" s="124"/>
      <c r="BV898" s="124"/>
      <c r="BW898" s="124"/>
      <c r="BX898" s="124"/>
      <c r="BY898" s="124"/>
      <c r="BZ898" s="124"/>
      <c r="CA898" s="124"/>
    </row>
    <row r="899">
      <c r="D899" s="143"/>
      <c r="E899" s="129"/>
      <c r="F899" s="112"/>
      <c r="G899" s="112"/>
      <c r="H899" s="112"/>
      <c r="I899" s="112"/>
      <c r="J899" s="112"/>
      <c r="K899" s="112"/>
      <c r="L899" s="112"/>
      <c r="M899" s="112"/>
      <c r="N899" s="112"/>
      <c r="O899" s="112"/>
      <c r="P899" s="112"/>
      <c r="Q899" s="112"/>
      <c r="R899" s="112"/>
      <c r="S899" s="112"/>
      <c r="T899" s="112"/>
      <c r="U899" s="124"/>
      <c r="V899" s="124"/>
      <c r="W899" s="124"/>
      <c r="X899" s="124"/>
      <c r="Y899" s="124"/>
      <c r="Z899" s="112"/>
      <c r="AA899" s="112"/>
      <c r="AB899" s="112"/>
      <c r="AC899" s="112"/>
      <c r="AD899" s="112"/>
      <c r="AE899" s="112"/>
      <c r="AF899" s="112"/>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c r="BK899" s="124"/>
      <c r="BL899" s="124"/>
      <c r="BM899" s="124"/>
      <c r="BN899" s="124"/>
      <c r="BO899" s="124"/>
      <c r="BP899" s="124"/>
      <c r="BQ899" s="124"/>
      <c r="BR899" s="124"/>
      <c r="BS899" s="124"/>
      <c r="BT899" s="124"/>
      <c r="BU899" s="124"/>
      <c r="BV899" s="124"/>
      <c r="BW899" s="124"/>
      <c r="BX899" s="124"/>
      <c r="BY899" s="124"/>
      <c r="BZ899" s="124"/>
      <c r="CA899" s="124"/>
    </row>
    <row r="900">
      <c r="D900" s="143"/>
      <c r="E900" s="129"/>
      <c r="F900" s="112"/>
      <c r="G900" s="112"/>
      <c r="H900" s="112"/>
      <c r="I900" s="112"/>
      <c r="J900" s="112"/>
      <c r="K900" s="112"/>
      <c r="L900" s="112"/>
      <c r="M900" s="112"/>
      <c r="N900" s="112"/>
      <c r="O900" s="112"/>
      <c r="P900" s="112"/>
      <c r="Q900" s="112"/>
      <c r="R900" s="112"/>
      <c r="S900" s="112"/>
      <c r="T900" s="112"/>
      <c r="U900" s="124"/>
      <c r="V900" s="124"/>
      <c r="W900" s="124"/>
      <c r="X900" s="124"/>
      <c r="Y900" s="124"/>
      <c r="Z900" s="112"/>
      <c r="AA900" s="112"/>
      <c r="AB900" s="112"/>
      <c r="AC900" s="112"/>
      <c r="AD900" s="112"/>
      <c r="AE900" s="112"/>
      <c r="AF900" s="112"/>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c r="BK900" s="124"/>
      <c r="BL900" s="124"/>
      <c r="BM900" s="124"/>
      <c r="BN900" s="124"/>
      <c r="BO900" s="124"/>
      <c r="BP900" s="124"/>
      <c r="BQ900" s="124"/>
      <c r="BR900" s="124"/>
      <c r="BS900" s="124"/>
      <c r="BT900" s="124"/>
      <c r="BU900" s="124"/>
      <c r="BV900" s="124"/>
      <c r="BW900" s="124"/>
      <c r="BX900" s="124"/>
      <c r="BY900" s="124"/>
      <c r="BZ900" s="124"/>
      <c r="CA900" s="124"/>
    </row>
    <row r="901">
      <c r="D901" s="143"/>
      <c r="E901" s="129"/>
      <c r="F901" s="112"/>
      <c r="G901" s="112"/>
      <c r="H901" s="112"/>
      <c r="I901" s="112"/>
      <c r="J901" s="112"/>
      <c r="K901" s="112"/>
      <c r="L901" s="112"/>
      <c r="M901" s="112"/>
      <c r="N901" s="112"/>
      <c r="O901" s="112"/>
      <c r="P901" s="112"/>
      <c r="Q901" s="112"/>
      <c r="R901" s="112"/>
      <c r="S901" s="112"/>
      <c r="T901" s="112"/>
      <c r="U901" s="124"/>
      <c r="V901" s="124"/>
      <c r="W901" s="124"/>
      <c r="X901" s="124"/>
      <c r="Y901" s="124"/>
      <c r="Z901" s="112"/>
      <c r="AA901" s="112"/>
      <c r="AB901" s="112"/>
      <c r="AC901" s="112"/>
      <c r="AD901" s="112"/>
      <c r="AE901" s="112"/>
      <c r="AF901" s="112"/>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c r="BK901" s="124"/>
      <c r="BL901" s="124"/>
      <c r="BM901" s="124"/>
      <c r="BN901" s="124"/>
      <c r="BO901" s="124"/>
      <c r="BP901" s="124"/>
      <c r="BQ901" s="124"/>
      <c r="BR901" s="124"/>
      <c r="BS901" s="124"/>
      <c r="BT901" s="124"/>
      <c r="BU901" s="124"/>
      <c r="BV901" s="124"/>
      <c r="BW901" s="124"/>
      <c r="BX901" s="124"/>
      <c r="BY901" s="124"/>
      <c r="BZ901" s="124"/>
      <c r="CA901" s="124"/>
    </row>
    <row r="902">
      <c r="D902" s="143"/>
      <c r="E902" s="129"/>
      <c r="F902" s="112"/>
      <c r="G902" s="112"/>
      <c r="H902" s="112"/>
      <c r="I902" s="112"/>
      <c r="J902" s="112"/>
      <c r="K902" s="112"/>
      <c r="L902" s="112"/>
      <c r="M902" s="112"/>
      <c r="N902" s="112"/>
      <c r="O902" s="112"/>
      <c r="P902" s="112"/>
      <c r="Q902" s="112"/>
      <c r="R902" s="112"/>
      <c r="S902" s="112"/>
      <c r="T902" s="112"/>
      <c r="U902" s="124"/>
      <c r="V902" s="124"/>
      <c r="W902" s="124"/>
      <c r="X902" s="124"/>
      <c r="Y902" s="124"/>
      <c r="Z902" s="112"/>
      <c r="AA902" s="112"/>
      <c r="AB902" s="112"/>
      <c r="AC902" s="112"/>
      <c r="AD902" s="112"/>
      <c r="AE902" s="112"/>
      <c r="AF902" s="112"/>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c r="BK902" s="124"/>
      <c r="BL902" s="124"/>
      <c r="BM902" s="124"/>
      <c r="BN902" s="124"/>
      <c r="BO902" s="124"/>
      <c r="BP902" s="124"/>
      <c r="BQ902" s="124"/>
      <c r="BR902" s="124"/>
      <c r="BS902" s="124"/>
      <c r="BT902" s="124"/>
      <c r="BU902" s="124"/>
      <c r="BV902" s="124"/>
      <c r="BW902" s="124"/>
      <c r="BX902" s="124"/>
      <c r="BY902" s="124"/>
      <c r="BZ902" s="124"/>
      <c r="CA902" s="124"/>
    </row>
    <row r="903">
      <c r="D903" s="143"/>
      <c r="E903" s="129"/>
      <c r="F903" s="112"/>
      <c r="G903" s="112"/>
      <c r="H903" s="112"/>
      <c r="I903" s="112"/>
      <c r="J903" s="112"/>
      <c r="K903" s="112"/>
      <c r="L903" s="112"/>
      <c r="M903" s="112"/>
      <c r="N903" s="112"/>
      <c r="O903" s="112"/>
      <c r="P903" s="112"/>
      <c r="Q903" s="112"/>
      <c r="R903" s="112"/>
      <c r="S903" s="112"/>
      <c r="T903" s="112"/>
      <c r="U903" s="124"/>
      <c r="V903" s="124"/>
      <c r="W903" s="124"/>
      <c r="X903" s="124"/>
      <c r="Y903" s="124"/>
      <c r="Z903" s="112"/>
      <c r="AA903" s="112"/>
      <c r="AB903" s="112"/>
      <c r="AC903" s="112"/>
      <c r="AD903" s="112"/>
      <c r="AE903" s="112"/>
      <c r="AF903" s="112"/>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c r="BK903" s="124"/>
      <c r="BL903" s="124"/>
      <c r="BM903" s="124"/>
      <c r="BN903" s="124"/>
      <c r="BO903" s="124"/>
      <c r="BP903" s="124"/>
      <c r="BQ903" s="124"/>
      <c r="BR903" s="124"/>
      <c r="BS903" s="124"/>
      <c r="BT903" s="124"/>
      <c r="BU903" s="124"/>
      <c r="BV903" s="124"/>
      <c r="BW903" s="124"/>
      <c r="BX903" s="124"/>
      <c r="BY903" s="124"/>
      <c r="BZ903" s="124"/>
      <c r="CA903" s="124"/>
    </row>
    <row r="904">
      <c r="D904" s="143"/>
      <c r="E904" s="129"/>
      <c r="F904" s="112"/>
      <c r="G904" s="112"/>
      <c r="H904" s="112"/>
      <c r="I904" s="112"/>
      <c r="J904" s="112"/>
      <c r="K904" s="112"/>
      <c r="L904" s="112"/>
      <c r="M904" s="112"/>
      <c r="N904" s="112"/>
      <c r="O904" s="112"/>
      <c r="P904" s="112"/>
      <c r="Q904" s="112"/>
      <c r="R904" s="112"/>
      <c r="S904" s="112"/>
      <c r="T904" s="112"/>
      <c r="U904" s="124"/>
      <c r="V904" s="124"/>
      <c r="W904" s="124"/>
      <c r="X904" s="124"/>
      <c r="Y904" s="124"/>
      <c r="Z904" s="112"/>
      <c r="AA904" s="112"/>
      <c r="AB904" s="112"/>
      <c r="AC904" s="112"/>
      <c r="AD904" s="112"/>
      <c r="AE904" s="112"/>
      <c r="AF904" s="112"/>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c r="BK904" s="124"/>
      <c r="BL904" s="124"/>
      <c r="BM904" s="124"/>
      <c r="BN904" s="124"/>
      <c r="BO904" s="124"/>
      <c r="BP904" s="124"/>
      <c r="BQ904" s="124"/>
      <c r="BR904" s="124"/>
      <c r="BS904" s="124"/>
      <c r="BT904" s="124"/>
      <c r="BU904" s="124"/>
      <c r="BV904" s="124"/>
      <c r="BW904" s="124"/>
      <c r="BX904" s="124"/>
      <c r="BY904" s="124"/>
      <c r="BZ904" s="124"/>
      <c r="CA904" s="124"/>
    </row>
    <row r="905">
      <c r="D905" s="143"/>
      <c r="E905" s="129"/>
      <c r="F905" s="112"/>
      <c r="G905" s="112"/>
      <c r="H905" s="112"/>
      <c r="I905" s="112"/>
      <c r="J905" s="112"/>
      <c r="K905" s="112"/>
      <c r="L905" s="112"/>
      <c r="M905" s="112"/>
      <c r="N905" s="112"/>
      <c r="O905" s="112"/>
      <c r="P905" s="112"/>
      <c r="Q905" s="112"/>
      <c r="R905" s="112"/>
      <c r="S905" s="112"/>
      <c r="T905" s="112"/>
      <c r="U905" s="124"/>
      <c r="V905" s="124"/>
      <c r="W905" s="124"/>
      <c r="X905" s="124"/>
      <c r="Y905" s="124"/>
      <c r="Z905" s="112"/>
      <c r="AA905" s="112"/>
      <c r="AB905" s="112"/>
      <c r="AC905" s="112"/>
      <c r="AD905" s="112"/>
      <c r="AE905" s="112"/>
      <c r="AF905" s="112"/>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c r="BK905" s="124"/>
      <c r="BL905" s="124"/>
      <c r="BM905" s="124"/>
      <c r="BN905" s="124"/>
      <c r="BO905" s="124"/>
      <c r="BP905" s="124"/>
      <c r="BQ905" s="124"/>
      <c r="BR905" s="124"/>
      <c r="BS905" s="124"/>
      <c r="BT905" s="124"/>
      <c r="BU905" s="124"/>
      <c r="BV905" s="124"/>
      <c r="BW905" s="124"/>
      <c r="BX905" s="124"/>
      <c r="BY905" s="124"/>
      <c r="BZ905" s="124"/>
      <c r="CA905" s="124"/>
    </row>
    <row r="906">
      <c r="D906" s="143"/>
      <c r="E906" s="129"/>
      <c r="F906" s="112"/>
      <c r="G906" s="112"/>
      <c r="H906" s="112"/>
      <c r="I906" s="112"/>
      <c r="J906" s="112"/>
      <c r="K906" s="112"/>
      <c r="L906" s="112"/>
      <c r="M906" s="112"/>
      <c r="N906" s="112"/>
      <c r="O906" s="112"/>
      <c r="P906" s="112"/>
      <c r="Q906" s="112"/>
      <c r="R906" s="112"/>
      <c r="S906" s="112"/>
      <c r="T906" s="112"/>
      <c r="U906" s="124"/>
      <c r="V906" s="124"/>
      <c r="W906" s="124"/>
      <c r="X906" s="124"/>
      <c r="Y906" s="124"/>
      <c r="Z906" s="112"/>
      <c r="AA906" s="112"/>
      <c r="AB906" s="112"/>
      <c r="AC906" s="112"/>
      <c r="AD906" s="112"/>
      <c r="AE906" s="112"/>
      <c r="AF906" s="112"/>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c r="BK906" s="124"/>
      <c r="BL906" s="124"/>
      <c r="BM906" s="124"/>
      <c r="BN906" s="124"/>
      <c r="BO906" s="124"/>
      <c r="BP906" s="124"/>
      <c r="BQ906" s="124"/>
      <c r="BR906" s="124"/>
      <c r="BS906" s="124"/>
      <c r="BT906" s="124"/>
      <c r="BU906" s="124"/>
      <c r="BV906" s="124"/>
      <c r="BW906" s="124"/>
      <c r="BX906" s="124"/>
      <c r="BY906" s="124"/>
      <c r="BZ906" s="124"/>
      <c r="CA906" s="124"/>
    </row>
    <row r="907">
      <c r="D907" s="143"/>
      <c r="E907" s="129"/>
      <c r="F907" s="112"/>
      <c r="G907" s="112"/>
      <c r="H907" s="112"/>
      <c r="I907" s="112"/>
      <c r="J907" s="112"/>
      <c r="K907" s="112"/>
      <c r="L907" s="112"/>
      <c r="M907" s="112"/>
      <c r="N907" s="112"/>
      <c r="O907" s="112"/>
      <c r="P907" s="112"/>
      <c r="Q907" s="112"/>
      <c r="R907" s="112"/>
      <c r="S907" s="112"/>
      <c r="T907" s="112"/>
      <c r="U907" s="124"/>
      <c r="V907" s="124"/>
      <c r="W907" s="124"/>
      <c r="X907" s="124"/>
      <c r="Y907" s="124"/>
      <c r="Z907" s="112"/>
      <c r="AA907" s="112"/>
      <c r="AB907" s="112"/>
      <c r="AC907" s="112"/>
      <c r="AD907" s="112"/>
      <c r="AE907" s="112"/>
      <c r="AF907" s="112"/>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c r="BK907" s="124"/>
      <c r="BL907" s="124"/>
      <c r="BM907" s="124"/>
      <c r="BN907" s="124"/>
      <c r="BO907" s="124"/>
      <c r="BP907" s="124"/>
      <c r="BQ907" s="124"/>
      <c r="BR907" s="124"/>
      <c r="BS907" s="124"/>
      <c r="BT907" s="124"/>
      <c r="BU907" s="124"/>
      <c r="BV907" s="124"/>
      <c r="BW907" s="124"/>
      <c r="BX907" s="124"/>
      <c r="BY907" s="124"/>
      <c r="BZ907" s="124"/>
      <c r="CA907" s="124"/>
    </row>
    <row r="908">
      <c r="D908" s="143"/>
      <c r="E908" s="129"/>
      <c r="F908" s="112"/>
      <c r="G908" s="112"/>
      <c r="H908" s="112"/>
      <c r="I908" s="112"/>
      <c r="J908" s="112"/>
      <c r="K908" s="112"/>
      <c r="L908" s="112"/>
      <c r="M908" s="112"/>
      <c r="N908" s="112"/>
      <c r="O908" s="112"/>
      <c r="P908" s="112"/>
      <c r="Q908" s="112"/>
      <c r="R908" s="112"/>
      <c r="S908" s="112"/>
      <c r="T908" s="112"/>
      <c r="U908" s="124"/>
      <c r="V908" s="124"/>
      <c r="W908" s="124"/>
      <c r="X908" s="124"/>
      <c r="Y908" s="124"/>
      <c r="Z908" s="112"/>
      <c r="AA908" s="112"/>
      <c r="AB908" s="112"/>
      <c r="AC908" s="112"/>
      <c r="AD908" s="112"/>
      <c r="AE908" s="112"/>
      <c r="AF908" s="112"/>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c r="BK908" s="124"/>
      <c r="BL908" s="124"/>
      <c r="BM908" s="124"/>
      <c r="BN908" s="124"/>
      <c r="BO908" s="124"/>
      <c r="BP908" s="124"/>
      <c r="BQ908" s="124"/>
      <c r="BR908" s="124"/>
      <c r="BS908" s="124"/>
      <c r="BT908" s="124"/>
      <c r="BU908" s="124"/>
      <c r="BV908" s="124"/>
      <c r="BW908" s="124"/>
      <c r="BX908" s="124"/>
      <c r="BY908" s="124"/>
      <c r="BZ908" s="124"/>
      <c r="CA908" s="124"/>
    </row>
    <row r="909">
      <c r="D909" s="143"/>
      <c r="E909" s="129"/>
      <c r="F909" s="112"/>
      <c r="G909" s="112"/>
      <c r="H909" s="112"/>
      <c r="I909" s="112"/>
      <c r="J909" s="112"/>
      <c r="K909" s="112"/>
      <c r="L909" s="112"/>
      <c r="M909" s="112"/>
      <c r="N909" s="112"/>
      <c r="O909" s="112"/>
      <c r="P909" s="112"/>
      <c r="Q909" s="112"/>
      <c r="R909" s="112"/>
      <c r="S909" s="112"/>
      <c r="T909" s="112"/>
      <c r="U909" s="124"/>
      <c r="V909" s="124"/>
      <c r="W909" s="124"/>
      <c r="X909" s="124"/>
      <c r="Y909" s="124"/>
      <c r="Z909" s="112"/>
      <c r="AA909" s="112"/>
      <c r="AB909" s="112"/>
      <c r="AC909" s="112"/>
      <c r="AD909" s="112"/>
      <c r="AE909" s="112"/>
      <c r="AF909" s="112"/>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c r="BK909" s="124"/>
      <c r="BL909" s="124"/>
      <c r="BM909" s="124"/>
      <c r="BN909" s="124"/>
      <c r="BO909" s="124"/>
      <c r="BP909" s="124"/>
      <c r="BQ909" s="124"/>
      <c r="BR909" s="124"/>
      <c r="BS909" s="124"/>
      <c r="BT909" s="124"/>
      <c r="BU909" s="124"/>
      <c r="BV909" s="124"/>
      <c r="BW909" s="124"/>
      <c r="BX909" s="124"/>
      <c r="BY909" s="124"/>
      <c r="BZ909" s="124"/>
      <c r="CA909" s="124"/>
    </row>
    <row r="910">
      <c r="D910" s="143"/>
      <c r="E910" s="129"/>
      <c r="F910" s="112"/>
      <c r="G910" s="112"/>
      <c r="H910" s="112"/>
      <c r="I910" s="112"/>
      <c r="J910" s="112"/>
      <c r="K910" s="112"/>
      <c r="L910" s="112"/>
      <c r="M910" s="112"/>
      <c r="N910" s="112"/>
      <c r="O910" s="112"/>
      <c r="P910" s="112"/>
      <c r="Q910" s="112"/>
      <c r="R910" s="112"/>
      <c r="S910" s="112"/>
      <c r="T910" s="112"/>
      <c r="U910" s="124"/>
      <c r="V910" s="124"/>
      <c r="W910" s="124"/>
      <c r="X910" s="124"/>
      <c r="Y910" s="124"/>
      <c r="Z910" s="112"/>
      <c r="AA910" s="112"/>
      <c r="AB910" s="112"/>
      <c r="AC910" s="112"/>
      <c r="AD910" s="112"/>
      <c r="AE910" s="112"/>
      <c r="AF910" s="112"/>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c r="BK910" s="124"/>
      <c r="BL910" s="124"/>
      <c r="BM910" s="124"/>
      <c r="BN910" s="124"/>
      <c r="BO910" s="124"/>
      <c r="BP910" s="124"/>
      <c r="BQ910" s="124"/>
      <c r="BR910" s="124"/>
      <c r="BS910" s="124"/>
      <c r="BT910" s="124"/>
      <c r="BU910" s="124"/>
      <c r="BV910" s="124"/>
      <c r="BW910" s="124"/>
      <c r="BX910" s="124"/>
      <c r="BY910" s="124"/>
      <c r="BZ910" s="124"/>
      <c r="CA910" s="124"/>
    </row>
    <row r="911">
      <c r="D911" s="143"/>
      <c r="E911" s="129"/>
      <c r="F911" s="112"/>
      <c r="G911" s="112"/>
      <c r="H911" s="112"/>
      <c r="I911" s="112"/>
      <c r="J911" s="112"/>
      <c r="K911" s="112"/>
      <c r="L911" s="112"/>
      <c r="M911" s="112"/>
      <c r="N911" s="112"/>
      <c r="O911" s="112"/>
      <c r="P911" s="112"/>
      <c r="Q911" s="112"/>
      <c r="R911" s="112"/>
      <c r="S911" s="112"/>
      <c r="T911" s="112"/>
      <c r="U911" s="124"/>
      <c r="V911" s="124"/>
      <c r="W911" s="124"/>
      <c r="X911" s="124"/>
      <c r="Y911" s="124"/>
      <c r="Z911" s="112"/>
      <c r="AA911" s="112"/>
      <c r="AB911" s="112"/>
      <c r="AC911" s="112"/>
      <c r="AD911" s="112"/>
      <c r="AE911" s="112"/>
      <c r="AF911" s="112"/>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c r="BK911" s="124"/>
      <c r="BL911" s="124"/>
      <c r="BM911" s="124"/>
      <c r="BN911" s="124"/>
      <c r="BO911" s="124"/>
      <c r="BP911" s="124"/>
      <c r="BQ911" s="124"/>
      <c r="BR911" s="124"/>
      <c r="BS911" s="124"/>
      <c r="BT911" s="124"/>
      <c r="BU911" s="124"/>
      <c r="BV911" s="124"/>
      <c r="BW911" s="124"/>
      <c r="BX911" s="124"/>
      <c r="BY911" s="124"/>
      <c r="BZ911" s="124"/>
      <c r="CA911" s="124"/>
    </row>
    <row r="912">
      <c r="D912" s="143"/>
      <c r="E912" s="129"/>
      <c r="F912" s="112"/>
      <c r="G912" s="112"/>
      <c r="H912" s="112"/>
      <c r="I912" s="112"/>
      <c r="J912" s="112"/>
      <c r="K912" s="112"/>
      <c r="L912" s="112"/>
      <c r="M912" s="112"/>
      <c r="N912" s="112"/>
      <c r="O912" s="112"/>
      <c r="P912" s="112"/>
      <c r="Q912" s="112"/>
      <c r="R912" s="112"/>
      <c r="S912" s="112"/>
      <c r="T912" s="112"/>
      <c r="U912" s="124"/>
      <c r="V912" s="124"/>
      <c r="W912" s="124"/>
      <c r="X912" s="124"/>
      <c r="Y912" s="124"/>
      <c r="Z912" s="112"/>
      <c r="AA912" s="112"/>
      <c r="AB912" s="112"/>
      <c r="AC912" s="112"/>
      <c r="AD912" s="112"/>
      <c r="AE912" s="112"/>
      <c r="AF912" s="112"/>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c r="BK912" s="124"/>
      <c r="BL912" s="124"/>
      <c r="BM912" s="124"/>
      <c r="BN912" s="124"/>
      <c r="BO912" s="124"/>
      <c r="BP912" s="124"/>
      <c r="BQ912" s="124"/>
      <c r="BR912" s="124"/>
      <c r="BS912" s="124"/>
      <c r="BT912" s="124"/>
      <c r="BU912" s="124"/>
      <c r="BV912" s="124"/>
      <c r="BW912" s="124"/>
      <c r="BX912" s="124"/>
      <c r="BY912" s="124"/>
      <c r="BZ912" s="124"/>
      <c r="CA912" s="124"/>
    </row>
    <row r="913">
      <c r="D913" s="143"/>
      <c r="E913" s="129"/>
      <c r="F913" s="112"/>
      <c r="G913" s="112"/>
      <c r="H913" s="112"/>
      <c r="I913" s="112"/>
      <c r="J913" s="112"/>
      <c r="K913" s="112"/>
      <c r="L913" s="112"/>
      <c r="M913" s="112"/>
      <c r="N913" s="112"/>
      <c r="O913" s="112"/>
      <c r="P913" s="112"/>
      <c r="Q913" s="112"/>
      <c r="R913" s="112"/>
      <c r="S913" s="112"/>
      <c r="T913" s="112"/>
      <c r="U913" s="124"/>
      <c r="V913" s="124"/>
      <c r="W913" s="124"/>
      <c r="X913" s="124"/>
      <c r="Y913" s="124"/>
      <c r="Z913" s="112"/>
      <c r="AA913" s="112"/>
      <c r="AB913" s="112"/>
      <c r="AC913" s="112"/>
      <c r="AD913" s="112"/>
      <c r="AE913" s="112"/>
      <c r="AF913" s="112"/>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c r="BK913" s="124"/>
      <c r="BL913" s="124"/>
      <c r="BM913" s="124"/>
      <c r="BN913" s="124"/>
      <c r="BO913" s="124"/>
      <c r="BP913" s="124"/>
      <c r="BQ913" s="124"/>
      <c r="BR913" s="124"/>
      <c r="BS913" s="124"/>
      <c r="BT913" s="124"/>
      <c r="BU913" s="124"/>
      <c r="BV913" s="124"/>
      <c r="BW913" s="124"/>
      <c r="BX913" s="124"/>
      <c r="BY913" s="124"/>
      <c r="BZ913" s="124"/>
      <c r="CA913" s="124"/>
    </row>
    <row r="914">
      <c r="D914" s="143"/>
      <c r="E914" s="129"/>
      <c r="F914" s="112"/>
      <c r="G914" s="112"/>
      <c r="H914" s="112"/>
      <c r="I914" s="112"/>
      <c r="J914" s="112"/>
      <c r="K914" s="112"/>
      <c r="L914" s="112"/>
      <c r="M914" s="112"/>
      <c r="N914" s="112"/>
      <c r="O914" s="112"/>
      <c r="P914" s="112"/>
      <c r="Q914" s="112"/>
      <c r="R914" s="112"/>
      <c r="S914" s="112"/>
      <c r="T914" s="112"/>
      <c r="U914" s="124"/>
      <c r="V914" s="124"/>
      <c r="W914" s="124"/>
      <c r="X914" s="124"/>
      <c r="Y914" s="124"/>
      <c r="Z914" s="112"/>
      <c r="AA914" s="112"/>
      <c r="AB914" s="112"/>
      <c r="AC914" s="112"/>
      <c r="AD914" s="112"/>
      <c r="AE914" s="112"/>
      <c r="AF914" s="112"/>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c r="BK914" s="124"/>
      <c r="BL914" s="124"/>
      <c r="BM914" s="124"/>
      <c r="BN914" s="124"/>
      <c r="BO914" s="124"/>
      <c r="BP914" s="124"/>
      <c r="BQ914" s="124"/>
      <c r="BR914" s="124"/>
      <c r="BS914" s="124"/>
      <c r="BT914" s="124"/>
      <c r="BU914" s="124"/>
      <c r="BV914" s="124"/>
      <c r="BW914" s="124"/>
      <c r="BX914" s="124"/>
      <c r="BY914" s="124"/>
      <c r="BZ914" s="124"/>
      <c r="CA914" s="124"/>
    </row>
    <row r="915">
      <c r="D915" s="143"/>
      <c r="E915" s="129"/>
      <c r="F915" s="112"/>
      <c r="G915" s="112"/>
      <c r="H915" s="112"/>
      <c r="I915" s="112"/>
      <c r="J915" s="112"/>
      <c r="K915" s="112"/>
      <c r="L915" s="112"/>
      <c r="M915" s="112"/>
      <c r="N915" s="112"/>
      <c r="O915" s="112"/>
      <c r="P915" s="112"/>
      <c r="Q915" s="112"/>
      <c r="R915" s="112"/>
      <c r="S915" s="112"/>
      <c r="T915" s="112"/>
      <c r="U915" s="124"/>
      <c r="V915" s="124"/>
      <c r="W915" s="124"/>
      <c r="X915" s="124"/>
      <c r="Y915" s="124"/>
      <c r="Z915" s="112"/>
      <c r="AA915" s="112"/>
      <c r="AB915" s="112"/>
      <c r="AC915" s="112"/>
      <c r="AD915" s="112"/>
      <c r="AE915" s="112"/>
      <c r="AF915" s="112"/>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c r="BK915" s="124"/>
      <c r="BL915" s="124"/>
      <c r="BM915" s="124"/>
      <c r="BN915" s="124"/>
      <c r="BO915" s="124"/>
      <c r="BP915" s="124"/>
      <c r="BQ915" s="124"/>
      <c r="BR915" s="124"/>
      <c r="BS915" s="124"/>
      <c r="BT915" s="124"/>
      <c r="BU915" s="124"/>
      <c r="BV915" s="124"/>
      <c r="BW915" s="124"/>
      <c r="BX915" s="124"/>
      <c r="BY915" s="124"/>
      <c r="BZ915" s="124"/>
      <c r="CA915" s="124"/>
    </row>
    <row r="916">
      <c r="D916" s="143"/>
      <c r="E916" s="129"/>
      <c r="F916" s="112"/>
      <c r="G916" s="112"/>
      <c r="H916" s="112"/>
      <c r="I916" s="112"/>
      <c r="J916" s="112"/>
      <c r="K916" s="112"/>
      <c r="L916" s="112"/>
      <c r="M916" s="112"/>
      <c r="N916" s="112"/>
      <c r="O916" s="112"/>
      <c r="P916" s="112"/>
      <c r="Q916" s="112"/>
      <c r="R916" s="112"/>
      <c r="S916" s="112"/>
      <c r="T916" s="112"/>
      <c r="U916" s="124"/>
      <c r="V916" s="124"/>
      <c r="W916" s="124"/>
      <c r="X916" s="124"/>
      <c r="Y916" s="124"/>
      <c r="Z916" s="112"/>
      <c r="AA916" s="112"/>
      <c r="AB916" s="112"/>
      <c r="AC916" s="112"/>
      <c r="AD916" s="112"/>
      <c r="AE916" s="112"/>
      <c r="AF916" s="112"/>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c r="BK916" s="124"/>
      <c r="BL916" s="124"/>
      <c r="BM916" s="124"/>
      <c r="BN916" s="124"/>
      <c r="BO916" s="124"/>
      <c r="BP916" s="124"/>
      <c r="BQ916" s="124"/>
      <c r="BR916" s="124"/>
      <c r="BS916" s="124"/>
      <c r="BT916" s="124"/>
      <c r="BU916" s="124"/>
      <c r="BV916" s="124"/>
      <c r="BW916" s="124"/>
      <c r="BX916" s="124"/>
      <c r="BY916" s="124"/>
      <c r="BZ916" s="124"/>
      <c r="CA916" s="124"/>
    </row>
    <row r="917">
      <c r="D917" s="143"/>
      <c r="E917" s="129"/>
      <c r="F917" s="112"/>
      <c r="G917" s="112"/>
      <c r="H917" s="112"/>
      <c r="I917" s="112"/>
      <c r="J917" s="112"/>
      <c r="K917" s="112"/>
      <c r="L917" s="112"/>
      <c r="M917" s="112"/>
      <c r="N917" s="112"/>
      <c r="O917" s="112"/>
      <c r="P917" s="112"/>
      <c r="Q917" s="112"/>
      <c r="R917" s="112"/>
      <c r="S917" s="112"/>
      <c r="T917" s="112"/>
      <c r="U917" s="124"/>
      <c r="V917" s="124"/>
      <c r="W917" s="124"/>
      <c r="X917" s="124"/>
      <c r="Y917" s="124"/>
      <c r="Z917" s="112"/>
      <c r="AA917" s="112"/>
      <c r="AB917" s="112"/>
      <c r="AC917" s="112"/>
      <c r="AD917" s="112"/>
      <c r="AE917" s="112"/>
      <c r="AF917" s="112"/>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c r="BK917" s="124"/>
      <c r="BL917" s="124"/>
      <c r="BM917" s="124"/>
      <c r="BN917" s="124"/>
      <c r="BO917" s="124"/>
      <c r="BP917" s="124"/>
      <c r="BQ917" s="124"/>
      <c r="BR917" s="124"/>
      <c r="BS917" s="124"/>
      <c r="BT917" s="124"/>
      <c r="BU917" s="124"/>
      <c r="BV917" s="124"/>
      <c r="BW917" s="124"/>
      <c r="BX917" s="124"/>
      <c r="BY917" s="124"/>
      <c r="BZ917" s="124"/>
      <c r="CA917" s="124"/>
    </row>
    <row r="918">
      <c r="D918" s="143"/>
      <c r="E918" s="129"/>
      <c r="F918" s="112"/>
      <c r="G918" s="112"/>
      <c r="H918" s="112"/>
      <c r="I918" s="112"/>
      <c r="J918" s="112"/>
      <c r="K918" s="112"/>
      <c r="L918" s="112"/>
      <c r="M918" s="112"/>
      <c r="N918" s="112"/>
      <c r="O918" s="112"/>
      <c r="P918" s="112"/>
      <c r="Q918" s="112"/>
      <c r="R918" s="112"/>
      <c r="S918" s="112"/>
      <c r="T918" s="112"/>
      <c r="U918" s="124"/>
      <c r="V918" s="124"/>
      <c r="W918" s="124"/>
      <c r="X918" s="124"/>
      <c r="Y918" s="124"/>
      <c r="Z918" s="112"/>
      <c r="AA918" s="112"/>
      <c r="AB918" s="112"/>
      <c r="AC918" s="112"/>
      <c r="AD918" s="112"/>
      <c r="AE918" s="112"/>
      <c r="AF918" s="112"/>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c r="BK918" s="124"/>
      <c r="BL918" s="124"/>
      <c r="BM918" s="124"/>
      <c r="BN918" s="124"/>
      <c r="BO918" s="124"/>
      <c r="BP918" s="124"/>
      <c r="BQ918" s="124"/>
      <c r="BR918" s="124"/>
      <c r="BS918" s="124"/>
      <c r="BT918" s="124"/>
      <c r="BU918" s="124"/>
      <c r="BV918" s="124"/>
      <c r="BW918" s="124"/>
      <c r="BX918" s="124"/>
      <c r="BY918" s="124"/>
      <c r="BZ918" s="124"/>
      <c r="CA918" s="124"/>
    </row>
    <row r="919">
      <c r="D919" s="143"/>
      <c r="E919" s="129"/>
      <c r="F919" s="112"/>
      <c r="G919" s="112"/>
      <c r="H919" s="112"/>
      <c r="I919" s="112"/>
      <c r="J919" s="112"/>
      <c r="K919" s="112"/>
      <c r="L919" s="112"/>
      <c r="M919" s="112"/>
      <c r="N919" s="112"/>
      <c r="O919" s="112"/>
      <c r="P919" s="112"/>
      <c r="Q919" s="112"/>
      <c r="R919" s="112"/>
      <c r="S919" s="112"/>
      <c r="T919" s="112"/>
      <c r="U919" s="124"/>
      <c r="V919" s="124"/>
      <c r="W919" s="124"/>
      <c r="X919" s="124"/>
      <c r="Y919" s="124"/>
      <c r="Z919" s="112"/>
      <c r="AA919" s="112"/>
      <c r="AB919" s="112"/>
      <c r="AC919" s="112"/>
      <c r="AD919" s="112"/>
      <c r="AE919" s="112"/>
      <c r="AF919" s="112"/>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c r="BK919" s="124"/>
      <c r="BL919" s="124"/>
      <c r="BM919" s="124"/>
      <c r="BN919" s="124"/>
      <c r="BO919" s="124"/>
      <c r="BP919" s="124"/>
      <c r="BQ919" s="124"/>
      <c r="BR919" s="124"/>
      <c r="BS919" s="124"/>
      <c r="BT919" s="124"/>
      <c r="BU919" s="124"/>
      <c r="BV919" s="124"/>
      <c r="BW919" s="124"/>
      <c r="BX919" s="124"/>
      <c r="BY919" s="124"/>
      <c r="BZ919" s="124"/>
      <c r="CA919" s="124"/>
    </row>
    <row r="920">
      <c r="D920" s="143"/>
      <c r="E920" s="129"/>
      <c r="F920" s="112"/>
      <c r="G920" s="112"/>
      <c r="H920" s="112"/>
      <c r="I920" s="112"/>
      <c r="J920" s="112"/>
      <c r="K920" s="112"/>
      <c r="L920" s="112"/>
      <c r="M920" s="112"/>
      <c r="N920" s="112"/>
      <c r="O920" s="112"/>
      <c r="P920" s="112"/>
      <c r="Q920" s="112"/>
      <c r="R920" s="112"/>
      <c r="S920" s="112"/>
      <c r="T920" s="112"/>
      <c r="U920" s="124"/>
      <c r="V920" s="124"/>
      <c r="W920" s="124"/>
      <c r="X920" s="124"/>
      <c r="Y920" s="124"/>
      <c r="Z920" s="112"/>
      <c r="AA920" s="112"/>
      <c r="AB920" s="112"/>
      <c r="AC920" s="112"/>
      <c r="AD920" s="112"/>
      <c r="AE920" s="112"/>
      <c r="AF920" s="112"/>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c r="BK920" s="124"/>
      <c r="BL920" s="124"/>
      <c r="BM920" s="124"/>
      <c r="BN920" s="124"/>
      <c r="BO920" s="124"/>
      <c r="BP920" s="124"/>
      <c r="BQ920" s="124"/>
      <c r="BR920" s="124"/>
      <c r="BS920" s="124"/>
      <c r="BT920" s="124"/>
      <c r="BU920" s="124"/>
      <c r="BV920" s="124"/>
      <c r="BW920" s="124"/>
      <c r="BX920" s="124"/>
      <c r="BY920" s="124"/>
      <c r="BZ920" s="124"/>
      <c r="CA920" s="124"/>
    </row>
    <row r="921">
      <c r="D921" s="143"/>
      <c r="E921" s="129"/>
      <c r="F921" s="112"/>
      <c r="G921" s="112"/>
      <c r="H921" s="112"/>
      <c r="I921" s="112"/>
      <c r="J921" s="112"/>
      <c r="K921" s="112"/>
      <c r="L921" s="112"/>
      <c r="M921" s="112"/>
      <c r="N921" s="112"/>
      <c r="O921" s="112"/>
      <c r="P921" s="112"/>
      <c r="Q921" s="112"/>
      <c r="R921" s="112"/>
      <c r="S921" s="112"/>
      <c r="T921" s="112"/>
      <c r="U921" s="124"/>
      <c r="V921" s="124"/>
      <c r="W921" s="124"/>
      <c r="X921" s="124"/>
      <c r="Y921" s="124"/>
      <c r="Z921" s="112"/>
      <c r="AA921" s="112"/>
      <c r="AB921" s="112"/>
      <c r="AC921" s="112"/>
      <c r="AD921" s="112"/>
      <c r="AE921" s="112"/>
      <c r="AF921" s="112"/>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c r="BK921" s="124"/>
      <c r="BL921" s="124"/>
      <c r="BM921" s="124"/>
      <c r="BN921" s="124"/>
      <c r="BO921" s="124"/>
      <c r="BP921" s="124"/>
      <c r="BQ921" s="124"/>
      <c r="BR921" s="124"/>
      <c r="BS921" s="124"/>
      <c r="BT921" s="124"/>
      <c r="BU921" s="124"/>
      <c r="BV921" s="124"/>
      <c r="BW921" s="124"/>
      <c r="BX921" s="124"/>
      <c r="BY921" s="124"/>
      <c r="BZ921" s="124"/>
      <c r="CA921" s="124"/>
    </row>
    <row r="922">
      <c r="D922" s="143"/>
      <c r="E922" s="129"/>
      <c r="F922" s="112"/>
      <c r="G922" s="112"/>
      <c r="H922" s="112"/>
      <c r="I922" s="112"/>
      <c r="J922" s="112"/>
      <c r="K922" s="112"/>
      <c r="L922" s="112"/>
      <c r="M922" s="112"/>
      <c r="N922" s="112"/>
      <c r="O922" s="112"/>
      <c r="P922" s="112"/>
      <c r="Q922" s="112"/>
      <c r="R922" s="112"/>
      <c r="S922" s="112"/>
      <c r="T922" s="112"/>
      <c r="U922" s="124"/>
      <c r="V922" s="124"/>
      <c r="W922" s="124"/>
      <c r="X922" s="124"/>
      <c r="Y922" s="124"/>
      <c r="Z922" s="112"/>
      <c r="AA922" s="112"/>
      <c r="AB922" s="112"/>
      <c r="AC922" s="112"/>
      <c r="AD922" s="112"/>
      <c r="AE922" s="112"/>
      <c r="AF922" s="112"/>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c r="BK922" s="124"/>
      <c r="BL922" s="124"/>
      <c r="BM922" s="124"/>
      <c r="BN922" s="124"/>
      <c r="BO922" s="124"/>
      <c r="BP922" s="124"/>
      <c r="BQ922" s="124"/>
      <c r="BR922" s="124"/>
      <c r="BS922" s="124"/>
      <c r="BT922" s="124"/>
      <c r="BU922" s="124"/>
      <c r="BV922" s="124"/>
      <c r="BW922" s="124"/>
      <c r="BX922" s="124"/>
      <c r="BY922" s="124"/>
      <c r="BZ922" s="124"/>
      <c r="CA922" s="124"/>
    </row>
    <row r="923">
      <c r="D923" s="143"/>
      <c r="E923" s="129"/>
      <c r="F923" s="112"/>
      <c r="G923" s="112"/>
      <c r="H923" s="112"/>
      <c r="I923" s="112"/>
      <c r="J923" s="112"/>
      <c r="K923" s="112"/>
      <c r="L923" s="112"/>
      <c r="M923" s="112"/>
      <c r="N923" s="112"/>
      <c r="O923" s="112"/>
      <c r="P923" s="112"/>
      <c r="Q923" s="112"/>
      <c r="R923" s="112"/>
      <c r="S923" s="112"/>
      <c r="T923" s="112"/>
      <c r="U923" s="124"/>
      <c r="V923" s="124"/>
      <c r="W923" s="124"/>
      <c r="X923" s="124"/>
      <c r="Y923" s="124"/>
      <c r="Z923" s="112"/>
      <c r="AA923" s="112"/>
      <c r="AB923" s="112"/>
      <c r="AC923" s="112"/>
      <c r="AD923" s="112"/>
      <c r="AE923" s="112"/>
      <c r="AF923" s="112"/>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c r="BK923" s="124"/>
      <c r="BL923" s="124"/>
      <c r="BM923" s="124"/>
      <c r="BN923" s="124"/>
      <c r="BO923" s="124"/>
      <c r="BP923" s="124"/>
      <c r="BQ923" s="124"/>
      <c r="BR923" s="124"/>
      <c r="BS923" s="124"/>
      <c r="BT923" s="124"/>
      <c r="BU923" s="124"/>
      <c r="BV923" s="124"/>
      <c r="BW923" s="124"/>
      <c r="BX923" s="124"/>
      <c r="BY923" s="124"/>
      <c r="BZ923" s="124"/>
      <c r="CA923" s="124"/>
    </row>
    <row r="924">
      <c r="D924" s="143"/>
      <c r="E924" s="129"/>
      <c r="F924" s="112"/>
      <c r="G924" s="112"/>
      <c r="H924" s="112"/>
      <c r="I924" s="112"/>
      <c r="J924" s="112"/>
      <c r="K924" s="112"/>
      <c r="L924" s="112"/>
      <c r="M924" s="112"/>
      <c r="N924" s="112"/>
      <c r="O924" s="112"/>
      <c r="P924" s="112"/>
      <c r="Q924" s="112"/>
      <c r="R924" s="112"/>
      <c r="S924" s="112"/>
      <c r="T924" s="112"/>
      <c r="U924" s="124"/>
      <c r="V924" s="124"/>
      <c r="W924" s="124"/>
      <c r="X924" s="124"/>
      <c r="Y924" s="124"/>
      <c r="Z924" s="112"/>
      <c r="AA924" s="112"/>
      <c r="AB924" s="112"/>
      <c r="AC924" s="112"/>
      <c r="AD924" s="112"/>
      <c r="AE924" s="112"/>
      <c r="AF924" s="112"/>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c r="BK924" s="124"/>
      <c r="BL924" s="124"/>
      <c r="BM924" s="124"/>
      <c r="BN924" s="124"/>
      <c r="BO924" s="124"/>
      <c r="BP924" s="124"/>
      <c r="BQ924" s="124"/>
      <c r="BR924" s="124"/>
      <c r="BS924" s="124"/>
      <c r="BT924" s="124"/>
      <c r="BU924" s="124"/>
      <c r="BV924" s="124"/>
      <c r="BW924" s="124"/>
      <c r="BX924" s="124"/>
      <c r="BY924" s="124"/>
      <c r="BZ924" s="124"/>
      <c r="CA924" s="124"/>
    </row>
    <row r="925">
      <c r="D925" s="143"/>
      <c r="E925" s="129"/>
      <c r="F925" s="112"/>
      <c r="G925" s="112"/>
      <c r="H925" s="112"/>
      <c r="I925" s="112"/>
      <c r="J925" s="112"/>
      <c r="K925" s="112"/>
      <c r="L925" s="112"/>
      <c r="M925" s="112"/>
      <c r="N925" s="112"/>
      <c r="O925" s="112"/>
      <c r="P925" s="112"/>
      <c r="Q925" s="112"/>
      <c r="R925" s="112"/>
      <c r="S925" s="112"/>
      <c r="T925" s="112"/>
      <c r="U925" s="124"/>
      <c r="V925" s="124"/>
      <c r="W925" s="124"/>
      <c r="X925" s="124"/>
      <c r="Y925" s="124"/>
      <c r="Z925" s="112"/>
      <c r="AA925" s="112"/>
      <c r="AB925" s="112"/>
      <c r="AC925" s="112"/>
      <c r="AD925" s="112"/>
      <c r="AE925" s="112"/>
      <c r="AF925" s="112"/>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c r="BK925" s="124"/>
      <c r="BL925" s="124"/>
      <c r="BM925" s="124"/>
      <c r="BN925" s="124"/>
      <c r="BO925" s="124"/>
      <c r="BP925" s="124"/>
      <c r="BQ925" s="124"/>
      <c r="BR925" s="124"/>
      <c r="BS925" s="124"/>
      <c r="BT925" s="124"/>
      <c r="BU925" s="124"/>
      <c r="BV925" s="124"/>
      <c r="BW925" s="124"/>
      <c r="BX925" s="124"/>
      <c r="BY925" s="124"/>
      <c r="BZ925" s="124"/>
      <c r="CA925" s="124"/>
    </row>
    <row r="926">
      <c r="D926" s="143"/>
      <c r="E926" s="129"/>
      <c r="F926" s="112"/>
      <c r="G926" s="112"/>
      <c r="H926" s="112"/>
      <c r="I926" s="112"/>
      <c r="J926" s="112"/>
      <c r="K926" s="112"/>
      <c r="L926" s="112"/>
      <c r="M926" s="112"/>
      <c r="N926" s="112"/>
      <c r="O926" s="112"/>
      <c r="P926" s="112"/>
      <c r="Q926" s="112"/>
      <c r="R926" s="112"/>
      <c r="S926" s="112"/>
      <c r="T926" s="112"/>
      <c r="U926" s="124"/>
      <c r="V926" s="124"/>
      <c r="W926" s="124"/>
      <c r="X926" s="124"/>
      <c r="Y926" s="124"/>
      <c r="Z926" s="112"/>
      <c r="AA926" s="112"/>
      <c r="AB926" s="112"/>
      <c r="AC926" s="112"/>
      <c r="AD926" s="112"/>
      <c r="AE926" s="112"/>
      <c r="AF926" s="112"/>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c r="BK926" s="124"/>
      <c r="BL926" s="124"/>
      <c r="BM926" s="124"/>
      <c r="BN926" s="124"/>
      <c r="BO926" s="124"/>
      <c r="BP926" s="124"/>
      <c r="BQ926" s="124"/>
      <c r="BR926" s="124"/>
      <c r="BS926" s="124"/>
      <c r="BT926" s="124"/>
      <c r="BU926" s="124"/>
      <c r="BV926" s="124"/>
      <c r="BW926" s="124"/>
      <c r="BX926" s="124"/>
      <c r="BY926" s="124"/>
      <c r="BZ926" s="124"/>
      <c r="CA926" s="124"/>
    </row>
    <row r="927">
      <c r="D927" s="143"/>
      <c r="E927" s="129"/>
      <c r="F927" s="112"/>
      <c r="G927" s="112"/>
      <c r="H927" s="112"/>
      <c r="I927" s="112"/>
      <c r="J927" s="112"/>
      <c r="K927" s="112"/>
      <c r="L927" s="112"/>
      <c r="M927" s="112"/>
      <c r="N927" s="112"/>
      <c r="O927" s="112"/>
      <c r="P927" s="112"/>
      <c r="Q927" s="112"/>
      <c r="R927" s="112"/>
      <c r="S927" s="112"/>
      <c r="T927" s="112"/>
      <c r="U927" s="124"/>
      <c r="V927" s="124"/>
      <c r="W927" s="124"/>
      <c r="X927" s="124"/>
      <c r="Y927" s="124"/>
      <c r="Z927" s="112"/>
      <c r="AA927" s="112"/>
      <c r="AB927" s="112"/>
      <c r="AC927" s="112"/>
      <c r="AD927" s="112"/>
      <c r="AE927" s="112"/>
      <c r="AF927" s="112"/>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c r="BK927" s="124"/>
      <c r="BL927" s="124"/>
      <c r="BM927" s="124"/>
      <c r="BN927" s="124"/>
      <c r="BO927" s="124"/>
      <c r="BP927" s="124"/>
      <c r="BQ927" s="124"/>
      <c r="BR927" s="124"/>
      <c r="BS927" s="124"/>
      <c r="BT927" s="124"/>
      <c r="BU927" s="124"/>
      <c r="BV927" s="124"/>
      <c r="BW927" s="124"/>
      <c r="BX927" s="124"/>
      <c r="BY927" s="124"/>
      <c r="BZ927" s="124"/>
      <c r="CA927" s="124"/>
    </row>
    <row r="928">
      <c r="D928" s="143"/>
      <c r="E928" s="129"/>
      <c r="F928" s="112"/>
      <c r="G928" s="112"/>
      <c r="H928" s="112"/>
      <c r="I928" s="112"/>
      <c r="J928" s="112"/>
      <c r="K928" s="112"/>
      <c r="L928" s="112"/>
      <c r="M928" s="112"/>
      <c r="N928" s="112"/>
      <c r="O928" s="112"/>
      <c r="P928" s="112"/>
      <c r="Q928" s="112"/>
      <c r="R928" s="112"/>
      <c r="S928" s="112"/>
      <c r="T928" s="112"/>
      <c r="U928" s="124"/>
      <c r="V928" s="124"/>
      <c r="W928" s="124"/>
      <c r="X928" s="124"/>
      <c r="Y928" s="124"/>
      <c r="Z928" s="112"/>
      <c r="AA928" s="112"/>
      <c r="AB928" s="112"/>
      <c r="AC928" s="112"/>
      <c r="AD928" s="112"/>
      <c r="AE928" s="112"/>
      <c r="AF928" s="112"/>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c r="BK928" s="124"/>
      <c r="BL928" s="124"/>
      <c r="BM928" s="124"/>
      <c r="BN928" s="124"/>
      <c r="BO928" s="124"/>
      <c r="BP928" s="124"/>
      <c r="BQ928" s="124"/>
      <c r="BR928" s="124"/>
      <c r="BS928" s="124"/>
      <c r="BT928" s="124"/>
      <c r="BU928" s="124"/>
      <c r="BV928" s="124"/>
      <c r="BW928" s="124"/>
      <c r="BX928" s="124"/>
      <c r="BY928" s="124"/>
      <c r="BZ928" s="124"/>
      <c r="CA928" s="124"/>
    </row>
    <row r="929">
      <c r="D929" s="143"/>
      <c r="E929" s="129"/>
      <c r="F929" s="112"/>
      <c r="G929" s="112"/>
      <c r="H929" s="112"/>
      <c r="I929" s="112"/>
      <c r="J929" s="112"/>
      <c r="K929" s="112"/>
      <c r="L929" s="112"/>
      <c r="M929" s="112"/>
      <c r="N929" s="112"/>
      <c r="O929" s="112"/>
      <c r="P929" s="112"/>
      <c r="Q929" s="112"/>
      <c r="R929" s="112"/>
      <c r="S929" s="112"/>
      <c r="T929" s="112"/>
      <c r="U929" s="124"/>
      <c r="V929" s="124"/>
      <c r="W929" s="124"/>
      <c r="X929" s="124"/>
      <c r="Y929" s="124"/>
      <c r="Z929" s="112"/>
      <c r="AA929" s="112"/>
      <c r="AB929" s="112"/>
      <c r="AC929" s="112"/>
      <c r="AD929" s="112"/>
      <c r="AE929" s="112"/>
      <c r="AF929" s="112"/>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c r="BK929" s="124"/>
      <c r="BL929" s="124"/>
      <c r="BM929" s="124"/>
      <c r="BN929" s="124"/>
      <c r="BO929" s="124"/>
      <c r="BP929" s="124"/>
      <c r="BQ929" s="124"/>
      <c r="BR929" s="124"/>
      <c r="BS929" s="124"/>
      <c r="BT929" s="124"/>
      <c r="BU929" s="124"/>
      <c r="BV929" s="124"/>
      <c r="BW929" s="124"/>
      <c r="BX929" s="124"/>
      <c r="BY929" s="124"/>
      <c r="BZ929" s="124"/>
      <c r="CA929" s="124"/>
    </row>
    <row r="930">
      <c r="D930" s="143"/>
      <c r="E930" s="129"/>
      <c r="F930" s="112"/>
      <c r="G930" s="112"/>
      <c r="H930" s="112"/>
      <c r="I930" s="112"/>
      <c r="J930" s="112"/>
      <c r="K930" s="112"/>
      <c r="L930" s="112"/>
      <c r="M930" s="112"/>
      <c r="N930" s="112"/>
      <c r="O930" s="112"/>
      <c r="P930" s="112"/>
      <c r="Q930" s="112"/>
      <c r="R930" s="112"/>
      <c r="S930" s="112"/>
      <c r="T930" s="112"/>
      <c r="U930" s="124"/>
      <c r="V930" s="124"/>
      <c r="W930" s="124"/>
      <c r="X930" s="124"/>
      <c r="Y930" s="124"/>
      <c r="Z930" s="112"/>
      <c r="AA930" s="112"/>
      <c r="AB930" s="112"/>
      <c r="AC930" s="112"/>
      <c r="AD930" s="112"/>
      <c r="AE930" s="112"/>
      <c r="AF930" s="112"/>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c r="BK930" s="124"/>
      <c r="BL930" s="124"/>
      <c r="BM930" s="124"/>
      <c r="BN930" s="124"/>
      <c r="BO930" s="124"/>
      <c r="BP930" s="124"/>
      <c r="BQ930" s="124"/>
      <c r="BR930" s="124"/>
      <c r="BS930" s="124"/>
      <c r="BT930" s="124"/>
      <c r="BU930" s="124"/>
      <c r="BV930" s="124"/>
      <c r="BW930" s="124"/>
      <c r="BX930" s="124"/>
      <c r="BY930" s="124"/>
      <c r="BZ930" s="124"/>
      <c r="CA930" s="124"/>
    </row>
    <row r="931">
      <c r="D931" s="143"/>
      <c r="E931" s="129"/>
      <c r="F931" s="112"/>
      <c r="G931" s="112"/>
      <c r="H931" s="112"/>
      <c r="I931" s="112"/>
      <c r="J931" s="112"/>
      <c r="K931" s="112"/>
      <c r="L931" s="112"/>
      <c r="M931" s="112"/>
      <c r="N931" s="112"/>
      <c r="O931" s="112"/>
      <c r="P931" s="112"/>
      <c r="Q931" s="112"/>
      <c r="R931" s="112"/>
      <c r="S931" s="112"/>
      <c r="T931" s="112"/>
      <c r="U931" s="124"/>
      <c r="V931" s="124"/>
      <c r="W931" s="124"/>
      <c r="X931" s="124"/>
      <c r="Y931" s="124"/>
      <c r="Z931" s="112"/>
      <c r="AA931" s="112"/>
      <c r="AB931" s="112"/>
      <c r="AC931" s="112"/>
      <c r="AD931" s="112"/>
      <c r="AE931" s="112"/>
      <c r="AF931" s="112"/>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c r="BK931" s="124"/>
      <c r="BL931" s="124"/>
      <c r="BM931" s="124"/>
      <c r="BN931" s="124"/>
      <c r="BO931" s="124"/>
      <c r="BP931" s="124"/>
      <c r="BQ931" s="124"/>
      <c r="BR931" s="124"/>
      <c r="BS931" s="124"/>
      <c r="BT931" s="124"/>
      <c r="BU931" s="124"/>
      <c r="BV931" s="124"/>
      <c r="BW931" s="124"/>
      <c r="BX931" s="124"/>
      <c r="BY931" s="124"/>
      <c r="BZ931" s="124"/>
      <c r="CA931" s="124"/>
    </row>
    <row r="932">
      <c r="D932" s="143"/>
      <c r="E932" s="129"/>
      <c r="F932" s="112"/>
      <c r="G932" s="112"/>
      <c r="H932" s="112"/>
      <c r="I932" s="112"/>
      <c r="J932" s="112"/>
      <c r="K932" s="112"/>
      <c r="L932" s="112"/>
      <c r="M932" s="112"/>
      <c r="N932" s="112"/>
      <c r="O932" s="112"/>
      <c r="P932" s="112"/>
      <c r="Q932" s="112"/>
      <c r="R932" s="112"/>
      <c r="S932" s="112"/>
      <c r="T932" s="112"/>
      <c r="U932" s="124"/>
      <c r="V932" s="124"/>
      <c r="W932" s="124"/>
      <c r="X932" s="124"/>
      <c r="Y932" s="124"/>
      <c r="Z932" s="112"/>
      <c r="AA932" s="112"/>
      <c r="AB932" s="112"/>
      <c r="AC932" s="112"/>
      <c r="AD932" s="112"/>
      <c r="AE932" s="112"/>
      <c r="AF932" s="112"/>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c r="BK932" s="124"/>
      <c r="BL932" s="124"/>
      <c r="BM932" s="124"/>
      <c r="BN932" s="124"/>
      <c r="BO932" s="124"/>
      <c r="BP932" s="124"/>
      <c r="BQ932" s="124"/>
      <c r="BR932" s="124"/>
      <c r="BS932" s="124"/>
      <c r="BT932" s="124"/>
      <c r="BU932" s="124"/>
      <c r="BV932" s="124"/>
      <c r="BW932" s="124"/>
      <c r="BX932" s="124"/>
      <c r="BY932" s="124"/>
      <c r="BZ932" s="124"/>
      <c r="CA932" s="124"/>
    </row>
    <row r="933">
      <c r="D933" s="143"/>
      <c r="E933" s="129"/>
      <c r="F933" s="112"/>
      <c r="G933" s="112"/>
      <c r="H933" s="112"/>
      <c r="I933" s="112"/>
      <c r="J933" s="112"/>
      <c r="K933" s="112"/>
      <c r="L933" s="112"/>
      <c r="M933" s="112"/>
      <c r="N933" s="112"/>
      <c r="O933" s="112"/>
      <c r="P933" s="112"/>
      <c r="Q933" s="112"/>
      <c r="R933" s="112"/>
      <c r="S933" s="112"/>
      <c r="T933" s="112"/>
      <c r="U933" s="124"/>
      <c r="V933" s="124"/>
      <c r="W933" s="124"/>
      <c r="X933" s="124"/>
      <c r="Y933" s="124"/>
      <c r="Z933" s="112"/>
      <c r="AA933" s="112"/>
      <c r="AB933" s="112"/>
      <c r="AC933" s="112"/>
      <c r="AD933" s="112"/>
      <c r="AE933" s="112"/>
      <c r="AF933" s="112"/>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c r="BK933" s="124"/>
      <c r="BL933" s="124"/>
      <c r="BM933" s="124"/>
      <c r="BN933" s="124"/>
      <c r="BO933" s="124"/>
      <c r="BP933" s="124"/>
      <c r="BQ933" s="124"/>
      <c r="BR933" s="124"/>
      <c r="BS933" s="124"/>
      <c r="BT933" s="124"/>
      <c r="BU933" s="124"/>
      <c r="BV933" s="124"/>
      <c r="BW933" s="124"/>
      <c r="BX933" s="124"/>
      <c r="BY933" s="124"/>
      <c r="BZ933" s="124"/>
      <c r="CA933" s="124"/>
    </row>
    <row r="934">
      <c r="D934" s="143"/>
      <c r="E934" s="129"/>
      <c r="F934" s="112"/>
      <c r="G934" s="112"/>
      <c r="H934" s="112"/>
      <c r="I934" s="112"/>
      <c r="J934" s="112"/>
      <c r="K934" s="112"/>
      <c r="L934" s="112"/>
      <c r="M934" s="112"/>
      <c r="N934" s="112"/>
      <c r="O934" s="112"/>
      <c r="P934" s="112"/>
      <c r="Q934" s="112"/>
      <c r="R934" s="112"/>
      <c r="S934" s="112"/>
      <c r="T934" s="112"/>
      <c r="U934" s="124"/>
      <c r="V934" s="124"/>
      <c r="W934" s="124"/>
      <c r="X934" s="124"/>
      <c r="Y934" s="124"/>
      <c r="Z934" s="112"/>
      <c r="AA934" s="112"/>
      <c r="AB934" s="112"/>
      <c r="AC934" s="112"/>
      <c r="AD934" s="112"/>
      <c r="AE934" s="112"/>
      <c r="AF934" s="112"/>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c r="BK934" s="124"/>
      <c r="BL934" s="124"/>
      <c r="BM934" s="124"/>
      <c r="BN934" s="124"/>
      <c r="BO934" s="124"/>
      <c r="BP934" s="124"/>
      <c r="BQ934" s="124"/>
      <c r="BR934" s="124"/>
      <c r="BS934" s="124"/>
      <c r="BT934" s="124"/>
      <c r="BU934" s="124"/>
      <c r="BV934" s="124"/>
      <c r="BW934" s="124"/>
      <c r="BX934" s="124"/>
      <c r="BY934" s="124"/>
      <c r="BZ934" s="124"/>
      <c r="CA934" s="124"/>
    </row>
    <row r="935">
      <c r="D935" s="143"/>
      <c r="E935" s="129"/>
      <c r="F935" s="112"/>
      <c r="G935" s="112"/>
      <c r="H935" s="112"/>
      <c r="I935" s="112"/>
      <c r="J935" s="112"/>
      <c r="K935" s="112"/>
      <c r="L935" s="112"/>
      <c r="M935" s="112"/>
      <c r="N935" s="112"/>
      <c r="O935" s="112"/>
      <c r="P935" s="112"/>
      <c r="Q935" s="112"/>
      <c r="R935" s="112"/>
      <c r="S935" s="112"/>
      <c r="T935" s="112"/>
      <c r="U935" s="124"/>
      <c r="V935" s="124"/>
      <c r="W935" s="124"/>
      <c r="X935" s="124"/>
      <c r="Y935" s="124"/>
      <c r="Z935" s="112"/>
      <c r="AA935" s="112"/>
      <c r="AB935" s="112"/>
      <c r="AC935" s="112"/>
      <c r="AD935" s="112"/>
      <c r="AE935" s="112"/>
      <c r="AF935" s="112"/>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c r="BK935" s="124"/>
      <c r="BL935" s="124"/>
      <c r="BM935" s="124"/>
      <c r="BN935" s="124"/>
      <c r="BO935" s="124"/>
      <c r="BP935" s="124"/>
      <c r="BQ935" s="124"/>
      <c r="BR935" s="124"/>
      <c r="BS935" s="124"/>
      <c r="BT935" s="124"/>
      <c r="BU935" s="124"/>
      <c r="BV935" s="124"/>
      <c r="BW935" s="124"/>
      <c r="BX935" s="124"/>
      <c r="BY935" s="124"/>
      <c r="BZ935" s="124"/>
      <c r="CA935" s="124"/>
    </row>
    <row r="936">
      <c r="D936" s="143"/>
      <c r="E936" s="129"/>
      <c r="F936" s="112"/>
      <c r="G936" s="112"/>
      <c r="H936" s="112"/>
      <c r="I936" s="112"/>
      <c r="J936" s="112"/>
      <c r="K936" s="112"/>
      <c r="L936" s="112"/>
      <c r="M936" s="112"/>
      <c r="N936" s="112"/>
      <c r="O936" s="112"/>
      <c r="P936" s="112"/>
      <c r="Q936" s="112"/>
      <c r="R936" s="112"/>
      <c r="S936" s="112"/>
      <c r="T936" s="112"/>
      <c r="U936" s="124"/>
      <c r="V936" s="124"/>
      <c r="W936" s="124"/>
      <c r="X936" s="124"/>
      <c r="Y936" s="124"/>
      <c r="Z936" s="112"/>
      <c r="AA936" s="112"/>
      <c r="AB936" s="112"/>
      <c r="AC936" s="112"/>
      <c r="AD936" s="112"/>
      <c r="AE936" s="112"/>
      <c r="AF936" s="112"/>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c r="BK936" s="124"/>
      <c r="BL936" s="124"/>
      <c r="BM936" s="124"/>
      <c r="BN936" s="124"/>
      <c r="BO936" s="124"/>
      <c r="BP936" s="124"/>
      <c r="BQ936" s="124"/>
      <c r="BR936" s="124"/>
      <c r="BS936" s="124"/>
      <c r="BT936" s="124"/>
      <c r="BU936" s="124"/>
      <c r="BV936" s="124"/>
      <c r="BW936" s="124"/>
      <c r="BX936" s="124"/>
      <c r="BY936" s="124"/>
      <c r="BZ936" s="124"/>
      <c r="CA936" s="124"/>
    </row>
    <row r="937">
      <c r="D937" s="143"/>
      <c r="E937" s="129"/>
      <c r="F937" s="112"/>
      <c r="G937" s="112"/>
      <c r="H937" s="112"/>
      <c r="I937" s="112"/>
      <c r="J937" s="112"/>
      <c r="K937" s="112"/>
      <c r="L937" s="112"/>
      <c r="M937" s="112"/>
      <c r="N937" s="112"/>
      <c r="O937" s="112"/>
      <c r="P937" s="112"/>
      <c r="Q937" s="112"/>
      <c r="R937" s="112"/>
      <c r="S937" s="112"/>
      <c r="T937" s="112"/>
      <c r="U937" s="124"/>
      <c r="V937" s="124"/>
      <c r="W937" s="124"/>
      <c r="X937" s="124"/>
      <c r="Y937" s="124"/>
      <c r="Z937" s="112"/>
      <c r="AA937" s="112"/>
      <c r="AB937" s="112"/>
      <c r="AC937" s="112"/>
      <c r="AD937" s="112"/>
      <c r="AE937" s="112"/>
      <c r="AF937" s="112"/>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c r="BK937" s="124"/>
      <c r="BL937" s="124"/>
      <c r="BM937" s="124"/>
      <c r="BN937" s="124"/>
      <c r="BO937" s="124"/>
      <c r="BP937" s="124"/>
      <c r="BQ937" s="124"/>
      <c r="BR937" s="124"/>
      <c r="BS937" s="124"/>
      <c r="BT937" s="124"/>
      <c r="BU937" s="124"/>
      <c r="BV937" s="124"/>
      <c r="BW937" s="124"/>
      <c r="BX937" s="124"/>
      <c r="BY937" s="124"/>
      <c r="BZ937" s="124"/>
      <c r="CA937" s="124"/>
    </row>
    <row r="938">
      <c r="D938" s="143"/>
      <c r="E938" s="129"/>
      <c r="F938" s="112"/>
      <c r="G938" s="112"/>
      <c r="H938" s="112"/>
      <c r="I938" s="112"/>
      <c r="J938" s="112"/>
      <c r="K938" s="112"/>
      <c r="L938" s="112"/>
      <c r="M938" s="112"/>
      <c r="N938" s="112"/>
      <c r="O938" s="112"/>
      <c r="P938" s="112"/>
      <c r="Q938" s="112"/>
      <c r="R938" s="112"/>
      <c r="S938" s="112"/>
      <c r="T938" s="112"/>
      <c r="U938" s="124"/>
      <c r="V938" s="124"/>
      <c r="W938" s="124"/>
      <c r="X938" s="124"/>
      <c r="Y938" s="124"/>
      <c r="Z938" s="112"/>
      <c r="AA938" s="112"/>
      <c r="AB938" s="112"/>
      <c r="AC938" s="112"/>
      <c r="AD938" s="112"/>
      <c r="AE938" s="112"/>
      <c r="AF938" s="112"/>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c r="BK938" s="124"/>
      <c r="BL938" s="124"/>
      <c r="BM938" s="124"/>
      <c r="BN938" s="124"/>
      <c r="BO938" s="124"/>
      <c r="BP938" s="124"/>
      <c r="BQ938" s="124"/>
      <c r="BR938" s="124"/>
      <c r="BS938" s="124"/>
      <c r="BT938" s="124"/>
      <c r="BU938" s="124"/>
      <c r="BV938" s="124"/>
      <c r="BW938" s="124"/>
      <c r="BX938" s="124"/>
      <c r="BY938" s="124"/>
      <c r="BZ938" s="124"/>
      <c r="CA938" s="124"/>
    </row>
    <row r="939">
      <c r="D939" s="143"/>
      <c r="E939" s="129"/>
      <c r="F939" s="112"/>
      <c r="G939" s="112"/>
      <c r="H939" s="112"/>
      <c r="I939" s="112"/>
      <c r="J939" s="112"/>
      <c r="K939" s="112"/>
      <c r="L939" s="112"/>
      <c r="M939" s="112"/>
      <c r="N939" s="112"/>
      <c r="O939" s="112"/>
      <c r="P939" s="112"/>
      <c r="Q939" s="112"/>
      <c r="R939" s="112"/>
      <c r="S939" s="112"/>
      <c r="T939" s="112"/>
      <c r="U939" s="124"/>
      <c r="V939" s="124"/>
      <c r="W939" s="124"/>
      <c r="X939" s="124"/>
      <c r="Y939" s="124"/>
      <c r="Z939" s="112"/>
      <c r="AA939" s="112"/>
      <c r="AB939" s="112"/>
      <c r="AC939" s="112"/>
      <c r="AD939" s="112"/>
      <c r="AE939" s="112"/>
      <c r="AF939" s="112"/>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c r="BK939" s="124"/>
      <c r="BL939" s="124"/>
      <c r="BM939" s="124"/>
      <c r="BN939" s="124"/>
      <c r="BO939" s="124"/>
      <c r="BP939" s="124"/>
      <c r="BQ939" s="124"/>
      <c r="BR939" s="124"/>
      <c r="BS939" s="124"/>
      <c r="BT939" s="124"/>
      <c r="BU939" s="124"/>
      <c r="BV939" s="124"/>
      <c r="BW939" s="124"/>
      <c r="BX939" s="124"/>
      <c r="BY939" s="124"/>
      <c r="BZ939" s="124"/>
      <c r="CA939" s="124"/>
    </row>
    <row r="940">
      <c r="D940" s="143"/>
      <c r="E940" s="129"/>
      <c r="F940" s="112"/>
      <c r="G940" s="112"/>
      <c r="H940" s="112"/>
      <c r="I940" s="112"/>
      <c r="J940" s="112"/>
      <c r="K940" s="112"/>
      <c r="L940" s="112"/>
      <c r="M940" s="112"/>
      <c r="N940" s="112"/>
      <c r="O940" s="112"/>
      <c r="P940" s="112"/>
      <c r="Q940" s="112"/>
      <c r="R940" s="112"/>
      <c r="S940" s="112"/>
      <c r="T940" s="112"/>
      <c r="U940" s="124"/>
      <c r="V940" s="124"/>
      <c r="W940" s="124"/>
      <c r="X940" s="124"/>
      <c r="Y940" s="124"/>
      <c r="Z940" s="112"/>
      <c r="AA940" s="112"/>
      <c r="AB940" s="112"/>
      <c r="AC940" s="112"/>
      <c r="AD940" s="112"/>
      <c r="AE940" s="112"/>
      <c r="AF940" s="112"/>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c r="BK940" s="124"/>
      <c r="BL940" s="124"/>
      <c r="BM940" s="124"/>
      <c r="BN940" s="124"/>
      <c r="BO940" s="124"/>
      <c r="BP940" s="124"/>
      <c r="BQ940" s="124"/>
      <c r="BR940" s="124"/>
      <c r="BS940" s="124"/>
      <c r="BT940" s="124"/>
      <c r="BU940" s="124"/>
      <c r="BV940" s="124"/>
      <c r="BW940" s="124"/>
      <c r="BX940" s="124"/>
      <c r="BY940" s="124"/>
      <c r="BZ940" s="124"/>
      <c r="CA940" s="124"/>
    </row>
    <row r="941">
      <c r="D941" s="143"/>
      <c r="E941" s="129"/>
      <c r="F941" s="112"/>
      <c r="G941" s="112"/>
      <c r="H941" s="112"/>
      <c r="I941" s="112"/>
      <c r="J941" s="112"/>
      <c r="K941" s="112"/>
      <c r="L941" s="112"/>
      <c r="M941" s="112"/>
      <c r="N941" s="112"/>
      <c r="O941" s="112"/>
      <c r="P941" s="112"/>
      <c r="Q941" s="112"/>
      <c r="R941" s="112"/>
      <c r="S941" s="112"/>
      <c r="T941" s="112"/>
      <c r="U941" s="124"/>
      <c r="V941" s="124"/>
      <c r="W941" s="124"/>
      <c r="X941" s="124"/>
      <c r="Y941" s="124"/>
      <c r="Z941" s="112"/>
      <c r="AA941" s="112"/>
      <c r="AB941" s="112"/>
      <c r="AC941" s="112"/>
      <c r="AD941" s="112"/>
      <c r="AE941" s="112"/>
      <c r="AF941" s="112"/>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c r="BK941" s="124"/>
      <c r="BL941" s="124"/>
      <c r="BM941" s="124"/>
      <c r="BN941" s="124"/>
      <c r="BO941" s="124"/>
      <c r="BP941" s="124"/>
      <c r="BQ941" s="124"/>
      <c r="BR941" s="124"/>
      <c r="BS941" s="124"/>
      <c r="BT941" s="124"/>
      <c r="BU941" s="124"/>
      <c r="BV941" s="124"/>
      <c r="BW941" s="124"/>
      <c r="BX941" s="124"/>
      <c r="BY941" s="124"/>
      <c r="BZ941" s="124"/>
      <c r="CA941" s="124"/>
    </row>
    <row r="942">
      <c r="D942" s="143"/>
      <c r="E942" s="129"/>
      <c r="F942" s="112"/>
      <c r="G942" s="112"/>
      <c r="H942" s="112"/>
      <c r="I942" s="112"/>
      <c r="J942" s="112"/>
      <c r="K942" s="112"/>
      <c r="L942" s="112"/>
      <c r="M942" s="112"/>
      <c r="N942" s="112"/>
      <c r="O942" s="112"/>
      <c r="P942" s="112"/>
      <c r="Q942" s="112"/>
      <c r="R942" s="112"/>
      <c r="S942" s="112"/>
      <c r="T942" s="112"/>
      <c r="U942" s="124"/>
      <c r="V942" s="124"/>
      <c r="W942" s="124"/>
      <c r="X942" s="124"/>
      <c r="Y942" s="124"/>
      <c r="Z942" s="112"/>
      <c r="AA942" s="112"/>
      <c r="AB942" s="112"/>
      <c r="AC942" s="112"/>
      <c r="AD942" s="112"/>
      <c r="AE942" s="112"/>
      <c r="AF942" s="112"/>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c r="BK942" s="124"/>
      <c r="BL942" s="124"/>
      <c r="BM942" s="124"/>
      <c r="BN942" s="124"/>
      <c r="BO942" s="124"/>
      <c r="BP942" s="124"/>
      <c r="BQ942" s="124"/>
      <c r="BR942" s="124"/>
      <c r="BS942" s="124"/>
      <c r="BT942" s="124"/>
      <c r="BU942" s="124"/>
      <c r="BV942" s="124"/>
      <c r="BW942" s="124"/>
      <c r="BX942" s="124"/>
      <c r="BY942" s="124"/>
      <c r="BZ942" s="124"/>
      <c r="CA942" s="124"/>
    </row>
    <row r="943">
      <c r="D943" s="143"/>
      <c r="E943" s="129"/>
      <c r="F943" s="112"/>
      <c r="G943" s="112"/>
      <c r="H943" s="112"/>
      <c r="I943" s="112"/>
      <c r="J943" s="112"/>
      <c r="K943" s="112"/>
      <c r="L943" s="112"/>
      <c r="M943" s="112"/>
      <c r="N943" s="112"/>
      <c r="O943" s="112"/>
      <c r="P943" s="112"/>
      <c r="Q943" s="112"/>
      <c r="R943" s="112"/>
      <c r="S943" s="112"/>
      <c r="T943" s="112"/>
      <c r="U943" s="124"/>
      <c r="V943" s="124"/>
      <c r="W943" s="124"/>
      <c r="X943" s="124"/>
      <c r="Y943" s="124"/>
      <c r="Z943" s="112"/>
      <c r="AA943" s="112"/>
      <c r="AB943" s="112"/>
      <c r="AC943" s="112"/>
      <c r="AD943" s="112"/>
      <c r="AE943" s="112"/>
      <c r="AF943" s="112"/>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c r="BK943" s="124"/>
      <c r="BL943" s="124"/>
      <c r="BM943" s="124"/>
      <c r="BN943" s="124"/>
      <c r="BO943" s="124"/>
      <c r="BP943" s="124"/>
      <c r="BQ943" s="124"/>
      <c r="BR943" s="124"/>
      <c r="BS943" s="124"/>
      <c r="BT943" s="124"/>
      <c r="BU943" s="124"/>
      <c r="BV943" s="124"/>
      <c r="BW943" s="124"/>
      <c r="BX943" s="124"/>
      <c r="BY943" s="124"/>
      <c r="BZ943" s="124"/>
      <c r="CA943" s="124"/>
    </row>
    <row r="944">
      <c r="D944" s="143"/>
      <c r="E944" s="129"/>
      <c r="F944" s="112"/>
      <c r="G944" s="112"/>
      <c r="H944" s="112"/>
      <c r="I944" s="112"/>
      <c r="J944" s="112"/>
      <c r="K944" s="112"/>
      <c r="L944" s="112"/>
      <c r="M944" s="112"/>
      <c r="N944" s="112"/>
      <c r="O944" s="112"/>
      <c r="P944" s="112"/>
      <c r="Q944" s="112"/>
      <c r="R944" s="112"/>
      <c r="S944" s="112"/>
      <c r="T944" s="112"/>
      <c r="U944" s="124"/>
      <c r="V944" s="124"/>
      <c r="W944" s="124"/>
      <c r="X944" s="124"/>
      <c r="Y944" s="124"/>
      <c r="Z944" s="112"/>
      <c r="AA944" s="112"/>
      <c r="AB944" s="112"/>
      <c r="AC944" s="112"/>
      <c r="AD944" s="112"/>
      <c r="AE944" s="112"/>
      <c r="AF944" s="112"/>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c r="BK944" s="124"/>
      <c r="BL944" s="124"/>
      <c r="BM944" s="124"/>
      <c r="BN944" s="124"/>
      <c r="BO944" s="124"/>
      <c r="BP944" s="124"/>
      <c r="BQ944" s="124"/>
      <c r="BR944" s="124"/>
      <c r="BS944" s="124"/>
      <c r="BT944" s="124"/>
      <c r="BU944" s="124"/>
      <c r="BV944" s="124"/>
      <c r="BW944" s="124"/>
      <c r="BX944" s="124"/>
      <c r="BY944" s="124"/>
      <c r="BZ944" s="124"/>
      <c r="CA944" s="124"/>
    </row>
    <row r="945">
      <c r="D945" s="143"/>
      <c r="E945" s="129"/>
      <c r="F945" s="112"/>
      <c r="G945" s="112"/>
      <c r="H945" s="112"/>
      <c r="I945" s="112"/>
      <c r="J945" s="112"/>
      <c r="K945" s="112"/>
      <c r="L945" s="112"/>
      <c r="M945" s="112"/>
      <c r="N945" s="112"/>
      <c r="O945" s="112"/>
      <c r="P945" s="112"/>
      <c r="Q945" s="112"/>
      <c r="R945" s="112"/>
      <c r="S945" s="112"/>
      <c r="T945" s="112"/>
      <c r="U945" s="124"/>
      <c r="V945" s="124"/>
      <c r="W945" s="124"/>
      <c r="X945" s="124"/>
      <c r="Y945" s="124"/>
      <c r="Z945" s="112"/>
      <c r="AA945" s="112"/>
      <c r="AB945" s="112"/>
      <c r="AC945" s="112"/>
      <c r="AD945" s="112"/>
      <c r="AE945" s="112"/>
      <c r="AF945" s="112"/>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c r="BK945" s="124"/>
      <c r="BL945" s="124"/>
      <c r="BM945" s="124"/>
      <c r="BN945" s="124"/>
      <c r="BO945" s="124"/>
      <c r="BP945" s="124"/>
      <c r="BQ945" s="124"/>
      <c r="BR945" s="124"/>
      <c r="BS945" s="124"/>
      <c r="BT945" s="124"/>
      <c r="BU945" s="124"/>
      <c r="BV945" s="124"/>
      <c r="BW945" s="124"/>
      <c r="BX945" s="124"/>
      <c r="BY945" s="124"/>
      <c r="BZ945" s="124"/>
      <c r="CA945" s="124"/>
    </row>
    <row r="946">
      <c r="D946" s="143"/>
      <c r="E946" s="129"/>
      <c r="F946" s="112"/>
      <c r="G946" s="112"/>
      <c r="H946" s="112"/>
      <c r="I946" s="112"/>
      <c r="J946" s="112"/>
      <c r="K946" s="112"/>
      <c r="L946" s="112"/>
      <c r="M946" s="112"/>
      <c r="N946" s="112"/>
      <c r="O946" s="112"/>
      <c r="P946" s="112"/>
      <c r="Q946" s="112"/>
      <c r="R946" s="112"/>
      <c r="S946" s="112"/>
      <c r="T946" s="112"/>
      <c r="U946" s="124"/>
      <c r="V946" s="124"/>
      <c r="W946" s="124"/>
      <c r="X946" s="124"/>
      <c r="Y946" s="124"/>
      <c r="Z946" s="112"/>
      <c r="AA946" s="112"/>
      <c r="AB946" s="112"/>
      <c r="AC946" s="112"/>
      <c r="AD946" s="112"/>
      <c r="AE946" s="112"/>
      <c r="AF946" s="112"/>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c r="BK946" s="124"/>
      <c r="BL946" s="124"/>
      <c r="BM946" s="124"/>
      <c r="BN946" s="124"/>
      <c r="BO946" s="124"/>
      <c r="BP946" s="124"/>
      <c r="BQ946" s="124"/>
      <c r="BR946" s="124"/>
      <c r="BS946" s="124"/>
      <c r="BT946" s="124"/>
      <c r="BU946" s="124"/>
      <c r="BV946" s="124"/>
      <c r="BW946" s="124"/>
      <c r="BX946" s="124"/>
      <c r="BY946" s="124"/>
      <c r="BZ946" s="124"/>
      <c r="CA946" s="124"/>
    </row>
    <row r="947">
      <c r="D947" s="143"/>
      <c r="E947" s="129"/>
      <c r="F947" s="112"/>
      <c r="G947" s="112"/>
      <c r="H947" s="112"/>
      <c r="I947" s="112"/>
      <c r="J947" s="112"/>
      <c r="K947" s="112"/>
      <c r="L947" s="112"/>
      <c r="M947" s="112"/>
      <c r="N947" s="112"/>
      <c r="O947" s="112"/>
      <c r="P947" s="112"/>
      <c r="Q947" s="112"/>
      <c r="R947" s="112"/>
      <c r="S947" s="112"/>
      <c r="T947" s="112"/>
      <c r="U947" s="124"/>
      <c r="V947" s="124"/>
      <c r="W947" s="124"/>
      <c r="X947" s="124"/>
      <c r="Y947" s="124"/>
      <c r="Z947" s="112"/>
      <c r="AA947" s="112"/>
      <c r="AB947" s="112"/>
      <c r="AC947" s="112"/>
      <c r="AD947" s="112"/>
      <c r="AE947" s="112"/>
      <c r="AF947" s="112"/>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c r="BK947" s="124"/>
      <c r="BL947" s="124"/>
      <c r="BM947" s="124"/>
      <c r="BN947" s="124"/>
      <c r="BO947" s="124"/>
      <c r="BP947" s="124"/>
      <c r="BQ947" s="124"/>
      <c r="BR947" s="124"/>
      <c r="BS947" s="124"/>
      <c r="BT947" s="124"/>
      <c r="BU947" s="124"/>
      <c r="BV947" s="124"/>
      <c r="BW947" s="124"/>
      <c r="BX947" s="124"/>
      <c r="BY947" s="124"/>
      <c r="BZ947" s="124"/>
      <c r="CA947" s="124"/>
    </row>
    <row r="948">
      <c r="D948" s="143"/>
      <c r="E948" s="129"/>
      <c r="F948" s="112"/>
      <c r="G948" s="112"/>
      <c r="H948" s="112"/>
      <c r="I948" s="112"/>
      <c r="J948" s="112"/>
      <c r="K948" s="112"/>
      <c r="L948" s="112"/>
      <c r="M948" s="112"/>
      <c r="N948" s="112"/>
      <c r="O948" s="112"/>
      <c r="P948" s="112"/>
      <c r="Q948" s="112"/>
      <c r="R948" s="112"/>
      <c r="S948" s="112"/>
      <c r="T948" s="112"/>
      <c r="U948" s="124"/>
      <c r="V948" s="124"/>
      <c r="W948" s="124"/>
      <c r="X948" s="124"/>
      <c r="Y948" s="124"/>
      <c r="Z948" s="112"/>
      <c r="AA948" s="112"/>
      <c r="AB948" s="112"/>
      <c r="AC948" s="112"/>
      <c r="AD948" s="112"/>
      <c r="AE948" s="112"/>
      <c r="AF948" s="112"/>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c r="BK948" s="124"/>
      <c r="BL948" s="124"/>
      <c r="BM948" s="124"/>
      <c r="BN948" s="124"/>
      <c r="BO948" s="124"/>
      <c r="BP948" s="124"/>
      <c r="BQ948" s="124"/>
      <c r="BR948" s="124"/>
      <c r="BS948" s="124"/>
      <c r="BT948" s="124"/>
      <c r="BU948" s="124"/>
      <c r="BV948" s="124"/>
      <c r="BW948" s="124"/>
      <c r="BX948" s="124"/>
      <c r="BY948" s="124"/>
      <c r="BZ948" s="124"/>
      <c r="CA948" s="124"/>
    </row>
    <row r="949">
      <c r="D949" s="143"/>
      <c r="E949" s="129"/>
      <c r="F949" s="112"/>
      <c r="G949" s="112"/>
      <c r="H949" s="112"/>
      <c r="I949" s="112"/>
      <c r="J949" s="112"/>
      <c r="K949" s="112"/>
      <c r="L949" s="112"/>
      <c r="M949" s="112"/>
      <c r="N949" s="112"/>
      <c r="O949" s="112"/>
      <c r="P949" s="112"/>
      <c r="Q949" s="112"/>
      <c r="R949" s="112"/>
      <c r="S949" s="112"/>
      <c r="T949" s="112"/>
      <c r="U949" s="124"/>
      <c r="V949" s="124"/>
      <c r="W949" s="124"/>
      <c r="X949" s="124"/>
      <c r="Y949" s="124"/>
      <c r="Z949" s="112"/>
      <c r="AA949" s="112"/>
      <c r="AB949" s="112"/>
      <c r="AC949" s="112"/>
      <c r="AD949" s="112"/>
      <c r="AE949" s="112"/>
      <c r="AF949" s="112"/>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c r="BK949" s="124"/>
      <c r="BL949" s="124"/>
      <c r="BM949" s="124"/>
      <c r="BN949" s="124"/>
      <c r="BO949" s="124"/>
      <c r="BP949" s="124"/>
      <c r="BQ949" s="124"/>
      <c r="BR949" s="124"/>
      <c r="BS949" s="124"/>
      <c r="BT949" s="124"/>
      <c r="BU949" s="124"/>
      <c r="BV949" s="124"/>
      <c r="BW949" s="124"/>
      <c r="BX949" s="124"/>
      <c r="BY949" s="124"/>
      <c r="BZ949" s="124"/>
      <c r="CA949" s="124"/>
    </row>
    <row r="950">
      <c r="D950" s="143"/>
      <c r="E950" s="129"/>
      <c r="F950" s="112"/>
      <c r="G950" s="112"/>
      <c r="H950" s="112"/>
      <c r="I950" s="112"/>
      <c r="J950" s="112"/>
      <c r="K950" s="112"/>
      <c r="L950" s="112"/>
      <c r="M950" s="112"/>
      <c r="N950" s="112"/>
      <c r="O950" s="112"/>
      <c r="P950" s="112"/>
      <c r="Q950" s="112"/>
      <c r="R950" s="112"/>
      <c r="S950" s="112"/>
      <c r="T950" s="112"/>
      <c r="U950" s="124"/>
      <c r="V950" s="124"/>
      <c r="W950" s="124"/>
      <c r="X950" s="124"/>
      <c r="Y950" s="124"/>
      <c r="Z950" s="112"/>
      <c r="AA950" s="112"/>
      <c r="AB950" s="112"/>
      <c r="AC950" s="112"/>
      <c r="AD950" s="112"/>
      <c r="AE950" s="112"/>
      <c r="AF950" s="112"/>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c r="BK950" s="124"/>
      <c r="BL950" s="124"/>
      <c r="BM950" s="124"/>
      <c r="BN950" s="124"/>
      <c r="BO950" s="124"/>
      <c r="BP950" s="124"/>
      <c r="BQ950" s="124"/>
      <c r="BR950" s="124"/>
      <c r="BS950" s="124"/>
      <c r="BT950" s="124"/>
      <c r="BU950" s="124"/>
      <c r="BV950" s="124"/>
      <c r="BW950" s="124"/>
      <c r="BX950" s="124"/>
      <c r="BY950" s="124"/>
      <c r="BZ950" s="124"/>
      <c r="CA950" s="124"/>
    </row>
    <row r="951">
      <c r="D951" s="143"/>
      <c r="E951" s="129"/>
      <c r="F951" s="112"/>
      <c r="G951" s="112"/>
      <c r="H951" s="112"/>
      <c r="I951" s="112"/>
      <c r="J951" s="112"/>
      <c r="K951" s="112"/>
      <c r="L951" s="112"/>
      <c r="M951" s="112"/>
      <c r="N951" s="112"/>
      <c r="O951" s="112"/>
      <c r="P951" s="112"/>
      <c r="Q951" s="112"/>
      <c r="R951" s="112"/>
      <c r="S951" s="112"/>
      <c r="T951" s="112"/>
      <c r="U951" s="124"/>
      <c r="V951" s="124"/>
      <c r="W951" s="124"/>
      <c r="X951" s="124"/>
      <c r="Y951" s="124"/>
      <c r="Z951" s="112"/>
      <c r="AA951" s="112"/>
      <c r="AB951" s="112"/>
      <c r="AC951" s="112"/>
      <c r="AD951" s="112"/>
      <c r="AE951" s="112"/>
      <c r="AF951" s="112"/>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c r="BK951" s="124"/>
      <c r="BL951" s="124"/>
      <c r="BM951" s="124"/>
      <c r="BN951" s="124"/>
      <c r="BO951" s="124"/>
      <c r="BP951" s="124"/>
      <c r="BQ951" s="124"/>
      <c r="BR951" s="124"/>
      <c r="BS951" s="124"/>
      <c r="BT951" s="124"/>
      <c r="BU951" s="124"/>
      <c r="BV951" s="124"/>
      <c r="BW951" s="124"/>
      <c r="BX951" s="124"/>
      <c r="BY951" s="124"/>
      <c r="BZ951" s="124"/>
      <c r="CA951" s="124"/>
    </row>
    <row r="952">
      <c r="D952" s="143"/>
      <c r="E952" s="129"/>
      <c r="F952" s="112"/>
      <c r="G952" s="112"/>
      <c r="H952" s="112"/>
      <c r="I952" s="112"/>
      <c r="J952" s="112"/>
      <c r="K952" s="112"/>
      <c r="L952" s="112"/>
      <c r="M952" s="112"/>
      <c r="N952" s="112"/>
      <c r="O952" s="112"/>
      <c r="P952" s="112"/>
      <c r="Q952" s="112"/>
      <c r="R952" s="112"/>
      <c r="S952" s="112"/>
      <c r="T952" s="112"/>
      <c r="U952" s="124"/>
      <c r="V952" s="124"/>
      <c r="W952" s="124"/>
      <c r="X952" s="124"/>
      <c r="Y952" s="124"/>
      <c r="Z952" s="112"/>
      <c r="AA952" s="112"/>
      <c r="AB952" s="112"/>
      <c r="AC952" s="112"/>
      <c r="AD952" s="112"/>
      <c r="AE952" s="112"/>
      <c r="AF952" s="112"/>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c r="BK952" s="124"/>
      <c r="BL952" s="124"/>
      <c r="BM952" s="124"/>
      <c r="BN952" s="124"/>
      <c r="BO952" s="124"/>
      <c r="BP952" s="124"/>
      <c r="BQ952" s="124"/>
      <c r="BR952" s="124"/>
      <c r="BS952" s="124"/>
      <c r="BT952" s="124"/>
      <c r="BU952" s="124"/>
      <c r="BV952" s="124"/>
      <c r="BW952" s="124"/>
      <c r="BX952" s="124"/>
      <c r="BY952" s="124"/>
      <c r="BZ952" s="124"/>
      <c r="CA952" s="124"/>
    </row>
    <row r="953">
      <c r="D953" s="143"/>
      <c r="E953" s="129"/>
      <c r="F953" s="112"/>
      <c r="G953" s="112"/>
      <c r="H953" s="112"/>
      <c r="I953" s="112"/>
      <c r="J953" s="112"/>
      <c r="K953" s="112"/>
      <c r="L953" s="112"/>
      <c r="M953" s="112"/>
      <c r="N953" s="112"/>
      <c r="O953" s="112"/>
      <c r="P953" s="112"/>
      <c r="Q953" s="112"/>
      <c r="R953" s="112"/>
      <c r="S953" s="112"/>
      <c r="T953" s="112"/>
      <c r="U953" s="124"/>
      <c r="V953" s="124"/>
      <c r="W953" s="124"/>
      <c r="X953" s="124"/>
      <c r="Y953" s="124"/>
      <c r="Z953" s="112"/>
      <c r="AA953" s="112"/>
      <c r="AB953" s="112"/>
      <c r="AC953" s="112"/>
      <c r="AD953" s="112"/>
      <c r="AE953" s="112"/>
      <c r="AF953" s="112"/>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c r="BK953" s="124"/>
      <c r="BL953" s="124"/>
      <c r="BM953" s="124"/>
      <c r="BN953" s="124"/>
      <c r="BO953" s="124"/>
      <c r="BP953" s="124"/>
      <c r="BQ953" s="124"/>
      <c r="BR953" s="124"/>
      <c r="BS953" s="124"/>
      <c r="BT953" s="124"/>
      <c r="BU953" s="124"/>
      <c r="BV953" s="124"/>
      <c r="BW953" s="124"/>
      <c r="BX953" s="124"/>
      <c r="BY953" s="124"/>
      <c r="BZ953" s="124"/>
      <c r="CA953" s="124"/>
    </row>
    <row r="954">
      <c r="D954" s="143"/>
      <c r="E954" s="129"/>
      <c r="F954" s="112"/>
      <c r="G954" s="112"/>
      <c r="H954" s="112"/>
      <c r="I954" s="112"/>
      <c r="J954" s="112"/>
      <c r="K954" s="112"/>
      <c r="L954" s="112"/>
      <c r="M954" s="112"/>
      <c r="N954" s="112"/>
      <c r="O954" s="112"/>
      <c r="P954" s="112"/>
      <c r="Q954" s="112"/>
      <c r="R954" s="112"/>
      <c r="S954" s="112"/>
      <c r="T954" s="112"/>
      <c r="U954" s="124"/>
      <c r="V954" s="124"/>
      <c r="W954" s="124"/>
      <c r="X954" s="124"/>
      <c r="Y954" s="124"/>
      <c r="Z954" s="112"/>
      <c r="AA954" s="112"/>
      <c r="AB954" s="112"/>
      <c r="AC954" s="112"/>
      <c r="AD954" s="112"/>
      <c r="AE954" s="112"/>
      <c r="AF954" s="112"/>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c r="BK954" s="124"/>
      <c r="BL954" s="124"/>
      <c r="BM954" s="124"/>
      <c r="BN954" s="124"/>
      <c r="BO954" s="124"/>
      <c r="BP954" s="124"/>
      <c r="BQ954" s="124"/>
      <c r="BR954" s="124"/>
      <c r="BS954" s="124"/>
      <c r="BT954" s="124"/>
      <c r="BU954" s="124"/>
      <c r="BV954" s="124"/>
      <c r="BW954" s="124"/>
      <c r="BX954" s="124"/>
      <c r="BY954" s="124"/>
      <c r="BZ954" s="124"/>
      <c r="CA954" s="124"/>
    </row>
    <row r="955">
      <c r="D955" s="143"/>
      <c r="E955" s="129"/>
      <c r="F955" s="112"/>
      <c r="G955" s="112"/>
      <c r="H955" s="112"/>
      <c r="I955" s="112"/>
      <c r="J955" s="112"/>
      <c r="K955" s="112"/>
      <c r="L955" s="112"/>
      <c r="M955" s="112"/>
      <c r="N955" s="112"/>
      <c r="O955" s="112"/>
      <c r="P955" s="112"/>
      <c r="Q955" s="112"/>
      <c r="R955" s="112"/>
      <c r="S955" s="112"/>
      <c r="T955" s="112"/>
      <c r="U955" s="124"/>
      <c r="V955" s="124"/>
      <c r="W955" s="124"/>
      <c r="X955" s="124"/>
      <c r="Y955" s="124"/>
      <c r="Z955" s="112"/>
      <c r="AA955" s="112"/>
      <c r="AB955" s="112"/>
      <c r="AC955" s="112"/>
      <c r="AD955" s="112"/>
      <c r="AE955" s="112"/>
      <c r="AF955" s="112"/>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c r="BK955" s="124"/>
      <c r="BL955" s="124"/>
      <c r="BM955" s="124"/>
      <c r="BN955" s="124"/>
      <c r="BO955" s="124"/>
      <c r="BP955" s="124"/>
      <c r="BQ955" s="124"/>
      <c r="BR955" s="124"/>
      <c r="BS955" s="124"/>
      <c r="BT955" s="124"/>
      <c r="BU955" s="124"/>
      <c r="BV955" s="124"/>
      <c r="BW955" s="124"/>
      <c r="BX955" s="124"/>
      <c r="BY955" s="124"/>
      <c r="BZ955" s="124"/>
      <c r="CA955" s="124"/>
    </row>
    <row r="956">
      <c r="D956" s="143"/>
      <c r="E956" s="129"/>
      <c r="F956" s="112"/>
      <c r="G956" s="112"/>
      <c r="H956" s="112"/>
      <c r="I956" s="112"/>
      <c r="J956" s="112"/>
      <c r="K956" s="112"/>
      <c r="L956" s="112"/>
      <c r="M956" s="112"/>
      <c r="N956" s="112"/>
      <c r="O956" s="112"/>
      <c r="P956" s="112"/>
      <c r="Q956" s="112"/>
      <c r="R956" s="112"/>
      <c r="S956" s="112"/>
      <c r="T956" s="112"/>
      <c r="U956" s="124"/>
      <c r="V956" s="124"/>
      <c r="W956" s="124"/>
      <c r="X956" s="124"/>
      <c r="Y956" s="124"/>
      <c r="Z956" s="112"/>
      <c r="AA956" s="112"/>
      <c r="AB956" s="112"/>
      <c r="AC956" s="112"/>
      <c r="AD956" s="112"/>
      <c r="AE956" s="112"/>
      <c r="AF956" s="112"/>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c r="BK956" s="124"/>
      <c r="BL956" s="124"/>
      <c r="BM956" s="124"/>
      <c r="BN956" s="124"/>
      <c r="BO956" s="124"/>
      <c r="BP956" s="124"/>
      <c r="BQ956" s="124"/>
      <c r="BR956" s="124"/>
      <c r="BS956" s="124"/>
      <c r="BT956" s="124"/>
      <c r="BU956" s="124"/>
      <c r="BV956" s="124"/>
      <c r="BW956" s="124"/>
      <c r="BX956" s="124"/>
      <c r="BY956" s="124"/>
      <c r="BZ956" s="124"/>
      <c r="CA956" s="124"/>
    </row>
    <row r="957">
      <c r="D957" s="143"/>
      <c r="E957" s="129"/>
      <c r="F957" s="112"/>
      <c r="G957" s="112"/>
      <c r="H957" s="112"/>
      <c r="I957" s="112"/>
      <c r="J957" s="112"/>
      <c r="K957" s="112"/>
      <c r="L957" s="112"/>
      <c r="M957" s="112"/>
      <c r="N957" s="112"/>
      <c r="O957" s="112"/>
      <c r="P957" s="112"/>
      <c r="Q957" s="112"/>
      <c r="R957" s="112"/>
      <c r="S957" s="112"/>
      <c r="T957" s="112"/>
      <c r="U957" s="124"/>
      <c r="V957" s="124"/>
      <c r="W957" s="124"/>
      <c r="X957" s="124"/>
      <c r="Y957" s="124"/>
      <c r="Z957" s="112"/>
      <c r="AA957" s="112"/>
      <c r="AB957" s="112"/>
      <c r="AC957" s="112"/>
      <c r="AD957" s="112"/>
      <c r="AE957" s="112"/>
      <c r="AF957" s="112"/>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c r="BK957" s="124"/>
      <c r="BL957" s="124"/>
      <c r="BM957" s="124"/>
      <c r="BN957" s="124"/>
      <c r="BO957" s="124"/>
      <c r="BP957" s="124"/>
      <c r="BQ957" s="124"/>
      <c r="BR957" s="124"/>
      <c r="BS957" s="124"/>
      <c r="BT957" s="124"/>
      <c r="BU957" s="124"/>
      <c r="BV957" s="124"/>
      <c r="BW957" s="124"/>
      <c r="BX957" s="124"/>
      <c r="BY957" s="124"/>
      <c r="BZ957" s="124"/>
      <c r="CA957" s="124"/>
    </row>
    <row r="958">
      <c r="D958" s="143"/>
      <c r="E958" s="129"/>
      <c r="F958" s="112"/>
      <c r="G958" s="112"/>
      <c r="H958" s="112"/>
      <c r="I958" s="112"/>
      <c r="J958" s="112"/>
      <c r="K958" s="112"/>
      <c r="L958" s="112"/>
      <c r="M958" s="112"/>
      <c r="N958" s="112"/>
      <c r="O958" s="112"/>
      <c r="P958" s="112"/>
      <c r="Q958" s="112"/>
      <c r="R958" s="112"/>
      <c r="S958" s="112"/>
      <c r="T958" s="112"/>
      <c r="U958" s="124"/>
      <c r="V958" s="124"/>
      <c r="W958" s="124"/>
      <c r="X958" s="124"/>
      <c r="Y958" s="124"/>
      <c r="Z958" s="112"/>
      <c r="AA958" s="112"/>
      <c r="AB958" s="112"/>
      <c r="AC958" s="112"/>
      <c r="AD958" s="112"/>
      <c r="AE958" s="112"/>
      <c r="AF958" s="112"/>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c r="BK958" s="124"/>
      <c r="BL958" s="124"/>
      <c r="BM958" s="124"/>
      <c r="BN958" s="124"/>
      <c r="BO958" s="124"/>
      <c r="BP958" s="124"/>
      <c r="BQ958" s="124"/>
      <c r="BR958" s="124"/>
      <c r="BS958" s="124"/>
      <c r="BT958" s="124"/>
      <c r="BU958" s="124"/>
      <c r="BV958" s="124"/>
      <c r="BW958" s="124"/>
      <c r="BX958" s="124"/>
      <c r="BY958" s="124"/>
      <c r="BZ958" s="124"/>
      <c r="CA958" s="124"/>
    </row>
    <row r="959">
      <c r="D959" s="143"/>
      <c r="E959" s="129"/>
      <c r="F959" s="112"/>
      <c r="G959" s="112"/>
      <c r="H959" s="112"/>
      <c r="I959" s="112"/>
      <c r="J959" s="112"/>
      <c r="K959" s="112"/>
      <c r="L959" s="112"/>
      <c r="M959" s="112"/>
      <c r="N959" s="112"/>
      <c r="O959" s="112"/>
      <c r="P959" s="112"/>
      <c r="Q959" s="112"/>
      <c r="R959" s="112"/>
      <c r="S959" s="112"/>
      <c r="T959" s="112"/>
      <c r="U959" s="124"/>
      <c r="V959" s="124"/>
      <c r="W959" s="124"/>
      <c r="X959" s="124"/>
      <c r="Y959" s="124"/>
      <c r="Z959" s="112"/>
      <c r="AA959" s="112"/>
      <c r="AB959" s="112"/>
      <c r="AC959" s="112"/>
      <c r="AD959" s="112"/>
      <c r="AE959" s="112"/>
      <c r="AF959" s="112"/>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c r="BK959" s="124"/>
      <c r="BL959" s="124"/>
      <c r="BM959" s="124"/>
      <c r="BN959" s="124"/>
      <c r="BO959" s="124"/>
      <c r="BP959" s="124"/>
      <c r="BQ959" s="124"/>
      <c r="BR959" s="124"/>
      <c r="BS959" s="124"/>
      <c r="BT959" s="124"/>
      <c r="BU959" s="124"/>
      <c r="BV959" s="124"/>
      <c r="BW959" s="124"/>
      <c r="BX959" s="124"/>
      <c r="BY959" s="124"/>
      <c r="BZ959" s="124"/>
      <c r="CA959" s="124"/>
    </row>
    <row r="960">
      <c r="D960" s="143"/>
      <c r="E960" s="129"/>
      <c r="F960" s="112"/>
      <c r="G960" s="112"/>
      <c r="H960" s="112"/>
      <c r="I960" s="112"/>
      <c r="J960" s="112"/>
      <c r="K960" s="112"/>
      <c r="L960" s="112"/>
      <c r="M960" s="112"/>
      <c r="N960" s="112"/>
      <c r="O960" s="112"/>
      <c r="P960" s="112"/>
      <c r="Q960" s="112"/>
      <c r="R960" s="112"/>
      <c r="S960" s="112"/>
      <c r="T960" s="112"/>
      <c r="U960" s="124"/>
      <c r="V960" s="124"/>
      <c r="W960" s="124"/>
      <c r="X960" s="124"/>
      <c r="Y960" s="124"/>
      <c r="Z960" s="112"/>
      <c r="AA960" s="112"/>
      <c r="AB960" s="112"/>
      <c r="AC960" s="112"/>
      <c r="AD960" s="112"/>
      <c r="AE960" s="112"/>
      <c r="AF960" s="112"/>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c r="BK960" s="124"/>
      <c r="BL960" s="124"/>
      <c r="BM960" s="124"/>
      <c r="BN960" s="124"/>
      <c r="BO960" s="124"/>
      <c r="BP960" s="124"/>
      <c r="BQ960" s="124"/>
      <c r="BR960" s="124"/>
      <c r="BS960" s="124"/>
      <c r="BT960" s="124"/>
      <c r="BU960" s="124"/>
      <c r="BV960" s="124"/>
      <c r="BW960" s="124"/>
      <c r="BX960" s="124"/>
      <c r="BY960" s="124"/>
      <c r="BZ960" s="124"/>
      <c r="CA960" s="124"/>
    </row>
    <row r="961">
      <c r="D961" s="143"/>
      <c r="E961" s="129"/>
      <c r="F961" s="112"/>
      <c r="G961" s="112"/>
      <c r="H961" s="112"/>
      <c r="I961" s="112"/>
      <c r="J961" s="112"/>
      <c r="K961" s="112"/>
      <c r="L961" s="112"/>
      <c r="M961" s="112"/>
      <c r="N961" s="112"/>
      <c r="O961" s="112"/>
      <c r="P961" s="112"/>
      <c r="Q961" s="112"/>
      <c r="R961" s="112"/>
      <c r="S961" s="112"/>
      <c r="T961" s="112"/>
      <c r="U961" s="124"/>
      <c r="V961" s="124"/>
      <c r="W961" s="124"/>
      <c r="X961" s="124"/>
      <c r="Y961" s="124"/>
      <c r="Z961" s="112"/>
      <c r="AA961" s="112"/>
      <c r="AB961" s="112"/>
      <c r="AC961" s="112"/>
      <c r="AD961" s="112"/>
      <c r="AE961" s="112"/>
      <c r="AF961" s="112"/>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c r="BK961" s="124"/>
      <c r="BL961" s="124"/>
      <c r="BM961" s="124"/>
      <c r="BN961" s="124"/>
      <c r="BO961" s="124"/>
      <c r="BP961" s="124"/>
      <c r="BQ961" s="124"/>
      <c r="BR961" s="124"/>
      <c r="BS961" s="124"/>
      <c r="BT961" s="124"/>
      <c r="BU961" s="124"/>
      <c r="BV961" s="124"/>
      <c r="BW961" s="124"/>
      <c r="BX961" s="124"/>
      <c r="BY961" s="124"/>
      <c r="BZ961" s="124"/>
      <c r="CA961" s="124"/>
    </row>
    <row r="962">
      <c r="D962" s="143"/>
      <c r="E962" s="129"/>
      <c r="F962" s="112"/>
      <c r="G962" s="112"/>
      <c r="H962" s="112"/>
      <c r="I962" s="112"/>
      <c r="J962" s="112"/>
      <c r="K962" s="112"/>
      <c r="L962" s="112"/>
      <c r="M962" s="112"/>
      <c r="N962" s="112"/>
      <c r="O962" s="112"/>
      <c r="P962" s="112"/>
      <c r="Q962" s="112"/>
      <c r="R962" s="112"/>
      <c r="S962" s="112"/>
      <c r="T962" s="112"/>
      <c r="U962" s="124"/>
      <c r="V962" s="124"/>
      <c r="W962" s="124"/>
      <c r="X962" s="124"/>
      <c r="Y962" s="124"/>
      <c r="Z962" s="112"/>
      <c r="AA962" s="112"/>
      <c r="AB962" s="112"/>
      <c r="AC962" s="112"/>
      <c r="AD962" s="112"/>
      <c r="AE962" s="112"/>
      <c r="AF962" s="112"/>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c r="BK962" s="124"/>
      <c r="BL962" s="124"/>
      <c r="BM962" s="124"/>
      <c r="BN962" s="124"/>
      <c r="BO962" s="124"/>
      <c r="BP962" s="124"/>
      <c r="BQ962" s="124"/>
      <c r="BR962" s="124"/>
      <c r="BS962" s="124"/>
      <c r="BT962" s="124"/>
      <c r="BU962" s="124"/>
      <c r="BV962" s="124"/>
      <c r="BW962" s="124"/>
      <c r="BX962" s="124"/>
      <c r="BY962" s="124"/>
      <c r="BZ962" s="124"/>
      <c r="CA962" s="124"/>
    </row>
    <row r="963">
      <c r="D963" s="143"/>
      <c r="E963" s="129"/>
      <c r="F963" s="112"/>
      <c r="G963" s="112"/>
      <c r="H963" s="112"/>
      <c r="I963" s="112"/>
      <c r="J963" s="112"/>
      <c r="K963" s="112"/>
      <c r="L963" s="112"/>
      <c r="M963" s="112"/>
      <c r="N963" s="112"/>
      <c r="O963" s="112"/>
      <c r="P963" s="112"/>
      <c r="Q963" s="112"/>
      <c r="R963" s="112"/>
      <c r="S963" s="112"/>
      <c r="T963" s="112"/>
      <c r="U963" s="124"/>
      <c r="V963" s="124"/>
      <c r="W963" s="124"/>
      <c r="X963" s="124"/>
      <c r="Y963" s="124"/>
      <c r="Z963" s="112"/>
      <c r="AA963" s="112"/>
      <c r="AB963" s="112"/>
      <c r="AC963" s="112"/>
      <c r="AD963" s="112"/>
      <c r="AE963" s="112"/>
      <c r="AF963" s="112"/>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c r="BK963" s="124"/>
      <c r="BL963" s="124"/>
      <c r="BM963" s="124"/>
      <c r="BN963" s="124"/>
      <c r="BO963" s="124"/>
      <c r="BP963" s="124"/>
      <c r="BQ963" s="124"/>
      <c r="BR963" s="124"/>
      <c r="BS963" s="124"/>
      <c r="BT963" s="124"/>
      <c r="BU963" s="124"/>
      <c r="BV963" s="124"/>
      <c r="BW963" s="124"/>
      <c r="BX963" s="124"/>
      <c r="BY963" s="124"/>
      <c r="BZ963" s="124"/>
      <c r="CA963" s="124"/>
    </row>
    <row r="964">
      <c r="D964" s="143"/>
      <c r="E964" s="129"/>
      <c r="F964" s="112"/>
      <c r="G964" s="112"/>
      <c r="H964" s="112"/>
      <c r="I964" s="112"/>
      <c r="J964" s="112"/>
      <c r="K964" s="112"/>
      <c r="L964" s="112"/>
      <c r="M964" s="112"/>
      <c r="N964" s="112"/>
      <c r="O964" s="112"/>
      <c r="P964" s="112"/>
      <c r="Q964" s="112"/>
      <c r="R964" s="112"/>
      <c r="S964" s="112"/>
      <c r="T964" s="112"/>
      <c r="U964" s="124"/>
      <c r="V964" s="124"/>
      <c r="W964" s="124"/>
      <c r="X964" s="124"/>
      <c r="Y964" s="124"/>
      <c r="Z964" s="112"/>
      <c r="AA964" s="112"/>
      <c r="AB964" s="112"/>
      <c r="AC964" s="112"/>
      <c r="AD964" s="112"/>
      <c r="AE964" s="112"/>
      <c r="AF964" s="112"/>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c r="BK964" s="124"/>
      <c r="BL964" s="124"/>
      <c r="BM964" s="124"/>
      <c r="BN964" s="124"/>
      <c r="BO964" s="124"/>
      <c r="BP964" s="124"/>
      <c r="BQ964" s="124"/>
      <c r="BR964" s="124"/>
      <c r="BS964" s="124"/>
      <c r="BT964" s="124"/>
      <c r="BU964" s="124"/>
      <c r="BV964" s="124"/>
      <c r="BW964" s="124"/>
      <c r="BX964" s="124"/>
      <c r="BY964" s="124"/>
      <c r="BZ964" s="124"/>
      <c r="CA964" s="124"/>
    </row>
    <row r="965">
      <c r="D965" s="143"/>
      <c r="E965" s="129"/>
      <c r="F965" s="112"/>
      <c r="G965" s="112"/>
      <c r="H965" s="112"/>
      <c r="I965" s="112"/>
      <c r="J965" s="112"/>
      <c r="K965" s="112"/>
      <c r="L965" s="112"/>
      <c r="M965" s="112"/>
      <c r="N965" s="112"/>
      <c r="O965" s="112"/>
      <c r="P965" s="112"/>
      <c r="Q965" s="112"/>
      <c r="R965" s="112"/>
      <c r="S965" s="112"/>
      <c r="T965" s="112"/>
      <c r="U965" s="124"/>
      <c r="V965" s="124"/>
      <c r="W965" s="124"/>
      <c r="X965" s="124"/>
      <c r="Y965" s="124"/>
      <c r="Z965" s="112"/>
      <c r="AA965" s="112"/>
      <c r="AB965" s="112"/>
      <c r="AC965" s="112"/>
      <c r="AD965" s="112"/>
      <c r="AE965" s="112"/>
      <c r="AF965" s="112"/>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c r="BK965" s="124"/>
      <c r="BL965" s="124"/>
      <c r="BM965" s="124"/>
      <c r="BN965" s="124"/>
      <c r="BO965" s="124"/>
      <c r="BP965" s="124"/>
      <c r="BQ965" s="124"/>
      <c r="BR965" s="124"/>
      <c r="BS965" s="124"/>
      <c r="BT965" s="124"/>
      <c r="BU965" s="124"/>
      <c r="BV965" s="124"/>
      <c r="BW965" s="124"/>
      <c r="BX965" s="124"/>
      <c r="BY965" s="124"/>
      <c r="BZ965" s="124"/>
      <c r="CA965" s="124"/>
    </row>
    <row r="966">
      <c r="D966" s="143"/>
      <c r="E966" s="129"/>
      <c r="F966" s="112"/>
      <c r="G966" s="112"/>
      <c r="H966" s="112"/>
      <c r="I966" s="112"/>
      <c r="J966" s="112"/>
      <c r="K966" s="112"/>
      <c r="L966" s="112"/>
      <c r="M966" s="112"/>
      <c r="N966" s="112"/>
      <c r="O966" s="112"/>
      <c r="P966" s="112"/>
      <c r="Q966" s="112"/>
      <c r="R966" s="112"/>
      <c r="S966" s="112"/>
      <c r="T966" s="112"/>
      <c r="U966" s="124"/>
      <c r="V966" s="124"/>
      <c r="W966" s="124"/>
      <c r="X966" s="124"/>
      <c r="Y966" s="124"/>
      <c r="Z966" s="112"/>
      <c r="AA966" s="112"/>
      <c r="AB966" s="112"/>
      <c r="AC966" s="112"/>
      <c r="AD966" s="112"/>
      <c r="AE966" s="112"/>
      <c r="AF966" s="112"/>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c r="BK966" s="124"/>
      <c r="BL966" s="124"/>
      <c r="BM966" s="124"/>
      <c r="BN966" s="124"/>
      <c r="BO966" s="124"/>
      <c r="BP966" s="124"/>
      <c r="BQ966" s="124"/>
      <c r="BR966" s="124"/>
      <c r="BS966" s="124"/>
      <c r="BT966" s="124"/>
      <c r="BU966" s="124"/>
      <c r="BV966" s="124"/>
      <c r="BW966" s="124"/>
      <c r="BX966" s="124"/>
      <c r="BY966" s="124"/>
      <c r="BZ966" s="124"/>
      <c r="CA966" s="124"/>
    </row>
    <row r="967">
      <c r="D967" s="143"/>
      <c r="E967" s="129"/>
      <c r="F967" s="112"/>
      <c r="G967" s="112"/>
      <c r="H967" s="112"/>
      <c r="I967" s="112"/>
      <c r="J967" s="112"/>
      <c r="K967" s="112"/>
      <c r="L967" s="112"/>
      <c r="M967" s="112"/>
      <c r="N967" s="112"/>
      <c r="O967" s="112"/>
      <c r="P967" s="112"/>
      <c r="Q967" s="112"/>
      <c r="R967" s="112"/>
      <c r="S967" s="112"/>
      <c r="T967" s="112"/>
      <c r="U967" s="124"/>
      <c r="V967" s="124"/>
      <c r="W967" s="124"/>
      <c r="X967" s="124"/>
      <c r="Y967" s="124"/>
      <c r="Z967" s="112"/>
      <c r="AA967" s="112"/>
      <c r="AB967" s="112"/>
      <c r="AC967" s="112"/>
      <c r="AD967" s="112"/>
      <c r="AE967" s="112"/>
      <c r="AF967" s="112"/>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c r="BK967" s="124"/>
      <c r="BL967" s="124"/>
      <c r="BM967" s="124"/>
      <c r="BN967" s="124"/>
      <c r="BO967" s="124"/>
      <c r="BP967" s="124"/>
      <c r="BQ967" s="124"/>
      <c r="BR967" s="124"/>
      <c r="BS967" s="124"/>
      <c r="BT967" s="124"/>
      <c r="BU967" s="124"/>
      <c r="BV967" s="124"/>
      <c r="BW967" s="124"/>
      <c r="BX967" s="124"/>
      <c r="BY967" s="124"/>
      <c r="BZ967" s="124"/>
      <c r="CA967" s="124"/>
    </row>
    <row r="968">
      <c r="D968" s="143"/>
      <c r="E968" s="129"/>
      <c r="F968" s="112"/>
      <c r="G968" s="112"/>
      <c r="H968" s="112"/>
      <c r="I968" s="112"/>
      <c r="J968" s="112"/>
      <c r="K968" s="112"/>
      <c r="L968" s="112"/>
      <c r="M968" s="112"/>
      <c r="N968" s="112"/>
      <c r="O968" s="112"/>
      <c r="P968" s="112"/>
      <c r="Q968" s="112"/>
      <c r="R968" s="112"/>
      <c r="S968" s="112"/>
      <c r="T968" s="112"/>
      <c r="U968" s="124"/>
      <c r="V968" s="124"/>
      <c r="W968" s="124"/>
      <c r="X968" s="124"/>
      <c r="Y968" s="124"/>
      <c r="Z968" s="112"/>
      <c r="AA968" s="112"/>
      <c r="AB968" s="112"/>
      <c r="AC968" s="112"/>
      <c r="AD968" s="112"/>
      <c r="AE968" s="112"/>
      <c r="AF968" s="112"/>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c r="BK968" s="124"/>
      <c r="BL968" s="124"/>
      <c r="BM968" s="124"/>
      <c r="BN968" s="124"/>
      <c r="BO968" s="124"/>
      <c r="BP968" s="124"/>
      <c r="BQ968" s="124"/>
      <c r="BR968" s="124"/>
      <c r="BS968" s="124"/>
      <c r="BT968" s="124"/>
      <c r="BU968" s="124"/>
      <c r="BV968" s="124"/>
      <c r="BW968" s="124"/>
      <c r="BX968" s="124"/>
      <c r="BY968" s="124"/>
      <c r="BZ968" s="124"/>
      <c r="CA968" s="124"/>
    </row>
    <row r="969">
      <c r="D969" s="143"/>
      <c r="E969" s="129"/>
      <c r="F969" s="112"/>
      <c r="G969" s="112"/>
      <c r="H969" s="112"/>
      <c r="I969" s="112"/>
      <c r="J969" s="112"/>
      <c r="K969" s="112"/>
      <c r="L969" s="112"/>
      <c r="M969" s="112"/>
      <c r="N969" s="112"/>
      <c r="O969" s="112"/>
      <c r="P969" s="112"/>
      <c r="Q969" s="112"/>
      <c r="R969" s="112"/>
      <c r="S969" s="112"/>
      <c r="T969" s="112"/>
      <c r="U969" s="124"/>
      <c r="V969" s="124"/>
      <c r="W969" s="124"/>
      <c r="X969" s="124"/>
      <c r="Y969" s="124"/>
      <c r="Z969" s="112"/>
      <c r="AA969" s="112"/>
      <c r="AB969" s="112"/>
      <c r="AC969" s="112"/>
      <c r="AD969" s="112"/>
      <c r="AE969" s="112"/>
      <c r="AF969" s="112"/>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c r="BK969" s="124"/>
      <c r="BL969" s="124"/>
      <c r="BM969" s="124"/>
      <c r="BN969" s="124"/>
      <c r="BO969" s="124"/>
      <c r="BP969" s="124"/>
      <c r="BQ969" s="124"/>
      <c r="BR969" s="124"/>
      <c r="BS969" s="124"/>
      <c r="BT969" s="124"/>
      <c r="BU969" s="124"/>
      <c r="BV969" s="124"/>
      <c r="BW969" s="124"/>
      <c r="BX969" s="124"/>
      <c r="BY969" s="124"/>
      <c r="BZ969" s="124"/>
      <c r="CA969" s="124"/>
    </row>
    <row r="970">
      <c r="D970" s="143"/>
      <c r="E970" s="129"/>
      <c r="F970" s="112"/>
      <c r="G970" s="112"/>
      <c r="H970" s="112"/>
      <c r="I970" s="112"/>
      <c r="J970" s="112"/>
      <c r="K970" s="112"/>
      <c r="L970" s="112"/>
      <c r="M970" s="112"/>
      <c r="N970" s="112"/>
      <c r="O970" s="112"/>
      <c r="P970" s="112"/>
      <c r="Q970" s="112"/>
      <c r="R970" s="112"/>
      <c r="S970" s="112"/>
      <c r="T970" s="112"/>
      <c r="U970" s="124"/>
      <c r="V970" s="124"/>
      <c r="W970" s="124"/>
      <c r="X970" s="124"/>
      <c r="Y970" s="124"/>
      <c r="Z970" s="112"/>
      <c r="AA970" s="112"/>
      <c r="AB970" s="112"/>
      <c r="AC970" s="112"/>
      <c r="AD970" s="112"/>
      <c r="AE970" s="112"/>
      <c r="AF970" s="112"/>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c r="BK970" s="124"/>
      <c r="BL970" s="124"/>
      <c r="BM970" s="124"/>
      <c r="BN970" s="124"/>
      <c r="BO970" s="124"/>
      <c r="BP970" s="124"/>
      <c r="BQ970" s="124"/>
      <c r="BR970" s="124"/>
      <c r="BS970" s="124"/>
      <c r="BT970" s="124"/>
      <c r="BU970" s="124"/>
      <c r="BV970" s="124"/>
      <c r="BW970" s="124"/>
      <c r="BX970" s="124"/>
      <c r="BY970" s="124"/>
      <c r="BZ970" s="124"/>
      <c r="CA970" s="124"/>
    </row>
    <row r="971">
      <c r="D971" s="143"/>
      <c r="E971" s="129"/>
      <c r="F971" s="112"/>
      <c r="G971" s="112"/>
      <c r="H971" s="112"/>
      <c r="I971" s="112"/>
      <c r="J971" s="112"/>
      <c r="K971" s="112"/>
      <c r="L971" s="112"/>
      <c r="M971" s="112"/>
      <c r="N971" s="112"/>
      <c r="O971" s="112"/>
      <c r="P971" s="112"/>
      <c r="Q971" s="112"/>
      <c r="R971" s="112"/>
      <c r="S971" s="112"/>
      <c r="T971" s="112"/>
      <c r="U971" s="124"/>
      <c r="V971" s="124"/>
      <c r="W971" s="124"/>
      <c r="X971" s="124"/>
      <c r="Y971" s="124"/>
      <c r="Z971" s="112"/>
      <c r="AA971" s="112"/>
      <c r="AB971" s="112"/>
      <c r="AC971" s="112"/>
      <c r="AD971" s="112"/>
      <c r="AE971" s="112"/>
      <c r="AF971" s="112"/>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c r="BK971" s="124"/>
      <c r="BL971" s="124"/>
      <c r="BM971" s="124"/>
      <c r="BN971" s="124"/>
      <c r="BO971" s="124"/>
      <c r="BP971" s="124"/>
      <c r="BQ971" s="124"/>
      <c r="BR971" s="124"/>
      <c r="BS971" s="124"/>
      <c r="BT971" s="124"/>
      <c r="BU971" s="124"/>
      <c r="BV971" s="124"/>
      <c r="BW971" s="124"/>
      <c r="BX971" s="124"/>
      <c r="BY971" s="124"/>
      <c r="BZ971" s="124"/>
      <c r="CA971" s="124"/>
    </row>
    <row r="972">
      <c r="D972" s="143"/>
      <c r="E972" s="129"/>
      <c r="F972" s="112"/>
      <c r="G972" s="112"/>
      <c r="H972" s="112"/>
      <c r="I972" s="112"/>
      <c r="J972" s="112"/>
      <c r="K972" s="112"/>
      <c r="L972" s="112"/>
      <c r="M972" s="112"/>
      <c r="N972" s="112"/>
      <c r="O972" s="112"/>
      <c r="P972" s="112"/>
      <c r="Q972" s="112"/>
      <c r="R972" s="112"/>
      <c r="S972" s="112"/>
      <c r="T972" s="112"/>
      <c r="U972" s="124"/>
      <c r="V972" s="124"/>
      <c r="W972" s="124"/>
      <c r="X972" s="124"/>
      <c r="Y972" s="124"/>
      <c r="Z972" s="112"/>
      <c r="AA972" s="112"/>
      <c r="AB972" s="112"/>
      <c r="AC972" s="112"/>
      <c r="AD972" s="112"/>
      <c r="AE972" s="112"/>
      <c r="AF972" s="112"/>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c r="BK972" s="124"/>
      <c r="BL972" s="124"/>
      <c r="BM972" s="124"/>
      <c r="BN972" s="124"/>
      <c r="BO972" s="124"/>
      <c r="BP972" s="124"/>
      <c r="BQ972" s="124"/>
      <c r="BR972" s="124"/>
      <c r="BS972" s="124"/>
      <c r="BT972" s="124"/>
      <c r="BU972" s="124"/>
      <c r="BV972" s="124"/>
      <c r="BW972" s="124"/>
      <c r="BX972" s="124"/>
      <c r="BY972" s="124"/>
      <c r="BZ972" s="124"/>
      <c r="CA972" s="124"/>
    </row>
    <row r="973">
      <c r="D973" s="143"/>
      <c r="E973" s="129"/>
      <c r="F973" s="112"/>
      <c r="G973" s="112"/>
      <c r="H973" s="112"/>
      <c r="I973" s="112"/>
      <c r="J973" s="112"/>
      <c r="K973" s="112"/>
      <c r="L973" s="112"/>
      <c r="M973" s="112"/>
      <c r="N973" s="112"/>
      <c r="O973" s="112"/>
      <c r="P973" s="112"/>
      <c r="Q973" s="112"/>
      <c r="R973" s="112"/>
      <c r="S973" s="112"/>
      <c r="T973" s="112"/>
      <c r="U973" s="124"/>
      <c r="V973" s="124"/>
      <c r="W973" s="124"/>
      <c r="X973" s="124"/>
      <c r="Y973" s="124"/>
      <c r="Z973" s="112"/>
      <c r="AA973" s="112"/>
      <c r="AB973" s="112"/>
      <c r="AC973" s="112"/>
      <c r="AD973" s="112"/>
      <c r="AE973" s="112"/>
      <c r="AF973" s="112"/>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c r="BK973" s="124"/>
      <c r="BL973" s="124"/>
      <c r="BM973" s="124"/>
      <c r="BN973" s="124"/>
      <c r="BO973" s="124"/>
      <c r="BP973" s="124"/>
      <c r="BQ973" s="124"/>
      <c r="BR973" s="124"/>
      <c r="BS973" s="124"/>
      <c r="BT973" s="124"/>
      <c r="BU973" s="124"/>
      <c r="BV973" s="124"/>
      <c r="BW973" s="124"/>
      <c r="BX973" s="124"/>
      <c r="BY973" s="124"/>
      <c r="BZ973" s="124"/>
      <c r="CA973" s="124"/>
    </row>
    <row r="974">
      <c r="D974" s="143"/>
      <c r="E974" s="129"/>
      <c r="F974" s="112"/>
      <c r="G974" s="112"/>
      <c r="H974" s="112"/>
      <c r="I974" s="112"/>
      <c r="J974" s="112"/>
      <c r="K974" s="112"/>
      <c r="L974" s="112"/>
      <c r="M974" s="112"/>
      <c r="N974" s="112"/>
      <c r="O974" s="112"/>
      <c r="P974" s="112"/>
      <c r="Q974" s="112"/>
      <c r="R974" s="112"/>
      <c r="S974" s="112"/>
      <c r="T974" s="112"/>
      <c r="U974" s="124"/>
      <c r="V974" s="124"/>
      <c r="W974" s="124"/>
      <c r="X974" s="124"/>
      <c r="Y974" s="124"/>
      <c r="Z974" s="112"/>
      <c r="AA974" s="112"/>
      <c r="AB974" s="112"/>
      <c r="AC974" s="112"/>
      <c r="AD974" s="112"/>
      <c r="AE974" s="112"/>
      <c r="AF974" s="112"/>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c r="BK974" s="124"/>
      <c r="BL974" s="124"/>
      <c r="BM974" s="124"/>
      <c r="BN974" s="124"/>
      <c r="BO974" s="124"/>
      <c r="BP974" s="124"/>
      <c r="BQ974" s="124"/>
      <c r="BR974" s="124"/>
      <c r="BS974" s="124"/>
      <c r="BT974" s="124"/>
      <c r="BU974" s="124"/>
      <c r="BV974" s="124"/>
      <c r="BW974" s="124"/>
      <c r="BX974" s="124"/>
      <c r="BY974" s="124"/>
      <c r="BZ974" s="124"/>
      <c r="CA974" s="124"/>
    </row>
    <row r="975">
      <c r="D975" s="143"/>
      <c r="E975" s="129"/>
      <c r="F975" s="112"/>
      <c r="G975" s="112"/>
      <c r="H975" s="112"/>
      <c r="I975" s="112"/>
      <c r="J975" s="112"/>
      <c r="K975" s="112"/>
      <c r="L975" s="112"/>
      <c r="M975" s="112"/>
      <c r="N975" s="112"/>
      <c r="O975" s="112"/>
      <c r="P975" s="112"/>
      <c r="Q975" s="112"/>
      <c r="R975" s="112"/>
      <c r="S975" s="112"/>
      <c r="T975" s="112"/>
      <c r="U975" s="124"/>
      <c r="V975" s="124"/>
      <c r="W975" s="124"/>
      <c r="X975" s="124"/>
      <c r="Y975" s="124"/>
      <c r="Z975" s="112"/>
      <c r="AA975" s="112"/>
      <c r="AB975" s="112"/>
      <c r="AC975" s="112"/>
      <c r="AD975" s="112"/>
      <c r="AE975" s="112"/>
      <c r="AF975" s="112"/>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c r="BK975" s="124"/>
      <c r="BL975" s="124"/>
      <c r="BM975" s="124"/>
      <c r="BN975" s="124"/>
      <c r="BO975" s="124"/>
      <c r="BP975" s="124"/>
      <c r="BQ975" s="124"/>
      <c r="BR975" s="124"/>
      <c r="BS975" s="124"/>
      <c r="BT975" s="124"/>
      <c r="BU975" s="124"/>
      <c r="BV975" s="124"/>
      <c r="BW975" s="124"/>
      <c r="BX975" s="124"/>
      <c r="BY975" s="124"/>
      <c r="BZ975" s="124"/>
      <c r="CA975" s="124"/>
    </row>
    <row r="976">
      <c r="D976" s="143"/>
      <c r="E976" s="129"/>
      <c r="F976" s="112"/>
      <c r="G976" s="112"/>
      <c r="H976" s="112"/>
      <c r="I976" s="112"/>
      <c r="J976" s="112"/>
      <c r="K976" s="112"/>
      <c r="L976" s="112"/>
      <c r="M976" s="112"/>
      <c r="N976" s="112"/>
      <c r="O976" s="112"/>
      <c r="P976" s="112"/>
      <c r="Q976" s="112"/>
      <c r="R976" s="112"/>
      <c r="S976" s="112"/>
      <c r="T976" s="112"/>
      <c r="U976" s="124"/>
      <c r="V976" s="124"/>
      <c r="W976" s="124"/>
      <c r="X976" s="124"/>
      <c r="Y976" s="124"/>
      <c r="Z976" s="112"/>
      <c r="AA976" s="112"/>
      <c r="AB976" s="112"/>
      <c r="AC976" s="112"/>
      <c r="AD976" s="112"/>
      <c r="AE976" s="112"/>
      <c r="AF976" s="112"/>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c r="BK976" s="124"/>
      <c r="BL976" s="124"/>
      <c r="BM976" s="124"/>
      <c r="BN976" s="124"/>
      <c r="BO976" s="124"/>
      <c r="BP976" s="124"/>
      <c r="BQ976" s="124"/>
      <c r="BR976" s="124"/>
      <c r="BS976" s="124"/>
      <c r="BT976" s="124"/>
      <c r="BU976" s="124"/>
      <c r="BV976" s="124"/>
      <c r="BW976" s="124"/>
      <c r="BX976" s="124"/>
      <c r="BY976" s="124"/>
      <c r="BZ976" s="124"/>
      <c r="CA976" s="124"/>
    </row>
    <row r="977">
      <c r="D977" s="143"/>
      <c r="E977" s="129"/>
      <c r="F977" s="112"/>
      <c r="G977" s="112"/>
      <c r="H977" s="112"/>
      <c r="I977" s="112"/>
      <c r="J977" s="112"/>
      <c r="K977" s="112"/>
      <c r="L977" s="112"/>
      <c r="M977" s="112"/>
      <c r="N977" s="112"/>
      <c r="O977" s="112"/>
      <c r="P977" s="112"/>
      <c r="Q977" s="112"/>
      <c r="R977" s="112"/>
      <c r="S977" s="112"/>
      <c r="T977" s="112"/>
      <c r="U977" s="124"/>
      <c r="V977" s="124"/>
      <c r="W977" s="124"/>
      <c r="X977" s="124"/>
      <c r="Y977" s="124"/>
      <c r="Z977" s="112"/>
      <c r="AA977" s="112"/>
      <c r="AB977" s="112"/>
      <c r="AC977" s="112"/>
      <c r="AD977" s="112"/>
      <c r="AE977" s="112"/>
      <c r="AF977" s="112"/>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c r="BK977" s="124"/>
      <c r="BL977" s="124"/>
      <c r="BM977" s="124"/>
      <c r="BN977" s="124"/>
      <c r="BO977" s="124"/>
      <c r="BP977" s="124"/>
      <c r="BQ977" s="124"/>
      <c r="BR977" s="124"/>
      <c r="BS977" s="124"/>
      <c r="BT977" s="124"/>
      <c r="BU977" s="124"/>
      <c r="BV977" s="124"/>
      <c r="BW977" s="124"/>
      <c r="BX977" s="124"/>
      <c r="BY977" s="124"/>
      <c r="BZ977" s="124"/>
      <c r="CA977" s="124"/>
    </row>
    <row r="978">
      <c r="D978" s="143"/>
      <c r="E978" s="129"/>
      <c r="F978" s="112"/>
      <c r="G978" s="112"/>
      <c r="H978" s="112"/>
      <c r="I978" s="112"/>
      <c r="J978" s="112"/>
      <c r="K978" s="112"/>
      <c r="L978" s="112"/>
      <c r="M978" s="112"/>
      <c r="N978" s="112"/>
      <c r="O978" s="112"/>
      <c r="P978" s="112"/>
      <c r="Q978" s="112"/>
      <c r="R978" s="112"/>
      <c r="S978" s="112"/>
      <c r="T978" s="112"/>
      <c r="U978" s="124"/>
      <c r="V978" s="124"/>
      <c r="W978" s="124"/>
      <c r="X978" s="124"/>
      <c r="Y978" s="124"/>
      <c r="Z978" s="112"/>
      <c r="AA978" s="112"/>
      <c r="AB978" s="112"/>
      <c r="AC978" s="112"/>
      <c r="AD978" s="112"/>
      <c r="AE978" s="112"/>
      <c r="AF978" s="112"/>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c r="BK978" s="124"/>
      <c r="BL978" s="124"/>
      <c r="BM978" s="124"/>
      <c r="BN978" s="124"/>
      <c r="BO978" s="124"/>
      <c r="BP978" s="124"/>
      <c r="BQ978" s="124"/>
      <c r="BR978" s="124"/>
      <c r="BS978" s="124"/>
      <c r="BT978" s="124"/>
      <c r="BU978" s="124"/>
      <c r="BV978" s="124"/>
      <c r="BW978" s="124"/>
      <c r="BX978" s="124"/>
      <c r="BY978" s="124"/>
      <c r="BZ978" s="124"/>
      <c r="CA978" s="124"/>
    </row>
    <row r="979">
      <c r="D979" s="143"/>
      <c r="E979" s="129"/>
      <c r="F979" s="112"/>
      <c r="G979" s="112"/>
      <c r="H979" s="112"/>
      <c r="I979" s="112"/>
      <c r="J979" s="112"/>
      <c r="K979" s="112"/>
      <c r="L979" s="112"/>
      <c r="M979" s="112"/>
      <c r="N979" s="112"/>
      <c r="O979" s="112"/>
      <c r="P979" s="112"/>
      <c r="Q979" s="112"/>
      <c r="R979" s="112"/>
      <c r="S979" s="112"/>
      <c r="T979" s="112"/>
      <c r="U979" s="124"/>
      <c r="V979" s="124"/>
      <c r="W979" s="124"/>
      <c r="X979" s="124"/>
      <c r="Y979" s="124"/>
      <c r="Z979" s="112"/>
      <c r="AA979" s="112"/>
      <c r="AB979" s="112"/>
      <c r="AC979" s="112"/>
      <c r="AD979" s="112"/>
      <c r="AE979" s="112"/>
      <c r="AF979" s="112"/>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c r="BK979" s="124"/>
      <c r="BL979" s="124"/>
      <c r="BM979" s="124"/>
      <c r="BN979" s="124"/>
      <c r="BO979" s="124"/>
      <c r="BP979" s="124"/>
      <c r="BQ979" s="124"/>
      <c r="BR979" s="124"/>
      <c r="BS979" s="124"/>
      <c r="BT979" s="124"/>
      <c r="BU979" s="124"/>
      <c r="BV979" s="124"/>
      <c r="BW979" s="124"/>
      <c r="BX979" s="124"/>
      <c r="BY979" s="124"/>
      <c r="BZ979" s="124"/>
      <c r="CA979" s="124"/>
    </row>
    <row r="980">
      <c r="D980" s="143"/>
      <c r="E980" s="129"/>
      <c r="F980" s="112"/>
      <c r="G980" s="112"/>
      <c r="H980" s="112"/>
      <c r="I980" s="112"/>
      <c r="J980" s="112"/>
      <c r="K980" s="112"/>
      <c r="L980" s="112"/>
      <c r="M980" s="112"/>
      <c r="N980" s="112"/>
      <c r="O980" s="112"/>
      <c r="P980" s="112"/>
      <c r="Q980" s="112"/>
      <c r="R980" s="112"/>
      <c r="S980" s="112"/>
      <c r="T980" s="112"/>
      <c r="U980" s="124"/>
      <c r="V980" s="124"/>
      <c r="W980" s="124"/>
      <c r="X980" s="124"/>
      <c r="Y980" s="124"/>
      <c r="Z980" s="112"/>
      <c r="AA980" s="112"/>
      <c r="AB980" s="112"/>
      <c r="AC980" s="112"/>
      <c r="AD980" s="112"/>
      <c r="AE980" s="112"/>
      <c r="AF980" s="112"/>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c r="BK980" s="124"/>
      <c r="BL980" s="124"/>
      <c r="BM980" s="124"/>
      <c r="BN980" s="124"/>
      <c r="BO980" s="124"/>
      <c r="BP980" s="124"/>
      <c r="BQ980" s="124"/>
      <c r="BR980" s="124"/>
      <c r="BS980" s="124"/>
      <c r="BT980" s="124"/>
      <c r="BU980" s="124"/>
      <c r="BV980" s="124"/>
      <c r="BW980" s="124"/>
      <c r="BX980" s="124"/>
      <c r="BY980" s="124"/>
      <c r="BZ980" s="124"/>
      <c r="CA980" s="124"/>
    </row>
    <row r="981">
      <c r="D981" s="143"/>
      <c r="E981" s="129"/>
      <c r="F981" s="112"/>
      <c r="G981" s="112"/>
      <c r="H981" s="112"/>
      <c r="I981" s="112"/>
      <c r="J981" s="112"/>
      <c r="K981" s="112"/>
      <c r="L981" s="112"/>
      <c r="M981" s="112"/>
      <c r="N981" s="112"/>
      <c r="O981" s="112"/>
      <c r="P981" s="112"/>
      <c r="Q981" s="112"/>
      <c r="R981" s="112"/>
      <c r="S981" s="112"/>
      <c r="T981" s="112"/>
      <c r="U981" s="124"/>
      <c r="V981" s="124"/>
      <c r="W981" s="124"/>
      <c r="X981" s="124"/>
      <c r="Y981" s="124"/>
      <c r="Z981" s="112"/>
      <c r="AA981" s="112"/>
      <c r="AB981" s="112"/>
      <c r="AC981" s="112"/>
      <c r="AD981" s="112"/>
      <c r="AE981" s="112"/>
      <c r="AF981" s="112"/>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c r="BK981" s="124"/>
      <c r="BL981" s="124"/>
      <c r="BM981" s="124"/>
      <c r="BN981" s="124"/>
      <c r="BO981" s="124"/>
      <c r="BP981" s="124"/>
      <c r="BQ981" s="124"/>
      <c r="BR981" s="124"/>
      <c r="BS981" s="124"/>
      <c r="BT981" s="124"/>
      <c r="BU981" s="124"/>
      <c r="BV981" s="124"/>
      <c r="BW981" s="124"/>
      <c r="BX981" s="124"/>
      <c r="BY981" s="124"/>
      <c r="BZ981" s="124"/>
      <c r="CA981" s="124"/>
    </row>
    <row r="982">
      <c r="D982" s="143"/>
      <c r="E982" s="129"/>
      <c r="F982" s="112"/>
      <c r="G982" s="112"/>
      <c r="H982" s="112"/>
      <c r="I982" s="112"/>
      <c r="J982" s="112"/>
      <c r="K982" s="112"/>
      <c r="L982" s="112"/>
      <c r="M982" s="112"/>
      <c r="N982" s="112"/>
      <c r="O982" s="112"/>
      <c r="P982" s="112"/>
      <c r="Q982" s="112"/>
      <c r="R982" s="112"/>
      <c r="S982" s="112"/>
      <c r="T982" s="112"/>
      <c r="U982" s="124"/>
      <c r="V982" s="124"/>
      <c r="W982" s="124"/>
      <c r="X982" s="124"/>
      <c r="Y982" s="124"/>
      <c r="Z982" s="112"/>
      <c r="AA982" s="112"/>
      <c r="AB982" s="112"/>
      <c r="AC982" s="112"/>
      <c r="AD982" s="112"/>
      <c r="AE982" s="112"/>
      <c r="AF982" s="112"/>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c r="BK982" s="124"/>
      <c r="BL982" s="124"/>
      <c r="BM982" s="124"/>
      <c r="BN982" s="124"/>
      <c r="BO982" s="124"/>
      <c r="BP982" s="124"/>
      <c r="BQ982" s="124"/>
      <c r="BR982" s="124"/>
      <c r="BS982" s="124"/>
      <c r="BT982" s="124"/>
      <c r="BU982" s="124"/>
      <c r="BV982" s="124"/>
      <c r="BW982" s="124"/>
      <c r="BX982" s="124"/>
      <c r="BY982" s="124"/>
      <c r="BZ982" s="124"/>
      <c r="CA982" s="124"/>
    </row>
    <row r="983">
      <c r="D983" s="143"/>
      <c r="E983" s="129"/>
      <c r="F983" s="112"/>
      <c r="G983" s="112"/>
      <c r="H983" s="112"/>
      <c r="I983" s="112"/>
      <c r="J983" s="112"/>
      <c r="K983" s="112"/>
      <c r="L983" s="112"/>
      <c r="M983" s="112"/>
      <c r="N983" s="112"/>
      <c r="O983" s="112"/>
      <c r="P983" s="112"/>
      <c r="Q983" s="112"/>
      <c r="R983" s="112"/>
      <c r="S983" s="112"/>
      <c r="T983" s="112"/>
      <c r="U983" s="124"/>
      <c r="V983" s="124"/>
      <c r="W983" s="124"/>
      <c r="X983" s="124"/>
      <c r="Y983" s="124"/>
      <c r="Z983" s="112"/>
      <c r="AA983" s="112"/>
      <c r="AB983" s="112"/>
      <c r="AC983" s="112"/>
      <c r="AD983" s="112"/>
      <c r="AE983" s="112"/>
      <c r="AF983" s="112"/>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c r="BK983" s="124"/>
      <c r="BL983" s="124"/>
      <c r="BM983" s="124"/>
      <c r="BN983" s="124"/>
      <c r="BO983" s="124"/>
      <c r="BP983" s="124"/>
      <c r="BQ983" s="124"/>
      <c r="BR983" s="124"/>
      <c r="BS983" s="124"/>
      <c r="BT983" s="124"/>
      <c r="BU983" s="124"/>
      <c r="BV983" s="124"/>
      <c r="BW983" s="124"/>
      <c r="BX983" s="124"/>
      <c r="BY983" s="124"/>
      <c r="BZ983" s="124"/>
      <c r="CA983" s="124"/>
    </row>
    <row r="984">
      <c r="D984" s="143"/>
      <c r="E984" s="129"/>
      <c r="F984" s="112"/>
      <c r="G984" s="112"/>
      <c r="H984" s="112"/>
      <c r="I984" s="112"/>
      <c r="J984" s="112"/>
      <c r="K984" s="112"/>
      <c r="L984" s="112"/>
      <c r="M984" s="112"/>
      <c r="N984" s="112"/>
      <c r="O984" s="112"/>
      <c r="P984" s="112"/>
      <c r="Q984" s="112"/>
      <c r="R984" s="112"/>
      <c r="S984" s="112"/>
      <c r="T984" s="112"/>
      <c r="U984" s="124"/>
      <c r="V984" s="124"/>
      <c r="W984" s="124"/>
      <c r="X984" s="124"/>
      <c r="Y984" s="124"/>
      <c r="Z984" s="112"/>
      <c r="AA984" s="112"/>
      <c r="AB984" s="112"/>
      <c r="AC984" s="112"/>
      <c r="AD984" s="112"/>
      <c r="AE984" s="112"/>
      <c r="AF984" s="112"/>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c r="BK984" s="124"/>
      <c r="BL984" s="124"/>
      <c r="BM984" s="124"/>
      <c r="BN984" s="124"/>
      <c r="BO984" s="124"/>
      <c r="BP984" s="124"/>
      <c r="BQ984" s="124"/>
      <c r="BR984" s="124"/>
      <c r="BS984" s="124"/>
      <c r="BT984" s="124"/>
      <c r="BU984" s="124"/>
      <c r="BV984" s="124"/>
      <c r="BW984" s="124"/>
      <c r="BX984" s="124"/>
      <c r="BY984" s="124"/>
      <c r="BZ984" s="124"/>
      <c r="CA984" s="124"/>
    </row>
    <row r="985">
      <c r="D985" s="143"/>
      <c r="E985" s="129"/>
      <c r="F985" s="112"/>
      <c r="G985" s="112"/>
      <c r="H985" s="112"/>
      <c r="I985" s="112"/>
      <c r="J985" s="112"/>
      <c r="K985" s="112"/>
      <c r="L985" s="112"/>
      <c r="M985" s="112"/>
      <c r="N985" s="112"/>
      <c r="O985" s="112"/>
      <c r="P985" s="112"/>
      <c r="Q985" s="112"/>
      <c r="R985" s="112"/>
      <c r="S985" s="112"/>
      <c r="T985" s="112"/>
      <c r="U985" s="124"/>
      <c r="V985" s="124"/>
      <c r="W985" s="124"/>
      <c r="X985" s="124"/>
      <c r="Y985" s="124"/>
      <c r="Z985" s="112"/>
      <c r="AA985" s="112"/>
      <c r="AB985" s="112"/>
      <c r="AC985" s="112"/>
      <c r="AD985" s="112"/>
      <c r="AE985" s="112"/>
      <c r="AF985" s="112"/>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c r="BK985" s="124"/>
      <c r="BL985" s="124"/>
      <c r="BM985" s="124"/>
      <c r="BN985" s="124"/>
      <c r="BO985" s="124"/>
      <c r="BP985" s="124"/>
      <c r="BQ985" s="124"/>
      <c r="BR985" s="124"/>
      <c r="BS985" s="124"/>
      <c r="BT985" s="124"/>
      <c r="BU985" s="124"/>
      <c r="BV985" s="124"/>
      <c r="BW985" s="124"/>
      <c r="BX985" s="124"/>
      <c r="BY985" s="124"/>
      <c r="BZ985" s="124"/>
      <c r="CA985" s="124"/>
    </row>
    <row r="986">
      <c r="D986" s="143"/>
      <c r="E986" s="129"/>
      <c r="F986" s="112"/>
      <c r="G986" s="112"/>
      <c r="H986" s="112"/>
      <c r="I986" s="112"/>
      <c r="J986" s="112"/>
      <c r="K986" s="112"/>
      <c r="L986" s="112"/>
      <c r="M986" s="112"/>
      <c r="N986" s="112"/>
      <c r="O986" s="112"/>
      <c r="P986" s="112"/>
      <c r="Q986" s="112"/>
      <c r="R986" s="112"/>
      <c r="S986" s="112"/>
      <c r="T986" s="112"/>
      <c r="U986" s="124"/>
      <c r="V986" s="124"/>
      <c r="W986" s="124"/>
      <c r="X986" s="124"/>
      <c r="Y986" s="124"/>
      <c r="Z986" s="112"/>
      <c r="AA986" s="112"/>
      <c r="AB986" s="112"/>
      <c r="AC986" s="112"/>
      <c r="AD986" s="112"/>
      <c r="AE986" s="112"/>
      <c r="AF986" s="112"/>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c r="BK986" s="124"/>
      <c r="BL986" s="124"/>
      <c r="BM986" s="124"/>
      <c r="BN986" s="124"/>
      <c r="BO986" s="124"/>
      <c r="BP986" s="124"/>
      <c r="BQ986" s="124"/>
      <c r="BR986" s="124"/>
      <c r="BS986" s="124"/>
      <c r="BT986" s="124"/>
      <c r="BU986" s="124"/>
      <c r="BV986" s="124"/>
      <c r="BW986" s="124"/>
      <c r="BX986" s="124"/>
      <c r="BY986" s="124"/>
      <c r="BZ986" s="124"/>
      <c r="CA986" s="124"/>
    </row>
    <row r="987">
      <c r="D987" s="143"/>
      <c r="E987" s="129"/>
      <c r="F987" s="112"/>
      <c r="G987" s="112"/>
      <c r="H987" s="112"/>
      <c r="I987" s="112"/>
      <c r="J987" s="112"/>
      <c r="K987" s="112"/>
      <c r="L987" s="112"/>
      <c r="M987" s="112"/>
      <c r="N987" s="112"/>
      <c r="O987" s="112"/>
      <c r="P987" s="112"/>
      <c r="Q987" s="112"/>
      <c r="R987" s="112"/>
      <c r="S987" s="112"/>
      <c r="T987" s="112"/>
      <c r="U987" s="124"/>
      <c r="V987" s="124"/>
      <c r="W987" s="124"/>
      <c r="X987" s="124"/>
      <c r="Y987" s="124"/>
      <c r="Z987" s="112"/>
      <c r="AA987" s="112"/>
      <c r="AB987" s="112"/>
      <c r="AC987" s="112"/>
      <c r="AD987" s="112"/>
      <c r="AE987" s="112"/>
      <c r="AF987" s="112"/>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c r="BK987" s="124"/>
      <c r="BL987" s="124"/>
      <c r="BM987" s="124"/>
      <c r="BN987" s="124"/>
      <c r="BO987" s="124"/>
      <c r="BP987" s="124"/>
      <c r="BQ987" s="124"/>
      <c r="BR987" s="124"/>
      <c r="BS987" s="124"/>
      <c r="BT987" s="124"/>
      <c r="BU987" s="124"/>
      <c r="BV987" s="124"/>
      <c r="BW987" s="124"/>
      <c r="BX987" s="124"/>
      <c r="BY987" s="124"/>
      <c r="BZ987" s="124"/>
      <c r="CA987" s="124"/>
    </row>
    <row r="988">
      <c r="D988" s="143"/>
      <c r="E988" s="129"/>
      <c r="F988" s="112"/>
      <c r="G988" s="112"/>
      <c r="H988" s="112"/>
      <c r="I988" s="112"/>
      <c r="J988" s="112"/>
      <c r="K988" s="112"/>
      <c r="L988" s="112"/>
      <c r="M988" s="112"/>
      <c r="N988" s="112"/>
      <c r="O988" s="112"/>
      <c r="P988" s="112"/>
      <c r="Q988" s="112"/>
      <c r="R988" s="112"/>
      <c r="S988" s="112"/>
      <c r="T988" s="112"/>
      <c r="U988" s="124"/>
      <c r="V988" s="124"/>
      <c r="W988" s="124"/>
      <c r="X988" s="124"/>
      <c r="Y988" s="124"/>
      <c r="Z988" s="112"/>
      <c r="AA988" s="112"/>
      <c r="AB988" s="112"/>
      <c r="AC988" s="112"/>
      <c r="AD988" s="112"/>
      <c r="AE988" s="112"/>
      <c r="AF988" s="112"/>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c r="BK988" s="124"/>
      <c r="BL988" s="124"/>
      <c r="BM988" s="124"/>
      <c r="BN988" s="124"/>
      <c r="BO988" s="124"/>
      <c r="BP988" s="124"/>
      <c r="BQ988" s="124"/>
      <c r="BR988" s="124"/>
      <c r="BS988" s="124"/>
      <c r="BT988" s="124"/>
      <c r="BU988" s="124"/>
      <c r="BV988" s="124"/>
      <c r="BW988" s="124"/>
      <c r="BX988" s="124"/>
      <c r="BY988" s="124"/>
      <c r="BZ988" s="124"/>
      <c r="CA988" s="124"/>
    </row>
    <row r="989">
      <c r="D989" s="143"/>
      <c r="E989" s="129"/>
      <c r="F989" s="112"/>
      <c r="G989" s="112"/>
      <c r="H989" s="112"/>
      <c r="I989" s="112"/>
      <c r="J989" s="112"/>
      <c r="K989" s="112"/>
      <c r="L989" s="112"/>
      <c r="M989" s="112"/>
      <c r="N989" s="112"/>
      <c r="O989" s="112"/>
      <c r="P989" s="112"/>
      <c r="Q989" s="112"/>
      <c r="R989" s="112"/>
      <c r="S989" s="112"/>
      <c r="T989" s="112"/>
      <c r="U989" s="124"/>
      <c r="V989" s="124"/>
      <c r="W989" s="124"/>
      <c r="X989" s="124"/>
      <c r="Y989" s="124"/>
      <c r="Z989" s="112"/>
      <c r="AA989" s="112"/>
      <c r="AB989" s="112"/>
      <c r="AC989" s="112"/>
      <c r="AD989" s="112"/>
      <c r="AE989" s="112"/>
      <c r="AF989" s="112"/>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c r="BK989" s="124"/>
      <c r="BL989" s="124"/>
      <c r="BM989" s="124"/>
      <c r="BN989" s="124"/>
      <c r="BO989" s="124"/>
      <c r="BP989" s="124"/>
      <c r="BQ989" s="124"/>
      <c r="BR989" s="124"/>
      <c r="BS989" s="124"/>
      <c r="BT989" s="124"/>
      <c r="BU989" s="124"/>
      <c r="BV989" s="124"/>
      <c r="BW989" s="124"/>
      <c r="BX989" s="124"/>
      <c r="BY989" s="124"/>
      <c r="BZ989" s="124"/>
      <c r="CA989" s="124"/>
    </row>
    <row r="990">
      <c r="D990" s="143"/>
      <c r="E990" s="129"/>
      <c r="F990" s="112"/>
      <c r="G990" s="112"/>
      <c r="H990" s="112"/>
      <c r="I990" s="112"/>
      <c r="J990" s="112"/>
      <c r="K990" s="112"/>
      <c r="L990" s="112"/>
      <c r="M990" s="112"/>
      <c r="N990" s="112"/>
      <c r="O990" s="112"/>
      <c r="P990" s="112"/>
      <c r="Q990" s="112"/>
      <c r="R990" s="112"/>
      <c r="S990" s="112"/>
      <c r="T990" s="112"/>
      <c r="U990" s="124"/>
      <c r="V990" s="124"/>
      <c r="W990" s="124"/>
      <c r="X990" s="124"/>
      <c r="Y990" s="124"/>
      <c r="Z990" s="112"/>
      <c r="AA990" s="112"/>
      <c r="AB990" s="112"/>
      <c r="AC990" s="112"/>
      <c r="AD990" s="112"/>
      <c r="AE990" s="112"/>
      <c r="AF990" s="112"/>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c r="BK990" s="124"/>
      <c r="BL990" s="124"/>
      <c r="BM990" s="124"/>
      <c r="BN990" s="124"/>
      <c r="BO990" s="124"/>
      <c r="BP990" s="124"/>
      <c r="BQ990" s="124"/>
      <c r="BR990" s="124"/>
      <c r="BS990" s="124"/>
      <c r="BT990" s="124"/>
      <c r="BU990" s="124"/>
      <c r="BV990" s="124"/>
      <c r="BW990" s="124"/>
      <c r="BX990" s="124"/>
      <c r="BY990" s="124"/>
      <c r="BZ990" s="124"/>
      <c r="CA990" s="124"/>
    </row>
    <row r="991">
      <c r="D991" s="143"/>
      <c r="E991" s="129"/>
      <c r="F991" s="112"/>
      <c r="G991" s="112"/>
      <c r="H991" s="112"/>
      <c r="I991" s="112"/>
      <c r="J991" s="112"/>
      <c r="K991" s="112"/>
      <c r="L991" s="112"/>
      <c r="M991" s="112"/>
      <c r="N991" s="112"/>
      <c r="O991" s="112"/>
      <c r="P991" s="112"/>
      <c r="Q991" s="112"/>
      <c r="R991" s="112"/>
      <c r="S991" s="112"/>
      <c r="T991" s="112"/>
      <c r="U991" s="124"/>
      <c r="V991" s="124"/>
      <c r="W991" s="124"/>
      <c r="X991" s="124"/>
      <c r="Y991" s="124"/>
      <c r="Z991" s="112"/>
      <c r="AA991" s="112"/>
      <c r="AB991" s="112"/>
      <c r="AC991" s="112"/>
      <c r="AD991" s="112"/>
      <c r="AE991" s="112"/>
      <c r="AF991" s="112"/>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c r="BK991" s="124"/>
      <c r="BL991" s="124"/>
      <c r="BM991" s="124"/>
      <c r="BN991" s="124"/>
      <c r="BO991" s="124"/>
      <c r="BP991" s="124"/>
      <c r="BQ991" s="124"/>
      <c r="BR991" s="124"/>
      <c r="BS991" s="124"/>
      <c r="BT991" s="124"/>
      <c r="BU991" s="124"/>
      <c r="BV991" s="124"/>
      <c r="BW991" s="124"/>
      <c r="BX991" s="124"/>
      <c r="BY991" s="124"/>
      <c r="BZ991" s="124"/>
      <c r="CA991" s="124"/>
    </row>
    <row r="992">
      <c r="D992" s="143"/>
      <c r="E992" s="129"/>
      <c r="F992" s="112"/>
      <c r="G992" s="112"/>
      <c r="H992" s="112"/>
      <c r="I992" s="112"/>
      <c r="J992" s="112"/>
      <c r="K992" s="112"/>
      <c r="L992" s="112"/>
      <c r="M992" s="112"/>
      <c r="N992" s="112"/>
      <c r="O992" s="112"/>
      <c r="P992" s="112"/>
      <c r="Q992" s="112"/>
      <c r="R992" s="112"/>
      <c r="S992" s="112"/>
      <c r="T992" s="112"/>
      <c r="U992" s="124"/>
      <c r="V992" s="124"/>
      <c r="W992" s="124"/>
      <c r="X992" s="124"/>
      <c r="Y992" s="124"/>
      <c r="Z992" s="112"/>
      <c r="AA992" s="112"/>
      <c r="AB992" s="112"/>
      <c r="AC992" s="112"/>
      <c r="AD992" s="112"/>
      <c r="AE992" s="112"/>
      <c r="AF992" s="112"/>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c r="BK992" s="124"/>
      <c r="BL992" s="124"/>
      <c r="BM992" s="124"/>
      <c r="BN992" s="124"/>
      <c r="BO992" s="124"/>
      <c r="BP992" s="124"/>
      <c r="BQ992" s="124"/>
      <c r="BR992" s="124"/>
      <c r="BS992" s="124"/>
      <c r="BT992" s="124"/>
      <c r="BU992" s="124"/>
      <c r="BV992" s="124"/>
      <c r="BW992" s="124"/>
      <c r="BX992" s="124"/>
      <c r="BY992" s="124"/>
      <c r="BZ992" s="124"/>
      <c r="CA992" s="124"/>
    </row>
    <row r="993">
      <c r="D993" s="143"/>
      <c r="E993" s="129"/>
      <c r="F993" s="112"/>
      <c r="G993" s="112"/>
      <c r="H993" s="112"/>
      <c r="I993" s="112"/>
      <c r="J993" s="112"/>
      <c r="K993" s="112"/>
      <c r="L993" s="112"/>
      <c r="M993" s="112"/>
      <c r="N993" s="112"/>
      <c r="O993" s="112"/>
      <c r="P993" s="112"/>
      <c r="Q993" s="112"/>
      <c r="R993" s="112"/>
      <c r="S993" s="112"/>
      <c r="T993" s="112"/>
      <c r="U993" s="124"/>
      <c r="V993" s="124"/>
      <c r="W993" s="124"/>
      <c r="X993" s="124"/>
      <c r="Y993" s="124"/>
      <c r="Z993" s="112"/>
      <c r="AA993" s="112"/>
      <c r="AB993" s="112"/>
      <c r="AC993" s="112"/>
      <c r="AD993" s="112"/>
      <c r="AE993" s="112"/>
      <c r="AF993" s="112"/>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c r="BK993" s="124"/>
      <c r="BL993" s="124"/>
      <c r="BM993" s="124"/>
      <c r="BN993" s="124"/>
      <c r="BO993" s="124"/>
      <c r="BP993" s="124"/>
      <c r="BQ993" s="124"/>
      <c r="BR993" s="124"/>
      <c r="BS993" s="124"/>
      <c r="BT993" s="124"/>
      <c r="BU993" s="124"/>
      <c r="BV993" s="124"/>
      <c r="BW993" s="124"/>
      <c r="BX993" s="124"/>
      <c r="BY993" s="124"/>
      <c r="BZ993" s="124"/>
      <c r="CA993" s="124"/>
    </row>
    <row r="994">
      <c r="D994" s="143"/>
      <c r="E994" s="129"/>
      <c r="F994" s="112"/>
      <c r="G994" s="112"/>
      <c r="H994" s="112"/>
      <c r="I994" s="112"/>
      <c r="J994" s="112"/>
      <c r="K994" s="112"/>
      <c r="L994" s="112"/>
      <c r="M994" s="112"/>
      <c r="N994" s="112"/>
      <c r="O994" s="112"/>
      <c r="P994" s="112"/>
      <c r="Q994" s="112"/>
      <c r="R994" s="112"/>
      <c r="S994" s="112"/>
      <c r="T994" s="112"/>
      <c r="U994" s="124"/>
      <c r="V994" s="124"/>
      <c r="W994" s="124"/>
      <c r="X994" s="124"/>
      <c r="Y994" s="124"/>
      <c r="Z994" s="112"/>
      <c r="AA994" s="112"/>
      <c r="AB994" s="112"/>
      <c r="AC994" s="112"/>
      <c r="AD994" s="112"/>
      <c r="AE994" s="112"/>
      <c r="AF994" s="112"/>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c r="BK994" s="124"/>
      <c r="BL994" s="124"/>
      <c r="BM994" s="124"/>
      <c r="BN994" s="124"/>
      <c r="BO994" s="124"/>
      <c r="BP994" s="124"/>
      <c r="BQ994" s="124"/>
      <c r="BR994" s="124"/>
      <c r="BS994" s="124"/>
      <c r="BT994" s="124"/>
      <c r="BU994" s="124"/>
      <c r="BV994" s="124"/>
      <c r="BW994" s="124"/>
      <c r="BX994" s="124"/>
      <c r="BY994" s="124"/>
      <c r="BZ994" s="124"/>
      <c r="CA994" s="124"/>
    </row>
    <row r="995">
      <c r="D995" s="143"/>
      <c r="E995" s="129"/>
      <c r="F995" s="112"/>
      <c r="G995" s="112"/>
      <c r="H995" s="112"/>
      <c r="I995" s="112"/>
      <c r="J995" s="112"/>
      <c r="K995" s="112"/>
      <c r="L995" s="112"/>
      <c r="M995" s="112"/>
      <c r="N995" s="112"/>
      <c r="O995" s="112"/>
      <c r="P995" s="112"/>
      <c r="Q995" s="112"/>
      <c r="R995" s="112"/>
      <c r="S995" s="112"/>
      <c r="T995" s="112"/>
      <c r="U995" s="124"/>
      <c r="V995" s="124"/>
      <c r="W995" s="124"/>
      <c r="X995" s="124"/>
      <c r="Y995" s="124"/>
      <c r="Z995" s="112"/>
      <c r="AA995" s="112"/>
      <c r="AB995" s="112"/>
      <c r="AC995" s="112"/>
      <c r="AD995" s="112"/>
      <c r="AE995" s="112"/>
      <c r="AF995" s="112"/>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c r="BK995" s="124"/>
      <c r="BL995" s="124"/>
      <c r="BM995" s="124"/>
      <c r="BN995" s="124"/>
      <c r="BO995" s="124"/>
      <c r="BP995" s="124"/>
      <c r="BQ995" s="124"/>
      <c r="BR995" s="124"/>
      <c r="BS995" s="124"/>
      <c r="BT995" s="124"/>
      <c r="BU995" s="124"/>
      <c r="BV995" s="124"/>
      <c r="BW995" s="124"/>
      <c r="BX995" s="124"/>
      <c r="BY995" s="124"/>
      <c r="BZ995" s="124"/>
      <c r="CA995" s="124"/>
    </row>
    <row r="996">
      <c r="D996" s="143"/>
      <c r="E996" s="129"/>
      <c r="F996" s="112"/>
      <c r="G996" s="112"/>
      <c r="H996" s="112"/>
      <c r="I996" s="112"/>
      <c r="J996" s="112"/>
      <c r="K996" s="112"/>
      <c r="L996" s="112"/>
      <c r="M996" s="112"/>
      <c r="N996" s="112"/>
      <c r="O996" s="112"/>
      <c r="P996" s="112"/>
      <c r="Q996" s="112"/>
      <c r="R996" s="112"/>
      <c r="S996" s="112"/>
      <c r="T996" s="112"/>
      <c r="U996" s="124"/>
      <c r="V996" s="124"/>
      <c r="W996" s="124"/>
      <c r="X996" s="124"/>
      <c r="Y996" s="124"/>
      <c r="Z996" s="112"/>
      <c r="AA996" s="112"/>
      <c r="AB996" s="112"/>
      <c r="AC996" s="112"/>
      <c r="AD996" s="112"/>
      <c r="AE996" s="112"/>
      <c r="AF996" s="112"/>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c r="BK996" s="124"/>
      <c r="BL996" s="124"/>
      <c r="BM996" s="124"/>
      <c r="BN996" s="124"/>
      <c r="BO996" s="124"/>
      <c r="BP996" s="124"/>
      <c r="BQ996" s="124"/>
      <c r="BR996" s="124"/>
      <c r="BS996" s="124"/>
      <c r="BT996" s="124"/>
      <c r="BU996" s="124"/>
      <c r="BV996" s="124"/>
      <c r="BW996" s="124"/>
      <c r="BX996" s="124"/>
      <c r="BY996" s="124"/>
      <c r="BZ996" s="124"/>
      <c r="CA996" s="124"/>
    </row>
    <row r="997">
      <c r="D997" s="143"/>
      <c r="E997" s="129"/>
      <c r="F997" s="112"/>
      <c r="G997" s="112"/>
      <c r="H997" s="112"/>
      <c r="I997" s="112"/>
      <c r="J997" s="112"/>
      <c r="K997" s="112"/>
      <c r="L997" s="112"/>
      <c r="M997" s="112"/>
      <c r="N997" s="112"/>
      <c r="O997" s="112"/>
      <c r="P997" s="112"/>
      <c r="Q997" s="112"/>
      <c r="R997" s="112"/>
      <c r="S997" s="112"/>
      <c r="T997" s="112"/>
      <c r="U997" s="124"/>
      <c r="V997" s="124"/>
      <c r="W997" s="124"/>
      <c r="X997" s="124"/>
      <c r="Y997" s="124"/>
      <c r="Z997" s="112"/>
      <c r="AA997" s="112"/>
      <c r="AB997" s="112"/>
      <c r="AC997" s="112"/>
      <c r="AD997" s="112"/>
      <c r="AE997" s="112"/>
      <c r="AF997" s="112"/>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c r="BK997" s="124"/>
      <c r="BL997" s="124"/>
      <c r="BM997" s="124"/>
      <c r="BN997" s="124"/>
      <c r="BO997" s="124"/>
      <c r="BP997" s="124"/>
      <c r="BQ997" s="124"/>
      <c r="BR997" s="124"/>
      <c r="BS997" s="124"/>
      <c r="BT997" s="124"/>
      <c r="BU997" s="124"/>
      <c r="BV997" s="124"/>
      <c r="BW997" s="124"/>
      <c r="BX997" s="124"/>
      <c r="BY997" s="124"/>
      <c r="BZ997" s="124"/>
      <c r="CA997" s="124"/>
    </row>
    <row r="998">
      <c r="D998" s="143"/>
      <c r="E998" s="129"/>
      <c r="F998" s="112"/>
      <c r="G998" s="112"/>
      <c r="H998" s="112"/>
      <c r="I998" s="112"/>
      <c r="J998" s="112"/>
      <c r="K998" s="112"/>
      <c r="L998" s="112"/>
      <c r="M998" s="112"/>
      <c r="N998" s="112"/>
      <c r="O998" s="112"/>
      <c r="P998" s="112"/>
      <c r="Q998" s="112"/>
      <c r="R998" s="112"/>
      <c r="S998" s="112"/>
      <c r="T998" s="112"/>
      <c r="U998" s="124"/>
      <c r="V998" s="124"/>
      <c r="W998" s="124"/>
      <c r="X998" s="124"/>
      <c r="Y998" s="124"/>
      <c r="Z998" s="112"/>
      <c r="AA998" s="112"/>
      <c r="AB998" s="112"/>
      <c r="AC998" s="112"/>
      <c r="AD998" s="112"/>
      <c r="AE998" s="112"/>
      <c r="AF998" s="112"/>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c r="BK998" s="124"/>
      <c r="BL998" s="124"/>
      <c r="BM998" s="124"/>
      <c r="BN998" s="124"/>
      <c r="BO998" s="124"/>
      <c r="BP998" s="124"/>
      <c r="BQ998" s="124"/>
      <c r="BR998" s="124"/>
      <c r="BS998" s="124"/>
      <c r="BT998" s="124"/>
      <c r="BU998" s="124"/>
      <c r="BV998" s="124"/>
      <c r="BW998" s="124"/>
      <c r="BX998" s="124"/>
      <c r="BY998" s="124"/>
      <c r="BZ998" s="124"/>
      <c r="CA998" s="124"/>
    </row>
    <row r="999">
      <c r="D999" s="143"/>
      <c r="E999" s="129"/>
      <c r="F999" s="112"/>
      <c r="G999" s="112"/>
      <c r="H999" s="112"/>
      <c r="I999" s="112"/>
      <c r="J999" s="112"/>
      <c r="K999" s="112"/>
      <c r="L999" s="112"/>
      <c r="M999" s="112"/>
      <c r="N999" s="112"/>
      <c r="O999" s="112"/>
      <c r="P999" s="112"/>
      <c r="Q999" s="112"/>
      <c r="R999" s="112"/>
      <c r="S999" s="112"/>
      <c r="T999" s="112"/>
      <c r="U999" s="124"/>
      <c r="V999" s="124"/>
      <c r="W999" s="124"/>
      <c r="X999" s="124"/>
      <c r="Y999" s="124"/>
      <c r="Z999" s="112"/>
      <c r="AA999" s="112"/>
      <c r="AB999" s="112"/>
      <c r="AC999" s="112"/>
      <c r="AD999" s="112"/>
      <c r="AE999" s="112"/>
      <c r="AF999" s="112"/>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c r="BK999" s="124"/>
      <c r="BL999" s="124"/>
      <c r="BM999" s="124"/>
      <c r="BN999" s="124"/>
      <c r="BO999" s="124"/>
      <c r="BP999" s="124"/>
      <c r="BQ999" s="124"/>
      <c r="BR999" s="124"/>
      <c r="BS999" s="124"/>
      <c r="BT999" s="124"/>
      <c r="BU999" s="124"/>
      <c r="BV999" s="124"/>
      <c r="BW999" s="124"/>
      <c r="BX999" s="124"/>
      <c r="BY999" s="124"/>
      <c r="BZ999" s="124"/>
      <c r="CA999" s="124"/>
    </row>
    <row r="1000">
      <c r="D1000" s="143"/>
      <c r="E1000" s="129"/>
      <c r="F1000" s="112"/>
      <c r="G1000" s="112"/>
      <c r="H1000" s="112"/>
      <c r="I1000" s="112"/>
      <c r="J1000" s="112"/>
      <c r="K1000" s="112"/>
      <c r="L1000" s="112"/>
      <c r="M1000" s="112"/>
      <c r="N1000" s="112"/>
      <c r="O1000" s="112"/>
      <c r="P1000" s="112"/>
      <c r="Q1000" s="112"/>
      <c r="R1000" s="112"/>
      <c r="S1000" s="112"/>
      <c r="T1000" s="112"/>
      <c r="U1000" s="124"/>
      <c r="V1000" s="124"/>
      <c r="W1000" s="124"/>
      <c r="X1000" s="124"/>
      <c r="Y1000" s="124"/>
      <c r="Z1000" s="112"/>
      <c r="AA1000" s="112"/>
      <c r="AB1000" s="112"/>
      <c r="AC1000" s="112"/>
      <c r="AD1000" s="112"/>
      <c r="AE1000" s="112"/>
      <c r="AF1000" s="112"/>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c r="BK1000" s="124"/>
      <c r="BL1000" s="124"/>
      <c r="BM1000" s="124"/>
      <c r="BN1000" s="124"/>
      <c r="BO1000" s="124"/>
      <c r="BP1000" s="124"/>
      <c r="BQ1000" s="124"/>
      <c r="BR1000" s="124"/>
      <c r="BS1000" s="124"/>
      <c r="BT1000" s="124"/>
      <c r="BU1000" s="124"/>
      <c r="BV1000" s="124"/>
      <c r="BW1000" s="124"/>
      <c r="BX1000" s="124"/>
      <c r="BY1000" s="124"/>
      <c r="BZ1000" s="124"/>
      <c r="CA1000" s="124"/>
    </row>
    <row r="1001">
      <c r="D1001" s="143"/>
      <c r="E1001" s="129"/>
      <c r="F1001" s="112"/>
      <c r="G1001" s="112"/>
      <c r="H1001" s="112"/>
      <c r="I1001" s="112"/>
      <c r="J1001" s="112"/>
      <c r="K1001" s="112"/>
      <c r="L1001" s="112"/>
      <c r="M1001" s="112"/>
      <c r="N1001" s="112"/>
      <c r="O1001" s="112"/>
      <c r="P1001" s="112"/>
      <c r="Q1001" s="112"/>
      <c r="R1001" s="112"/>
      <c r="S1001" s="112"/>
      <c r="T1001" s="112"/>
      <c r="U1001" s="124"/>
      <c r="V1001" s="124"/>
      <c r="W1001" s="124"/>
      <c r="X1001" s="124"/>
      <c r="Y1001" s="124"/>
      <c r="Z1001" s="112"/>
      <c r="AA1001" s="112"/>
      <c r="AB1001" s="112"/>
      <c r="AC1001" s="112"/>
      <c r="AD1001" s="112"/>
      <c r="AE1001" s="112"/>
      <c r="AF1001" s="112"/>
      <c r="AG1001" s="124"/>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c r="BK1001" s="124"/>
      <c r="BL1001" s="124"/>
      <c r="BM1001" s="124"/>
      <c r="BN1001" s="124"/>
      <c r="BO1001" s="124"/>
      <c r="BP1001" s="124"/>
      <c r="BQ1001" s="124"/>
      <c r="BR1001" s="124"/>
      <c r="BS1001" s="124"/>
      <c r="BT1001" s="124"/>
      <c r="BU1001" s="124"/>
      <c r="BV1001" s="124"/>
      <c r="BW1001" s="124"/>
      <c r="BX1001" s="124"/>
      <c r="BY1001" s="124"/>
      <c r="BZ1001" s="124"/>
      <c r="CA1001" s="124"/>
    </row>
  </sheetData>
  <mergeCells count="18">
    <mergeCell ref="A1:B1"/>
    <mergeCell ref="C1:D1"/>
    <mergeCell ref="F1:T1"/>
    <mergeCell ref="U1:Y1"/>
    <mergeCell ref="Z1:AA1"/>
    <mergeCell ref="AB1:AF1"/>
    <mergeCell ref="AH1:AH2"/>
    <mergeCell ref="A57:B57"/>
    <mergeCell ref="BN1:BP1"/>
    <mergeCell ref="BR1:BV1"/>
    <mergeCell ref="BW1:CA1"/>
    <mergeCell ref="AI1:AL1"/>
    <mergeCell ref="AM1:AP1"/>
    <mergeCell ref="AQ1:AS1"/>
    <mergeCell ref="AT1:BB1"/>
    <mergeCell ref="BD1:BF1"/>
    <mergeCell ref="BG1:BH1"/>
    <mergeCell ref="BI1:BM1"/>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5.86"/>
    <col customWidth="1" min="2" max="2" width="52.14"/>
    <col customWidth="1" min="3" max="3" width="29.0"/>
    <col customWidth="1" min="4" max="4" width="7.86"/>
    <col customWidth="1" min="5" max="5" width="10.0"/>
    <col customWidth="1" min="6" max="20" width="7.57"/>
    <col customWidth="1" min="21" max="23" width="22.71"/>
    <col customWidth="1" min="24" max="25" width="33.29"/>
    <col customWidth="1" min="26" max="27" width="4.29"/>
    <col customWidth="1" min="28" max="28" width="5.29"/>
    <col customWidth="1" min="29" max="29" width="3.86"/>
    <col customWidth="1" min="30" max="30" width="4.29"/>
    <col customWidth="1" min="31" max="31" width="5.0"/>
    <col customWidth="1" min="32" max="32" width="4.0"/>
    <col customWidth="1" min="33" max="33" width="31.0"/>
    <col customWidth="1" min="34" max="35" width="4.0"/>
    <col customWidth="1" min="36" max="37" width="4.29"/>
    <col customWidth="1" min="38" max="68" width="4.43"/>
    <col customWidth="1" min="69" max="69" width="2.0"/>
    <col customWidth="1" min="70" max="79" width="4.43"/>
  </cols>
  <sheetData>
    <row r="1">
      <c r="A1" s="144" t="s">
        <v>0</v>
      </c>
      <c r="C1" s="145" t="s">
        <v>1</v>
      </c>
      <c r="E1" s="4"/>
      <c r="F1" s="146" t="s">
        <v>2</v>
      </c>
      <c r="U1" s="23"/>
      <c r="V1" s="23" t="s">
        <v>3</v>
      </c>
      <c r="Z1" s="147" t="s">
        <v>4</v>
      </c>
      <c r="AB1" s="148" t="s">
        <v>5</v>
      </c>
      <c r="AG1" s="149"/>
      <c r="AH1" s="10" t="s">
        <v>6</v>
      </c>
      <c r="AI1" s="11" t="s">
        <v>7</v>
      </c>
      <c r="AM1" s="12" t="s">
        <v>8</v>
      </c>
      <c r="AQ1" s="13" t="s">
        <v>9</v>
      </c>
      <c r="AT1" s="14" t="s">
        <v>10</v>
      </c>
      <c r="BC1" s="15"/>
      <c r="BD1" s="16" t="s">
        <v>11</v>
      </c>
      <c r="BG1" s="17" t="s">
        <v>4348</v>
      </c>
      <c r="BI1" s="18" t="s">
        <v>12</v>
      </c>
      <c r="BN1" s="19" t="s">
        <v>13</v>
      </c>
      <c r="BQ1" s="21"/>
      <c r="BR1" s="22" t="s">
        <v>14</v>
      </c>
      <c r="BW1" s="23" t="s">
        <v>15</v>
      </c>
    </row>
    <row r="2" ht="24.0" customHeight="1">
      <c r="A2" s="25" t="s">
        <v>17</v>
      </c>
      <c r="B2" s="26" t="s">
        <v>18</v>
      </c>
      <c r="C2" s="27" t="s">
        <v>19</v>
      </c>
      <c r="D2" s="28" t="s">
        <v>20</v>
      </c>
      <c r="E2" s="4" t="s">
        <v>21</v>
      </c>
      <c r="F2" s="15" t="s">
        <v>22</v>
      </c>
      <c r="G2" s="15" t="s">
        <v>23</v>
      </c>
      <c r="H2" s="15" t="s">
        <v>24</v>
      </c>
      <c r="I2" s="15" t="s">
        <v>25</v>
      </c>
      <c r="J2" s="15" t="s">
        <v>26</v>
      </c>
      <c r="K2" s="15" t="s">
        <v>27</v>
      </c>
      <c r="L2" s="15" t="s">
        <v>28</v>
      </c>
      <c r="M2" s="15" t="s">
        <v>29</v>
      </c>
      <c r="N2" s="15" t="s">
        <v>30</v>
      </c>
      <c r="O2" s="15" t="s">
        <v>31</v>
      </c>
      <c r="P2" s="15" t="s">
        <v>32</v>
      </c>
      <c r="Q2" s="15" t="s">
        <v>33</v>
      </c>
      <c r="R2" s="15" t="s">
        <v>34</v>
      </c>
      <c r="S2" s="15" t="s">
        <v>35</v>
      </c>
      <c r="T2" s="15" t="s">
        <v>36</v>
      </c>
      <c r="U2" s="30" t="s">
        <v>37</v>
      </c>
      <c r="V2" s="30" t="s">
        <v>38</v>
      </c>
      <c r="W2" s="30" t="s">
        <v>39</v>
      </c>
      <c r="X2" s="30" t="s">
        <v>40</v>
      </c>
      <c r="Y2" s="30" t="s">
        <v>41</v>
      </c>
      <c r="Z2" s="31" t="s">
        <v>42</v>
      </c>
      <c r="AA2" s="31" t="s">
        <v>43</v>
      </c>
      <c r="AB2" s="32" t="s">
        <v>44</v>
      </c>
      <c r="AC2" s="32" t="s">
        <v>45</v>
      </c>
      <c r="AD2" s="32" t="s">
        <v>46</v>
      </c>
      <c r="AE2" s="32" t="s">
        <v>47</v>
      </c>
      <c r="AF2" s="32" t="s">
        <v>48</v>
      </c>
      <c r="AG2" s="9" t="s">
        <v>49</v>
      </c>
      <c r="AI2" s="33" t="s">
        <v>7</v>
      </c>
      <c r="AJ2" s="33" t="s">
        <v>50</v>
      </c>
      <c r="AK2" s="33" t="s">
        <v>51</v>
      </c>
      <c r="AL2" s="33" t="s">
        <v>52</v>
      </c>
      <c r="AM2" s="34" t="s">
        <v>8</v>
      </c>
      <c r="AN2" s="34" t="s">
        <v>53</v>
      </c>
      <c r="AO2" s="34" t="s">
        <v>54</v>
      </c>
      <c r="AP2" s="34" t="s">
        <v>55</v>
      </c>
      <c r="AQ2" s="35" t="s">
        <v>9</v>
      </c>
      <c r="AR2" s="35" t="s">
        <v>56</v>
      </c>
      <c r="AS2" s="35" t="s">
        <v>57</v>
      </c>
      <c r="AT2" s="36" t="s">
        <v>10</v>
      </c>
      <c r="AU2" s="36" t="s">
        <v>58</v>
      </c>
      <c r="AV2" s="36" t="s">
        <v>59</v>
      </c>
      <c r="AW2" s="36" t="s">
        <v>60</v>
      </c>
      <c r="AX2" s="36" t="s">
        <v>61</v>
      </c>
      <c r="AY2" s="36" t="s">
        <v>62</v>
      </c>
      <c r="AZ2" s="36" t="s">
        <v>63</v>
      </c>
      <c r="BA2" s="36" t="s">
        <v>64</v>
      </c>
      <c r="BB2" s="36" t="s">
        <v>65</v>
      </c>
      <c r="BC2" s="37" t="s">
        <v>66</v>
      </c>
      <c r="BD2" s="38" t="s">
        <v>67</v>
      </c>
      <c r="BE2" s="38" t="s">
        <v>68</v>
      </c>
      <c r="BF2" s="38" t="s">
        <v>69</v>
      </c>
      <c r="BG2" s="39" t="s">
        <v>4348</v>
      </c>
      <c r="BH2" s="39" t="s">
        <v>70</v>
      </c>
      <c r="BI2" s="40" t="s">
        <v>71</v>
      </c>
      <c r="BJ2" s="40" t="s">
        <v>72</v>
      </c>
      <c r="BK2" s="40" t="s">
        <v>73</v>
      </c>
      <c r="BL2" s="40" t="s">
        <v>74</v>
      </c>
      <c r="BM2" s="40" t="s">
        <v>75</v>
      </c>
      <c r="BN2" s="41" t="s">
        <v>76</v>
      </c>
      <c r="BO2" s="41" t="s">
        <v>4349</v>
      </c>
      <c r="BP2" s="41" t="s">
        <v>4350</v>
      </c>
      <c r="BQ2" s="43"/>
      <c r="BR2" s="44" t="s">
        <v>78</v>
      </c>
      <c r="BS2" s="44" t="s">
        <v>79</v>
      </c>
      <c r="BT2" s="44" t="s">
        <v>80</v>
      </c>
      <c r="BU2" s="44" t="s">
        <v>81</v>
      </c>
      <c r="BV2" s="44" t="s">
        <v>82</v>
      </c>
      <c r="BW2" s="45" t="s">
        <v>83</v>
      </c>
      <c r="BX2" s="45" t="s">
        <v>84</v>
      </c>
      <c r="BY2" s="45" t="s">
        <v>85</v>
      </c>
      <c r="BZ2" s="45" t="s">
        <v>86</v>
      </c>
      <c r="CA2" s="45" t="s">
        <v>87</v>
      </c>
    </row>
    <row r="3">
      <c r="A3" s="108" t="str">
        <f>HYPERLINK("https://drive.google.com/open?id=0B00cIHsghs6UTnNuWGNVSE92ZlU","Mohani2014")</f>
        <v>Mohani2014</v>
      </c>
      <c r="B3" s="151" t="s">
        <v>756</v>
      </c>
      <c r="C3" s="151" t="s">
        <v>757</v>
      </c>
      <c r="D3" s="110">
        <v>2014.0</v>
      </c>
      <c r="E3" s="167"/>
      <c r="F3" s="111">
        <v>1.0</v>
      </c>
      <c r="G3" s="111">
        <v>1.0</v>
      </c>
      <c r="H3" s="112"/>
      <c r="I3" s="112"/>
      <c r="J3" s="112"/>
      <c r="K3" s="112"/>
      <c r="L3" s="112"/>
      <c r="M3" s="112"/>
      <c r="N3" s="111"/>
      <c r="O3" s="112"/>
      <c r="P3" s="112"/>
      <c r="Q3" s="112"/>
      <c r="R3" s="112"/>
      <c r="S3" s="112"/>
      <c r="T3" s="112"/>
      <c r="U3" s="113"/>
      <c r="V3" s="113" t="s">
        <v>4450</v>
      </c>
      <c r="W3" s="113" t="s">
        <v>4451</v>
      </c>
      <c r="X3" s="113" t="s">
        <v>4452</v>
      </c>
      <c r="Y3" s="113" t="s">
        <v>4453</v>
      </c>
      <c r="Z3" s="111">
        <v>1.0</v>
      </c>
      <c r="AA3" s="112"/>
      <c r="AB3" s="112"/>
      <c r="AC3" s="111">
        <v>1.0</v>
      </c>
      <c r="AD3" s="112"/>
      <c r="AE3" s="112"/>
      <c r="AF3" s="112"/>
      <c r="AG3" s="115" t="s">
        <v>4454</v>
      </c>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c r="BS3" s="115"/>
      <c r="BT3" s="115"/>
      <c r="BU3" s="115"/>
      <c r="BV3" s="115"/>
      <c r="BW3" s="115"/>
      <c r="BX3" s="115"/>
      <c r="BY3" s="115"/>
      <c r="BZ3" s="115"/>
      <c r="CA3" s="115"/>
    </row>
    <row r="4">
      <c r="A4" s="152" t="str">
        <f>HYPERLINK("https://drive.google.com/open?id=0B00cIHsghs6UT1VJTWwwSTZlcjQ","Kjærgaard2007")</f>
        <v>Kjærgaard2007</v>
      </c>
      <c r="B4" s="153" t="s">
        <v>632</v>
      </c>
      <c r="C4" s="153" t="s">
        <v>633</v>
      </c>
      <c r="D4" s="110">
        <v>2007.0</v>
      </c>
      <c r="E4" s="168"/>
      <c r="F4" s="112"/>
      <c r="G4" s="112"/>
      <c r="H4" s="112"/>
      <c r="I4" s="112"/>
      <c r="J4" s="112"/>
      <c r="K4" s="112"/>
      <c r="L4" s="111">
        <v>1.0</v>
      </c>
      <c r="M4" s="112"/>
      <c r="N4" s="112"/>
      <c r="O4" s="112"/>
      <c r="P4" s="112"/>
      <c r="Q4" s="112"/>
      <c r="R4" s="112"/>
      <c r="S4" s="112"/>
      <c r="T4" s="112"/>
      <c r="U4" s="113"/>
      <c r="V4" s="113" t="s">
        <v>637</v>
      </c>
      <c r="W4" s="153" t="s">
        <v>92</v>
      </c>
      <c r="X4" s="113" t="s">
        <v>638</v>
      </c>
      <c r="Y4" s="113" t="s">
        <v>639</v>
      </c>
      <c r="Z4" s="111"/>
      <c r="AA4" s="111">
        <v>1.0</v>
      </c>
      <c r="AB4" s="112"/>
      <c r="AC4" s="111">
        <v>1.0</v>
      </c>
      <c r="AD4" s="112"/>
      <c r="AE4" s="112"/>
      <c r="AF4" s="112"/>
      <c r="AG4" s="115" t="s">
        <v>640</v>
      </c>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c r="CA4" s="115"/>
    </row>
    <row r="5">
      <c r="A5" s="153" t="s">
        <v>4455</v>
      </c>
      <c r="B5" s="153" t="s">
        <v>721</v>
      </c>
      <c r="C5" s="153" t="s">
        <v>196</v>
      </c>
      <c r="D5" s="110">
        <v>2011.0</v>
      </c>
      <c r="E5" s="168"/>
      <c r="F5" s="112"/>
      <c r="G5" s="112"/>
      <c r="H5" s="112"/>
      <c r="I5" s="112"/>
      <c r="J5" s="112"/>
      <c r="K5" s="112"/>
      <c r="L5" s="111">
        <v>1.0</v>
      </c>
      <c r="M5" s="112"/>
      <c r="N5" s="111"/>
      <c r="O5" s="112"/>
      <c r="P5" s="112"/>
      <c r="Q5" s="111">
        <v>1.0</v>
      </c>
      <c r="R5" s="112"/>
      <c r="S5" s="112"/>
      <c r="T5" s="111"/>
      <c r="U5" s="113"/>
      <c r="V5" s="113" t="s">
        <v>722</v>
      </c>
      <c r="W5" s="107"/>
      <c r="X5" s="113" t="s">
        <v>723</v>
      </c>
      <c r="Y5" s="113" t="s">
        <v>724</v>
      </c>
      <c r="Z5" s="111">
        <v>1.0</v>
      </c>
      <c r="AA5" s="112"/>
      <c r="AB5" s="112"/>
      <c r="AC5" s="112"/>
      <c r="AD5" s="112"/>
      <c r="AE5" s="112"/>
      <c r="AF5" s="111">
        <v>1.0</v>
      </c>
      <c r="AG5" s="115" t="s">
        <v>725</v>
      </c>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row>
    <row r="6">
      <c r="A6" s="153" t="s">
        <v>4456</v>
      </c>
      <c r="B6" s="153" t="s">
        <v>908</v>
      </c>
      <c r="C6" s="153" t="s">
        <v>274</v>
      </c>
      <c r="D6" s="110">
        <v>2006.0</v>
      </c>
      <c r="E6" s="168"/>
      <c r="F6" s="112"/>
      <c r="G6" s="112"/>
      <c r="H6" s="112"/>
      <c r="I6" s="112"/>
      <c r="J6" s="111">
        <v>1.0</v>
      </c>
      <c r="K6" s="112"/>
      <c r="L6" s="112"/>
      <c r="M6" s="112"/>
      <c r="N6" s="112"/>
      <c r="O6" s="112"/>
      <c r="P6" s="112"/>
      <c r="Q6" s="112"/>
      <c r="R6" s="112"/>
      <c r="S6" s="112"/>
      <c r="T6" s="112"/>
      <c r="U6" s="113"/>
      <c r="V6" s="113" t="s">
        <v>1021</v>
      </c>
      <c r="W6" s="113" t="s">
        <v>4457</v>
      </c>
      <c r="X6" s="113" t="s">
        <v>4458</v>
      </c>
      <c r="Y6" s="113" t="s">
        <v>4459</v>
      </c>
      <c r="Z6" s="111">
        <v>1.0</v>
      </c>
      <c r="AA6" s="111">
        <v>1.0</v>
      </c>
      <c r="AB6" s="112"/>
      <c r="AC6" s="111">
        <v>1.0</v>
      </c>
      <c r="AD6" s="112"/>
      <c r="AE6" s="112"/>
      <c r="AF6" s="112"/>
      <c r="AG6" s="124"/>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row>
    <row r="7">
      <c r="A7" s="153" t="s">
        <v>4460</v>
      </c>
      <c r="B7" s="153" t="s">
        <v>4371</v>
      </c>
      <c r="C7" s="153" t="s">
        <v>1950</v>
      </c>
      <c r="D7" s="110">
        <v>1995.0</v>
      </c>
      <c r="E7" s="167">
        <v>1.0</v>
      </c>
      <c r="G7" s="112"/>
      <c r="H7" s="112"/>
      <c r="I7" s="112"/>
      <c r="J7" s="111" t="s">
        <v>4461</v>
      </c>
      <c r="K7" s="112"/>
      <c r="L7" s="112"/>
      <c r="M7" s="112"/>
      <c r="N7" s="112"/>
      <c r="O7" s="112"/>
      <c r="P7" s="112"/>
      <c r="Q7" s="112"/>
      <c r="R7" s="112"/>
      <c r="S7" s="112"/>
      <c r="T7" s="112"/>
      <c r="AG7" s="106"/>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row>
    <row r="8">
      <c r="A8" s="161" t="s">
        <v>4462</v>
      </c>
      <c r="B8" s="161" t="s">
        <v>800</v>
      </c>
      <c r="C8" s="161" t="s">
        <v>801</v>
      </c>
      <c r="D8" s="110">
        <v>2010.0</v>
      </c>
      <c r="E8" s="167"/>
      <c r="F8" s="111">
        <v>1.0</v>
      </c>
      <c r="G8" s="111">
        <v>0.5</v>
      </c>
      <c r="H8" s="112"/>
      <c r="I8" s="112"/>
      <c r="J8" s="112"/>
      <c r="K8" s="112"/>
      <c r="L8" s="112"/>
      <c r="M8" s="112"/>
      <c r="N8" s="112"/>
      <c r="O8" s="112"/>
      <c r="P8" s="112"/>
      <c r="Q8" s="112"/>
      <c r="R8" s="112"/>
      <c r="S8" s="112"/>
      <c r="T8" s="112"/>
      <c r="U8" s="113" t="s">
        <v>4463</v>
      </c>
      <c r="V8" s="113" t="s">
        <v>4464</v>
      </c>
      <c r="W8" s="153" t="s">
        <v>4465</v>
      </c>
      <c r="X8" s="113" t="s">
        <v>4466</v>
      </c>
      <c r="Y8" s="113" t="s">
        <v>4467</v>
      </c>
      <c r="Z8" s="111">
        <v>1.0</v>
      </c>
      <c r="AA8" s="112"/>
      <c r="AB8" s="112"/>
      <c r="AC8" s="111">
        <v>1.0</v>
      </c>
      <c r="AD8" s="112"/>
      <c r="AE8" s="112"/>
      <c r="AF8" s="112"/>
      <c r="AG8" s="115" t="s">
        <v>4468</v>
      </c>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c r="A9" s="90" t="s">
        <v>4469</v>
      </c>
      <c r="B9" s="90" t="s">
        <v>313</v>
      </c>
      <c r="C9" s="90" t="s">
        <v>314</v>
      </c>
      <c r="D9" s="103">
        <v>2007.0</v>
      </c>
      <c r="E9" s="112"/>
      <c r="F9" s="111">
        <v>1.0</v>
      </c>
      <c r="G9" s="112"/>
      <c r="H9" s="112"/>
      <c r="I9" s="112"/>
      <c r="J9" s="112"/>
      <c r="K9" s="112"/>
      <c r="L9" s="112"/>
      <c r="M9" s="112"/>
      <c r="N9" s="112"/>
      <c r="O9" s="112"/>
      <c r="P9" s="112"/>
      <c r="Q9" s="112"/>
      <c r="R9" s="112"/>
      <c r="S9" s="112"/>
      <c r="T9" s="112"/>
      <c r="U9" s="113" t="s">
        <v>4470</v>
      </c>
      <c r="V9" s="113" t="s">
        <v>4471</v>
      </c>
      <c r="W9" s="113" t="s">
        <v>317</v>
      </c>
      <c r="X9" s="113" t="s">
        <v>4472</v>
      </c>
      <c r="Y9" s="113" t="s">
        <v>4473</v>
      </c>
      <c r="Z9" s="111">
        <v>1.0</v>
      </c>
      <c r="AA9" s="112"/>
      <c r="AB9" s="112"/>
      <c r="AC9" s="111">
        <v>1.0</v>
      </c>
      <c r="AD9" s="112"/>
      <c r="AE9" s="112"/>
      <c r="AF9" s="112"/>
      <c r="AG9" s="115" t="s">
        <v>4474</v>
      </c>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row>
    <row r="10">
      <c r="A10" s="154" t="str">
        <f>HYPERLINK("https://drive.google.com/open?id=0B00cIHsghs6UbFFuRXowQWplMXM","Chiew2002")</f>
        <v>Chiew2002</v>
      </c>
      <c r="B10" s="153" t="s">
        <v>2348</v>
      </c>
      <c r="C10" s="153" t="s">
        <v>648</v>
      </c>
      <c r="D10" s="110">
        <v>2002.0</v>
      </c>
      <c r="E10" s="111">
        <v>1.0</v>
      </c>
      <c r="F10" s="112"/>
      <c r="G10" s="112"/>
      <c r="H10" s="112"/>
      <c r="I10" s="112"/>
      <c r="J10" s="112"/>
      <c r="K10" s="112"/>
      <c r="L10" s="112"/>
      <c r="M10" s="112"/>
      <c r="N10" s="112"/>
      <c r="O10" s="112"/>
      <c r="P10" s="112"/>
      <c r="Q10" s="112"/>
      <c r="R10" s="112"/>
      <c r="S10" s="112"/>
      <c r="T10" s="112"/>
      <c r="U10" s="107"/>
      <c r="V10" s="107"/>
      <c r="W10" s="107"/>
      <c r="X10" s="107"/>
      <c r="Y10" s="107"/>
      <c r="Z10" s="112"/>
      <c r="AA10" s="112"/>
      <c r="AB10" s="112"/>
      <c r="AC10" s="112"/>
      <c r="AD10" s="112"/>
      <c r="AE10" s="112"/>
      <c r="AF10" s="112"/>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row>
    <row r="11">
      <c r="A11" s="158" t="str">
        <f>HYPERLINK("https://drive.google.com/open?id=0B3oar8-GeP-INWs5WFFsU2hxLWc","Heliades2000")</f>
        <v>Heliades2000</v>
      </c>
      <c r="B11" s="153" t="s">
        <v>566</v>
      </c>
      <c r="C11" s="110" t="s">
        <v>567</v>
      </c>
      <c r="D11" s="111">
        <v>2000.0</v>
      </c>
      <c r="F11" s="112"/>
      <c r="G11" s="111">
        <v>1.0</v>
      </c>
      <c r="H11" s="112"/>
      <c r="I11" s="112"/>
      <c r="J11" s="112"/>
      <c r="K11" s="112"/>
      <c r="L11" s="112"/>
      <c r="M11" s="112"/>
      <c r="N11" s="112"/>
      <c r="O11" s="112"/>
      <c r="P11" s="112"/>
      <c r="Q11" s="112"/>
      <c r="R11" s="112"/>
      <c r="S11" s="112"/>
      <c r="T11" s="112"/>
      <c r="U11" s="107"/>
      <c r="V11" s="113" t="s">
        <v>568</v>
      </c>
      <c r="W11" s="113" t="s">
        <v>92</v>
      </c>
      <c r="X11" s="113" t="s">
        <v>569</v>
      </c>
      <c r="Y11" s="113" t="s">
        <v>570</v>
      </c>
      <c r="Z11" s="111">
        <v>1.0</v>
      </c>
      <c r="AA11" s="112"/>
      <c r="AB11" s="112"/>
      <c r="AC11" s="111">
        <v>1.0</v>
      </c>
      <c r="AD11" s="112"/>
      <c r="AE11" s="112"/>
      <c r="AF11" s="112"/>
      <c r="AG11" s="124"/>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c r="A12" s="154" t="str">
        <f>HYPERLINK("https://drive.google.com/open?id=0B00cIHsghs6UbHpZbkZ4T2h4cWs","Gauvin2004")</f>
        <v>Gauvin2004</v>
      </c>
      <c r="B12" s="153" t="s">
        <v>489</v>
      </c>
      <c r="C12" s="153" t="s">
        <v>490</v>
      </c>
      <c r="D12" s="110">
        <v>2004.0</v>
      </c>
      <c r="E12" s="112"/>
      <c r="F12" s="112"/>
      <c r="H12" s="111">
        <v>1.0</v>
      </c>
      <c r="I12" s="112"/>
      <c r="J12" s="112"/>
      <c r="K12" s="112"/>
      <c r="L12" s="112"/>
      <c r="M12" s="112"/>
      <c r="N12" s="112"/>
      <c r="O12" s="112"/>
      <c r="P12" s="112"/>
      <c r="Q12" s="112"/>
      <c r="R12" s="112"/>
      <c r="S12" s="112"/>
      <c r="T12" s="112"/>
      <c r="U12" s="113" t="s">
        <v>353</v>
      </c>
      <c r="V12" s="113"/>
      <c r="W12" s="113" t="s">
        <v>494</v>
      </c>
      <c r="X12" s="113" t="s">
        <v>495</v>
      </c>
      <c r="Y12" s="113" t="s">
        <v>496</v>
      </c>
      <c r="Z12" s="111">
        <v>1.0</v>
      </c>
      <c r="AA12" s="112"/>
      <c r="AB12" s="112"/>
      <c r="AC12" s="111">
        <v>1.0</v>
      </c>
      <c r="AD12" s="112"/>
      <c r="AE12" s="112"/>
      <c r="AF12" s="112"/>
      <c r="AG12" s="115" t="s">
        <v>497</v>
      </c>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c r="A13" s="154" t="str">
        <f>HYPERLINK("https://drive.google.com/open?id=0B00cIHsghs6UbXdvMmsxY0RMY0E","Potts1999")</f>
        <v>Potts1999</v>
      </c>
      <c r="B13" s="153" t="s">
        <v>868</v>
      </c>
      <c r="C13" s="153" t="s">
        <v>688</v>
      </c>
      <c r="D13" s="110">
        <v>1999.0</v>
      </c>
      <c r="E13" s="111">
        <v>1.0</v>
      </c>
      <c r="F13" s="111">
        <v>1.0</v>
      </c>
      <c r="G13" s="112"/>
      <c r="H13" s="112"/>
      <c r="I13" s="112"/>
      <c r="J13" s="112"/>
      <c r="K13" s="112"/>
      <c r="L13" s="112"/>
      <c r="M13" s="112"/>
      <c r="N13" s="112"/>
      <c r="O13" s="112"/>
      <c r="P13" s="112"/>
      <c r="Q13" s="112"/>
      <c r="R13" s="112"/>
      <c r="S13" s="112"/>
      <c r="T13" s="112"/>
      <c r="U13" s="107"/>
      <c r="V13" s="107"/>
      <c r="W13" s="107"/>
      <c r="X13" s="107"/>
      <c r="Y13" s="107"/>
      <c r="Z13" s="112"/>
      <c r="AA13" s="112"/>
      <c r="AB13" s="112"/>
      <c r="AC13" s="112"/>
      <c r="AD13" s="112"/>
      <c r="AE13" s="112"/>
      <c r="AF13" s="112"/>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c r="A14" s="154" t="str">
        <f>HYPERLINK("https://drive.google.com/open?id=0B00cIHsghs6UY01jQzRhN1dUM00","Gulden2016")</f>
        <v>Gulden2016</v>
      </c>
      <c r="B14" s="153" t="s">
        <v>2171</v>
      </c>
      <c r="C14" s="153" t="s">
        <v>2172</v>
      </c>
      <c r="D14" s="110">
        <v>2016.0</v>
      </c>
      <c r="E14" s="111">
        <v>1.0</v>
      </c>
      <c r="F14" s="112"/>
      <c r="G14" s="112"/>
      <c r="H14" s="112"/>
      <c r="I14" s="112"/>
      <c r="J14" s="112"/>
      <c r="K14" s="112"/>
      <c r="L14" s="112"/>
      <c r="M14" s="112"/>
      <c r="N14" s="112"/>
      <c r="O14" s="112"/>
      <c r="P14" s="112"/>
      <c r="Q14" s="112"/>
      <c r="R14" s="112"/>
      <c r="S14" s="112"/>
      <c r="T14" s="112"/>
      <c r="U14" s="107"/>
      <c r="V14" s="107"/>
      <c r="W14" s="107"/>
      <c r="X14" s="107"/>
      <c r="Y14" s="107"/>
      <c r="Z14" s="112"/>
      <c r="AA14" s="112"/>
      <c r="AB14" s="112"/>
      <c r="AC14" s="112"/>
      <c r="AD14" s="112"/>
      <c r="AE14" s="112"/>
      <c r="AF14" s="112"/>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c r="A15" s="169" t="s">
        <v>4475</v>
      </c>
      <c r="B15" s="169" t="s">
        <v>4476</v>
      </c>
      <c r="C15" s="169" t="s">
        <v>4477</v>
      </c>
      <c r="D15" s="170">
        <v>1994.0</v>
      </c>
      <c r="E15" s="171" t="s">
        <v>4478</v>
      </c>
      <c r="F15" s="172"/>
      <c r="G15" s="172"/>
      <c r="H15" s="172"/>
      <c r="I15" s="172"/>
      <c r="J15" s="172"/>
      <c r="K15" s="172"/>
      <c r="L15" s="172"/>
      <c r="M15" s="172"/>
      <c r="N15" s="172"/>
      <c r="O15" s="172"/>
      <c r="P15" s="172"/>
      <c r="Q15" s="172"/>
      <c r="R15" s="172"/>
      <c r="S15" s="172"/>
      <c r="T15" s="172"/>
      <c r="U15" s="173"/>
      <c r="V15" s="173"/>
      <c r="W15" s="173"/>
      <c r="X15" s="173"/>
      <c r="Y15" s="173"/>
      <c r="Z15" s="172"/>
      <c r="AA15" s="172"/>
      <c r="AB15" s="172"/>
      <c r="AC15" s="172"/>
      <c r="AD15" s="172"/>
      <c r="AE15" s="172"/>
      <c r="AF15" s="172"/>
      <c r="AG15" s="174"/>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c r="A16" s="154" t="str">
        <f>HYPERLINK("https://drive.google.com/open?id=0B00cIHsghs6UT01OdkJ2a0RSckk","Hill1985")</f>
        <v>Hill1985</v>
      </c>
      <c r="B16" s="153" t="s">
        <v>4479</v>
      </c>
      <c r="C16" s="141"/>
      <c r="D16" s="110">
        <v>1985.0</v>
      </c>
      <c r="E16" s="111">
        <v>1.0</v>
      </c>
      <c r="F16" s="112"/>
      <c r="G16" s="112"/>
      <c r="H16" s="112"/>
      <c r="I16" s="112"/>
      <c r="J16" s="112"/>
      <c r="K16" s="112"/>
      <c r="L16" s="112"/>
      <c r="M16" s="112"/>
      <c r="N16" s="112"/>
      <c r="O16" s="112"/>
      <c r="P16" s="112"/>
      <c r="Q16" s="112"/>
      <c r="R16" s="112"/>
      <c r="S16" s="112"/>
      <c r="T16" s="112"/>
      <c r="U16" s="107"/>
      <c r="V16" s="107"/>
      <c r="W16" s="107"/>
      <c r="X16" s="107"/>
      <c r="Y16" s="107"/>
      <c r="Z16" s="112"/>
      <c r="AA16" s="112"/>
      <c r="AB16" s="112"/>
      <c r="AC16" s="112"/>
      <c r="AD16" s="112"/>
      <c r="AE16" s="112"/>
      <c r="AF16" s="112"/>
      <c r="AG16" s="124"/>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c r="A17" s="154" t="str">
        <f>HYPERLINK("https://drive.google.com/open?id=0B00cIHsghs6USDdWM3pha0ROWkU","Xu2013")</f>
        <v>Xu2013</v>
      </c>
      <c r="B17" s="153" t="s">
        <v>2753</v>
      </c>
      <c r="C17" s="153" t="s">
        <v>4420</v>
      </c>
      <c r="D17" s="110">
        <v>2013.0</v>
      </c>
      <c r="E17" s="111">
        <v>1.0</v>
      </c>
      <c r="F17" s="112"/>
      <c r="G17" s="112"/>
      <c r="H17" s="112"/>
      <c r="I17" s="112"/>
      <c r="J17" s="112"/>
      <c r="K17" s="112"/>
      <c r="L17" s="112"/>
      <c r="M17" s="112"/>
      <c r="N17" s="112"/>
      <c r="O17" s="112"/>
      <c r="P17" s="112"/>
      <c r="Q17" s="112"/>
      <c r="R17" s="112"/>
      <c r="S17" s="112"/>
      <c r="T17" s="112"/>
      <c r="U17" s="107"/>
      <c r="V17" s="107"/>
      <c r="W17" s="107"/>
      <c r="X17" s="107"/>
      <c r="Y17" s="107"/>
      <c r="Z17" s="112"/>
      <c r="AA17" s="112"/>
      <c r="AB17" s="112"/>
      <c r="AC17" s="112"/>
      <c r="AD17" s="112"/>
      <c r="AE17" s="112"/>
      <c r="AF17" s="112"/>
      <c r="AG17" s="124"/>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c r="A18" s="175" t="str">
        <f>HYPERLINK("https://drive.google.com/open?id=0B00cIHsghs6UVW5QRUdaamluRTA","Venable2008")</f>
        <v>Venable2008</v>
      </c>
      <c r="B18" s="169" t="s">
        <v>4421</v>
      </c>
      <c r="C18" s="169" t="s">
        <v>4422</v>
      </c>
      <c r="D18" s="170">
        <v>2008.0</v>
      </c>
      <c r="E18" s="171" t="s">
        <v>4478</v>
      </c>
      <c r="F18" s="172"/>
      <c r="G18" s="172"/>
      <c r="H18" s="172"/>
      <c r="I18" s="172"/>
      <c r="J18" s="172"/>
      <c r="K18" s="172"/>
      <c r="L18" s="172"/>
      <c r="M18" s="172"/>
      <c r="N18" s="172"/>
      <c r="O18" s="172"/>
      <c r="P18" s="172"/>
      <c r="Q18" s="172"/>
      <c r="R18" s="172"/>
      <c r="S18" s="172"/>
      <c r="T18" s="172"/>
      <c r="U18" s="173"/>
      <c r="V18" s="173"/>
      <c r="W18" s="173"/>
      <c r="X18" s="173"/>
      <c r="Y18" s="173"/>
      <c r="Z18" s="172"/>
      <c r="AA18" s="172"/>
      <c r="AB18" s="172"/>
      <c r="AC18" s="172"/>
      <c r="AD18" s="172"/>
      <c r="AE18" s="172"/>
      <c r="AF18" s="172"/>
      <c r="AG18" s="17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row>
    <row r="19">
      <c r="A19" s="161" t="s">
        <v>4480</v>
      </c>
      <c r="B19" s="153" t="s">
        <v>165</v>
      </c>
      <c r="C19" s="161" t="s">
        <v>166</v>
      </c>
      <c r="D19" s="161">
        <v>2010.0</v>
      </c>
      <c r="E19" s="112"/>
      <c r="F19" s="111">
        <v>1.0</v>
      </c>
      <c r="G19" s="112"/>
      <c r="H19" s="112"/>
      <c r="I19" s="112"/>
      <c r="J19" s="112"/>
      <c r="K19" s="112"/>
      <c r="L19" s="112"/>
      <c r="M19" s="112"/>
      <c r="N19" s="112"/>
      <c r="O19" s="112"/>
      <c r="P19" s="112"/>
      <c r="Q19" s="112"/>
      <c r="R19" s="112"/>
      <c r="S19" s="112"/>
      <c r="T19" s="112"/>
      <c r="U19" s="113" t="s">
        <v>4481</v>
      </c>
      <c r="V19" s="140" t="s">
        <v>4482</v>
      </c>
      <c r="X19" s="113" t="s">
        <v>4483</v>
      </c>
      <c r="Y19" s="113" t="s">
        <v>137</v>
      </c>
      <c r="Z19" s="111">
        <v>1.0</v>
      </c>
      <c r="AA19" s="112"/>
      <c r="AB19" s="112"/>
      <c r="AC19" s="111">
        <v>1.0</v>
      </c>
      <c r="AD19" s="112"/>
      <c r="AE19" s="112"/>
      <c r="AF19" s="112"/>
      <c r="AG19" s="115" t="s">
        <v>4484</v>
      </c>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c r="A20" s="176" t="s">
        <v>4485</v>
      </c>
      <c r="B20" s="176" t="s">
        <v>4425</v>
      </c>
      <c r="C20" s="176" t="s">
        <v>4426</v>
      </c>
      <c r="D20" s="176">
        <v>1995.0</v>
      </c>
      <c r="E20" s="160">
        <v>1.0</v>
      </c>
      <c r="F20" s="163"/>
      <c r="G20" s="163"/>
      <c r="H20" s="163"/>
      <c r="I20" s="163"/>
      <c r="J20" s="163"/>
      <c r="K20" s="163"/>
      <c r="L20" s="163"/>
      <c r="M20" s="163"/>
      <c r="N20" s="163"/>
      <c r="O20" s="163"/>
      <c r="P20" s="163"/>
      <c r="Q20" s="163"/>
      <c r="R20" s="163"/>
      <c r="S20" s="163"/>
      <c r="T20" s="163"/>
      <c r="U20" s="177"/>
      <c r="V20" s="177"/>
      <c r="W20" s="177"/>
      <c r="X20" s="177"/>
      <c r="Y20" s="177"/>
      <c r="Z20" s="163"/>
      <c r="AA20" s="163"/>
      <c r="AB20" s="163"/>
      <c r="AC20" s="163"/>
      <c r="AD20" s="163"/>
      <c r="AE20" s="163"/>
      <c r="AF20" s="163"/>
      <c r="AG20" s="178"/>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row>
    <row r="21">
      <c r="A21" s="161" t="s">
        <v>4486</v>
      </c>
      <c r="B21" s="161" t="s">
        <v>1133</v>
      </c>
      <c r="C21" s="161" t="s">
        <v>1134</v>
      </c>
      <c r="D21" s="110">
        <v>2003.0</v>
      </c>
      <c r="E21" s="112"/>
      <c r="F21" s="112"/>
      <c r="G21" s="112"/>
      <c r="H21" s="111">
        <v>1.0</v>
      </c>
      <c r="I21" s="112"/>
      <c r="J21" s="112"/>
      <c r="K21" s="112"/>
      <c r="L21" s="112"/>
      <c r="M21" s="112"/>
      <c r="N21" s="112"/>
      <c r="O21" s="112"/>
      <c r="P21" s="112"/>
      <c r="Q21" s="112"/>
      <c r="R21" s="112"/>
      <c r="S21" s="112"/>
      <c r="T21" s="112"/>
      <c r="U21" s="140" t="s">
        <v>4487</v>
      </c>
      <c r="V21" s="113" t="s">
        <v>4488</v>
      </c>
      <c r="W21" s="113" t="s">
        <v>4489</v>
      </c>
      <c r="X21" s="107"/>
      <c r="Y21" s="113" t="s">
        <v>4490</v>
      </c>
      <c r="Z21" s="111">
        <v>1.0</v>
      </c>
      <c r="AA21" s="112"/>
      <c r="AB21" s="111">
        <v>1.0</v>
      </c>
      <c r="AC21" s="111">
        <v>1.0</v>
      </c>
      <c r="AD21" s="112"/>
      <c r="AE21" s="112"/>
      <c r="AF21" s="112"/>
      <c r="AG21" s="115" t="s">
        <v>4491</v>
      </c>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row>
    <row r="22">
      <c r="A22" s="88" t="str">
        <f>HYPERLINK("https://drive.google.com/open?id=0B1GMAYMj9v6rSi1OYkZvQWNWaE0","Chotisarn2013")</f>
        <v>Chotisarn2013</v>
      </c>
      <c r="B22" s="161" t="s">
        <v>332</v>
      </c>
      <c r="C22" s="161" t="s">
        <v>4492</v>
      </c>
      <c r="D22" s="110">
        <v>2013.0</v>
      </c>
      <c r="E22" s="111"/>
      <c r="F22" s="111">
        <v>1.0</v>
      </c>
      <c r="G22" s="112"/>
      <c r="H22" s="112"/>
      <c r="I22" s="112"/>
      <c r="J22" s="112"/>
      <c r="K22" s="112"/>
      <c r="L22" s="112"/>
      <c r="M22" s="112"/>
      <c r="N22" s="112"/>
      <c r="O22" s="112"/>
      <c r="P22" s="112"/>
      <c r="Q22" s="112"/>
      <c r="R22" s="112"/>
      <c r="S22" s="112"/>
      <c r="T22" s="112"/>
      <c r="U22" s="107"/>
      <c r="V22" s="113" t="s">
        <v>70</v>
      </c>
      <c r="W22" s="113" t="s">
        <v>4493</v>
      </c>
      <c r="X22" s="113" t="s">
        <v>4494</v>
      </c>
      <c r="Y22" s="113" t="s">
        <v>4495</v>
      </c>
      <c r="Z22" s="112"/>
      <c r="AA22" s="111">
        <v>1.0</v>
      </c>
      <c r="AB22" s="112"/>
      <c r="AC22" s="111">
        <v>1.0</v>
      </c>
      <c r="AD22" s="112"/>
      <c r="AE22" s="112"/>
      <c r="AF22" s="112"/>
      <c r="AG22" s="115" t="s">
        <v>4496</v>
      </c>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c r="A23" s="161" t="s">
        <v>4497</v>
      </c>
      <c r="B23" s="161" t="s">
        <v>998</v>
      </c>
      <c r="C23" s="161" t="s">
        <v>999</v>
      </c>
      <c r="D23" s="110">
        <v>1988.0</v>
      </c>
      <c r="E23" s="112"/>
      <c r="F23" s="112"/>
      <c r="G23" s="111">
        <v>1.0</v>
      </c>
      <c r="H23" s="111">
        <v>1.0</v>
      </c>
      <c r="I23" s="112"/>
      <c r="J23" s="112"/>
      <c r="K23" s="112"/>
      <c r="L23" s="112"/>
      <c r="M23" s="112"/>
      <c r="N23" s="112"/>
      <c r="O23" s="112"/>
      <c r="P23" s="112"/>
      <c r="Q23" s="112"/>
      <c r="R23" s="112"/>
      <c r="S23" s="112"/>
      <c r="T23" s="112"/>
      <c r="U23" s="113" t="s">
        <v>4498</v>
      </c>
      <c r="V23" s="113" t="s">
        <v>4499</v>
      </c>
      <c r="W23" s="113" t="s">
        <v>92</v>
      </c>
      <c r="X23" s="113" t="s">
        <v>4500</v>
      </c>
      <c r="Y23" s="113" t="s">
        <v>4501</v>
      </c>
      <c r="Z23" s="111">
        <v>1.0</v>
      </c>
      <c r="AA23" s="112"/>
      <c r="AB23" s="112"/>
      <c r="AC23" s="111">
        <v>1.0</v>
      </c>
      <c r="AD23" s="112"/>
      <c r="AE23" s="112"/>
      <c r="AF23" s="112"/>
      <c r="AG23" s="115" t="s">
        <v>4502</v>
      </c>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row>
    <row r="24">
      <c r="A24" s="88" t="str">
        <f>HYPERLINK("https://drive.google.com/open?id=0B3oar8-GeP-IZnVXN1lzRUw4MWs","Dewan2015")</f>
        <v>Dewan2015</v>
      </c>
      <c r="B24" s="161" t="s">
        <v>4503</v>
      </c>
      <c r="C24" s="161" t="s">
        <v>4504</v>
      </c>
      <c r="D24" s="110">
        <v>2015.0</v>
      </c>
      <c r="E24" s="111">
        <v>1.0</v>
      </c>
      <c r="F24" s="112"/>
      <c r="G24" s="112"/>
      <c r="H24" s="112"/>
      <c r="I24" s="112"/>
      <c r="J24" s="112"/>
      <c r="K24" s="112"/>
      <c r="L24" s="112"/>
      <c r="M24" s="111">
        <v>1.0</v>
      </c>
      <c r="N24" s="111">
        <v>1.0</v>
      </c>
      <c r="O24" s="112"/>
      <c r="P24" s="111"/>
      <c r="Q24" s="112"/>
      <c r="R24" s="112"/>
      <c r="S24" s="112"/>
      <c r="T24" s="112"/>
      <c r="U24" s="107"/>
      <c r="V24" s="113" t="s">
        <v>4505</v>
      </c>
      <c r="W24" s="107"/>
      <c r="X24" s="113" t="s">
        <v>4506</v>
      </c>
      <c r="Y24" s="113" t="s">
        <v>4507</v>
      </c>
      <c r="Z24" s="111">
        <v>1.0</v>
      </c>
      <c r="AA24" s="112"/>
      <c r="AB24" s="112"/>
      <c r="AC24" s="112"/>
      <c r="AD24" s="112"/>
      <c r="AE24" s="112"/>
      <c r="AF24" s="111">
        <v>1.0</v>
      </c>
      <c r="AG24" s="115" t="s">
        <v>4508</v>
      </c>
      <c r="AH24" s="115">
        <v>1.0</v>
      </c>
      <c r="AI24" s="124"/>
      <c r="AJ24" s="124"/>
      <c r="AK24" s="124"/>
      <c r="AL24" s="124"/>
      <c r="AM24" s="124"/>
      <c r="AN24" s="124"/>
      <c r="AO24" s="124"/>
      <c r="AP24" s="124"/>
      <c r="AQ24" s="124"/>
      <c r="AR24" s="124"/>
      <c r="AS24" s="124"/>
      <c r="AT24" s="115">
        <v>1.0</v>
      </c>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row>
    <row r="25">
      <c r="A25" s="88" t="str">
        <f>HYPERLINK("https://drive.google.com/open?id=0B00cIHsghs6UWFhfRld0WjFjczQ","Chung1994")</f>
        <v>Chung1994</v>
      </c>
      <c r="B25" s="161" t="s">
        <v>2705</v>
      </c>
      <c r="C25" s="161" t="s">
        <v>4430</v>
      </c>
      <c r="D25" s="110">
        <v>1994.0</v>
      </c>
      <c r="E25" s="111">
        <v>1.0</v>
      </c>
      <c r="F25" s="112"/>
      <c r="G25" s="112"/>
      <c r="H25" s="112"/>
      <c r="I25" s="112"/>
      <c r="J25" s="112"/>
      <c r="K25" s="112"/>
      <c r="L25" s="112"/>
      <c r="M25" s="112"/>
      <c r="N25" s="112"/>
      <c r="O25" s="112"/>
      <c r="P25" s="112"/>
      <c r="Q25" s="112"/>
      <c r="R25" s="112"/>
      <c r="S25" s="112"/>
      <c r="T25" s="112"/>
      <c r="U25" s="107"/>
      <c r="W25" s="107"/>
      <c r="X25" s="107"/>
      <c r="Y25" s="107"/>
      <c r="Z25" s="112"/>
      <c r="AA25" s="112"/>
      <c r="AB25" s="112"/>
      <c r="AC25" s="112"/>
      <c r="AD25" s="112"/>
      <c r="AE25" s="112"/>
      <c r="AF25" s="112"/>
      <c r="AG25" s="124"/>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c r="A26" s="88" t="str">
        <f>HYPERLINK("https://drive.google.com/open?id=0B3oar8-GeP-ILVZvQjl3WUNSdDQ","Briggs2002")</f>
        <v>Briggs2002</v>
      </c>
      <c r="B26" s="161" t="s">
        <v>251</v>
      </c>
      <c r="C26" s="161" t="s">
        <v>252</v>
      </c>
      <c r="D26" s="110">
        <v>2002.0</v>
      </c>
      <c r="E26" s="111">
        <v>1.0</v>
      </c>
      <c r="F26" s="111">
        <v>1.0</v>
      </c>
      <c r="G26" s="112"/>
      <c r="H26" s="112"/>
      <c r="I26" s="112"/>
      <c r="J26" s="112"/>
      <c r="K26" s="112"/>
      <c r="L26" s="112"/>
      <c r="M26" s="112"/>
      <c r="N26" s="112"/>
      <c r="O26" s="112"/>
      <c r="P26" s="112"/>
      <c r="Q26" s="112"/>
      <c r="R26" s="112"/>
      <c r="S26" s="112"/>
      <c r="T26" s="112"/>
      <c r="U26" s="107"/>
      <c r="V26" s="113" t="s">
        <v>9</v>
      </c>
      <c r="W26" s="107"/>
      <c r="X26" s="107"/>
      <c r="Y26" s="107"/>
      <c r="Z26" s="112"/>
      <c r="AA26" s="112"/>
      <c r="AB26" s="112"/>
      <c r="AC26" s="112"/>
      <c r="AD26" s="112"/>
      <c r="AE26" s="112"/>
      <c r="AF26" s="112"/>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row>
    <row r="27">
      <c r="A27" s="88" t="str">
        <f>HYPERLINK("https://drive.google.com/open?id=0B00cIHsghs6UamxiYTNDOGh4Mms","Dey2015")</f>
        <v>Dey2015</v>
      </c>
      <c r="B27" s="161" t="s">
        <v>419</v>
      </c>
      <c r="C27" s="161" t="s">
        <v>420</v>
      </c>
      <c r="D27" s="110">
        <v>2015.0</v>
      </c>
      <c r="E27" s="111"/>
      <c r="F27" s="111">
        <v>1.0</v>
      </c>
      <c r="G27" s="111">
        <v>1.0</v>
      </c>
      <c r="H27" s="112"/>
      <c r="I27" s="112"/>
      <c r="J27" s="112"/>
      <c r="K27" s="112"/>
      <c r="L27" s="112"/>
      <c r="M27" s="112"/>
      <c r="N27" s="112"/>
      <c r="O27" s="112"/>
      <c r="P27" s="112"/>
      <c r="Q27" s="112"/>
      <c r="R27" s="112"/>
      <c r="S27" s="112"/>
      <c r="T27" s="112"/>
      <c r="U27" s="113" t="s">
        <v>424</v>
      </c>
      <c r="V27" s="107"/>
      <c r="W27" s="107"/>
      <c r="X27" s="107"/>
      <c r="Y27" s="113" t="s">
        <v>425</v>
      </c>
      <c r="Z27" s="111">
        <v>1.0</v>
      </c>
      <c r="AA27" s="112"/>
      <c r="AB27" s="111">
        <v>1.0</v>
      </c>
      <c r="AC27" s="112"/>
      <c r="AD27" s="112"/>
      <c r="AE27" s="112"/>
      <c r="AF27" s="112"/>
      <c r="AG27" s="124"/>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c r="A28" s="88" t="str">
        <f>HYPERLINK("https://drive.google.com/open?id=0B3oar8-GeP-ITDZMNlhFZ1ZDVEU","Cox2007")</f>
        <v>Cox2007</v>
      </c>
      <c r="B28" s="161" t="s">
        <v>4435</v>
      </c>
      <c r="C28" s="161" t="s">
        <v>4436</v>
      </c>
      <c r="D28" s="110">
        <v>2007.0</v>
      </c>
      <c r="E28" s="111">
        <v>1.0</v>
      </c>
      <c r="F28" s="112"/>
      <c r="G28" s="111">
        <v>1.0</v>
      </c>
      <c r="H28" s="111">
        <v>1.0</v>
      </c>
      <c r="I28" s="112"/>
      <c r="J28" s="112"/>
      <c r="K28" s="112"/>
      <c r="L28" s="112"/>
      <c r="M28" s="112"/>
      <c r="N28" s="112"/>
      <c r="O28" s="112"/>
      <c r="P28" s="112"/>
      <c r="Q28" s="112"/>
      <c r="R28" s="112"/>
      <c r="S28" s="112"/>
      <c r="T28" s="112"/>
      <c r="V28" s="113" t="s">
        <v>4509</v>
      </c>
      <c r="W28" s="113" t="s">
        <v>221</v>
      </c>
      <c r="X28" s="113" t="s">
        <v>221</v>
      </c>
      <c r="Y28" s="113" t="s">
        <v>4510</v>
      </c>
      <c r="Z28" s="111">
        <v>1.0</v>
      </c>
      <c r="AA28" s="112"/>
      <c r="AB28" s="112"/>
      <c r="AC28" s="112"/>
      <c r="AD28" s="112"/>
      <c r="AE28" s="111">
        <v>1.0</v>
      </c>
      <c r="AF28" s="112"/>
      <c r="AG28" s="115" t="s">
        <v>4511</v>
      </c>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row>
    <row r="29">
      <c r="A29" s="88" t="str">
        <f>HYPERLINK("https://drive.google.com/open?id=0B00cIHsghs6UWlFNeGhHTS1ibm8","Moonen2016")</f>
        <v>Moonen2016</v>
      </c>
      <c r="B29" s="161" t="s">
        <v>2079</v>
      </c>
      <c r="C29" s="161" t="s">
        <v>310</v>
      </c>
      <c r="D29" s="110">
        <v>2016.0</v>
      </c>
      <c r="E29" s="111">
        <v>1.0</v>
      </c>
      <c r="F29" s="112"/>
      <c r="G29" s="112"/>
      <c r="H29" s="111">
        <v>1.0</v>
      </c>
      <c r="I29" s="112"/>
      <c r="J29" s="112"/>
      <c r="K29" s="112"/>
      <c r="L29" s="112"/>
      <c r="M29" s="112"/>
      <c r="N29" s="112"/>
      <c r="O29" s="112"/>
      <c r="P29" s="112"/>
      <c r="Q29" s="112"/>
      <c r="R29" s="112"/>
      <c r="S29" s="112"/>
      <c r="T29" s="112"/>
      <c r="U29" s="107"/>
      <c r="V29" s="113" t="s">
        <v>9</v>
      </c>
      <c r="W29" s="107"/>
      <c r="X29" s="113" t="s">
        <v>4512</v>
      </c>
      <c r="Y29" s="113" t="s">
        <v>4513</v>
      </c>
      <c r="Z29" s="112"/>
      <c r="AA29" s="111">
        <v>1.0</v>
      </c>
      <c r="AB29" s="112"/>
      <c r="AC29" s="111">
        <v>1.0</v>
      </c>
      <c r="AD29" s="112"/>
      <c r="AE29" s="112"/>
      <c r="AF29" s="112"/>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24"/>
      <c r="BY29" s="124"/>
      <c r="BZ29" s="124"/>
      <c r="CA29" s="124"/>
    </row>
    <row r="30">
      <c r="A30" s="88" t="str">
        <f>HYPERLINK("https://drive.google.com/open?id=0B00cIHsghs6UOEFrUERaNDN0WVE","Laamanen2009")</f>
        <v>Laamanen2009</v>
      </c>
      <c r="B30" s="161" t="s">
        <v>4442</v>
      </c>
      <c r="C30" s="161" t="s">
        <v>4443</v>
      </c>
      <c r="D30" s="110">
        <v>2009.0</v>
      </c>
      <c r="E30" s="111">
        <v>1.0</v>
      </c>
      <c r="F30" s="112"/>
      <c r="G30" s="112"/>
      <c r="H30" s="112"/>
      <c r="I30" s="112"/>
      <c r="J30" s="112"/>
      <c r="K30" s="112"/>
      <c r="L30" s="111">
        <v>1.0</v>
      </c>
      <c r="M30" s="112"/>
      <c r="N30" s="112"/>
      <c r="O30" s="112"/>
      <c r="P30" s="112"/>
      <c r="Q30" s="112"/>
      <c r="R30" s="112"/>
      <c r="S30" s="112"/>
      <c r="T30" s="112"/>
      <c r="U30" s="107"/>
      <c r="V30" s="107"/>
      <c r="W30" s="107"/>
      <c r="X30" s="107"/>
      <c r="Y30" s="107"/>
      <c r="Z30" s="112"/>
      <c r="AA30" s="112"/>
      <c r="AB30" s="112"/>
      <c r="AC30" s="112"/>
      <c r="AD30" s="112"/>
      <c r="AE30" s="112"/>
      <c r="AF30" s="112"/>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row>
    <row r="31">
      <c r="A31" s="161" t="s">
        <v>4514</v>
      </c>
      <c r="B31" s="161" t="s">
        <v>391</v>
      </c>
      <c r="C31" s="161" t="s">
        <v>392</v>
      </c>
      <c r="D31" s="110">
        <v>2016.0</v>
      </c>
      <c r="E31" s="112"/>
      <c r="F31" s="112"/>
      <c r="G31" s="112"/>
      <c r="H31" s="112"/>
      <c r="I31" s="112"/>
      <c r="J31" s="112"/>
      <c r="K31" s="112"/>
      <c r="L31" s="111">
        <v>1.0</v>
      </c>
      <c r="M31" s="112"/>
      <c r="N31" s="112"/>
      <c r="O31" s="112"/>
      <c r="P31" s="112"/>
      <c r="Q31" s="112"/>
      <c r="R31" s="112"/>
      <c r="S31" s="112"/>
      <c r="T31" s="112"/>
      <c r="U31" s="107"/>
      <c r="V31" s="113" t="s">
        <v>70</v>
      </c>
      <c r="W31" s="107"/>
      <c r="X31" s="113" t="s">
        <v>4515</v>
      </c>
      <c r="Y31" s="113" t="s">
        <v>4516</v>
      </c>
      <c r="Z31" s="112"/>
      <c r="AA31" s="111">
        <v>1.0</v>
      </c>
      <c r="AB31" s="112"/>
      <c r="AC31" s="111">
        <v>1.0</v>
      </c>
      <c r="AD31" s="112"/>
      <c r="AE31" s="112"/>
      <c r="AF31" s="112"/>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row>
    <row r="32">
      <c r="A32" s="88" t="str">
        <f>HYPERLINK("https://drive.google.com/open?id=0B00cIHsghs6UQ1hwWlRublR6MTg","Hofman2010")</f>
        <v>Hofman2010</v>
      </c>
      <c r="B32" s="161" t="s">
        <v>574</v>
      </c>
      <c r="C32" s="161" t="s">
        <v>575</v>
      </c>
      <c r="D32" s="110">
        <v>2010.0</v>
      </c>
      <c r="E32" s="111"/>
      <c r="F32" s="112"/>
      <c r="G32" s="112"/>
      <c r="H32" s="112"/>
      <c r="I32" s="112"/>
      <c r="J32" s="112"/>
      <c r="K32" s="112"/>
      <c r="L32" s="112"/>
      <c r="M32" s="111">
        <v>1.0</v>
      </c>
      <c r="N32" s="112"/>
      <c r="O32" s="111">
        <v>1.0</v>
      </c>
      <c r="P32" s="112"/>
      <c r="Q32" s="112"/>
      <c r="R32" s="112"/>
      <c r="S32" s="112"/>
      <c r="T32" s="112"/>
      <c r="U32" s="107"/>
      <c r="V32" s="113" t="s">
        <v>4517</v>
      </c>
      <c r="W32" s="113" t="s">
        <v>4518</v>
      </c>
      <c r="X32" s="107"/>
      <c r="Y32" s="113" t="s">
        <v>4519</v>
      </c>
      <c r="Z32" s="111">
        <v>1.0</v>
      </c>
      <c r="AA32" s="112"/>
      <c r="AB32" s="112"/>
      <c r="AC32" s="111">
        <v>1.0</v>
      </c>
      <c r="AD32" s="112"/>
      <c r="AE32" s="112"/>
      <c r="AF32" s="112"/>
      <c r="AG32" s="115" t="s">
        <v>4520</v>
      </c>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c r="A33" s="161" t="s">
        <v>4521</v>
      </c>
      <c r="B33" s="161" t="s">
        <v>743</v>
      </c>
      <c r="C33" s="161" t="s">
        <v>744</v>
      </c>
      <c r="D33" s="110">
        <v>2008.0</v>
      </c>
      <c r="E33" s="112"/>
      <c r="F33" s="112"/>
      <c r="G33" s="112"/>
      <c r="H33" s="112"/>
      <c r="I33" s="112"/>
      <c r="J33" s="112"/>
      <c r="K33" s="112"/>
      <c r="L33" s="111">
        <v>1.0</v>
      </c>
      <c r="M33" s="111">
        <v>1.0</v>
      </c>
      <c r="N33" s="112"/>
      <c r="O33" s="112"/>
      <c r="P33" s="112"/>
      <c r="Q33" s="112"/>
      <c r="R33" s="112"/>
      <c r="S33" s="112"/>
      <c r="T33" s="112"/>
      <c r="U33" s="107"/>
      <c r="V33" s="113" t="s">
        <v>745</v>
      </c>
      <c r="W33" s="113" t="s">
        <v>4522</v>
      </c>
      <c r="X33" s="107"/>
      <c r="Y33" s="113" t="s">
        <v>4523</v>
      </c>
      <c r="Z33" s="112"/>
      <c r="AA33" s="111">
        <v>1.0</v>
      </c>
      <c r="AB33" s="112"/>
      <c r="AC33" s="111">
        <v>1.0</v>
      </c>
      <c r="AD33" s="112"/>
      <c r="AE33" s="112"/>
      <c r="AF33" s="112"/>
      <c r="AG33" s="115" t="s">
        <v>4524</v>
      </c>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c r="A34" s="161" t="s">
        <v>1110</v>
      </c>
      <c r="B34" s="161" t="s">
        <v>1111</v>
      </c>
      <c r="C34" s="161" t="s">
        <v>1112</v>
      </c>
      <c r="D34" s="110">
        <v>1997.0</v>
      </c>
      <c r="E34" s="112"/>
      <c r="F34" s="112"/>
      <c r="G34" s="111">
        <v>1.0</v>
      </c>
      <c r="H34" s="111">
        <v>1.0</v>
      </c>
      <c r="I34" s="112"/>
      <c r="J34" s="112"/>
      <c r="K34" s="112"/>
      <c r="L34" s="112"/>
      <c r="M34" s="112"/>
      <c r="N34" s="112"/>
      <c r="O34" s="112"/>
      <c r="P34" s="112"/>
      <c r="Q34" s="112"/>
      <c r="R34" s="112"/>
      <c r="S34" s="112"/>
      <c r="T34" s="112"/>
      <c r="U34" s="113" t="s">
        <v>1113</v>
      </c>
      <c r="V34" s="107"/>
      <c r="W34" s="107"/>
      <c r="X34" s="107"/>
      <c r="Y34" s="113" t="s">
        <v>1114</v>
      </c>
      <c r="Z34" s="111">
        <v>1.0</v>
      </c>
      <c r="AA34" s="112"/>
      <c r="AB34" s="111"/>
      <c r="AC34" s="112"/>
      <c r="AD34" s="112"/>
      <c r="AE34" s="111">
        <v>1.0</v>
      </c>
      <c r="AF34" s="112"/>
      <c r="AG34" s="115" t="s">
        <v>1115</v>
      </c>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c r="A35" s="179" t="s">
        <v>4525</v>
      </c>
      <c r="B35" s="179" t="s">
        <v>2116</v>
      </c>
      <c r="C35" s="179" t="s">
        <v>2117</v>
      </c>
      <c r="D35" s="170">
        <v>2016.0</v>
      </c>
      <c r="E35" s="172"/>
      <c r="F35" s="172"/>
      <c r="G35" s="172"/>
      <c r="H35" s="172"/>
      <c r="I35" s="172"/>
      <c r="J35" s="172"/>
      <c r="K35" s="172"/>
      <c r="L35" s="172"/>
      <c r="M35" s="172"/>
      <c r="N35" s="172"/>
      <c r="O35" s="172"/>
      <c r="P35" s="172"/>
      <c r="Q35" s="172"/>
      <c r="R35" s="172"/>
      <c r="S35" s="172"/>
      <c r="T35" s="172"/>
      <c r="U35" s="173"/>
      <c r="V35" s="173"/>
      <c r="W35" s="173"/>
      <c r="X35" s="173"/>
      <c r="Y35" s="173"/>
      <c r="Z35" s="172"/>
      <c r="AA35" s="172"/>
      <c r="AB35" s="172"/>
      <c r="AC35" s="172"/>
      <c r="AD35" s="172"/>
      <c r="AE35" s="172"/>
      <c r="AF35" s="172"/>
      <c r="AG35" s="174"/>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c r="A36" s="161" t="s">
        <v>4526</v>
      </c>
      <c r="B36" s="161" t="s">
        <v>2258</v>
      </c>
      <c r="C36" s="161" t="s">
        <v>2259</v>
      </c>
      <c r="D36" s="110">
        <v>2015.0</v>
      </c>
      <c r="E36" s="112"/>
      <c r="F36" s="112"/>
      <c r="G36" s="111">
        <v>1.0</v>
      </c>
      <c r="H36" s="111">
        <v>1.0</v>
      </c>
      <c r="I36" s="112"/>
      <c r="J36" s="112"/>
      <c r="K36" s="112"/>
      <c r="L36" s="112"/>
      <c r="M36" s="111">
        <v>1.0</v>
      </c>
      <c r="N36" s="112"/>
      <c r="O36" s="112"/>
      <c r="P36" s="112"/>
      <c r="Q36" s="112"/>
      <c r="R36" s="112"/>
      <c r="S36" s="112"/>
      <c r="T36" s="112"/>
      <c r="U36" s="113" t="s">
        <v>4527</v>
      </c>
      <c r="V36" s="113" t="s">
        <v>4528</v>
      </c>
      <c r="W36" s="107"/>
      <c r="X36" s="107"/>
      <c r="Y36" s="113" t="s">
        <v>4529</v>
      </c>
      <c r="Z36" s="111">
        <v>1.0</v>
      </c>
      <c r="AA36" s="112"/>
      <c r="AB36" s="112"/>
      <c r="AC36" s="112"/>
      <c r="AD36" s="112"/>
      <c r="AE36" s="111">
        <v>1.0</v>
      </c>
      <c r="AF36" s="112"/>
      <c r="AG36" s="124"/>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c r="A37" s="141"/>
      <c r="B37" s="141"/>
      <c r="C37" s="141"/>
      <c r="D37" s="137"/>
      <c r="E37" s="112"/>
      <c r="F37" s="112"/>
      <c r="G37" s="112"/>
      <c r="H37" s="112"/>
      <c r="I37" s="112"/>
      <c r="J37" s="112"/>
      <c r="K37" s="112"/>
      <c r="L37" s="112"/>
      <c r="M37" s="112"/>
      <c r="N37" s="112"/>
      <c r="O37" s="112"/>
      <c r="P37" s="112"/>
      <c r="Q37" s="112"/>
      <c r="R37" s="112"/>
      <c r="S37" s="112"/>
      <c r="T37" s="112"/>
      <c r="U37" s="107"/>
      <c r="V37" s="107"/>
      <c r="W37" s="107"/>
      <c r="X37" s="107"/>
      <c r="Y37" s="107"/>
      <c r="Z37" s="112"/>
      <c r="AA37" s="112"/>
      <c r="AB37" s="112"/>
      <c r="AC37" s="112"/>
      <c r="AD37" s="112"/>
      <c r="AE37" s="112"/>
      <c r="AF37" s="112"/>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row>
    <row r="38">
      <c r="A38" s="141"/>
      <c r="B38" s="141"/>
      <c r="C38" s="141"/>
      <c r="D38" s="137"/>
      <c r="E38" s="112"/>
      <c r="F38" s="112"/>
      <c r="G38" s="112"/>
      <c r="H38" s="112"/>
      <c r="I38" s="112"/>
      <c r="J38" s="112"/>
      <c r="K38" s="112"/>
      <c r="L38" s="112"/>
      <c r="M38" s="112"/>
      <c r="N38" s="112"/>
      <c r="O38" s="112"/>
      <c r="P38" s="112"/>
      <c r="Q38" s="112"/>
      <c r="R38" s="112"/>
      <c r="S38" s="112"/>
      <c r="T38" s="112"/>
      <c r="U38" s="107"/>
      <c r="V38" s="107"/>
      <c r="W38" s="107"/>
      <c r="X38" s="107"/>
      <c r="Y38" s="107"/>
      <c r="Z38" s="112"/>
      <c r="AA38" s="112"/>
      <c r="AB38" s="112"/>
      <c r="AC38" s="112"/>
      <c r="AD38" s="112"/>
      <c r="AE38" s="112"/>
      <c r="AF38" s="112"/>
      <c r="AG38" s="124"/>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c r="A39" s="153" t="s">
        <v>4530</v>
      </c>
      <c r="B39" s="141"/>
      <c r="C39" s="141"/>
      <c r="D39" s="137"/>
      <c r="E39" s="112"/>
      <c r="F39" s="112"/>
      <c r="G39" s="112"/>
      <c r="H39" s="112"/>
      <c r="I39" s="112"/>
      <c r="J39" s="112"/>
      <c r="K39" s="112"/>
      <c r="L39" s="112"/>
      <c r="M39" s="112"/>
      <c r="N39" s="112"/>
      <c r="O39" s="112"/>
      <c r="P39" s="112"/>
      <c r="Q39" s="112"/>
      <c r="R39" s="112"/>
      <c r="S39" s="112"/>
      <c r="T39" s="112"/>
      <c r="U39" s="107"/>
      <c r="V39" s="107"/>
      <c r="W39" s="107"/>
      <c r="X39" s="107"/>
      <c r="Y39" s="107"/>
      <c r="Z39" s="112"/>
      <c r="AA39" s="112"/>
      <c r="AB39" s="112"/>
      <c r="AC39" s="112"/>
      <c r="AD39" s="112"/>
      <c r="AE39" s="112"/>
      <c r="AF39" s="112"/>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row>
    <row r="40">
      <c r="A40" s="180" t="str">
        <f>HYPERLINK("https://drive.google.com/open?id=0B3oar8-GeP-IdTN1bmNaY2ZXTkE","Hadar2013")</f>
        <v>Hadar2013</v>
      </c>
      <c r="B40" s="161" t="s">
        <v>537</v>
      </c>
      <c r="C40" s="161" t="s">
        <v>538</v>
      </c>
      <c r="D40" s="110">
        <v>2013.0</v>
      </c>
      <c r="E40" s="112"/>
      <c r="F40" s="112"/>
      <c r="G40" s="111">
        <v>1.0</v>
      </c>
      <c r="H40" s="112"/>
      <c r="I40" s="112"/>
      <c r="J40" s="112"/>
      <c r="K40" s="112"/>
      <c r="L40" s="112"/>
      <c r="M40" s="112"/>
      <c r="N40" s="112"/>
      <c r="O40" s="112"/>
      <c r="P40" s="112"/>
      <c r="Q40" s="112"/>
      <c r="R40" s="112"/>
      <c r="S40" s="112"/>
      <c r="T40" s="112"/>
      <c r="U40" s="113" t="s">
        <v>4531</v>
      </c>
      <c r="V40" s="113" t="s">
        <v>540</v>
      </c>
      <c r="W40" s="113" t="s">
        <v>189</v>
      </c>
      <c r="X40" s="107"/>
      <c r="Y40" s="113" t="s">
        <v>542</v>
      </c>
      <c r="Z40" s="112"/>
      <c r="AA40" s="111">
        <v>1.0</v>
      </c>
      <c r="AB40" s="112"/>
      <c r="AC40" s="111">
        <v>1.0</v>
      </c>
      <c r="AD40" s="112"/>
      <c r="AE40" s="112"/>
      <c r="AF40" s="112"/>
      <c r="AG40" s="124"/>
      <c r="AH40" s="115">
        <v>1.0</v>
      </c>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15" t="s">
        <v>1240</v>
      </c>
      <c r="BE40" s="124"/>
      <c r="BF40" s="124"/>
      <c r="BG40" s="124"/>
      <c r="BH40" s="124"/>
      <c r="BI40" s="115" t="s">
        <v>1240</v>
      </c>
      <c r="BJ40" s="124"/>
      <c r="BK40" s="124"/>
      <c r="BL40" s="124"/>
      <c r="BM40" s="124"/>
      <c r="BN40" s="124"/>
      <c r="BO40" s="124"/>
      <c r="BP40" s="124"/>
      <c r="BQ40" s="124"/>
      <c r="BR40" s="124"/>
      <c r="BS40" s="124"/>
      <c r="BT40" s="124"/>
      <c r="BU40" s="124"/>
      <c r="BV40" s="124"/>
      <c r="BW40" s="124"/>
      <c r="BX40" s="124"/>
      <c r="BY40" s="124"/>
      <c r="BZ40" s="124"/>
      <c r="CA40" s="124"/>
    </row>
    <row r="41">
      <c r="A41" s="88" t="str">
        <f>HYPERLINK("https://drive.google.com/open?id=0B3oar8-GeP-INTRJMWxsS1AxQnM","Ballis2008")</f>
        <v>Ballis2008</v>
      </c>
      <c r="B41" s="161" t="s">
        <v>192</v>
      </c>
      <c r="C41" s="161" t="s">
        <v>193</v>
      </c>
      <c r="D41" s="161">
        <v>2008.0</v>
      </c>
      <c r="E41" s="112"/>
      <c r="F41" s="112"/>
      <c r="G41" s="111">
        <v>1.0</v>
      </c>
      <c r="H41" s="112"/>
      <c r="I41" s="112"/>
      <c r="J41" s="112"/>
      <c r="K41" s="112"/>
      <c r="L41" s="112"/>
      <c r="M41" s="112"/>
      <c r="N41" s="112"/>
      <c r="O41" s="112"/>
      <c r="P41" s="112"/>
      <c r="Q41" s="112"/>
      <c r="R41" s="112"/>
      <c r="S41" s="112"/>
      <c r="T41" s="112"/>
      <c r="U41" s="107"/>
      <c r="V41" s="113" t="s">
        <v>9</v>
      </c>
      <c r="W41" s="107"/>
      <c r="X41" s="107"/>
      <c r="Y41" s="113" t="s">
        <v>194</v>
      </c>
      <c r="Z41" s="111">
        <v>1.0</v>
      </c>
      <c r="AA41" s="112"/>
      <c r="AB41" s="111">
        <v>1.0</v>
      </c>
      <c r="AC41" s="112"/>
      <c r="AD41" s="112"/>
      <c r="AE41" s="112"/>
      <c r="AF41" s="112"/>
      <c r="AG41" s="124"/>
      <c r="AH41" s="115">
        <v>1.0</v>
      </c>
      <c r="AI41" s="124"/>
      <c r="AJ41" s="124"/>
      <c r="AK41" s="124"/>
      <c r="AL41" s="124"/>
      <c r="AM41" s="124"/>
      <c r="AN41" s="124"/>
      <c r="AO41" s="124"/>
      <c r="AP41" s="124"/>
      <c r="AQ41" s="115">
        <v>1.0</v>
      </c>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row>
    <row r="42">
      <c r="A42" s="88" t="str">
        <f>HYPERLINK("https://drive.google.com/open?id=0B3oar8-GeP-IU096VVV1ZnQ2a0U","Conroy2012")</f>
        <v>Conroy2012</v>
      </c>
      <c r="B42" s="161" t="s">
        <v>357</v>
      </c>
      <c r="C42" s="161" t="s">
        <v>358</v>
      </c>
      <c r="D42" s="110">
        <v>2012.0</v>
      </c>
      <c r="E42" s="112"/>
      <c r="F42" s="112"/>
      <c r="G42" s="112"/>
      <c r="H42" s="112"/>
      <c r="I42" s="112"/>
      <c r="J42" s="112"/>
      <c r="K42" s="112"/>
      <c r="L42" s="111">
        <v>1.0</v>
      </c>
      <c r="M42" s="112"/>
      <c r="N42" s="112"/>
      <c r="O42" s="112"/>
      <c r="P42" s="112"/>
      <c r="Q42" s="112"/>
      <c r="R42" s="112"/>
      <c r="S42" s="112"/>
      <c r="T42" s="112"/>
      <c r="U42" s="107"/>
      <c r="V42" s="113" t="s">
        <v>359</v>
      </c>
      <c r="W42" s="113" t="s">
        <v>189</v>
      </c>
      <c r="X42" s="107"/>
      <c r="Y42" s="113" t="s">
        <v>360</v>
      </c>
      <c r="Z42" s="112"/>
      <c r="AA42" s="111">
        <v>1.0</v>
      </c>
      <c r="AB42" s="112"/>
      <c r="AC42" s="111">
        <v>1.0</v>
      </c>
      <c r="AD42" s="112"/>
      <c r="AE42" s="112"/>
      <c r="AF42" s="112"/>
      <c r="AG42" s="124"/>
      <c r="AH42" s="115">
        <v>1.0</v>
      </c>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v>1.0</v>
      </c>
      <c r="BI42" s="115"/>
      <c r="BJ42" s="115"/>
      <c r="BK42" s="115"/>
      <c r="BL42" s="115"/>
      <c r="BM42" s="115"/>
      <c r="BN42" s="115"/>
      <c r="BO42" s="115"/>
      <c r="BP42" s="115"/>
      <c r="BQ42" s="115"/>
      <c r="BR42" s="115"/>
      <c r="BS42" s="115"/>
      <c r="BT42" s="115"/>
      <c r="BU42" s="115"/>
      <c r="BV42" s="115"/>
      <c r="BW42" s="115"/>
      <c r="BX42" s="115"/>
      <c r="BY42" s="115"/>
      <c r="BZ42" s="115"/>
      <c r="CA42" s="115"/>
    </row>
    <row r="43">
      <c r="A43" s="88" t="str">
        <f>HYPERLINK("https://drive.google.com/open?id=0B3oar8-GeP-Id2hQMVMxYW50clE","Holmes2009")</f>
        <v>Holmes2009</v>
      </c>
      <c r="B43" s="161" t="s">
        <v>4532</v>
      </c>
      <c r="C43" s="161" t="s">
        <v>4533</v>
      </c>
      <c r="D43" s="110">
        <v>2009.0</v>
      </c>
      <c r="E43" s="111">
        <v>1.0</v>
      </c>
      <c r="F43" s="112"/>
      <c r="G43" s="112"/>
      <c r="H43" s="112"/>
      <c r="I43" s="112"/>
      <c r="J43" s="112"/>
      <c r="K43" s="112"/>
      <c r="L43" s="112"/>
      <c r="M43" s="112"/>
      <c r="N43" s="112"/>
      <c r="O43" s="112"/>
      <c r="P43" s="112"/>
      <c r="Q43" s="112"/>
      <c r="R43" s="112"/>
      <c r="S43" s="112"/>
      <c r="T43" s="112"/>
      <c r="U43" s="107"/>
      <c r="V43" s="107"/>
      <c r="W43" s="107"/>
      <c r="X43" s="107"/>
      <c r="Y43" s="107"/>
      <c r="Z43" s="112"/>
      <c r="AA43" s="112"/>
      <c r="AB43" s="112"/>
      <c r="AC43" s="112"/>
      <c r="AD43" s="112"/>
      <c r="AE43" s="112"/>
      <c r="AF43" s="112"/>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row>
    <row r="44">
      <c r="A44" s="179" t="s">
        <v>4534</v>
      </c>
      <c r="B44" s="179" t="s">
        <v>4535</v>
      </c>
      <c r="C44" s="181"/>
      <c r="D44" s="182"/>
      <c r="E44" s="171">
        <v>1.0</v>
      </c>
      <c r="F44" s="172"/>
      <c r="G44" s="172"/>
      <c r="H44" s="172"/>
      <c r="I44" s="172"/>
      <c r="J44" s="172"/>
      <c r="K44" s="172"/>
      <c r="L44" s="172"/>
      <c r="M44" s="172"/>
      <c r="N44" s="172"/>
      <c r="O44" s="172"/>
      <c r="P44" s="172"/>
      <c r="Q44" s="172"/>
      <c r="R44" s="172"/>
      <c r="S44" s="172"/>
      <c r="T44" s="172"/>
      <c r="U44" s="173"/>
      <c r="V44" s="173"/>
      <c r="W44" s="173"/>
      <c r="X44" s="173"/>
      <c r="Y44" s="173"/>
      <c r="Z44" s="172"/>
      <c r="AA44" s="172"/>
      <c r="AB44" s="172"/>
      <c r="AC44" s="172"/>
      <c r="AD44" s="172"/>
      <c r="AE44" s="172"/>
      <c r="AF44" s="172"/>
      <c r="AG44" s="17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row>
    <row r="45">
      <c r="A45" s="88" t="str">
        <f>HYPERLINK("https://drive.google.com/open?id=0B3oar8-GeP-INnBMUWhOdjE0ODQ","Austrem2011")</f>
        <v>Austrem2011</v>
      </c>
      <c r="B45" s="161" t="s">
        <v>186</v>
      </c>
      <c r="C45" s="161" t="s">
        <v>187</v>
      </c>
      <c r="D45" s="110">
        <v>2011.0</v>
      </c>
      <c r="E45" s="112"/>
      <c r="F45" s="112"/>
      <c r="G45" s="111">
        <v>1.0</v>
      </c>
      <c r="H45" s="112"/>
      <c r="I45" s="112"/>
      <c r="J45" s="112"/>
      <c r="K45" s="112"/>
      <c r="L45" s="112"/>
      <c r="M45" s="112"/>
      <c r="N45" s="112"/>
      <c r="O45" s="112"/>
      <c r="P45" s="112"/>
      <c r="Q45" s="112"/>
      <c r="R45" s="112"/>
      <c r="S45" s="112"/>
      <c r="T45" s="112"/>
      <c r="U45" s="107"/>
      <c r="V45" s="113" t="s">
        <v>188</v>
      </c>
      <c r="W45" s="113" t="s">
        <v>189</v>
      </c>
      <c r="X45" s="107"/>
      <c r="Y45" s="113" t="s">
        <v>190</v>
      </c>
      <c r="Z45" s="111">
        <v>1.0</v>
      </c>
      <c r="AA45" s="112"/>
      <c r="AB45" s="112"/>
      <c r="AC45" s="111">
        <v>1.0</v>
      </c>
      <c r="AD45" s="112"/>
      <c r="AE45" s="112"/>
      <c r="AF45" s="112"/>
      <c r="AG45" s="115" t="s">
        <v>191</v>
      </c>
      <c r="AH45" s="115">
        <v>1.0</v>
      </c>
      <c r="AI45" s="124"/>
      <c r="AJ45" s="124"/>
      <c r="AK45" s="124"/>
      <c r="AL45" s="124"/>
      <c r="AM45" s="124"/>
      <c r="AN45" s="124"/>
      <c r="AO45" s="124"/>
      <c r="AP45" s="124"/>
      <c r="AQ45" s="115">
        <v>1.0</v>
      </c>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row>
    <row r="46">
      <c r="A46" s="161" t="s">
        <v>1090</v>
      </c>
      <c r="B46" s="161" t="s">
        <v>1091</v>
      </c>
      <c r="C46" s="161" t="s">
        <v>987</v>
      </c>
      <c r="D46" s="110">
        <v>2013.0</v>
      </c>
      <c r="E46" s="112"/>
      <c r="F46" s="112"/>
      <c r="G46" s="112"/>
      <c r="H46" s="112"/>
      <c r="I46" s="112"/>
      <c r="J46" s="112"/>
      <c r="K46" s="112"/>
      <c r="L46" s="112"/>
      <c r="M46" s="112"/>
      <c r="N46" s="112"/>
      <c r="O46" s="112"/>
      <c r="P46" s="112"/>
      <c r="Q46" s="112"/>
      <c r="R46" s="112"/>
      <c r="S46" s="112"/>
      <c r="T46" s="112"/>
      <c r="U46" s="107"/>
      <c r="V46" s="107"/>
      <c r="W46" s="107"/>
      <c r="X46" s="107"/>
      <c r="Y46" s="107"/>
      <c r="Z46" s="112"/>
      <c r="AA46" s="112"/>
      <c r="AB46" s="112"/>
      <c r="AC46" s="112"/>
      <c r="AD46" s="112"/>
      <c r="AE46" s="112"/>
      <c r="AF46" s="112"/>
      <c r="AG46" s="124"/>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c r="A47" s="179" t="s">
        <v>4536</v>
      </c>
      <c r="B47" s="179" t="s">
        <v>4537</v>
      </c>
      <c r="C47" s="179" t="s">
        <v>4538</v>
      </c>
      <c r="D47" s="170">
        <v>2009.0</v>
      </c>
      <c r="E47" s="171">
        <v>1.0</v>
      </c>
      <c r="F47" s="172"/>
      <c r="G47" s="172"/>
      <c r="H47" s="172"/>
      <c r="I47" s="172"/>
      <c r="J47" s="172"/>
      <c r="K47" s="172"/>
      <c r="L47" s="172"/>
      <c r="M47" s="172"/>
      <c r="N47" s="172"/>
      <c r="O47" s="172"/>
      <c r="P47" s="172"/>
      <c r="Q47" s="172"/>
      <c r="R47" s="172"/>
      <c r="S47" s="172"/>
      <c r="T47" s="172"/>
      <c r="U47" s="173"/>
      <c r="V47" s="173"/>
      <c r="W47" s="173"/>
      <c r="X47" s="173"/>
      <c r="Y47" s="173"/>
      <c r="Z47" s="172"/>
      <c r="AA47" s="172"/>
      <c r="AB47" s="172"/>
      <c r="AC47" s="172"/>
      <c r="AD47" s="172"/>
      <c r="AE47" s="172"/>
      <c r="AF47" s="172"/>
      <c r="AG47" s="174"/>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c r="A48" s="88" t="str">
        <f>HYPERLINK("https://drive.google.com/open?id=0B3oar8-GeP-IYk9CYTBHSDBDT0E","Storrle2013")</f>
        <v>Storrle2013</v>
      </c>
      <c r="B48" s="161" t="s">
        <v>1075</v>
      </c>
      <c r="C48" s="161" t="s">
        <v>588</v>
      </c>
      <c r="D48" s="110">
        <v>2013.0</v>
      </c>
      <c r="E48" s="112"/>
      <c r="F48" s="112"/>
      <c r="G48" s="111">
        <v>1.0</v>
      </c>
      <c r="H48" s="112"/>
      <c r="I48" s="112"/>
      <c r="J48" s="112"/>
      <c r="K48" s="112"/>
      <c r="L48" s="112"/>
      <c r="M48" s="112"/>
      <c r="N48" s="112"/>
      <c r="O48" s="112"/>
      <c r="P48" s="112"/>
      <c r="Q48" s="112"/>
      <c r="R48" s="112"/>
      <c r="S48" s="112"/>
      <c r="T48" s="112"/>
      <c r="U48" s="107"/>
      <c r="V48" s="113" t="s">
        <v>9</v>
      </c>
      <c r="W48" s="140" t="s">
        <v>221</v>
      </c>
      <c r="X48" s="113" t="s">
        <v>1076</v>
      </c>
      <c r="Y48" s="113" t="s">
        <v>1077</v>
      </c>
      <c r="Z48" s="111">
        <v>1.0</v>
      </c>
      <c r="AA48" s="111">
        <v>1.0</v>
      </c>
      <c r="AB48" s="112"/>
      <c r="AC48" s="111">
        <v>1.0</v>
      </c>
      <c r="AD48" s="112"/>
      <c r="AE48" s="112"/>
      <c r="AF48" s="112"/>
      <c r="AG48" s="115" t="s">
        <v>1078</v>
      </c>
      <c r="AH48" s="115">
        <v>1.0</v>
      </c>
      <c r="AI48" s="115"/>
      <c r="AJ48" s="115"/>
      <c r="AK48" s="115"/>
      <c r="AL48" s="115"/>
      <c r="AM48" s="115"/>
      <c r="AN48" s="115"/>
      <c r="AO48" s="115"/>
      <c r="AP48" s="115"/>
      <c r="AQ48" s="115">
        <v>1.0</v>
      </c>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v>1.0</v>
      </c>
      <c r="CA48" s="115"/>
    </row>
    <row r="49">
      <c r="A49" s="88" t="str">
        <f>HYPERLINK("https://drive.google.com/open?id=0B3oar8-GeP-IRXo0a0w2a2ZZM1E","Zimmermann2016")</f>
        <v>Zimmermann2016</v>
      </c>
      <c r="B49" s="161" t="s">
        <v>1918</v>
      </c>
      <c r="C49" s="161" t="s">
        <v>1919</v>
      </c>
      <c r="D49" s="110">
        <v>2016.0</v>
      </c>
      <c r="E49" s="111">
        <v>1.0</v>
      </c>
      <c r="F49" s="112"/>
      <c r="G49" s="112"/>
      <c r="H49" s="112"/>
      <c r="I49" s="112"/>
      <c r="J49" s="112"/>
      <c r="K49" s="112"/>
      <c r="L49" s="112"/>
      <c r="M49" s="112"/>
      <c r="N49" s="112"/>
      <c r="O49" s="112"/>
      <c r="P49" s="112"/>
      <c r="Q49" s="112"/>
      <c r="R49" s="112"/>
      <c r="S49" s="112"/>
      <c r="T49" s="112"/>
      <c r="U49" s="107"/>
      <c r="V49" s="113" t="s">
        <v>9</v>
      </c>
      <c r="W49" s="107"/>
      <c r="X49" s="107"/>
      <c r="Y49" s="107"/>
      <c r="Z49" s="112"/>
      <c r="AA49" s="112"/>
      <c r="AB49" s="112"/>
      <c r="AC49" s="112"/>
      <c r="AD49" s="112"/>
      <c r="AE49" s="112"/>
      <c r="AF49" s="112"/>
      <c r="AG49" s="115" t="s">
        <v>4539</v>
      </c>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c r="A50" s="88" t="str">
        <f>HYPERLINK("https://drive.google.com/open?id=0B3oar8-GeP-IblFCY3Y1MGRnNWM","Knaus2008")</f>
        <v>Knaus2008</v>
      </c>
      <c r="B50" s="161" t="s">
        <v>4540</v>
      </c>
      <c r="C50" s="161" t="s">
        <v>4541</v>
      </c>
      <c r="D50" s="110">
        <v>2008.0</v>
      </c>
      <c r="E50" s="111">
        <v>1.0</v>
      </c>
      <c r="F50" s="112"/>
      <c r="G50" s="112"/>
      <c r="H50" s="111">
        <v>1.0</v>
      </c>
      <c r="I50" s="112"/>
      <c r="J50" s="112"/>
      <c r="K50" s="112"/>
      <c r="L50" s="112"/>
      <c r="M50" s="112"/>
      <c r="N50" s="112"/>
      <c r="O50" s="112"/>
      <c r="P50" s="112"/>
      <c r="Q50" s="112"/>
      <c r="R50" s="112"/>
      <c r="S50" s="112"/>
      <c r="T50" s="112"/>
      <c r="U50" s="107"/>
      <c r="V50" s="113" t="s">
        <v>9</v>
      </c>
      <c r="W50" s="107"/>
      <c r="X50" s="107"/>
      <c r="Y50" s="107"/>
      <c r="Z50" s="112"/>
      <c r="AA50" s="112"/>
      <c r="AB50" s="112"/>
      <c r="AC50" s="112"/>
      <c r="AD50" s="112"/>
      <c r="AE50" s="112"/>
      <c r="AF50" s="112"/>
      <c r="AG50" s="115" t="s">
        <v>4539</v>
      </c>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row>
    <row r="51">
      <c r="A51" s="88" t="str">
        <f>HYPERLINK("https://drive.google.com/open?id=0B3oar8-GeP-IQ05qUUhRU1dxeXc","Toomim2004")</f>
        <v>Toomim2004</v>
      </c>
      <c r="B51" s="161" t="s">
        <v>1121</v>
      </c>
      <c r="C51" s="161" t="s">
        <v>490</v>
      </c>
      <c r="D51" s="110">
        <v>2004.0</v>
      </c>
      <c r="E51" s="112"/>
      <c r="F51" s="112"/>
      <c r="G51" s="112"/>
      <c r="H51" s="111">
        <v>1.0</v>
      </c>
      <c r="I51" s="112"/>
      <c r="J51" s="112"/>
      <c r="K51" s="112"/>
      <c r="L51" s="112"/>
      <c r="M51" s="112"/>
      <c r="N51" s="112"/>
      <c r="O51" s="112"/>
      <c r="P51" s="112"/>
      <c r="Q51" s="112"/>
      <c r="R51" s="112"/>
      <c r="S51" s="112"/>
      <c r="T51" s="112"/>
      <c r="U51" s="113" t="s">
        <v>1122</v>
      </c>
      <c r="V51" s="113" t="s">
        <v>842</v>
      </c>
      <c r="W51" s="113" t="s">
        <v>1123</v>
      </c>
      <c r="X51" s="113" t="s">
        <v>1124</v>
      </c>
      <c r="Y51" s="113" t="s">
        <v>1125</v>
      </c>
      <c r="Z51" s="111">
        <v>1.0</v>
      </c>
      <c r="AA51" s="112"/>
      <c r="AB51" s="112"/>
      <c r="AC51" s="111">
        <v>1.0</v>
      </c>
      <c r="AD51" s="112"/>
      <c r="AE51" s="112"/>
      <c r="AF51" s="112"/>
      <c r="AG51" s="115" t="s">
        <v>1126</v>
      </c>
      <c r="AH51" s="115">
        <v>1.0</v>
      </c>
      <c r="AI51" s="124"/>
      <c r="AJ51" s="124"/>
      <c r="AK51" s="124"/>
      <c r="AL51" s="124"/>
      <c r="AM51" s="124"/>
      <c r="AN51" s="124"/>
      <c r="AO51" s="124"/>
      <c r="AP51" s="124"/>
      <c r="AQ51" s="115">
        <v>1.0</v>
      </c>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15">
        <v>1.0</v>
      </c>
      <c r="BY51" s="124"/>
      <c r="BZ51" s="115">
        <v>1.0</v>
      </c>
      <c r="CA51" s="124"/>
    </row>
    <row r="52">
      <c r="A52" s="88" t="str">
        <f>HYPERLINK("https://drive.google.com/open?id=0B3oar8-GeP-IWTFtdDhOVzZaRDg","Covington2005")</f>
        <v>Covington2005</v>
      </c>
      <c r="B52" s="161" t="s">
        <v>4542</v>
      </c>
      <c r="C52" s="161" t="s">
        <v>4543</v>
      </c>
      <c r="D52" s="110">
        <v>2005.0</v>
      </c>
      <c r="E52" s="111">
        <v>1.0</v>
      </c>
      <c r="F52" s="112"/>
      <c r="G52" s="112"/>
      <c r="H52" s="111">
        <v>1.0</v>
      </c>
      <c r="I52" s="112"/>
      <c r="J52" s="112"/>
      <c r="K52" s="112"/>
      <c r="L52" s="112"/>
      <c r="M52" s="112"/>
      <c r="N52" s="112"/>
      <c r="O52" s="112"/>
      <c r="P52" s="112"/>
      <c r="Q52" s="112"/>
      <c r="R52" s="112"/>
      <c r="S52" s="112"/>
      <c r="T52" s="112"/>
      <c r="U52" s="113" t="s">
        <v>4544</v>
      </c>
      <c r="V52" s="113" t="s">
        <v>4545</v>
      </c>
      <c r="W52" s="107"/>
      <c r="X52" s="107"/>
      <c r="Y52" s="107"/>
      <c r="Z52" s="112"/>
      <c r="AA52" s="112"/>
      <c r="AB52" s="112"/>
      <c r="AC52" s="112"/>
      <c r="AD52" s="112"/>
      <c r="AE52" s="112"/>
      <c r="AF52" s="112"/>
      <c r="AG52" s="124"/>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c r="A53" s="88" t="str">
        <f>HYPERLINK("https://drive.google.com/open?id=0B3oar8-GeP-IOElUU0ZCSXd4WkU","Bouchard2008")</f>
        <v>Bouchard2008</v>
      </c>
      <c r="B53" s="161" t="s">
        <v>4546</v>
      </c>
      <c r="C53" s="161" t="s">
        <v>4547</v>
      </c>
      <c r="D53" s="110">
        <v>2008.0</v>
      </c>
      <c r="E53" s="111">
        <v>1.0</v>
      </c>
      <c r="F53" s="112"/>
      <c r="G53" s="112"/>
      <c r="H53" s="112"/>
      <c r="I53" s="112"/>
      <c r="J53" s="112"/>
      <c r="K53" s="112"/>
      <c r="L53" s="112"/>
      <c r="M53" s="112"/>
      <c r="N53" s="112"/>
      <c r="O53" s="112"/>
      <c r="P53" s="112"/>
      <c r="Q53" s="112"/>
      <c r="R53" s="112"/>
      <c r="S53" s="112"/>
      <c r="T53" s="112"/>
      <c r="U53" s="107"/>
      <c r="V53" s="107"/>
      <c r="W53" s="107"/>
      <c r="X53" s="107"/>
      <c r="Y53" s="107"/>
      <c r="Z53" s="112"/>
      <c r="AA53" s="112"/>
      <c r="AB53" s="112"/>
      <c r="AC53" s="112"/>
      <c r="AD53" s="112"/>
      <c r="AE53" s="112"/>
      <c r="AF53" s="112"/>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row>
    <row r="54">
      <c r="A54" s="180" t="str">
        <f>HYPERLINK("https://drive.google.com/open?id=0B1GMAYMj9v6rUTB5eU43TDVMVGc","Leveson2000")</f>
        <v>Leveson2000</v>
      </c>
      <c r="B54" s="161" t="s">
        <v>687</v>
      </c>
      <c r="C54" s="161" t="s">
        <v>503</v>
      </c>
      <c r="D54" s="110">
        <v>2000.0</v>
      </c>
      <c r="E54" s="112"/>
      <c r="F54" s="111">
        <v>1.0</v>
      </c>
      <c r="G54" s="111">
        <v>1.0</v>
      </c>
      <c r="H54" s="112"/>
      <c r="I54" s="112"/>
      <c r="J54" s="112"/>
      <c r="K54" s="112"/>
      <c r="L54" s="112"/>
      <c r="M54" s="112"/>
      <c r="N54" s="112"/>
      <c r="O54" s="112"/>
      <c r="P54" s="112"/>
      <c r="Q54" s="112"/>
      <c r="R54" s="112"/>
      <c r="S54" s="112"/>
      <c r="T54" s="112"/>
      <c r="U54" s="113" t="s">
        <v>484</v>
      </c>
      <c r="V54" s="113" t="s">
        <v>692</v>
      </c>
      <c r="W54" s="113" t="s">
        <v>693</v>
      </c>
      <c r="X54" s="113" t="s">
        <v>92</v>
      </c>
      <c r="Y54" s="113" t="s">
        <v>694</v>
      </c>
      <c r="Z54" s="112"/>
      <c r="AA54" s="111">
        <v>1.0</v>
      </c>
      <c r="AB54" s="111">
        <v>1.0</v>
      </c>
      <c r="AC54" s="112"/>
      <c r="AD54" s="112"/>
      <c r="AE54" s="112"/>
      <c r="AF54" s="112"/>
      <c r="AG54" s="115" t="s">
        <v>695</v>
      </c>
      <c r="AH54" s="115">
        <v>1.0</v>
      </c>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15" t="s">
        <v>1240</v>
      </c>
      <c r="BG54" s="124"/>
      <c r="BH54" s="124"/>
      <c r="BI54" s="124"/>
      <c r="BJ54" s="124"/>
      <c r="BK54" s="124"/>
      <c r="BL54" s="124"/>
      <c r="BM54" s="124"/>
      <c r="BN54" s="124"/>
      <c r="BO54" s="124"/>
      <c r="BP54" s="124"/>
      <c r="BQ54" s="124"/>
      <c r="BR54" s="124"/>
      <c r="BS54" s="124"/>
      <c r="BT54" s="124"/>
      <c r="BU54" s="124"/>
      <c r="BV54" s="124"/>
      <c r="BW54" s="124"/>
      <c r="BX54" s="124"/>
      <c r="BY54" s="124"/>
      <c r="BZ54" s="124"/>
      <c r="CA54" s="124"/>
    </row>
    <row r="55">
      <c r="A55" s="180" t="str">
        <f>HYPERLINK("https://drive.google.com/open?id=0B3oar8-GeP-IQVZqdHRWYTdKYkE","Furuta1994")</f>
        <v>Furuta1994</v>
      </c>
      <c r="B55" s="161" t="s">
        <v>482</v>
      </c>
      <c r="C55" s="161" t="s">
        <v>483</v>
      </c>
      <c r="D55" s="110">
        <v>1994.0</v>
      </c>
      <c r="E55" s="112"/>
      <c r="F55" s="112"/>
      <c r="G55" s="111">
        <v>1.0</v>
      </c>
      <c r="H55" s="112"/>
      <c r="I55" s="112"/>
      <c r="J55" s="112"/>
      <c r="K55" s="112"/>
      <c r="L55" s="112"/>
      <c r="M55" s="112"/>
      <c r="N55" s="112"/>
      <c r="O55" s="112"/>
      <c r="P55" s="112"/>
      <c r="Q55" s="112"/>
      <c r="R55" s="112"/>
      <c r="S55" s="112"/>
      <c r="T55" s="112"/>
      <c r="U55" s="113" t="s">
        <v>484</v>
      </c>
      <c r="V55" s="113" t="s">
        <v>485</v>
      </c>
      <c r="W55" s="113" t="s">
        <v>486</v>
      </c>
      <c r="X55" s="113" t="s">
        <v>92</v>
      </c>
      <c r="Y55" s="113" t="s">
        <v>487</v>
      </c>
      <c r="Z55" s="111">
        <v>1.0</v>
      </c>
      <c r="AA55" s="112"/>
      <c r="AB55" s="111">
        <v>1.0</v>
      </c>
      <c r="AC55" s="112"/>
      <c r="AD55" s="112"/>
      <c r="AE55" s="112"/>
      <c r="AF55" s="112"/>
      <c r="AG55" s="115" t="s">
        <v>488</v>
      </c>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row>
    <row r="56">
      <c r="A56" s="88" t="str">
        <f>HYPERLINK("https://drive.google.com/open?id=0B3oar8-GeP-IbHFVZjN2TUhKbms","Xu2010")</f>
        <v>Xu2010</v>
      </c>
      <c r="B56" s="161" t="s">
        <v>1260</v>
      </c>
      <c r="C56" s="161" t="s">
        <v>166</v>
      </c>
      <c r="D56" s="110">
        <v>2010.0</v>
      </c>
      <c r="E56" s="112"/>
      <c r="F56" s="112"/>
      <c r="G56" s="111">
        <v>1.0</v>
      </c>
      <c r="H56" s="111">
        <v>1.0</v>
      </c>
      <c r="I56" s="111">
        <v>1.0</v>
      </c>
      <c r="J56" s="112"/>
      <c r="K56" s="112"/>
      <c r="L56" s="112"/>
      <c r="M56" s="112"/>
      <c r="N56" s="112"/>
      <c r="O56" s="112"/>
      <c r="P56" s="112"/>
      <c r="Q56" s="112"/>
      <c r="R56" s="112"/>
      <c r="S56" s="112"/>
      <c r="T56" s="112"/>
      <c r="U56" s="107"/>
      <c r="V56" s="113" t="s">
        <v>1261</v>
      </c>
      <c r="W56" s="183" t="s">
        <v>1262</v>
      </c>
      <c r="X56" s="113" t="s">
        <v>1263</v>
      </c>
      <c r="Y56" s="113" t="s">
        <v>542</v>
      </c>
      <c r="Z56" s="111">
        <v>1.0</v>
      </c>
      <c r="AA56" s="112"/>
      <c r="AB56" s="112"/>
      <c r="AC56" s="111">
        <v>1.0</v>
      </c>
      <c r="AD56" s="112"/>
      <c r="AE56" s="112"/>
      <c r="AF56" s="112"/>
      <c r="AG56" s="115" t="s">
        <v>1264</v>
      </c>
      <c r="AH56" s="115">
        <v>1.0</v>
      </c>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v>1.0</v>
      </c>
      <c r="BJ56" s="115"/>
      <c r="BK56" s="115"/>
      <c r="BL56" s="115"/>
      <c r="BM56" s="115"/>
      <c r="BN56" s="115"/>
      <c r="BO56" s="115"/>
      <c r="BP56" s="115"/>
      <c r="BQ56" s="115"/>
      <c r="BR56" s="115"/>
      <c r="BS56" s="115"/>
      <c r="BT56" s="115"/>
      <c r="BU56" s="115"/>
      <c r="BV56" s="115"/>
      <c r="BW56" s="115"/>
      <c r="BX56" s="115"/>
      <c r="BY56" s="115"/>
      <c r="BZ56" s="115">
        <v>1.0</v>
      </c>
      <c r="CA56" s="115"/>
    </row>
    <row r="57">
      <c r="A57" s="179" t="s">
        <v>4548</v>
      </c>
      <c r="B57" s="179" t="s">
        <v>4549</v>
      </c>
      <c r="C57" s="179" t="s">
        <v>4550</v>
      </c>
      <c r="D57" s="179">
        <v>1987.0</v>
      </c>
      <c r="E57" s="171">
        <v>1.0</v>
      </c>
      <c r="F57" s="172"/>
      <c r="G57" s="171">
        <v>1.0</v>
      </c>
      <c r="H57" s="172"/>
      <c r="I57" s="172"/>
      <c r="J57" s="172"/>
      <c r="K57" s="172"/>
      <c r="L57" s="172"/>
      <c r="M57" s="172"/>
      <c r="N57" s="172"/>
      <c r="O57" s="172"/>
      <c r="P57" s="172"/>
      <c r="Q57" s="172"/>
      <c r="R57" s="172"/>
      <c r="S57" s="172"/>
      <c r="T57" s="172"/>
      <c r="U57" s="173"/>
      <c r="V57" s="173"/>
      <c r="W57" s="173"/>
      <c r="X57" s="173"/>
      <c r="Y57" s="173"/>
      <c r="Z57" s="172"/>
      <c r="AA57" s="172"/>
      <c r="AB57" s="172"/>
      <c r="AC57" s="172"/>
      <c r="AD57" s="172"/>
      <c r="AE57" s="172"/>
      <c r="AF57" s="172"/>
      <c r="AG57" s="17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row>
    <row r="58">
      <c r="A58" s="180" t="str">
        <f>HYPERLINK("https://drive.google.com/open?id=0B3oar8-GeP-IT29tMXpHQWtKQnc","Agarwal1999")</f>
        <v>Agarwal1999</v>
      </c>
      <c r="B58" s="161" t="s">
        <v>109</v>
      </c>
      <c r="C58" s="141"/>
      <c r="D58" s="110">
        <v>1999.0</v>
      </c>
      <c r="E58" s="112"/>
      <c r="F58" s="112"/>
      <c r="G58" s="111">
        <v>1.0</v>
      </c>
      <c r="H58" s="111">
        <v>1.0</v>
      </c>
      <c r="I58" s="112"/>
      <c r="J58" s="112"/>
      <c r="K58" s="112"/>
      <c r="L58" s="112"/>
      <c r="M58" s="112"/>
      <c r="N58" s="112"/>
      <c r="O58" s="112"/>
      <c r="P58" s="112"/>
      <c r="Q58" s="112"/>
      <c r="R58" s="112"/>
      <c r="S58" s="112"/>
      <c r="T58" s="112"/>
      <c r="U58" s="113" t="s">
        <v>110</v>
      </c>
      <c r="V58" s="113" t="s">
        <v>111</v>
      </c>
      <c r="W58" s="113" t="s">
        <v>112</v>
      </c>
      <c r="X58" s="113" t="s">
        <v>113</v>
      </c>
      <c r="Y58" s="113" t="s">
        <v>114</v>
      </c>
      <c r="Z58" s="111">
        <v>1.0</v>
      </c>
      <c r="AA58" s="112"/>
      <c r="AB58" s="112"/>
      <c r="AC58" s="111">
        <v>1.0</v>
      </c>
      <c r="AD58" s="112"/>
      <c r="AE58" s="112"/>
      <c r="AF58" s="112"/>
      <c r="AG58" s="115" t="s">
        <v>115</v>
      </c>
      <c r="AH58" s="115">
        <v>1.0</v>
      </c>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15">
        <v>1.0</v>
      </c>
      <c r="BE58" s="124"/>
      <c r="BF58" s="124"/>
      <c r="BG58" s="124"/>
      <c r="BH58" s="124"/>
      <c r="BI58" s="124"/>
      <c r="BJ58" s="124"/>
      <c r="BK58" s="124"/>
      <c r="BL58" s="124"/>
      <c r="BM58" s="124"/>
      <c r="BN58" s="124"/>
      <c r="BO58" s="124"/>
      <c r="BP58" s="124"/>
      <c r="BQ58" s="124"/>
      <c r="BR58" s="124"/>
      <c r="BS58" s="124"/>
      <c r="BT58" s="124"/>
      <c r="BU58" s="124"/>
      <c r="BV58" s="124"/>
      <c r="BW58" s="124"/>
      <c r="BX58" s="124"/>
      <c r="BY58" s="124"/>
      <c r="BZ58" s="115">
        <v>1.0</v>
      </c>
      <c r="CA58" s="124"/>
    </row>
    <row r="59">
      <c r="A59" s="88" t="str">
        <f>HYPERLINK("https://drive.google.com/open?id=0B3oar8-GeP-IRXVORktFek45bHM","Tang2011")</f>
        <v>Tang2011</v>
      </c>
      <c r="B59" s="161" t="s">
        <v>1092</v>
      </c>
      <c r="C59" s="161" t="s">
        <v>196</v>
      </c>
      <c r="D59" s="110">
        <v>2011.0</v>
      </c>
      <c r="E59" s="111"/>
      <c r="F59" s="112"/>
      <c r="G59" s="111">
        <v>1.0</v>
      </c>
      <c r="H59" s="112"/>
      <c r="I59" s="112"/>
      <c r="J59" s="112"/>
      <c r="K59" s="112"/>
      <c r="L59" s="112"/>
      <c r="M59" s="112"/>
      <c r="N59" s="112"/>
      <c r="O59" s="112"/>
      <c r="P59" s="112"/>
      <c r="Q59" s="112"/>
      <c r="R59" s="112"/>
      <c r="S59" s="112"/>
      <c r="T59" s="112"/>
      <c r="U59" s="107"/>
      <c r="V59" s="113" t="s">
        <v>359</v>
      </c>
      <c r="W59" s="113" t="s">
        <v>221</v>
      </c>
      <c r="X59" s="113" t="s">
        <v>221</v>
      </c>
      <c r="Y59" s="113" t="s">
        <v>1093</v>
      </c>
      <c r="Z59" s="111">
        <v>1.0</v>
      </c>
      <c r="AA59" s="112"/>
      <c r="AB59" s="112"/>
      <c r="AC59" s="112"/>
      <c r="AD59" s="112"/>
      <c r="AE59" s="111">
        <v>1.0</v>
      </c>
      <c r="AF59" s="112"/>
      <c r="AG59" s="115" t="s">
        <v>1094</v>
      </c>
      <c r="AH59" s="115">
        <v>1.0</v>
      </c>
      <c r="AI59" s="124"/>
      <c r="AJ59" s="124"/>
      <c r="AK59" s="124"/>
      <c r="AL59" s="124"/>
      <c r="AM59" s="124"/>
      <c r="AN59" s="124"/>
      <c r="AO59" s="124"/>
      <c r="AP59" s="124"/>
      <c r="AQ59" s="124"/>
      <c r="AR59" s="124"/>
      <c r="AS59" s="124"/>
      <c r="AT59" s="124"/>
      <c r="AU59" s="124"/>
      <c r="AV59" s="124"/>
      <c r="AW59" s="124"/>
      <c r="AX59" s="124"/>
      <c r="AY59" s="124"/>
      <c r="AZ59" s="124"/>
      <c r="BA59" s="124"/>
      <c r="BB59" s="124"/>
      <c r="BC59" s="124"/>
      <c r="BD59" s="124"/>
      <c r="BE59" s="124"/>
      <c r="BF59" s="124"/>
      <c r="BG59" s="124"/>
      <c r="BH59" s="115">
        <v>1.0</v>
      </c>
      <c r="BI59" s="124"/>
      <c r="BJ59" s="124"/>
      <c r="BK59" s="124"/>
      <c r="BL59" s="124"/>
      <c r="BM59" s="124"/>
      <c r="BN59" s="124"/>
      <c r="BO59" s="124"/>
      <c r="BP59" s="124"/>
      <c r="BQ59" s="124"/>
      <c r="BR59" s="124"/>
      <c r="BS59" s="124"/>
      <c r="BT59" s="124"/>
      <c r="BU59" s="124"/>
      <c r="BV59" s="124"/>
      <c r="BW59" s="124"/>
      <c r="BX59" s="124"/>
      <c r="BY59" s="124"/>
      <c r="BZ59" s="124"/>
      <c r="CA59" s="124"/>
    </row>
    <row r="60">
      <c r="A60" s="180" t="str">
        <f>HYPERLINK("https://drive.google.com/open?id=0B3oar8-GeP-IY3lHc3Z3NUdERUE","Zhan2012")</f>
        <v>Zhan2012</v>
      </c>
      <c r="B60" s="161" t="s">
        <v>1283</v>
      </c>
      <c r="C60" s="161" t="s">
        <v>613</v>
      </c>
      <c r="D60" s="110">
        <v>2012.0</v>
      </c>
      <c r="E60" s="112"/>
      <c r="F60" s="112"/>
      <c r="G60" s="112"/>
      <c r="H60" s="112"/>
      <c r="I60" s="112"/>
      <c r="J60" s="112"/>
      <c r="K60" s="112"/>
      <c r="L60" s="111">
        <v>1.0</v>
      </c>
      <c r="M60" s="111">
        <v>1.0</v>
      </c>
      <c r="N60" s="112"/>
      <c r="O60" s="112"/>
      <c r="P60" s="112"/>
      <c r="Q60" s="112"/>
      <c r="R60" s="112"/>
      <c r="S60" s="112"/>
      <c r="T60" s="112"/>
      <c r="U60" s="113" t="s">
        <v>1284</v>
      </c>
      <c r="V60" s="107"/>
      <c r="W60" s="113" t="s">
        <v>1285</v>
      </c>
      <c r="Y60" s="113" t="s">
        <v>1286</v>
      </c>
      <c r="Z60" s="112"/>
      <c r="AA60" s="111">
        <v>1.0</v>
      </c>
      <c r="AB60" s="112"/>
      <c r="AC60" s="111">
        <v>1.0</v>
      </c>
      <c r="AD60" s="112"/>
      <c r="AE60" s="112"/>
      <c r="AF60" s="112"/>
      <c r="AG60" s="115" t="s">
        <v>1287</v>
      </c>
      <c r="AH60" s="115" t="s">
        <v>1240</v>
      </c>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24"/>
      <c r="BV60" s="124"/>
      <c r="BW60" s="124"/>
      <c r="BX60" s="124"/>
      <c r="BY60" s="124"/>
      <c r="BZ60" s="124"/>
      <c r="CA60" s="124"/>
    </row>
    <row r="61">
      <c r="A61" s="88" t="str">
        <f>HYPERLINK("https://drive.google.com/open?id=0B3oar8-GeP-IUUNiU0lndVRoemc","Snodgrass1988")</f>
        <v>Snodgrass1988</v>
      </c>
      <c r="B61" s="161" t="s">
        <v>1033</v>
      </c>
      <c r="C61" s="141"/>
      <c r="D61" s="110">
        <v>1988.0</v>
      </c>
      <c r="E61" s="112"/>
      <c r="F61" s="111">
        <v>1.0</v>
      </c>
      <c r="G61" s="111">
        <v>1.0</v>
      </c>
      <c r="H61" s="112"/>
      <c r="I61" s="112"/>
      <c r="J61" s="112"/>
      <c r="K61" s="112"/>
      <c r="L61" s="112"/>
      <c r="M61" s="112"/>
      <c r="N61" s="112"/>
      <c r="O61" s="112"/>
      <c r="P61" s="112"/>
      <c r="Q61" s="112"/>
      <c r="R61" s="112"/>
      <c r="S61" s="112"/>
      <c r="T61" s="112"/>
      <c r="U61" s="113" t="s">
        <v>1034</v>
      </c>
      <c r="V61" s="113" t="s">
        <v>1035</v>
      </c>
      <c r="W61" s="113" t="s">
        <v>221</v>
      </c>
      <c r="X61" s="113" t="s">
        <v>1036</v>
      </c>
      <c r="Y61" s="113" t="s">
        <v>542</v>
      </c>
      <c r="Z61" s="112"/>
      <c r="AA61" s="111">
        <v>1.0</v>
      </c>
      <c r="AB61" s="112"/>
      <c r="AC61" s="111">
        <v>1.0</v>
      </c>
      <c r="AD61" s="112"/>
      <c r="AE61" s="112"/>
      <c r="AF61" s="112"/>
      <c r="AG61" s="115" t="s">
        <v>1037</v>
      </c>
      <c r="AH61" s="115">
        <v>1.0</v>
      </c>
      <c r="AI61" s="124"/>
      <c r="AJ61" s="124"/>
      <c r="AK61" s="124"/>
      <c r="AL61" s="124"/>
      <c r="AM61" s="115">
        <v>1.0</v>
      </c>
      <c r="AN61" s="124"/>
      <c r="AO61" s="124"/>
      <c r="AP61" s="124"/>
      <c r="AQ61" s="124"/>
      <c r="AR61" s="124"/>
      <c r="AS61" s="124"/>
      <c r="AT61" s="124"/>
      <c r="AU61" s="124"/>
      <c r="AV61" s="124"/>
      <c r="AW61" s="124"/>
      <c r="AX61" s="124"/>
      <c r="AY61" s="124"/>
      <c r="AZ61" s="124"/>
      <c r="BA61" s="124"/>
      <c r="BB61" s="124"/>
      <c r="BC61" s="124"/>
      <c r="BD61" s="124"/>
      <c r="BE61" s="124"/>
      <c r="BF61" s="124"/>
      <c r="BG61" s="124"/>
      <c r="BH61" s="124"/>
      <c r="BI61" s="124"/>
      <c r="BJ61" s="124"/>
      <c r="BK61" s="124"/>
      <c r="BL61" s="124"/>
      <c r="BM61" s="124"/>
      <c r="BN61" s="124"/>
      <c r="BO61" s="124"/>
      <c r="BP61" s="124"/>
      <c r="BQ61" s="124"/>
      <c r="BR61" s="124"/>
      <c r="BS61" s="124"/>
      <c r="BT61" s="124"/>
      <c r="BU61" s="124"/>
      <c r="BV61" s="124"/>
      <c r="BW61" s="124"/>
      <c r="BX61" s="124"/>
      <c r="BY61" s="124"/>
      <c r="BZ61" s="124"/>
      <c r="CA61" s="124"/>
    </row>
    <row r="62">
      <c r="A62" s="180" t="str">
        <f>HYPERLINK("https://drive.google.com/open?id=0B3oar8-GeP-IREU3TDZ4aFUyOVU","Stacy1995")</f>
        <v>Stacy1995</v>
      </c>
      <c r="B62" s="161" t="s">
        <v>1063</v>
      </c>
      <c r="C62" s="161" t="s">
        <v>751</v>
      </c>
      <c r="D62" s="110">
        <v>1995.0</v>
      </c>
      <c r="E62" s="112"/>
      <c r="F62" s="112"/>
      <c r="G62" s="111">
        <v>1.0</v>
      </c>
      <c r="H62" s="112"/>
      <c r="I62" s="111">
        <v>1.0</v>
      </c>
      <c r="J62" s="112"/>
      <c r="K62" s="112"/>
      <c r="L62" s="111">
        <v>1.0</v>
      </c>
      <c r="M62" s="111">
        <v>1.0</v>
      </c>
      <c r="N62" s="112"/>
      <c r="O62" s="112"/>
      <c r="P62" s="112"/>
      <c r="Q62" s="112"/>
      <c r="R62" s="112"/>
      <c r="S62" s="112"/>
      <c r="T62" s="112"/>
      <c r="U62" s="107"/>
      <c r="V62" s="113" t="s">
        <v>359</v>
      </c>
      <c r="W62" s="113" t="s">
        <v>221</v>
      </c>
      <c r="X62" s="113" t="s">
        <v>221</v>
      </c>
      <c r="Y62" s="113" t="s">
        <v>1064</v>
      </c>
      <c r="Z62" s="111">
        <v>1.0</v>
      </c>
      <c r="AA62" s="111"/>
      <c r="AB62" s="112"/>
      <c r="AC62" s="112"/>
      <c r="AD62" s="112"/>
      <c r="AE62" s="112"/>
      <c r="AF62" s="111">
        <v>1.0</v>
      </c>
      <c r="AG62" s="115" t="s">
        <v>1065</v>
      </c>
      <c r="AH62" s="124"/>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24"/>
      <c r="BE62" s="124"/>
      <c r="BF62" s="124"/>
      <c r="BG62" s="124"/>
      <c r="BH62" s="124"/>
      <c r="BI62" s="124"/>
      <c r="BJ62" s="124"/>
      <c r="BK62" s="124"/>
      <c r="BL62" s="124"/>
      <c r="BM62" s="124"/>
      <c r="BN62" s="124"/>
      <c r="BO62" s="124"/>
      <c r="BP62" s="124"/>
      <c r="BQ62" s="124"/>
      <c r="BR62" s="124"/>
      <c r="BS62" s="124"/>
      <c r="BT62" s="124"/>
      <c r="BU62" s="124"/>
      <c r="BV62" s="124"/>
      <c r="BW62" s="124"/>
      <c r="BX62" s="124"/>
      <c r="BY62" s="124"/>
      <c r="BZ62" s="124"/>
      <c r="CA62" s="124"/>
    </row>
    <row r="63">
      <c r="A63" s="88" t="str">
        <f>HYPERLINK("https://drive.google.com/open?id=0B3oar8-GeP-IZ01QVDZmdV9GN1E","Mateos2014")</f>
        <v>Mateos2014</v>
      </c>
      <c r="B63" s="161" t="s">
        <v>4179</v>
      </c>
      <c r="C63" s="161" t="s">
        <v>4136</v>
      </c>
      <c r="D63" s="161">
        <v>2014.0</v>
      </c>
      <c r="E63" s="111">
        <v>1.0</v>
      </c>
      <c r="F63" s="112"/>
      <c r="G63" s="111">
        <v>1.0</v>
      </c>
      <c r="H63" s="112"/>
      <c r="I63" s="112"/>
      <c r="J63" s="112"/>
      <c r="K63" s="112"/>
      <c r="L63" s="112"/>
      <c r="M63" s="112"/>
      <c r="N63" s="112"/>
      <c r="O63" s="112"/>
      <c r="P63" s="112"/>
      <c r="Q63" s="112"/>
      <c r="R63" s="112"/>
      <c r="S63" s="112"/>
      <c r="T63" s="112"/>
      <c r="U63" s="107"/>
      <c r="V63" s="113" t="s">
        <v>197</v>
      </c>
      <c r="W63" s="107"/>
      <c r="X63" s="107"/>
      <c r="Y63" s="107"/>
      <c r="Z63" s="112"/>
      <c r="AA63" s="112"/>
      <c r="AB63" s="112"/>
      <c r="AC63" s="112"/>
      <c r="AD63" s="112"/>
      <c r="AE63" s="112"/>
      <c r="AF63" s="112"/>
      <c r="AG63" s="124"/>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row>
    <row r="64">
      <c r="A64" s="88" t="str">
        <f>HYPERLINK("https://drive.google.com/open?id=0B3oar8-GeP-IQ1JMc0pkN29KR2c","Murphy2010")</f>
        <v>Murphy2010</v>
      </c>
      <c r="B64" s="161" t="s">
        <v>795</v>
      </c>
      <c r="C64" s="161" t="s">
        <v>796</v>
      </c>
      <c r="D64" s="110">
        <v>2010.0</v>
      </c>
      <c r="E64" s="112"/>
      <c r="F64" s="112"/>
      <c r="G64" s="111">
        <v>1.0</v>
      </c>
      <c r="H64" s="111">
        <v>1.0</v>
      </c>
      <c r="I64" s="112"/>
      <c r="J64" s="112"/>
      <c r="K64" s="112"/>
      <c r="L64" s="112"/>
      <c r="M64" s="111">
        <v>1.0</v>
      </c>
      <c r="N64" s="112"/>
      <c r="O64" s="112"/>
      <c r="P64" s="112"/>
      <c r="Q64" s="112"/>
      <c r="R64" s="112"/>
      <c r="S64" s="112"/>
      <c r="T64" s="112"/>
      <c r="U64" s="107"/>
      <c r="V64" s="113" t="s">
        <v>797</v>
      </c>
      <c r="W64" s="107"/>
      <c r="X64" s="107"/>
      <c r="Y64" s="113" t="s">
        <v>798</v>
      </c>
      <c r="Z64" s="111">
        <v>1.0</v>
      </c>
      <c r="AA64" s="112"/>
      <c r="AB64" s="112"/>
      <c r="AC64" s="112"/>
      <c r="AD64" s="112"/>
      <c r="AE64" s="112"/>
      <c r="AF64" s="111">
        <v>1.0</v>
      </c>
      <c r="AG64" s="115" t="s">
        <v>799</v>
      </c>
      <c r="AH64" s="115">
        <v>1.0</v>
      </c>
      <c r="AI64" s="124"/>
      <c r="AJ64" s="124"/>
      <c r="AK64" s="124"/>
      <c r="AL64" s="124"/>
      <c r="AM64" s="124"/>
      <c r="AN64" s="124"/>
      <c r="AO64" s="124"/>
      <c r="AP64" s="124"/>
      <c r="AQ64" s="115">
        <v>1.0</v>
      </c>
      <c r="AR64" s="124"/>
      <c r="AS64" s="124"/>
      <c r="AT64" s="124"/>
      <c r="AU64" s="124"/>
      <c r="AV64" s="124"/>
      <c r="AW64" s="124"/>
      <c r="AX64" s="124"/>
      <c r="AY64" s="124"/>
      <c r="AZ64" s="124"/>
      <c r="BA64" s="124"/>
      <c r="BB64" s="124"/>
      <c r="BC64" s="124"/>
      <c r="BD64" s="124"/>
      <c r="BE64" s="124"/>
      <c r="BF64" s="124"/>
      <c r="BG64" s="124"/>
      <c r="BH64" s="124"/>
      <c r="BI64" s="124"/>
      <c r="BJ64" s="124"/>
      <c r="BK64" s="124"/>
      <c r="BL64" s="124"/>
      <c r="BM64" s="124"/>
      <c r="BN64" s="124"/>
      <c r="BO64" s="124"/>
      <c r="BP64" s="124"/>
      <c r="BQ64" s="124"/>
      <c r="BR64" s="124"/>
      <c r="BS64" s="124"/>
      <c r="BT64" s="124"/>
      <c r="BU64" s="124"/>
      <c r="BV64" s="124"/>
      <c r="BW64" s="124"/>
      <c r="BX64" s="124"/>
      <c r="BY64" s="124"/>
      <c r="BZ64" s="124"/>
      <c r="CA64" s="124"/>
    </row>
    <row r="65">
      <c r="A65" s="184" t="str">
        <f>HYPERLINK("https://drive.google.com/open?id=1C879kkuAmjVC34ynYjQ3dn16vinOliiZ","Shmueli2015")</f>
        <v>Shmueli2015</v>
      </c>
      <c r="B65" s="176" t="s">
        <v>955</v>
      </c>
      <c r="C65" s="176" t="s">
        <v>661</v>
      </c>
      <c r="D65" s="185">
        <v>2015.0</v>
      </c>
      <c r="E65" s="163"/>
      <c r="F65" s="160">
        <v>1.0</v>
      </c>
      <c r="G65" s="163"/>
      <c r="H65" s="163"/>
      <c r="I65" s="163"/>
      <c r="J65" s="163"/>
      <c r="K65" s="163"/>
      <c r="L65" s="160">
        <v>1.0</v>
      </c>
      <c r="M65" s="163"/>
      <c r="N65" s="163"/>
      <c r="O65" s="163"/>
      <c r="P65" s="163"/>
      <c r="Q65" s="163"/>
      <c r="R65" s="163"/>
      <c r="S65" s="163"/>
      <c r="T65" s="163"/>
      <c r="U65" s="177"/>
      <c r="V65" s="113" t="s">
        <v>359</v>
      </c>
      <c r="W65" s="177"/>
      <c r="X65" s="177"/>
      <c r="Y65" s="186" t="s">
        <v>956</v>
      </c>
      <c r="Z65" s="163"/>
      <c r="AA65" s="163"/>
      <c r="AB65" s="163"/>
      <c r="AC65" s="163"/>
      <c r="AD65" s="163"/>
      <c r="AE65" s="163"/>
      <c r="AF65" s="163"/>
      <c r="AG65" s="178"/>
      <c r="AH65" s="115">
        <v>1.0</v>
      </c>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v>1.0</v>
      </c>
      <c r="BI65" s="115"/>
      <c r="BJ65" s="115"/>
      <c r="BK65" s="115"/>
      <c r="BL65" s="115"/>
      <c r="BM65" s="115"/>
      <c r="BN65" s="115"/>
      <c r="BO65" s="115"/>
      <c r="BP65" s="115"/>
      <c r="BQ65" s="115"/>
      <c r="BR65" s="115"/>
      <c r="BS65" s="115"/>
      <c r="BT65" s="115"/>
      <c r="BU65" s="115"/>
      <c r="BV65" s="115"/>
      <c r="BW65" s="115"/>
      <c r="BX65" s="115"/>
      <c r="BY65" s="115"/>
      <c r="BZ65" s="115"/>
      <c r="CA65" s="115"/>
    </row>
    <row r="66">
      <c r="A66" s="179" t="s">
        <v>4551</v>
      </c>
      <c r="B66" s="179" t="s">
        <v>4552</v>
      </c>
      <c r="C66" s="179" t="s">
        <v>4553</v>
      </c>
      <c r="D66" s="170">
        <v>2010.0</v>
      </c>
      <c r="E66" s="171">
        <v>1.0</v>
      </c>
      <c r="F66" s="171">
        <v>1.0</v>
      </c>
      <c r="G66" s="172"/>
      <c r="H66" s="172"/>
      <c r="I66" s="172"/>
      <c r="J66" s="172"/>
      <c r="K66" s="172"/>
      <c r="L66" s="172"/>
      <c r="M66" s="172"/>
      <c r="N66" s="172"/>
      <c r="O66" s="172"/>
      <c r="P66" s="172"/>
      <c r="Q66" s="172"/>
      <c r="R66" s="172"/>
      <c r="S66" s="172"/>
      <c r="T66" s="172"/>
      <c r="U66" s="173"/>
      <c r="V66" s="173"/>
      <c r="W66" s="173"/>
      <c r="X66" s="173"/>
      <c r="Y66" s="173"/>
      <c r="Z66" s="172"/>
      <c r="AA66" s="172"/>
      <c r="AB66" s="172"/>
      <c r="AC66" s="172"/>
      <c r="AD66" s="172"/>
      <c r="AE66" s="172"/>
      <c r="AF66" s="172"/>
      <c r="AG66" s="174"/>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c r="A67" s="88" t="str">
        <f>HYPERLINK("https://arxiv.org/pdf/1505.04563.pdf","Graziotin2015")</f>
        <v>Graziotin2015</v>
      </c>
      <c r="B67" s="161" t="s">
        <v>4554</v>
      </c>
      <c r="C67" s="161" t="s">
        <v>4504</v>
      </c>
      <c r="D67" s="110">
        <v>2015.0</v>
      </c>
      <c r="E67" s="111">
        <v>1.0</v>
      </c>
      <c r="F67" s="112"/>
      <c r="G67" s="112"/>
      <c r="H67" s="111">
        <v>1.0</v>
      </c>
      <c r="I67" s="112"/>
      <c r="J67" s="112"/>
      <c r="K67" s="112"/>
      <c r="L67" s="112"/>
      <c r="M67" s="112"/>
      <c r="N67" s="112"/>
      <c r="O67" s="112"/>
      <c r="P67" s="112"/>
      <c r="Q67" s="112"/>
      <c r="R67" s="112"/>
      <c r="S67" s="112"/>
      <c r="T67" s="112"/>
      <c r="U67" s="107"/>
      <c r="V67" s="107"/>
      <c r="W67" s="107"/>
      <c r="X67" s="107"/>
      <c r="Y67" s="107"/>
      <c r="Z67" s="112"/>
      <c r="AA67" s="112"/>
      <c r="AB67" s="112"/>
      <c r="AC67" s="112"/>
      <c r="AD67" s="112"/>
      <c r="AE67" s="112"/>
      <c r="AF67" s="112"/>
      <c r="AG67" s="124"/>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c r="A68" s="88" t="str">
        <f>HYPERLINK("https://pdfs.semanticscholar.org/7d58/4d9f8f56dbb82a3e02478faaa5384603bc39.pdf","Peng2011a")</f>
        <v>Peng2011a</v>
      </c>
      <c r="B68" s="161" t="s">
        <v>4555</v>
      </c>
      <c r="C68" s="161" t="s">
        <v>252</v>
      </c>
      <c r="D68" s="161">
        <v>2011.0</v>
      </c>
      <c r="E68" s="111">
        <v>1.0</v>
      </c>
      <c r="F68" s="112"/>
      <c r="G68" s="111">
        <v>1.0</v>
      </c>
      <c r="H68" s="112"/>
      <c r="I68" s="112"/>
      <c r="J68" s="112"/>
      <c r="K68" s="112"/>
      <c r="L68" s="112"/>
      <c r="M68" s="112"/>
      <c r="N68" s="112"/>
      <c r="O68" s="112"/>
      <c r="P68" s="112"/>
      <c r="Q68" s="112"/>
      <c r="R68" s="112"/>
      <c r="S68" s="112"/>
      <c r="T68" s="112"/>
      <c r="U68" s="107"/>
      <c r="V68" s="113" t="s">
        <v>842</v>
      </c>
      <c r="W68" s="107"/>
      <c r="X68" s="107"/>
      <c r="Y68" s="107"/>
      <c r="Z68" s="112"/>
      <c r="AA68" s="112"/>
      <c r="AB68" s="112"/>
      <c r="AC68" s="112"/>
      <c r="AD68" s="112"/>
      <c r="AE68" s="112"/>
      <c r="AF68" s="112"/>
      <c r="AG68" s="124"/>
      <c r="AH68" s="124"/>
      <c r="AI68" s="124"/>
      <c r="AJ68" s="124"/>
      <c r="AK68" s="124"/>
      <c r="AL68" s="124"/>
      <c r="AM68" s="124"/>
      <c r="AN68" s="124"/>
      <c r="AO68" s="124"/>
      <c r="AP68" s="124"/>
      <c r="AQ68" s="124"/>
      <c r="AR68" s="124"/>
      <c r="AS68" s="124"/>
      <c r="AT68" s="124"/>
      <c r="AU68" s="124"/>
      <c r="AV68" s="124"/>
      <c r="AW68" s="124"/>
      <c r="AX68" s="124"/>
      <c r="AY68" s="124"/>
      <c r="AZ68" s="124"/>
      <c r="BA68" s="124"/>
      <c r="BB68" s="124"/>
      <c r="BC68" s="124"/>
      <c r="BD68" s="124"/>
      <c r="BE68" s="124"/>
      <c r="BF68" s="124"/>
      <c r="BG68" s="124"/>
      <c r="BH68" s="124"/>
      <c r="BI68" s="124"/>
      <c r="BJ68" s="124"/>
      <c r="BK68" s="124"/>
      <c r="BL68" s="124"/>
      <c r="BM68" s="124"/>
      <c r="BN68" s="124"/>
      <c r="BO68" s="124"/>
      <c r="BP68" s="124"/>
      <c r="BQ68" s="124"/>
      <c r="BR68" s="124"/>
      <c r="BS68" s="124"/>
      <c r="BT68" s="124"/>
      <c r="BU68" s="124"/>
      <c r="BV68" s="124"/>
      <c r="BW68" s="124"/>
      <c r="BX68" s="124"/>
      <c r="BY68" s="124"/>
      <c r="BZ68" s="124"/>
      <c r="CA68" s="124"/>
    </row>
    <row r="69">
      <c r="A69" s="88" t="str">
        <f>HYPERLINK("https://www.researchgate.net/profile/Panagiotis_Fotaris/publication/309034354_Practice_makes_perfect_-_Gamification_of_a_competitive_learning_experience/links/57fe99ff08ae6b2da3c8951a.pdf","Kheirkhahzadeh2016")</f>
        <v>Kheirkhahzadeh2016</v>
      </c>
      <c r="B69" s="161" t="s">
        <v>2162</v>
      </c>
      <c r="C69" s="161" t="s">
        <v>2163</v>
      </c>
      <c r="D69" s="161">
        <v>2016.0</v>
      </c>
      <c r="E69" s="111">
        <v>1.0</v>
      </c>
      <c r="F69" s="112"/>
      <c r="G69" s="112"/>
      <c r="H69" s="112"/>
      <c r="I69" s="112"/>
      <c r="J69" s="112"/>
      <c r="K69" s="112"/>
      <c r="L69" s="112"/>
      <c r="M69" s="112"/>
      <c r="N69" s="112"/>
      <c r="O69" s="112"/>
      <c r="P69" s="112"/>
      <c r="Q69" s="112"/>
      <c r="R69" s="112"/>
      <c r="S69" s="112"/>
      <c r="T69" s="112"/>
      <c r="U69" s="107"/>
      <c r="V69" s="107"/>
      <c r="W69" s="107"/>
      <c r="X69" s="107"/>
      <c r="Y69" s="107"/>
      <c r="Z69" s="112"/>
      <c r="AA69" s="112"/>
      <c r="AB69" s="112"/>
      <c r="AC69" s="112"/>
      <c r="AD69" s="112"/>
      <c r="AE69" s="112"/>
      <c r="AF69" s="112"/>
      <c r="AG69" s="124"/>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c r="A70" s="180" t="str">
        <f>HYPERLINK("https://drive.google.com/open?id=0B3oar8-GeP-IYnhOWW9Jb3lTNUE","Dhukaram2016")</f>
        <v>Dhukaram2016</v>
      </c>
      <c r="B70" s="161" t="s">
        <v>426</v>
      </c>
      <c r="C70" s="161" t="s">
        <v>296</v>
      </c>
      <c r="D70" s="110">
        <v>2016.0</v>
      </c>
      <c r="E70" s="112"/>
      <c r="F70" s="111">
        <v>1.0</v>
      </c>
      <c r="G70" s="111">
        <v>1.0</v>
      </c>
      <c r="H70" s="112"/>
      <c r="I70" s="112"/>
      <c r="J70" s="112"/>
      <c r="K70" s="112"/>
      <c r="L70" s="112"/>
      <c r="M70" s="112"/>
      <c r="N70" s="112"/>
      <c r="O70" s="112"/>
      <c r="P70" s="112"/>
      <c r="Q70" s="112"/>
      <c r="R70" s="112"/>
      <c r="S70" s="112"/>
      <c r="T70" s="112"/>
      <c r="U70" s="113" t="s">
        <v>427</v>
      </c>
      <c r="V70" s="107"/>
      <c r="W70" s="113" t="s">
        <v>221</v>
      </c>
      <c r="X70" s="113" t="s">
        <v>92</v>
      </c>
      <c r="Y70" s="113" t="s">
        <v>428</v>
      </c>
      <c r="Z70" s="111">
        <v>1.0</v>
      </c>
      <c r="AA70" s="112"/>
      <c r="AB70" s="111">
        <v>1.0</v>
      </c>
      <c r="AC70" s="112"/>
      <c r="AD70" s="112"/>
      <c r="AE70" s="112"/>
      <c r="AF70" s="112"/>
      <c r="AG70" s="115" t="s">
        <v>429</v>
      </c>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c r="A71" s="88" t="str">
        <f>HYPERLINK("https://boris.unibe.ch/39356/1/KrancherDibbernICIS2012.pdf","Krancher2012")</f>
        <v>Krancher2012</v>
      </c>
      <c r="B71" s="161" t="s">
        <v>658</v>
      </c>
      <c r="C71" s="161" t="s">
        <v>296</v>
      </c>
      <c r="D71" s="110">
        <v>2012.0</v>
      </c>
      <c r="E71" s="112"/>
      <c r="F71" s="112"/>
      <c r="G71" s="111"/>
      <c r="H71" s="111"/>
      <c r="I71" s="112"/>
      <c r="J71" s="111">
        <v>1.0</v>
      </c>
      <c r="K71" s="112"/>
      <c r="L71" s="112"/>
      <c r="M71" s="112"/>
      <c r="N71" s="112"/>
      <c r="O71" s="112"/>
      <c r="P71" s="112"/>
      <c r="Q71" s="112"/>
      <c r="R71" s="112"/>
      <c r="S71" s="112"/>
      <c r="T71" s="112"/>
      <c r="U71" s="113" t="s">
        <v>353</v>
      </c>
      <c r="V71" s="140" t="s">
        <v>9</v>
      </c>
      <c r="W71" s="113" t="s">
        <v>221</v>
      </c>
      <c r="X71" s="113" t="s">
        <v>659</v>
      </c>
      <c r="Y71" s="113" t="s">
        <v>542</v>
      </c>
      <c r="Z71" s="111"/>
      <c r="AA71" s="111">
        <v>1.0</v>
      </c>
      <c r="AB71" s="112"/>
      <c r="AC71" s="111">
        <v>1.0</v>
      </c>
      <c r="AD71" s="112"/>
      <c r="AE71" s="112"/>
      <c r="AF71" s="112"/>
      <c r="AG71" s="115"/>
      <c r="AH71" s="115">
        <v>1.0</v>
      </c>
      <c r="AI71" s="115"/>
      <c r="AJ71" s="115"/>
      <c r="AK71" s="115"/>
      <c r="AL71" s="115"/>
      <c r="AM71" s="115"/>
      <c r="AN71" s="115"/>
      <c r="AO71" s="115"/>
      <c r="AP71" s="115"/>
      <c r="AQ71" s="115">
        <v>1.0</v>
      </c>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c r="A72" s="88" t="str">
        <f>HYPERLINK("http://www.daniela.ece.ufl.edu/Research_files/acsac14.pdf","Oliveira2014")</f>
        <v>Oliveira2014</v>
      </c>
      <c r="B72" s="161" t="s">
        <v>813</v>
      </c>
      <c r="C72" s="161" t="s">
        <v>278</v>
      </c>
      <c r="D72" s="110">
        <v>2014.0</v>
      </c>
      <c r="E72" s="112"/>
      <c r="F72" s="112"/>
      <c r="G72" s="111">
        <v>1.0</v>
      </c>
      <c r="H72" s="111">
        <v>1.0</v>
      </c>
      <c r="I72" s="112"/>
      <c r="J72" s="112"/>
      <c r="K72" s="112"/>
      <c r="L72" s="112"/>
      <c r="M72" s="112"/>
      <c r="N72" s="112"/>
      <c r="O72" s="112"/>
      <c r="P72" s="112"/>
      <c r="Q72" s="112"/>
      <c r="R72" s="112"/>
      <c r="S72" s="112"/>
      <c r="T72" s="112"/>
      <c r="U72" s="113" t="s">
        <v>814</v>
      </c>
      <c r="V72" s="140" t="s">
        <v>815</v>
      </c>
      <c r="W72" s="113" t="s">
        <v>221</v>
      </c>
      <c r="X72" s="113" t="s">
        <v>816</v>
      </c>
      <c r="Y72" s="107"/>
      <c r="Z72" s="111">
        <v>1.0</v>
      </c>
      <c r="AA72" s="111">
        <v>1.0</v>
      </c>
      <c r="AB72" s="112"/>
      <c r="AC72" s="111">
        <v>1.0</v>
      </c>
      <c r="AD72" s="112"/>
      <c r="AE72" s="112"/>
      <c r="AF72" s="112"/>
      <c r="AG72" s="115" t="s">
        <v>817</v>
      </c>
      <c r="AH72" s="115">
        <v>1.0</v>
      </c>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v>1.0</v>
      </c>
      <c r="BG72" s="115"/>
      <c r="BH72" s="115"/>
      <c r="BI72" s="115"/>
      <c r="BJ72" s="115"/>
      <c r="BK72" s="115"/>
      <c r="BL72" s="115"/>
      <c r="BM72" s="115"/>
      <c r="BN72" s="115"/>
      <c r="BO72" s="115"/>
      <c r="BP72" s="115"/>
      <c r="BQ72" s="115"/>
      <c r="BR72" s="115"/>
      <c r="BS72" s="115"/>
      <c r="BT72" s="115">
        <v>1.0</v>
      </c>
      <c r="BU72" s="115"/>
      <c r="BV72" s="115"/>
      <c r="BW72" s="115"/>
      <c r="BX72" s="115"/>
      <c r="BY72" s="115"/>
      <c r="BZ72" s="115"/>
      <c r="CA72" s="115"/>
    </row>
    <row r="73">
      <c r="A73" s="180" t="str">
        <f>HYPERLINK("https://drive.google.com/open?id=0B3oar8-GeP-IT0N2dFFNc2lKZ0U","Sinha2015")</f>
        <v>Sinha2015</v>
      </c>
      <c r="B73" s="161" t="s">
        <v>1026</v>
      </c>
      <c r="C73" s="161" t="s">
        <v>211</v>
      </c>
      <c r="D73" s="110">
        <v>2015.0</v>
      </c>
      <c r="E73" s="112"/>
      <c r="F73" s="112"/>
      <c r="G73" s="111">
        <v>1.0</v>
      </c>
      <c r="H73" s="112"/>
      <c r="I73" s="112"/>
      <c r="J73" s="112"/>
      <c r="K73" s="112"/>
      <c r="L73" s="112"/>
      <c r="M73" s="112"/>
      <c r="N73" s="112"/>
      <c r="O73" s="112"/>
      <c r="P73" s="112"/>
      <c r="Q73" s="112"/>
      <c r="R73" s="112"/>
      <c r="S73" s="112"/>
      <c r="T73" s="112"/>
      <c r="U73" s="113" t="s">
        <v>1027</v>
      </c>
      <c r="V73" s="113" t="s">
        <v>1028</v>
      </c>
      <c r="W73" s="113" t="s">
        <v>1029</v>
      </c>
      <c r="X73" s="113" t="s">
        <v>1030</v>
      </c>
      <c r="Y73" s="113" t="s">
        <v>1031</v>
      </c>
      <c r="Z73" s="112"/>
      <c r="AA73" s="111">
        <v>1.0</v>
      </c>
      <c r="AB73" s="112"/>
      <c r="AC73" s="111">
        <v>1.0</v>
      </c>
      <c r="AD73" s="112"/>
      <c r="AE73" s="112"/>
      <c r="AF73" s="112"/>
      <c r="AG73" s="115" t="s">
        <v>1032</v>
      </c>
      <c r="AH73" s="115">
        <v>1.0</v>
      </c>
      <c r="AI73" s="115"/>
      <c r="AJ73" s="115"/>
      <c r="AK73" s="115"/>
      <c r="AL73" s="115"/>
      <c r="AM73" s="115">
        <v>1.0</v>
      </c>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v>1.0</v>
      </c>
      <c r="BY73" s="115"/>
      <c r="BZ73" s="115"/>
      <c r="CA73" s="115"/>
    </row>
    <row r="74">
      <c r="A74" s="88" t="str">
        <f>HYPERLINK("https://drive.google.com/open?id=0B3oar8-GeP-IMU5NRnlOQW9DanM","Shepperd2014")</f>
        <v>Shepperd2014</v>
      </c>
      <c r="B74" s="161" t="s">
        <v>4556</v>
      </c>
      <c r="C74" s="161" t="s">
        <v>4557</v>
      </c>
      <c r="D74" s="161">
        <v>2014.0</v>
      </c>
      <c r="E74" s="111">
        <v>1.0</v>
      </c>
      <c r="F74" s="112"/>
      <c r="G74" s="112"/>
      <c r="H74" s="112"/>
      <c r="I74" s="112"/>
      <c r="J74" s="112"/>
      <c r="K74" s="112"/>
      <c r="L74" s="111">
        <v>1.0</v>
      </c>
      <c r="M74" s="112"/>
      <c r="N74" s="112"/>
      <c r="O74" s="112"/>
      <c r="P74" s="112"/>
      <c r="Q74" s="112"/>
      <c r="R74" s="112"/>
      <c r="S74" s="112"/>
      <c r="T74" s="112"/>
      <c r="U74" s="113" t="s">
        <v>4558</v>
      </c>
      <c r="V74" s="113" t="s">
        <v>4559</v>
      </c>
      <c r="W74" s="113" t="s">
        <v>4560</v>
      </c>
      <c r="X74" s="113" t="s">
        <v>4560</v>
      </c>
      <c r="Y74" s="113" t="s">
        <v>4561</v>
      </c>
      <c r="Z74" s="111">
        <v>1.0</v>
      </c>
      <c r="AA74" s="112"/>
      <c r="AB74" s="112"/>
      <c r="AC74" s="112"/>
      <c r="AD74" s="112"/>
      <c r="AE74" s="111">
        <v>1.0</v>
      </c>
      <c r="AF74" s="112"/>
      <c r="AG74" s="115" t="s">
        <v>4562</v>
      </c>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c r="A75" s="175" t="str">
        <f>HYPERLINK("http://www.irma-international.org/viewtitle/29393/","Wong2006")</f>
        <v>Wong2006</v>
      </c>
      <c r="B75" s="179" t="s">
        <v>4563</v>
      </c>
      <c r="C75" s="179" t="s">
        <v>4564</v>
      </c>
      <c r="D75" s="170">
        <v>2006.0</v>
      </c>
      <c r="E75" s="171">
        <v>1.0</v>
      </c>
      <c r="F75" s="172"/>
      <c r="G75" s="172"/>
      <c r="H75" s="172"/>
      <c r="I75" s="172"/>
      <c r="J75" s="172"/>
      <c r="K75" s="172"/>
      <c r="L75" s="172"/>
      <c r="M75" s="172"/>
      <c r="N75" s="172"/>
      <c r="O75" s="172"/>
      <c r="P75" s="172"/>
      <c r="Q75" s="172"/>
      <c r="R75" s="172"/>
      <c r="S75" s="172"/>
      <c r="T75" s="172"/>
      <c r="U75" s="173"/>
      <c r="V75" s="187" t="s">
        <v>4565</v>
      </c>
      <c r="W75" s="173"/>
      <c r="X75" s="173"/>
      <c r="Y75" s="173"/>
      <c r="Z75" s="172"/>
      <c r="AA75" s="172"/>
      <c r="AB75" s="172"/>
      <c r="AC75" s="172"/>
      <c r="AD75" s="172"/>
      <c r="AE75" s="172"/>
      <c r="AF75" s="172"/>
      <c r="AG75" s="174"/>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c r="A76" s="88" t="str">
        <f>HYPERLINK("https://www.researchgate.net/profile/Senthilrajan_Moorthy/publication/224261850_Program_Comprehension_and_Implications_of_Human_Navigational_Approaches/links/542d96010cf29bbc126d4aa2.pdf","Moorthy2011")</f>
        <v>Moorthy2011</v>
      </c>
      <c r="B76" s="161" t="s">
        <v>782</v>
      </c>
      <c r="C76" s="161" t="s">
        <v>783</v>
      </c>
      <c r="D76" s="161">
        <v>2011.0</v>
      </c>
      <c r="E76" s="112"/>
      <c r="F76" s="112"/>
      <c r="G76" s="112"/>
      <c r="H76" s="111">
        <v>1.0</v>
      </c>
      <c r="I76" s="112"/>
      <c r="J76" s="112"/>
      <c r="K76" s="112"/>
      <c r="L76" s="112"/>
      <c r="M76" s="112"/>
      <c r="N76" s="112"/>
      <c r="O76" s="112"/>
      <c r="P76" s="112"/>
      <c r="Q76" s="112"/>
      <c r="R76" s="112"/>
      <c r="S76" s="112"/>
      <c r="T76" s="112"/>
      <c r="U76" s="113" t="s">
        <v>784</v>
      </c>
      <c r="V76" s="140" t="s">
        <v>785</v>
      </c>
      <c r="W76" s="188" t="s">
        <v>786</v>
      </c>
      <c r="X76" s="113" t="s">
        <v>787</v>
      </c>
      <c r="Y76" s="113" t="s">
        <v>307</v>
      </c>
      <c r="Z76" s="111">
        <v>1.0</v>
      </c>
      <c r="AA76" s="112"/>
      <c r="AB76" s="112"/>
      <c r="AC76" s="111">
        <v>1.0</v>
      </c>
      <c r="AD76" s="112"/>
      <c r="AE76" s="112"/>
      <c r="AF76" s="112"/>
      <c r="AG76" s="115" t="s">
        <v>788</v>
      </c>
      <c r="AH76" s="115">
        <v>1.0</v>
      </c>
      <c r="AI76" s="115"/>
      <c r="AJ76" s="115"/>
      <c r="AK76" s="115"/>
      <c r="AL76" s="115"/>
      <c r="AM76" s="115">
        <v>1.0</v>
      </c>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v>1.0</v>
      </c>
      <c r="CA76" s="115"/>
    </row>
    <row r="77">
      <c r="A77" s="88" t="str">
        <f>HYPERLINK("https://drive.google.com/open?id=0B3oar8-GeP-IX0N1NEZnVUxOaEk","Yuce2011")</f>
        <v>Yuce2011</v>
      </c>
      <c r="B77" s="161" t="s">
        <v>4566</v>
      </c>
      <c r="C77" s="161" t="s">
        <v>1814</v>
      </c>
      <c r="D77" s="110">
        <v>2011.0</v>
      </c>
      <c r="E77" s="111">
        <v>1.0</v>
      </c>
      <c r="F77" s="112"/>
      <c r="G77" s="112"/>
      <c r="H77" s="112"/>
      <c r="I77" s="112"/>
      <c r="J77" s="112"/>
      <c r="K77" s="112"/>
      <c r="L77" s="112"/>
      <c r="M77" s="112"/>
      <c r="N77" s="112"/>
      <c r="O77" s="112"/>
      <c r="P77" s="112"/>
      <c r="Q77" s="112"/>
      <c r="R77" s="112"/>
      <c r="S77" s="112"/>
      <c r="T77" s="112"/>
      <c r="U77" s="107"/>
      <c r="V77" s="107"/>
      <c r="W77" s="113"/>
      <c r="X77" s="107"/>
      <c r="Y77" s="107"/>
      <c r="Z77" s="112"/>
      <c r="AA77" s="112"/>
      <c r="AB77" s="112"/>
      <c r="AC77" s="112"/>
      <c r="AD77" s="112"/>
      <c r="AE77" s="112"/>
      <c r="AF77" s="112"/>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124"/>
      <c r="BG77" s="124"/>
      <c r="BH77" s="124"/>
      <c r="BI77" s="124"/>
      <c r="BJ77" s="124"/>
      <c r="BK77" s="124"/>
      <c r="BL77" s="124"/>
      <c r="BM77" s="124"/>
      <c r="BN77" s="124"/>
      <c r="BO77" s="124"/>
      <c r="BP77" s="124"/>
      <c r="BQ77" s="124"/>
      <c r="BR77" s="124"/>
      <c r="BS77" s="124"/>
      <c r="BT77" s="124"/>
      <c r="BU77" s="124"/>
      <c r="BV77" s="124"/>
      <c r="BW77" s="124"/>
      <c r="BX77" s="124"/>
      <c r="BY77" s="124"/>
      <c r="BZ77" s="124"/>
      <c r="CA77" s="124"/>
    </row>
    <row r="78">
      <c r="A78" s="88" t="str">
        <f>HYPERLINK("http://oro.open.ac.uk/45345/1/ESEM2013.pdf","Calikli2013a")</f>
        <v>Calikli2013a</v>
      </c>
      <c r="B78" s="161" t="s">
        <v>301</v>
      </c>
      <c r="C78" s="161" t="s">
        <v>302</v>
      </c>
      <c r="D78" s="110">
        <v>2013.0</v>
      </c>
      <c r="E78" s="112"/>
      <c r="F78" s="112"/>
      <c r="G78" s="112"/>
      <c r="H78" s="112"/>
      <c r="I78" s="112"/>
      <c r="J78" s="112"/>
      <c r="K78" s="112"/>
      <c r="L78" s="111">
        <v>1.0</v>
      </c>
      <c r="M78" s="111">
        <v>1.0</v>
      </c>
      <c r="N78" s="112"/>
      <c r="O78" s="112"/>
      <c r="P78" s="112"/>
      <c r="Q78" s="112"/>
      <c r="R78" s="112"/>
      <c r="S78" s="112"/>
      <c r="T78" s="112"/>
      <c r="U78" s="113" t="s">
        <v>303</v>
      </c>
      <c r="V78" s="113" t="s">
        <v>304</v>
      </c>
      <c r="W78" s="113" t="s">
        <v>305</v>
      </c>
      <c r="X78" s="113" t="s">
        <v>306</v>
      </c>
      <c r="Y78" s="113" t="s">
        <v>307</v>
      </c>
      <c r="Z78" s="112"/>
      <c r="AA78" s="111">
        <v>1.0</v>
      </c>
      <c r="AB78" s="112"/>
      <c r="AC78" s="111">
        <v>1.0</v>
      </c>
      <c r="AD78" s="112"/>
      <c r="AE78" s="112"/>
      <c r="AF78" s="112"/>
      <c r="AG78" s="115" t="s">
        <v>308</v>
      </c>
      <c r="AH78" s="115">
        <v>1.0</v>
      </c>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v>1.0</v>
      </c>
      <c r="BI78" s="115"/>
      <c r="BJ78" s="115"/>
      <c r="BK78" s="115"/>
      <c r="BL78" s="115"/>
      <c r="BM78" s="115"/>
      <c r="BN78" s="115"/>
      <c r="BO78" s="115"/>
      <c r="BP78" s="115"/>
      <c r="BQ78" s="115"/>
      <c r="BR78" s="115"/>
      <c r="BS78" s="115"/>
      <c r="BT78" s="115"/>
      <c r="BU78" s="115"/>
      <c r="BV78" s="115"/>
      <c r="BW78" s="115"/>
      <c r="BX78" s="115">
        <v>1.0</v>
      </c>
      <c r="BY78" s="115"/>
      <c r="BZ78" s="115"/>
      <c r="CA78" s="115"/>
    </row>
    <row r="79">
      <c r="A79" s="88" t="str">
        <f>HYPERLINK("https://www.researchgate.net/profile/Andrzej_Wasowski/publication/261192595_Example-Driven_Modeling_Model_Abstractions_Examples/links/562137f008ae93a5c927dc52.pdf","Bak2013")</f>
        <v>Bak2013</v>
      </c>
      <c r="B79" s="161" t="s">
        <v>4567</v>
      </c>
      <c r="C79" s="161" t="s">
        <v>196</v>
      </c>
      <c r="D79" s="110">
        <v>2013.0</v>
      </c>
      <c r="E79" s="111">
        <v>1.0</v>
      </c>
      <c r="F79" s="112"/>
      <c r="G79" s="112"/>
      <c r="H79" s="112"/>
      <c r="I79" s="112"/>
      <c r="J79" s="112"/>
      <c r="K79" s="112"/>
      <c r="L79" s="112"/>
      <c r="M79" s="112"/>
      <c r="N79" s="112"/>
      <c r="O79" s="112"/>
      <c r="P79" s="112"/>
      <c r="Q79" s="112"/>
      <c r="R79" s="112"/>
      <c r="S79" s="112"/>
      <c r="T79" s="112"/>
      <c r="U79" s="107"/>
      <c r="V79" s="107"/>
      <c r="W79" s="107"/>
      <c r="X79" s="107"/>
      <c r="Y79" s="107"/>
      <c r="Z79" s="112"/>
      <c r="AA79" s="112"/>
      <c r="AB79" s="112"/>
      <c r="AC79" s="112"/>
      <c r="AD79" s="112"/>
      <c r="AE79" s="112"/>
      <c r="AF79" s="112"/>
      <c r="AG79" s="124"/>
      <c r="AH79" s="124"/>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24"/>
      <c r="BI79" s="124"/>
      <c r="BJ79" s="124"/>
      <c r="BK79" s="124"/>
      <c r="BL79" s="124"/>
      <c r="BM79" s="124"/>
      <c r="BN79" s="124"/>
      <c r="BO79" s="124"/>
      <c r="BP79" s="124"/>
      <c r="BQ79" s="124"/>
      <c r="BR79" s="124"/>
      <c r="BS79" s="124"/>
      <c r="BT79" s="124"/>
      <c r="BU79" s="124"/>
      <c r="BV79" s="124"/>
      <c r="BW79" s="124"/>
      <c r="BX79" s="124"/>
      <c r="BY79" s="124"/>
      <c r="BZ79" s="124"/>
      <c r="CA79" s="124"/>
    </row>
    <row r="80">
      <c r="A80" s="88" t="str">
        <f>HYPERLINK("https://drive.google.com/open?id=0B3oar8-GeP-IdlBNWklYYVhKTDA","Fuchs2016")</f>
        <v>Fuchs2016</v>
      </c>
      <c r="B80" s="161" t="s">
        <v>2120</v>
      </c>
      <c r="C80" s="161" t="s">
        <v>2121</v>
      </c>
      <c r="D80" s="161">
        <v>2016.0</v>
      </c>
      <c r="E80" s="111">
        <v>1.0</v>
      </c>
      <c r="F80" s="112"/>
      <c r="G80" s="112"/>
      <c r="H80" s="112"/>
      <c r="I80" s="112"/>
      <c r="J80" s="112"/>
      <c r="K80" s="112"/>
      <c r="L80" s="112"/>
      <c r="M80" s="112"/>
      <c r="N80" s="112"/>
      <c r="O80" s="112"/>
      <c r="P80" s="112"/>
      <c r="Q80" s="112"/>
      <c r="R80" s="112"/>
      <c r="S80" s="112"/>
      <c r="T80" s="112"/>
      <c r="U80" s="107"/>
      <c r="V80" s="107"/>
      <c r="W80" s="107"/>
      <c r="X80" s="107"/>
      <c r="Y80" s="107"/>
      <c r="Z80" s="112"/>
      <c r="AA80" s="112"/>
      <c r="AB80" s="112"/>
      <c r="AC80" s="112"/>
      <c r="AD80" s="112"/>
      <c r="AE80" s="112"/>
      <c r="AF80" s="112"/>
      <c r="AG80" s="124"/>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c r="A81" s="88" t="str">
        <f>HYPERLINK("https://drive.google.com/open?id=0B3oar8-GeP-IWHpEUFpZc0lFOFE","Li2001")</f>
        <v>Li2001</v>
      </c>
      <c r="B81" s="161" t="s">
        <v>4568</v>
      </c>
      <c r="C81" s="161" t="s">
        <v>4569</v>
      </c>
      <c r="D81" s="110">
        <v>2001.0</v>
      </c>
      <c r="E81" s="111">
        <v>1.0</v>
      </c>
      <c r="F81" s="112"/>
      <c r="G81" s="112"/>
      <c r="H81" s="112"/>
      <c r="I81" s="112"/>
      <c r="J81" s="112"/>
      <c r="K81" s="112"/>
      <c r="L81" s="112"/>
      <c r="M81" s="112"/>
      <c r="N81" s="112"/>
      <c r="O81" s="112"/>
      <c r="P81" s="112"/>
      <c r="Q81" s="112"/>
      <c r="R81" s="112"/>
      <c r="S81" s="112"/>
      <c r="T81" s="112"/>
      <c r="U81" s="107"/>
      <c r="V81" s="107"/>
      <c r="W81" s="107"/>
      <c r="X81" s="107"/>
      <c r="Y81" s="107"/>
      <c r="Z81" s="112"/>
      <c r="AA81" s="112"/>
      <c r="AB81" s="112"/>
      <c r="AC81" s="112"/>
      <c r="AD81" s="112"/>
      <c r="AE81" s="112"/>
      <c r="AF81" s="112"/>
      <c r="AG81" s="124"/>
      <c r="AH81" s="124"/>
      <c r="AI81" s="124"/>
      <c r="AJ81" s="124"/>
      <c r="AK81" s="124"/>
      <c r="AL81" s="124"/>
      <c r="AM81" s="124"/>
      <c r="AN81" s="124"/>
      <c r="AO81" s="124"/>
      <c r="AP81" s="124"/>
      <c r="AQ81" s="124"/>
      <c r="AR81" s="124"/>
      <c r="AS81" s="124"/>
      <c r="AT81" s="124"/>
      <c r="AU81" s="124"/>
      <c r="AV81" s="124"/>
      <c r="AW81" s="124"/>
      <c r="AX81" s="124"/>
      <c r="AY81" s="124"/>
      <c r="AZ81" s="124"/>
      <c r="BA81" s="124"/>
      <c r="BB81" s="124"/>
      <c r="BC81" s="124"/>
      <c r="BD81" s="124"/>
      <c r="BE81" s="124"/>
      <c r="BF81" s="124"/>
      <c r="BG81" s="124"/>
      <c r="BH81" s="124"/>
      <c r="BI81" s="124"/>
      <c r="BJ81" s="124"/>
      <c r="BK81" s="124"/>
      <c r="BL81" s="124"/>
      <c r="BM81" s="124"/>
      <c r="BN81" s="124"/>
      <c r="BO81" s="124"/>
      <c r="BP81" s="124"/>
      <c r="BQ81" s="124"/>
      <c r="BR81" s="124"/>
      <c r="BS81" s="124"/>
      <c r="BT81" s="124"/>
      <c r="BU81" s="124"/>
      <c r="BV81" s="124"/>
      <c r="BW81" s="124"/>
      <c r="BX81" s="124"/>
      <c r="BY81" s="124"/>
      <c r="BZ81" s="124"/>
      <c r="CA81" s="124"/>
    </row>
    <row r="82">
      <c r="A82" s="88" t="str">
        <f>HYPERLINK("https://pdfs.semanticscholar.org/b585/4a4953099818013e8ceae9d002e761bd0eb2.pdf","Siau2004")</f>
        <v>Siau2004</v>
      </c>
      <c r="B82" s="161" t="s">
        <v>986</v>
      </c>
      <c r="C82" s="161" t="s">
        <v>987</v>
      </c>
      <c r="D82" s="110">
        <v>2004.0</v>
      </c>
      <c r="E82" s="112"/>
      <c r="F82" s="112"/>
      <c r="G82" s="111">
        <v>1.0</v>
      </c>
      <c r="H82" s="112"/>
      <c r="I82" s="112"/>
      <c r="J82" s="112"/>
      <c r="K82" s="112"/>
      <c r="L82" s="112"/>
      <c r="M82" s="112"/>
      <c r="N82" s="112"/>
      <c r="O82" s="112"/>
      <c r="P82" s="112"/>
      <c r="Q82" s="112"/>
      <c r="R82" s="112"/>
      <c r="S82" s="112"/>
      <c r="T82" s="112"/>
      <c r="U82" s="113" t="s">
        <v>988</v>
      </c>
      <c r="V82" s="113" t="s">
        <v>989</v>
      </c>
      <c r="W82" s="113" t="s">
        <v>221</v>
      </c>
      <c r="X82" s="113" t="s">
        <v>221</v>
      </c>
      <c r="Y82" s="113" t="s">
        <v>542</v>
      </c>
      <c r="Z82" s="111">
        <v>1.0</v>
      </c>
      <c r="AA82" s="112"/>
      <c r="AB82" s="111">
        <v>1.0</v>
      </c>
      <c r="AC82" s="112"/>
      <c r="AD82" s="112"/>
      <c r="AE82" s="112"/>
      <c r="AF82" s="112"/>
      <c r="AG82" s="115" t="s">
        <v>990</v>
      </c>
      <c r="AH82" s="115">
        <v>1.0</v>
      </c>
      <c r="AI82" s="124"/>
      <c r="AJ82" s="124"/>
      <c r="AK82" s="124"/>
      <c r="AL82" s="124"/>
      <c r="AM82" s="115">
        <v>1.0</v>
      </c>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row>
    <row r="83">
      <c r="A83" s="88" t="str">
        <f>HYPERLINK("https://drive.google.com/open?id=0B3oar8-GeP-IZThadVBLdW1CM0U","Lanubile1995")</f>
        <v>Lanubile1995</v>
      </c>
      <c r="B83" s="161" t="s">
        <v>4570</v>
      </c>
      <c r="C83" s="161" t="s">
        <v>1179</v>
      </c>
      <c r="D83" s="110">
        <v>1995.0</v>
      </c>
      <c r="E83" s="111">
        <v>1.0</v>
      </c>
      <c r="F83" s="112"/>
      <c r="G83" s="112"/>
      <c r="H83" s="112"/>
      <c r="I83" s="112"/>
      <c r="J83" s="112"/>
      <c r="K83" s="112"/>
      <c r="L83" s="112"/>
      <c r="M83" s="112"/>
      <c r="N83" s="112"/>
      <c r="O83" s="112"/>
      <c r="P83" s="112"/>
      <c r="Q83" s="112"/>
      <c r="R83" s="112"/>
      <c r="S83" s="112"/>
      <c r="T83" s="112"/>
      <c r="U83" s="107"/>
      <c r="V83" s="107"/>
      <c r="W83" s="107"/>
      <c r="X83" s="107"/>
      <c r="Y83" s="107"/>
      <c r="Z83" s="112"/>
      <c r="AA83" s="112"/>
      <c r="AB83" s="112"/>
      <c r="AC83" s="112"/>
      <c r="AD83" s="112"/>
      <c r="AE83" s="112"/>
      <c r="AF83" s="112"/>
      <c r="AG83" s="124"/>
      <c r="AH83" s="124"/>
      <c r="AI83" s="124"/>
      <c r="AJ83" s="124"/>
      <c r="AK83" s="124"/>
      <c r="AL83" s="124"/>
      <c r="AM83" s="124"/>
      <c r="AN83" s="124"/>
      <c r="AO83" s="124"/>
      <c r="AP83" s="124"/>
      <c r="AQ83" s="124"/>
      <c r="AR83" s="124"/>
      <c r="AS83" s="124"/>
      <c r="AT83" s="124"/>
      <c r="AU83" s="124"/>
      <c r="AV83" s="124"/>
      <c r="AW83" s="124"/>
      <c r="AX83" s="124"/>
      <c r="AY83" s="124"/>
      <c r="AZ83" s="124"/>
      <c r="BA83" s="124"/>
      <c r="BB83" s="124"/>
      <c r="BC83" s="124"/>
      <c r="BD83" s="124"/>
      <c r="BE83" s="124"/>
      <c r="BF83" s="124"/>
      <c r="BG83" s="124"/>
      <c r="BH83" s="124"/>
      <c r="BI83" s="124"/>
      <c r="BJ83" s="124"/>
      <c r="BK83" s="124"/>
      <c r="BL83" s="124"/>
      <c r="BM83" s="124"/>
      <c r="BN83" s="124"/>
      <c r="BO83" s="124"/>
      <c r="BP83" s="124"/>
      <c r="BQ83" s="124"/>
      <c r="BR83" s="124"/>
      <c r="BS83" s="124"/>
      <c r="BT83" s="124"/>
      <c r="BU83" s="124"/>
      <c r="BV83" s="124"/>
      <c r="BW83" s="124"/>
      <c r="BX83" s="124"/>
      <c r="BY83" s="124"/>
      <c r="BZ83" s="124"/>
      <c r="CA83" s="124"/>
    </row>
    <row r="84">
      <c r="A84" s="88" t="str">
        <f>HYPERLINK("https://www.researchgate.net/profile/Alex_Gomes2/publication/271508085_A_3D_Visualization_Framework_to_Social_Network_Monitoring_and_Analysis/links/5651f1d208ae4988a7aed87d.pdf","CamposFilho2015")</f>
        <v>CamposFilho2015</v>
      </c>
      <c r="B84" s="161" t="s">
        <v>2208</v>
      </c>
      <c r="C84" s="161" t="s">
        <v>1112</v>
      </c>
      <c r="D84" s="110">
        <v>2015.0</v>
      </c>
      <c r="E84" s="111">
        <v>1.0</v>
      </c>
      <c r="F84" s="112"/>
      <c r="G84" s="112"/>
      <c r="H84" s="112"/>
      <c r="I84" s="112"/>
      <c r="J84" s="112"/>
      <c r="K84" s="112"/>
      <c r="L84" s="112"/>
      <c r="M84" s="112"/>
      <c r="N84" s="112"/>
      <c r="O84" s="112"/>
      <c r="P84" s="112"/>
      <c r="Q84" s="112"/>
      <c r="R84" s="112"/>
      <c r="S84" s="112"/>
      <c r="T84" s="112"/>
      <c r="U84" s="107"/>
      <c r="V84" s="107"/>
      <c r="W84" s="107"/>
      <c r="X84" s="107"/>
      <c r="Y84" s="107"/>
      <c r="Z84" s="112"/>
      <c r="AA84" s="112"/>
      <c r="AB84" s="112"/>
      <c r="AC84" s="112"/>
      <c r="AD84" s="112"/>
      <c r="AE84" s="112"/>
      <c r="AF84" s="112"/>
      <c r="AG84" s="124"/>
      <c r="AH84" s="124"/>
      <c r="AI84" s="124"/>
      <c r="AJ84" s="124"/>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c r="BK84" s="124"/>
      <c r="BL84" s="124"/>
      <c r="BM84" s="124"/>
      <c r="BN84" s="124"/>
      <c r="BO84" s="124"/>
      <c r="BP84" s="124"/>
      <c r="BQ84" s="124"/>
      <c r="BR84" s="124"/>
      <c r="BS84" s="124"/>
      <c r="BT84" s="124"/>
      <c r="BU84" s="124"/>
      <c r="BV84" s="124"/>
      <c r="BW84" s="124"/>
      <c r="BX84" s="124"/>
      <c r="BY84" s="124"/>
      <c r="BZ84" s="124"/>
      <c r="CA84" s="124"/>
    </row>
    <row r="85">
      <c r="A85" s="88" t="str">
        <f>HYPERLINK("https://drive.google.com/open?id=0B3oar8-GeP-IRVVGOEVvUWlpUjA","Fairclough2013")</f>
        <v>Fairclough2013</v>
      </c>
      <c r="B85" s="161" t="s">
        <v>4571</v>
      </c>
      <c r="C85" s="161" t="s">
        <v>4572</v>
      </c>
      <c r="D85" s="161">
        <v>2013.0</v>
      </c>
      <c r="E85" s="111">
        <v>1.0</v>
      </c>
      <c r="F85" s="112"/>
      <c r="G85" s="112"/>
      <c r="H85" s="112"/>
      <c r="I85" s="112"/>
      <c r="J85" s="112"/>
      <c r="K85" s="112"/>
      <c r="L85" s="112"/>
      <c r="M85" s="112"/>
      <c r="N85" s="112"/>
      <c r="O85" s="112"/>
      <c r="P85" s="112"/>
      <c r="Q85" s="112"/>
      <c r="R85" s="112"/>
      <c r="S85" s="112"/>
      <c r="T85" s="112"/>
      <c r="U85" s="107"/>
      <c r="V85" s="107"/>
      <c r="W85" s="107"/>
      <c r="X85" s="107"/>
      <c r="Y85" s="107"/>
      <c r="Z85" s="112"/>
      <c r="AA85" s="112"/>
      <c r="AB85" s="112"/>
      <c r="AC85" s="112"/>
      <c r="AD85" s="112"/>
      <c r="AE85" s="112"/>
      <c r="AF85" s="112"/>
      <c r="AG85" s="124"/>
      <c r="AH85" s="124"/>
      <c r="AI85" s="124"/>
      <c r="AJ85" s="124"/>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c r="BK85" s="124"/>
      <c r="BL85" s="124"/>
      <c r="BM85" s="124"/>
      <c r="BN85" s="124"/>
      <c r="BO85" s="124"/>
      <c r="BP85" s="124"/>
      <c r="BQ85" s="124"/>
      <c r="BR85" s="124"/>
      <c r="BS85" s="124"/>
      <c r="BT85" s="124"/>
      <c r="BU85" s="124"/>
      <c r="BV85" s="124"/>
      <c r="BW85" s="124"/>
      <c r="BX85" s="124"/>
      <c r="BY85" s="124"/>
      <c r="BZ85" s="124"/>
      <c r="CA85" s="124"/>
    </row>
    <row r="86">
      <c r="A86" s="154" t="str">
        <f>HYPERLINK("https://drive.google.com/open?id=0B3oar8-GeP-INWs5WFFsU2hxLWc","Heliades2000")</f>
        <v>Heliades2000</v>
      </c>
      <c r="B86" s="153" t="s">
        <v>566</v>
      </c>
      <c r="C86" s="110" t="s">
        <v>567</v>
      </c>
      <c r="D86" s="111">
        <v>2000.0</v>
      </c>
      <c r="F86" s="112"/>
      <c r="G86" s="111">
        <v>1.0</v>
      </c>
      <c r="H86" s="112"/>
      <c r="I86" s="112"/>
      <c r="J86" s="112"/>
      <c r="K86" s="112"/>
      <c r="L86" s="112"/>
      <c r="M86" s="112"/>
      <c r="N86" s="112"/>
      <c r="O86" s="112"/>
      <c r="P86" s="112"/>
      <c r="Q86" s="112"/>
      <c r="R86" s="112"/>
      <c r="S86" s="112"/>
      <c r="T86" s="112"/>
      <c r="U86" s="107"/>
      <c r="V86" s="113" t="s">
        <v>568</v>
      </c>
      <c r="W86" s="113" t="s">
        <v>92</v>
      </c>
      <c r="X86" s="113" t="s">
        <v>569</v>
      </c>
      <c r="Y86" s="113" t="s">
        <v>570</v>
      </c>
      <c r="Z86" s="111">
        <v>1.0</v>
      </c>
      <c r="AA86" s="112"/>
      <c r="AB86" s="112"/>
      <c r="AC86" s="111">
        <v>1.0</v>
      </c>
      <c r="AD86" s="112"/>
      <c r="AE86" s="112"/>
      <c r="AF86" s="112"/>
      <c r="AG86" s="124"/>
      <c r="AH86" s="124"/>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c r="BK86" s="124"/>
      <c r="BL86" s="124"/>
      <c r="BM86" s="124"/>
      <c r="BN86" s="124"/>
      <c r="BO86" s="124"/>
      <c r="BP86" s="124"/>
      <c r="BQ86" s="124"/>
      <c r="BR86" s="124"/>
      <c r="BS86" s="124"/>
      <c r="BT86" s="124"/>
      <c r="BU86" s="124"/>
      <c r="BV86" s="124"/>
      <c r="BW86" s="124"/>
      <c r="BX86" s="124"/>
      <c r="BY86" s="124"/>
      <c r="BZ86" s="124"/>
      <c r="CA86" s="124"/>
    </row>
    <row r="87">
      <c r="A87" s="141"/>
      <c r="B87" s="141"/>
      <c r="C87" s="141"/>
      <c r="D87" s="137"/>
      <c r="E87" s="112" t="str">
        <f>ROWS(E40:E86)&amp;" ("&amp;ROWS(E40:E86)-sum(E40:E86)&amp;"/"&amp;sum(E40:E86)&amp;")"</f>
        <v>47 (25/22)</v>
      </c>
      <c r="F87" s="112"/>
      <c r="G87" s="112"/>
      <c r="H87" s="112"/>
      <c r="I87" s="112"/>
      <c r="J87" s="112"/>
      <c r="K87" s="112"/>
      <c r="L87" s="112"/>
      <c r="M87" s="112"/>
      <c r="N87" s="112"/>
      <c r="O87" s="112"/>
      <c r="P87" s="112"/>
      <c r="Q87" s="112"/>
      <c r="R87" s="112"/>
      <c r="S87" s="112"/>
      <c r="T87" s="112"/>
      <c r="U87" s="107"/>
      <c r="V87" s="107"/>
      <c r="W87" s="107"/>
      <c r="X87" s="107"/>
      <c r="Y87" s="107"/>
      <c r="Z87" s="112"/>
      <c r="AA87" s="112"/>
      <c r="AB87" s="112"/>
      <c r="AC87" s="112"/>
      <c r="AD87" s="112"/>
      <c r="AE87" s="112"/>
      <c r="AF87" s="112"/>
      <c r="AG87" s="124"/>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row>
    <row r="88">
      <c r="A88" s="141"/>
      <c r="B88" s="141"/>
      <c r="C88" s="141"/>
      <c r="D88" s="137"/>
      <c r="E88" s="112"/>
      <c r="F88" s="112"/>
      <c r="G88" s="112"/>
      <c r="H88" s="112"/>
      <c r="I88" s="112"/>
      <c r="J88" s="112"/>
      <c r="K88" s="112"/>
      <c r="L88" s="112"/>
      <c r="M88" s="112"/>
      <c r="N88" s="112"/>
      <c r="O88" s="112"/>
      <c r="P88" s="112"/>
      <c r="Q88" s="112"/>
      <c r="R88" s="112"/>
      <c r="S88" s="112"/>
      <c r="T88" s="112"/>
      <c r="U88" s="107"/>
      <c r="V88" s="107"/>
      <c r="W88" s="107"/>
      <c r="X88" s="107"/>
      <c r="Y88" s="107"/>
      <c r="Z88" s="112"/>
      <c r="AA88" s="112"/>
      <c r="AB88" s="112"/>
      <c r="AC88" s="112"/>
      <c r="AD88" s="112"/>
      <c r="AE88" s="112"/>
      <c r="AF88" s="112"/>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row>
    <row r="89">
      <c r="A89" s="141"/>
      <c r="B89" s="141"/>
      <c r="C89" s="141"/>
      <c r="D89" s="137"/>
      <c r="E89" s="112"/>
      <c r="F89" s="112"/>
      <c r="G89" s="112"/>
      <c r="H89" s="112"/>
      <c r="I89" s="112"/>
      <c r="J89" s="112"/>
      <c r="K89" s="112"/>
      <c r="L89" s="112"/>
      <c r="M89" s="112"/>
      <c r="N89" s="112"/>
      <c r="O89" s="112"/>
      <c r="P89" s="112"/>
      <c r="Q89" s="112"/>
      <c r="R89" s="112"/>
      <c r="S89" s="112"/>
      <c r="T89" s="112"/>
      <c r="U89" s="107"/>
      <c r="V89" s="107"/>
      <c r="W89" s="107"/>
      <c r="X89" s="107"/>
      <c r="Y89" s="107"/>
      <c r="Z89" s="112"/>
      <c r="AA89" s="112"/>
      <c r="AB89" s="112"/>
      <c r="AC89" s="112"/>
      <c r="AD89" s="112"/>
      <c r="AE89" s="112"/>
      <c r="AF89" s="112"/>
      <c r="AG89" s="124"/>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row>
    <row r="90">
      <c r="A90" s="141"/>
      <c r="B90" s="141"/>
      <c r="C90" s="141"/>
      <c r="D90" s="137"/>
      <c r="E90" s="112"/>
      <c r="F90" s="112"/>
      <c r="G90" s="112"/>
      <c r="H90" s="112"/>
      <c r="I90" s="112"/>
      <c r="J90" s="112"/>
      <c r="K90" s="112"/>
      <c r="L90" s="112"/>
      <c r="M90" s="112"/>
      <c r="N90" s="112"/>
      <c r="O90" s="112"/>
      <c r="P90" s="112"/>
      <c r="Q90" s="112"/>
      <c r="R90" s="112"/>
      <c r="S90" s="112"/>
      <c r="T90" s="112"/>
      <c r="U90" s="107"/>
      <c r="V90" s="107"/>
      <c r="W90" s="107"/>
      <c r="X90" s="107"/>
      <c r="Y90" s="107"/>
      <c r="Z90" s="112"/>
      <c r="AA90" s="112"/>
      <c r="AB90" s="112"/>
      <c r="AC90" s="112"/>
      <c r="AD90" s="112"/>
      <c r="AE90" s="112"/>
      <c r="AF90" s="112"/>
      <c r="AG90" s="124"/>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row>
    <row r="91">
      <c r="A91" s="141"/>
      <c r="B91" s="141"/>
      <c r="C91" s="141"/>
      <c r="D91" s="137"/>
      <c r="E91" s="112"/>
      <c r="F91" s="112"/>
      <c r="G91" s="112"/>
      <c r="H91" s="112"/>
      <c r="I91" s="112"/>
      <c r="J91" s="112"/>
      <c r="K91" s="112"/>
      <c r="L91" s="112"/>
      <c r="M91" s="112"/>
      <c r="N91" s="112"/>
      <c r="O91" s="112"/>
      <c r="P91" s="112"/>
      <c r="Q91" s="112"/>
      <c r="R91" s="112"/>
      <c r="S91" s="112"/>
      <c r="T91" s="112"/>
      <c r="U91" s="107"/>
      <c r="V91" s="107"/>
      <c r="W91" s="107"/>
      <c r="X91" s="107"/>
      <c r="Y91" s="107"/>
      <c r="Z91" s="112"/>
      <c r="AA91" s="112"/>
      <c r="AB91" s="112"/>
      <c r="AC91" s="112"/>
      <c r="AD91" s="112"/>
      <c r="AE91" s="112"/>
      <c r="AF91" s="112"/>
      <c r="AG91" s="124"/>
      <c r="AH91" s="124"/>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c r="BK91" s="124"/>
      <c r="BL91" s="124"/>
      <c r="BM91" s="124"/>
      <c r="BN91" s="124"/>
      <c r="BO91" s="124"/>
      <c r="BP91" s="124"/>
      <c r="BQ91" s="124"/>
      <c r="BR91" s="124"/>
      <c r="BS91" s="124"/>
      <c r="BT91" s="124"/>
      <c r="BU91" s="124"/>
      <c r="BV91" s="124"/>
      <c r="BW91" s="124"/>
      <c r="BX91" s="124"/>
      <c r="BY91" s="124"/>
      <c r="BZ91" s="124"/>
      <c r="CA91" s="124"/>
    </row>
    <row r="92">
      <c r="A92" s="141"/>
      <c r="B92" s="141"/>
      <c r="C92" s="141"/>
      <c r="D92" s="137"/>
      <c r="E92" s="112"/>
      <c r="F92" s="112"/>
      <c r="G92" s="112"/>
      <c r="H92" s="112"/>
      <c r="I92" s="112"/>
      <c r="J92" s="112"/>
      <c r="K92" s="112"/>
      <c r="L92" s="112"/>
      <c r="M92" s="112"/>
      <c r="N92" s="112"/>
      <c r="O92" s="112"/>
      <c r="P92" s="112"/>
      <c r="Q92" s="112"/>
      <c r="R92" s="112"/>
      <c r="S92" s="112"/>
      <c r="T92" s="112"/>
      <c r="U92" s="107"/>
      <c r="V92" s="107"/>
      <c r="W92" s="107"/>
      <c r="X92" s="107"/>
      <c r="Y92" s="107"/>
      <c r="Z92" s="112"/>
      <c r="AA92" s="112"/>
      <c r="AB92" s="112"/>
      <c r="AC92" s="112"/>
      <c r="AD92" s="112"/>
      <c r="AE92" s="112"/>
      <c r="AF92" s="112"/>
      <c r="AG92" s="124"/>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row>
    <row r="93">
      <c r="A93" s="141"/>
      <c r="B93" s="141"/>
      <c r="C93" s="141"/>
      <c r="D93" s="137"/>
      <c r="E93" s="112"/>
      <c r="F93" s="112"/>
      <c r="G93" s="112"/>
      <c r="H93" s="112"/>
      <c r="I93" s="112"/>
      <c r="J93" s="112"/>
      <c r="K93" s="112"/>
      <c r="L93" s="112"/>
      <c r="M93" s="112"/>
      <c r="N93" s="112"/>
      <c r="O93" s="112"/>
      <c r="P93" s="112"/>
      <c r="Q93" s="112"/>
      <c r="R93" s="112"/>
      <c r="S93" s="112"/>
      <c r="T93" s="112"/>
      <c r="U93" s="107"/>
      <c r="V93" s="107"/>
      <c r="W93" s="107"/>
      <c r="X93" s="107"/>
      <c r="Y93" s="107"/>
      <c r="Z93" s="112"/>
      <c r="AA93" s="112"/>
      <c r="AB93" s="112"/>
      <c r="AC93" s="112"/>
      <c r="AD93" s="112"/>
      <c r="AE93" s="112"/>
      <c r="AF93" s="112"/>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row>
    <row r="94">
      <c r="A94" s="141"/>
      <c r="B94" s="141"/>
      <c r="C94" s="141"/>
      <c r="D94" s="137"/>
      <c r="E94" s="112"/>
      <c r="F94" s="112"/>
      <c r="G94" s="112"/>
      <c r="H94" s="112"/>
      <c r="I94" s="112"/>
      <c r="J94" s="112"/>
      <c r="K94" s="112"/>
      <c r="L94" s="112"/>
      <c r="M94" s="112"/>
      <c r="N94" s="112"/>
      <c r="O94" s="112"/>
      <c r="P94" s="112"/>
      <c r="Q94" s="112"/>
      <c r="R94" s="112"/>
      <c r="S94" s="112"/>
      <c r="T94" s="112"/>
      <c r="U94" s="107"/>
      <c r="V94" s="107"/>
      <c r="W94" s="107"/>
      <c r="X94" s="107"/>
      <c r="Y94" s="107"/>
      <c r="Z94" s="112"/>
      <c r="AA94" s="112"/>
      <c r="AB94" s="112"/>
      <c r="AC94" s="112"/>
      <c r="AD94" s="112"/>
      <c r="AE94" s="112"/>
      <c r="AF94" s="112"/>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row>
    <row r="95">
      <c r="A95" s="141"/>
      <c r="B95" s="141"/>
      <c r="C95" s="141"/>
      <c r="D95" s="137"/>
      <c r="E95" s="112"/>
      <c r="F95" s="112"/>
      <c r="G95" s="112"/>
      <c r="H95" s="112"/>
      <c r="I95" s="112"/>
      <c r="J95" s="112"/>
      <c r="K95" s="112"/>
      <c r="L95" s="112"/>
      <c r="M95" s="112"/>
      <c r="N95" s="112"/>
      <c r="O95" s="112"/>
      <c r="P95" s="112"/>
      <c r="Q95" s="112"/>
      <c r="R95" s="112"/>
      <c r="S95" s="112"/>
      <c r="T95" s="112"/>
      <c r="U95" s="107"/>
      <c r="V95" s="107"/>
      <c r="W95" s="107"/>
      <c r="X95" s="107"/>
      <c r="Y95" s="107"/>
      <c r="Z95" s="112"/>
      <c r="AA95" s="112"/>
      <c r="AB95" s="112"/>
      <c r="AC95" s="112"/>
      <c r="AD95" s="112"/>
      <c r="AE95" s="112"/>
      <c r="AF95" s="112"/>
      <c r="AG95" s="124"/>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24"/>
      <c r="CA95" s="124"/>
    </row>
    <row r="96">
      <c r="A96" s="141"/>
      <c r="B96" s="141"/>
      <c r="C96" s="141"/>
      <c r="D96" s="137"/>
      <c r="E96" s="112"/>
      <c r="F96" s="112"/>
      <c r="G96" s="112"/>
      <c r="H96" s="112"/>
      <c r="I96" s="112"/>
      <c r="J96" s="112"/>
      <c r="K96" s="112"/>
      <c r="L96" s="112"/>
      <c r="M96" s="112"/>
      <c r="N96" s="112"/>
      <c r="O96" s="112"/>
      <c r="P96" s="112"/>
      <c r="Q96" s="112"/>
      <c r="R96" s="112"/>
      <c r="S96" s="112"/>
      <c r="T96" s="112"/>
      <c r="U96" s="107"/>
      <c r="V96" s="107"/>
      <c r="W96" s="107"/>
      <c r="X96" s="107"/>
      <c r="Y96" s="107"/>
      <c r="Z96" s="112"/>
      <c r="AA96" s="112"/>
      <c r="AB96" s="112"/>
      <c r="AC96" s="112"/>
      <c r="AD96" s="112"/>
      <c r="AE96" s="112"/>
      <c r="AF96" s="112"/>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row>
    <row r="97">
      <c r="A97" s="141"/>
      <c r="B97" s="141"/>
      <c r="C97" s="141"/>
      <c r="D97" s="137"/>
      <c r="E97" s="112"/>
      <c r="F97" s="112"/>
      <c r="G97" s="112"/>
      <c r="H97" s="112"/>
      <c r="I97" s="112"/>
      <c r="J97" s="112"/>
      <c r="K97" s="112"/>
      <c r="L97" s="112"/>
      <c r="M97" s="112"/>
      <c r="N97" s="112"/>
      <c r="O97" s="112"/>
      <c r="P97" s="112"/>
      <c r="Q97" s="112"/>
      <c r="R97" s="112"/>
      <c r="S97" s="112"/>
      <c r="T97" s="112"/>
      <c r="U97" s="107"/>
      <c r="V97" s="107"/>
      <c r="W97" s="107"/>
      <c r="X97" s="107"/>
      <c r="Y97" s="107"/>
      <c r="Z97" s="112"/>
      <c r="AA97" s="112"/>
      <c r="AB97" s="112"/>
      <c r="AC97" s="112"/>
      <c r="AD97" s="112"/>
      <c r="AE97" s="112"/>
      <c r="AF97" s="112"/>
      <c r="AG97" s="124"/>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c r="BK97" s="124"/>
      <c r="BL97" s="124"/>
      <c r="BM97" s="124"/>
      <c r="BN97" s="124"/>
      <c r="BO97" s="124"/>
      <c r="BP97" s="124"/>
      <c r="BQ97" s="124"/>
      <c r="BR97" s="124"/>
      <c r="BS97" s="124"/>
      <c r="BT97" s="124"/>
      <c r="BU97" s="124"/>
      <c r="BV97" s="124"/>
      <c r="BW97" s="124"/>
      <c r="BX97" s="124"/>
      <c r="BY97" s="124"/>
      <c r="BZ97" s="124"/>
      <c r="CA97" s="124"/>
    </row>
    <row r="98">
      <c r="A98" s="141"/>
      <c r="B98" s="141"/>
      <c r="C98" s="141"/>
      <c r="D98" s="137"/>
      <c r="E98" s="112"/>
      <c r="F98" s="112"/>
      <c r="G98" s="112"/>
      <c r="H98" s="112"/>
      <c r="I98" s="112"/>
      <c r="J98" s="112"/>
      <c r="K98" s="112"/>
      <c r="L98" s="112"/>
      <c r="M98" s="112"/>
      <c r="N98" s="112"/>
      <c r="O98" s="112"/>
      <c r="P98" s="112"/>
      <c r="Q98" s="112"/>
      <c r="R98" s="112"/>
      <c r="S98" s="112"/>
      <c r="T98" s="112"/>
      <c r="U98" s="107"/>
      <c r="V98" s="107"/>
      <c r="W98" s="107"/>
      <c r="X98" s="107"/>
      <c r="Y98" s="107"/>
      <c r="Z98" s="112"/>
      <c r="AA98" s="112"/>
      <c r="AB98" s="112"/>
      <c r="AC98" s="112"/>
      <c r="AD98" s="112"/>
      <c r="AE98" s="112"/>
      <c r="AF98" s="112"/>
      <c r="AG98" s="124"/>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c r="BK98" s="124"/>
      <c r="BL98" s="124"/>
      <c r="BM98" s="124"/>
      <c r="BN98" s="124"/>
      <c r="BO98" s="124"/>
      <c r="BP98" s="124"/>
      <c r="BQ98" s="124"/>
      <c r="BR98" s="124"/>
      <c r="BS98" s="124"/>
      <c r="BT98" s="124"/>
      <c r="BU98" s="124"/>
      <c r="BV98" s="124"/>
      <c r="BW98" s="124"/>
      <c r="BX98" s="124"/>
      <c r="BY98" s="124"/>
      <c r="BZ98" s="124"/>
      <c r="CA98" s="124"/>
    </row>
    <row r="99">
      <c r="A99" s="141"/>
      <c r="B99" s="141"/>
      <c r="C99" s="141"/>
      <c r="D99" s="137"/>
      <c r="E99" s="112"/>
      <c r="F99" s="112"/>
      <c r="G99" s="112"/>
      <c r="H99" s="112"/>
      <c r="I99" s="112"/>
      <c r="J99" s="112"/>
      <c r="K99" s="112"/>
      <c r="L99" s="112"/>
      <c r="M99" s="112"/>
      <c r="N99" s="112"/>
      <c r="O99" s="112"/>
      <c r="P99" s="112"/>
      <c r="Q99" s="112"/>
      <c r="R99" s="112"/>
      <c r="S99" s="112"/>
      <c r="T99" s="112"/>
      <c r="U99" s="107"/>
      <c r="V99" s="107"/>
      <c r="W99" s="107"/>
      <c r="X99" s="107"/>
      <c r="Y99" s="107"/>
      <c r="Z99" s="112"/>
      <c r="AA99" s="112"/>
      <c r="AB99" s="112"/>
      <c r="AC99" s="112"/>
      <c r="AD99" s="112"/>
      <c r="AE99" s="112"/>
      <c r="AF99" s="112"/>
      <c r="AG99" s="124"/>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c r="BK99" s="124"/>
      <c r="BL99" s="124"/>
      <c r="BM99" s="124"/>
      <c r="BN99" s="124"/>
      <c r="BO99" s="124"/>
      <c r="BP99" s="124"/>
      <c r="BQ99" s="124"/>
      <c r="BR99" s="124"/>
      <c r="BS99" s="124"/>
      <c r="BT99" s="124"/>
      <c r="BU99" s="124"/>
      <c r="BV99" s="124"/>
      <c r="BW99" s="124"/>
      <c r="BX99" s="124"/>
      <c r="BY99" s="124"/>
      <c r="BZ99" s="124"/>
      <c r="CA99" s="124"/>
    </row>
    <row r="100">
      <c r="A100" s="141"/>
      <c r="B100" s="141"/>
      <c r="C100" s="141"/>
      <c r="D100" s="137"/>
      <c r="E100" s="112"/>
      <c r="F100" s="112"/>
      <c r="G100" s="112"/>
      <c r="H100" s="112"/>
      <c r="I100" s="112"/>
      <c r="J100" s="112"/>
      <c r="K100" s="112"/>
      <c r="L100" s="112"/>
      <c r="M100" s="112"/>
      <c r="N100" s="112"/>
      <c r="O100" s="112"/>
      <c r="P100" s="112"/>
      <c r="Q100" s="112"/>
      <c r="R100" s="112"/>
      <c r="S100" s="112"/>
      <c r="T100" s="112"/>
      <c r="U100" s="107"/>
      <c r="V100" s="107"/>
      <c r="W100" s="107"/>
      <c r="X100" s="107"/>
      <c r="Y100" s="107"/>
      <c r="Z100" s="112"/>
      <c r="AA100" s="112"/>
      <c r="AB100" s="112"/>
      <c r="AC100" s="112"/>
      <c r="AD100" s="112"/>
      <c r="AE100" s="112"/>
      <c r="AF100" s="112"/>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row>
    <row r="101">
      <c r="A101" s="141"/>
      <c r="B101" s="141"/>
      <c r="C101" s="141"/>
      <c r="D101" s="137"/>
      <c r="E101" s="112"/>
      <c r="F101" s="112"/>
      <c r="G101" s="112"/>
      <c r="H101" s="112"/>
      <c r="I101" s="112"/>
      <c r="J101" s="112"/>
      <c r="K101" s="112"/>
      <c r="L101" s="112"/>
      <c r="M101" s="112"/>
      <c r="N101" s="112"/>
      <c r="O101" s="112"/>
      <c r="P101" s="112"/>
      <c r="Q101" s="112"/>
      <c r="R101" s="112"/>
      <c r="S101" s="112"/>
      <c r="T101" s="112"/>
      <c r="U101" s="107"/>
      <c r="V101" s="107"/>
      <c r="W101" s="107"/>
      <c r="X101" s="107"/>
      <c r="Y101" s="107"/>
      <c r="Z101" s="112"/>
      <c r="AA101" s="112"/>
      <c r="AB101" s="112"/>
      <c r="AC101" s="112"/>
      <c r="AD101" s="112"/>
      <c r="AE101" s="112"/>
      <c r="AF101" s="112"/>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row>
    <row r="102">
      <c r="A102" s="141"/>
      <c r="B102" s="141"/>
      <c r="C102" s="141"/>
      <c r="D102" s="137"/>
      <c r="E102" s="112"/>
      <c r="F102" s="112"/>
      <c r="G102" s="112"/>
      <c r="H102" s="112"/>
      <c r="I102" s="112"/>
      <c r="J102" s="112"/>
      <c r="K102" s="112"/>
      <c r="L102" s="112"/>
      <c r="M102" s="112"/>
      <c r="N102" s="112"/>
      <c r="O102" s="112"/>
      <c r="P102" s="112"/>
      <c r="Q102" s="112"/>
      <c r="R102" s="112"/>
      <c r="S102" s="112"/>
      <c r="T102" s="112"/>
      <c r="U102" s="107"/>
      <c r="V102" s="107"/>
      <c r="W102" s="107"/>
      <c r="X102" s="107"/>
      <c r="Y102" s="107"/>
      <c r="Z102" s="112"/>
      <c r="AA102" s="112"/>
      <c r="AB102" s="112"/>
      <c r="AC102" s="112"/>
      <c r="AD102" s="112"/>
      <c r="AE102" s="112"/>
      <c r="AF102" s="112"/>
      <c r="AG102" s="124"/>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c r="BK102" s="124"/>
      <c r="BL102" s="124"/>
      <c r="BM102" s="124"/>
      <c r="BN102" s="124"/>
      <c r="BO102" s="124"/>
      <c r="BP102" s="124"/>
      <c r="BQ102" s="124"/>
      <c r="BR102" s="124"/>
      <c r="BS102" s="124"/>
      <c r="BT102" s="124"/>
      <c r="BU102" s="124"/>
      <c r="BV102" s="124"/>
      <c r="BW102" s="124"/>
      <c r="BX102" s="124"/>
      <c r="BY102" s="124"/>
      <c r="BZ102" s="124"/>
      <c r="CA102" s="124"/>
    </row>
    <row r="103">
      <c r="A103" s="141"/>
      <c r="B103" s="141"/>
      <c r="C103" s="141"/>
      <c r="D103" s="137"/>
      <c r="E103" s="112"/>
      <c r="F103" s="112"/>
      <c r="G103" s="112"/>
      <c r="H103" s="112"/>
      <c r="I103" s="112"/>
      <c r="J103" s="112"/>
      <c r="K103" s="112"/>
      <c r="L103" s="112"/>
      <c r="M103" s="112"/>
      <c r="N103" s="112"/>
      <c r="O103" s="112"/>
      <c r="P103" s="112"/>
      <c r="Q103" s="112"/>
      <c r="R103" s="112"/>
      <c r="S103" s="112"/>
      <c r="T103" s="112"/>
      <c r="U103" s="107"/>
      <c r="V103" s="107"/>
      <c r="W103" s="107"/>
      <c r="X103" s="107"/>
      <c r="Y103" s="107"/>
      <c r="Z103" s="112"/>
      <c r="AA103" s="112"/>
      <c r="AB103" s="112"/>
      <c r="AC103" s="112"/>
      <c r="AD103" s="112"/>
      <c r="AE103" s="112"/>
      <c r="AF103" s="112"/>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row>
    <row r="104">
      <c r="A104" s="141"/>
      <c r="B104" s="141"/>
      <c r="C104" s="141"/>
      <c r="D104" s="137"/>
      <c r="E104" s="112"/>
      <c r="F104" s="112"/>
      <c r="G104" s="112"/>
      <c r="H104" s="112"/>
      <c r="I104" s="112"/>
      <c r="J104" s="112"/>
      <c r="K104" s="112"/>
      <c r="L104" s="112"/>
      <c r="M104" s="112"/>
      <c r="N104" s="112"/>
      <c r="O104" s="112"/>
      <c r="P104" s="112"/>
      <c r="Q104" s="112"/>
      <c r="R104" s="112"/>
      <c r="S104" s="112"/>
      <c r="T104" s="112"/>
      <c r="U104" s="107"/>
      <c r="V104" s="107"/>
      <c r="W104" s="107"/>
      <c r="X104" s="107"/>
      <c r="Y104" s="107"/>
      <c r="Z104" s="112"/>
      <c r="AA104" s="112"/>
      <c r="AB104" s="112"/>
      <c r="AC104" s="112"/>
      <c r="AD104" s="112"/>
      <c r="AE104" s="112"/>
      <c r="AF104" s="112"/>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c r="BK104" s="124"/>
      <c r="BL104" s="124"/>
      <c r="BM104" s="124"/>
      <c r="BN104" s="124"/>
      <c r="BO104" s="124"/>
      <c r="BP104" s="124"/>
      <c r="BQ104" s="124"/>
      <c r="BR104" s="124"/>
      <c r="BS104" s="124"/>
      <c r="BT104" s="124"/>
      <c r="BU104" s="124"/>
      <c r="BV104" s="124"/>
      <c r="BW104" s="124"/>
      <c r="BX104" s="124"/>
      <c r="BY104" s="124"/>
      <c r="BZ104" s="124"/>
      <c r="CA104" s="124"/>
    </row>
    <row r="105">
      <c r="A105" s="141"/>
      <c r="B105" s="141"/>
      <c r="C105" s="141"/>
      <c r="D105" s="137"/>
      <c r="E105" s="112"/>
      <c r="F105" s="112"/>
      <c r="G105" s="112"/>
      <c r="H105" s="112"/>
      <c r="I105" s="112"/>
      <c r="J105" s="112"/>
      <c r="K105" s="112"/>
      <c r="L105" s="112"/>
      <c r="M105" s="112"/>
      <c r="N105" s="112"/>
      <c r="O105" s="112"/>
      <c r="P105" s="112"/>
      <c r="Q105" s="112"/>
      <c r="R105" s="112"/>
      <c r="S105" s="112"/>
      <c r="T105" s="112"/>
      <c r="U105" s="107"/>
      <c r="V105" s="107"/>
      <c r="W105" s="107"/>
      <c r="X105" s="107"/>
      <c r="Y105" s="107"/>
      <c r="Z105" s="112"/>
      <c r="AA105" s="112"/>
      <c r="AB105" s="112"/>
      <c r="AC105" s="112"/>
      <c r="AD105" s="112"/>
      <c r="AE105" s="112"/>
      <c r="AF105" s="112"/>
      <c r="AG105" s="124"/>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row>
    <row r="106">
      <c r="A106" s="141"/>
      <c r="B106" s="141"/>
      <c r="C106" s="141"/>
      <c r="D106" s="137"/>
      <c r="E106" s="112"/>
      <c r="F106" s="112"/>
      <c r="G106" s="112"/>
      <c r="H106" s="112"/>
      <c r="I106" s="112"/>
      <c r="J106" s="112"/>
      <c r="K106" s="112"/>
      <c r="L106" s="112"/>
      <c r="M106" s="112"/>
      <c r="N106" s="112"/>
      <c r="O106" s="112"/>
      <c r="P106" s="112"/>
      <c r="Q106" s="112"/>
      <c r="R106" s="112"/>
      <c r="S106" s="112"/>
      <c r="T106" s="112"/>
      <c r="U106" s="107"/>
      <c r="V106" s="107"/>
      <c r="W106" s="107"/>
      <c r="X106" s="107"/>
      <c r="Y106" s="107"/>
      <c r="Z106" s="112"/>
      <c r="AA106" s="112"/>
      <c r="AB106" s="112"/>
      <c r="AC106" s="112"/>
      <c r="AD106" s="112"/>
      <c r="AE106" s="112"/>
      <c r="AF106" s="112"/>
      <c r="AG106" s="124"/>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row>
    <row r="107">
      <c r="A107" s="141"/>
      <c r="B107" s="141"/>
      <c r="C107" s="141"/>
      <c r="D107" s="137"/>
      <c r="E107" s="112"/>
      <c r="F107" s="112"/>
      <c r="G107" s="112"/>
      <c r="H107" s="112"/>
      <c r="I107" s="112"/>
      <c r="J107" s="112"/>
      <c r="K107" s="112"/>
      <c r="L107" s="112"/>
      <c r="M107" s="112"/>
      <c r="N107" s="112"/>
      <c r="O107" s="112"/>
      <c r="P107" s="112"/>
      <c r="Q107" s="112"/>
      <c r="R107" s="112"/>
      <c r="S107" s="112"/>
      <c r="T107" s="112"/>
      <c r="U107" s="107"/>
      <c r="V107" s="107"/>
      <c r="W107" s="107"/>
      <c r="X107" s="107"/>
      <c r="Y107" s="107"/>
      <c r="Z107" s="112"/>
      <c r="AA107" s="112"/>
      <c r="AB107" s="112"/>
      <c r="AC107" s="112"/>
      <c r="AD107" s="112"/>
      <c r="AE107" s="112"/>
      <c r="AF107" s="112"/>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row>
    <row r="108">
      <c r="A108" s="141"/>
      <c r="B108" s="141"/>
      <c r="C108" s="141"/>
      <c r="D108" s="137"/>
      <c r="E108" s="112"/>
      <c r="F108" s="112"/>
      <c r="G108" s="112"/>
      <c r="H108" s="112"/>
      <c r="I108" s="112"/>
      <c r="J108" s="112"/>
      <c r="K108" s="112"/>
      <c r="L108" s="112"/>
      <c r="M108" s="112"/>
      <c r="N108" s="112"/>
      <c r="O108" s="112"/>
      <c r="P108" s="112"/>
      <c r="Q108" s="112"/>
      <c r="R108" s="112"/>
      <c r="S108" s="112"/>
      <c r="T108" s="112"/>
      <c r="U108" s="107"/>
      <c r="V108" s="107"/>
      <c r="W108" s="107"/>
      <c r="X108" s="107"/>
      <c r="Y108" s="107"/>
      <c r="Z108" s="112"/>
      <c r="AA108" s="112"/>
      <c r="AB108" s="112"/>
      <c r="AC108" s="112"/>
      <c r="AD108" s="112"/>
      <c r="AE108" s="112"/>
      <c r="AF108" s="112"/>
      <c r="AG108" s="124"/>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c r="BK108" s="124"/>
      <c r="BL108" s="124"/>
      <c r="BM108" s="124"/>
      <c r="BN108" s="124"/>
      <c r="BO108" s="124"/>
      <c r="BP108" s="124"/>
      <c r="BQ108" s="124"/>
      <c r="BR108" s="124"/>
      <c r="BS108" s="124"/>
      <c r="BT108" s="124"/>
      <c r="BU108" s="124"/>
      <c r="BV108" s="124"/>
      <c r="BW108" s="124"/>
      <c r="BX108" s="124"/>
      <c r="BY108" s="124"/>
      <c r="BZ108" s="124"/>
      <c r="CA108" s="124"/>
    </row>
    <row r="109">
      <c r="A109" s="141"/>
      <c r="B109" s="141"/>
      <c r="C109" s="141"/>
      <c r="D109" s="137"/>
      <c r="E109" s="112"/>
      <c r="F109" s="112"/>
      <c r="G109" s="112"/>
      <c r="H109" s="112"/>
      <c r="I109" s="112"/>
      <c r="J109" s="112"/>
      <c r="K109" s="112"/>
      <c r="L109" s="112"/>
      <c r="M109" s="112"/>
      <c r="N109" s="112"/>
      <c r="O109" s="112"/>
      <c r="P109" s="112"/>
      <c r="Q109" s="112"/>
      <c r="R109" s="112"/>
      <c r="S109" s="112"/>
      <c r="T109" s="112"/>
      <c r="U109" s="107"/>
      <c r="V109" s="107"/>
      <c r="W109" s="107"/>
      <c r="X109" s="107"/>
      <c r="Y109" s="107"/>
      <c r="Z109" s="112"/>
      <c r="AA109" s="112"/>
      <c r="AB109" s="112"/>
      <c r="AC109" s="112"/>
      <c r="AD109" s="112"/>
      <c r="AE109" s="112"/>
      <c r="AF109" s="112"/>
      <c r="AG109" s="124"/>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4"/>
      <c r="BR109" s="124"/>
      <c r="BS109" s="124"/>
      <c r="BT109" s="124"/>
      <c r="BU109" s="124"/>
      <c r="BV109" s="124"/>
      <c r="BW109" s="124"/>
      <c r="BX109" s="124"/>
      <c r="BY109" s="124"/>
      <c r="BZ109" s="124"/>
      <c r="CA109" s="124"/>
    </row>
    <row r="110">
      <c r="A110" s="141"/>
      <c r="B110" s="141"/>
      <c r="C110" s="141"/>
      <c r="D110" s="137"/>
      <c r="E110" s="112"/>
      <c r="F110" s="112"/>
      <c r="G110" s="112"/>
      <c r="H110" s="112"/>
      <c r="I110" s="112"/>
      <c r="J110" s="112"/>
      <c r="K110" s="112"/>
      <c r="L110" s="112"/>
      <c r="M110" s="112"/>
      <c r="N110" s="112"/>
      <c r="O110" s="112"/>
      <c r="P110" s="112"/>
      <c r="Q110" s="112"/>
      <c r="R110" s="112"/>
      <c r="S110" s="112"/>
      <c r="T110" s="112"/>
      <c r="U110" s="107"/>
      <c r="V110" s="107"/>
      <c r="W110" s="107"/>
      <c r="X110" s="107"/>
      <c r="Y110" s="107"/>
      <c r="Z110" s="112"/>
      <c r="AA110" s="112"/>
      <c r="AB110" s="112"/>
      <c r="AC110" s="112"/>
      <c r="AD110" s="112"/>
      <c r="AE110" s="112"/>
      <c r="AF110" s="112"/>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row>
    <row r="111">
      <c r="A111" s="141"/>
      <c r="B111" s="141"/>
      <c r="C111" s="141"/>
      <c r="D111" s="137"/>
      <c r="E111" s="112"/>
      <c r="F111" s="112"/>
      <c r="G111" s="112"/>
      <c r="H111" s="112"/>
      <c r="I111" s="112"/>
      <c r="J111" s="112"/>
      <c r="K111" s="112"/>
      <c r="L111" s="112"/>
      <c r="M111" s="112"/>
      <c r="N111" s="112"/>
      <c r="O111" s="112"/>
      <c r="P111" s="112"/>
      <c r="Q111" s="112"/>
      <c r="R111" s="112"/>
      <c r="S111" s="112"/>
      <c r="T111" s="112"/>
      <c r="U111" s="107"/>
      <c r="V111" s="107"/>
      <c r="W111" s="107"/>
      <c r="X111" s="107"/>
      <c r="Y111" s="107"/>
      <c r="Z111" s="112"/>
      <c r="AA111" s="112"/>
      <c r="AB111" s="112"/>
      <c r="AC111" s="112"/>
      <c r="AD111" s="112"/>
      <c r="AE111" s="112"/>
      <c r="AF111" s="112"/>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c r="BK111" s="124"/>
      <c r="BL111" s="124"/>
      <c r="BM111" s="124"/>
      <c r="BN111" s="124"/>
      <c r="BO111" s="124"/>
      <c r="BP111" s="124"/>
      <c r="BQ111" s="124"/>
      <c r="BR111" s="124"/>
      <c r="BS111" s="124"/>
      <c r="BT111" s="124"/>
      <c r="BU111" s="124"/>
      <c r="BV111" s="124"/>
      <c r="BW111" s="124"/>
      <c r="BX111" s="124"/>
      <c r="BY111" s="124"/>
      <c r="BZ111" s="124"/>
      <c r="CA111" s="124"/>
    </row>
    <row r="112">
      <c r="A112" s="141"/>
      <c r="B112" s="141"/>
      <c r="C112" s="141"/>
      <c r="D112" s="137"/>
      <c r="E112" s="112"/>
      <c r="F112" s="112"/>
      <c r="G112" s="112"/>
      <c r="H112" s="112"/>
      <c r="I112" s="112"/>
      <c r="J112" s="112"/>
      <c r="K112" s="112"/>
      <c r="L112" s="112"/>
      <c r="M112" s="112"/>
      <c r="N112" s="112"/>
      <c r="O112" s="112"/>
      <c r="P112" s="112"/>
      <c r="Q112" s="112"/>
      <c r="R112" s="112"/>
      <c r="S112" s="112"/>
      <c r="T112" s="112"/>
      <c r="U112" s="107"/>
      <c r="V112" s="107"/>
      <c r="W112" s="107"/>
      <c r="X112" s="107"/>
      <c r="Y112" s="107"/>
      <c r="Z112" s="112"/>
      <c r="AA112" s="112"/>
      <c r="AB112" s="112"/>
      <c r="AC112" s="112"/>
      <c r="AD112" s="112"/>
      <c r="AE112" s="112"/>
      <c r="AF112" s="112"/>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row>
    <row r="113">
      <c r="A113" s="141"/>
      <c r="B113" s="141"/>
      <c r="C113" s="141"/>
      <c r="D113" s="137"/>
      <c r="E113" s="112"/>
      <c r="F113" s="112"/>
      <c r="G113" s="112"/>
      <c r="H113" s="112"/>
      <c r="I113" s="112"/>
      <c r="J113" s="112"/>
      <c r="K113" s="112"/>
      <c r="L113" s="112"/>
      <c r="M113" s="112"/>
      <c r="N113" s="112"/>
      <c r="O113" s="112"/>
      <c r="P113" s="112"/>
      <c r="Q113" s="112"/>
      <c r="R113" s="112"/>
      <c r="S113" s="112"/>
      <c r="T113" s="112"/>
      <c r="U113" s="107"/>
      <c r="V113" s="107"/>
      <c r="W113" s="107"/>
      <c r="X113" s="107"/>
      <c r="Y113" s="107"/>
      <c r="Z113" s="112"/>
      <c r="AA113" s="112"/>
      <c r="AB113" s="112"/>
      <c r="AC113" s="112"/>
      <c r="AD113" s="112"/>
      <c r="AE113" s="112"/>
      <c r="AF113" s="112"/>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row>
    <row r="114">
      <c r="A114" s="141"/>
      <c r="B114" s="141"/>
      <c r="C114" s="141"/>
      <c r="D114" s="137"/>
      <c r="E114" s="112"/>
      <c r="F114" s="112"/>
      <c r="G114" s="112"/>
      <c r="H114" s="112"/>
      <c r="I114" s="112"/>
      <c r="J114" s="112"/>
      <c r="K114" s="112"/>
      <c r="L114" s="112"/>
      <c r="M114" s="112"/>
      <c r="N114" s="112"/>
      <c r="O114" s="112"/>
      <c r="P114" s="112"/>
      <c r="Q114" s="112"/>
      <c r="R114" s="112"/>
      <c r="S114" s="112"/>
      <c r="T114" s="112"/>
      <c r="U114" s="107"/>
      <c r="V114" s="107"/>
      <c r="W114" s="107"/>
      <c r="X114" s="107"/>
      <c r="Y114" s="107"/>
      <c r="Z114" s="112"/>
      <c r="AA114" s="112"/>
      <c r="AB114" s="112"/>
      <c r="AC114" s="112"/>
      <c r="AD114" s="112"/>
      <c r="AE114" s="112"/>
      <c r="AF114" s="112"/>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c r="BZ114" s="124"/>
      <c r="CA114" s="124"/>
    </row>
    <row r="115">
      <c r="A115" s="141"/>
      <c r="B115" s="141"/>
      <c r="C115" s="141"/>
      <c r="D115" s="137"/>
      <c r="E115" s="112"/>
      <c r="F115" s="112"/>
      <c r="G115" s="112"/>
      <c r="H115" s="112"/>
      <c r="I115" s="112"/>
      <c r="J115" s="112"/>
      <c r="K115" s="112"/>
      <c r="L115" s="112"/>
      <c r="M115" s="112"/>
      <c r="N115" s="112"/>
      <c r="O115" s="112"/>
      <c r="P115" s="112"/>
      <c r="Q115" s="112"/>
      <c r="R115" s="112"/>
      <c r="S115" s="112"/>
      <c r="T115" s="112"/>
      <c r="U115" s="107"/>
      <c r="V115" s="107"/>
      <c r="W115" s="107"/>
      <c r="X115" s="107"/>
      <c r="Y115" s="107"/>
      <c r="Z115" s="112"/>
      <c r="AA115" s="112"/>
      <c r="AB115" s="112"/>
      <c r="AC115" s="112"/>
      <c r="AD115" s="112"/>
      <c r="AE115" s="112"/>
      <c r="AF115" s="112"/>
      <c r="AG115" s="124"/>
      <c r="AH115" s="124"/>
      <c r="AI115" s="124"/>
      <c r="AJ115" s="124"/>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c r="BK115" s="124"/>
      <c r="BL115" s="124"/>
      <c r="BM115" s="124"/>
      <c r="BN115" s="124"/>
      <c r="BO115" s="124"/>
      <c r="BP115" s="124"/>
      <c r="BQ115" s="124"/>
      <c r="BR115" s="124"/>
      <c r="BS115" s="124"/>
      <c r="BT115" s="124"/>
      <c r="BU115" s="124"/>
      <c r="BV115" s="124"/>
      <c r="BW115" s="124"/>
      <c r="BX115" s="124"/>
      <c r="BY115" s="124"/>
      <c r="BZ115" s="124"/>
      <c r="CA115" s="124"/>
    </row>
    <row r="116">
      <c r="A116" s="141"/>
      <c r="B116" s="141"/>
      <c r="C116" s="141"/>
      <c r="D116" s="137"/>
      <c r="E116" s="112"/>
      <c r="F116" s="112"/>
      <c r="G116" s="112"/>
      <c r="H116" s="112"/>
      <c r="I116" s="112"/>
      <c r="J116" s="112"/>
      <c r="K116" s="112"/>
      <c r="L116" s="112"/>
      <c r="M116" s="112"/>
      <c r="N116" s="112"/>
      <c r="O116" s="112"/>
      <c r="P116" s="112"/>
      <c r="Q116" s="112"/>
      <c r="R116" s="112"/>
      <c r="S116" s="112"/>
      <c r="T116" s="112"/>
      <c r="U116" s="107"/>
      <c r="V116" s="107"/>
      <c r="W116" s="107"/>
      <c r="X116" s="107"/>
      <c r="Y116" s="107"/>
      <c r="Z116" s="112"/>
      <c r="AA116" s="112"/>
      <c r="AB116" s="112"/>
      <c r="AC116" s="112"/>
      <c r="AD116" s="112"/>
      <c r="AE116" s="112"/>
      <c r="AF116" s="112"/>
      <c r="AG116" s="124"/>
      <c r="AH116" s="124"/>
      <c r="AI116" s="124"/>
      <c r="AJ116" s="124"/>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c r="BK116" s="124"/>
      <c r="BL116" s="124"/>
      <c r="BM116" s="124"/>
      <c r="BN116" s="124"/>
      <c r="BO116" s="124"/>
      <c r="BP116" s="124"/>
      <c r="BQ116" s="124"/>
      <c r="BR116" s="124"/>
      <c r="BS116" s="124"/>
      <c r="BT116" s="124"/>
      <c r="BU116" s="124"/>
      <c r="BV116" s="124"/>
      <c r="BW116" s="124"/>
      <c r="BX116" s="124"/>
      <c r="BY116" s="124"/>
      <c r="BZ116" s="124"/>
      <c r="CA116" s="124"/>
    </row>
    <row r="117">
      <c r="A117" s="141"/>
      <c r="B117" s="141"/>
      <c r="C117" s="141"/>
      <c r="D117" s="137"/>
      <c r="E117" s="112"/>
      <c r="F117" s="112"/>
      <c r="G117" s="112"/>
      <c r="H117" s="112"/>
      <c r="I117" s="112"/>
      <c r="J117" s="112"/>
      <c r="K117" s="112"/>
      <c r="L117" s="112"/>
      <c r="M117" s="112"/>
      <c r="N117" s="112"/>
      <c r="O117" s="112"/>
      <c r="P117" s="112"/>
      <c r="Q117" s="112"/>
      <c r="R117" s="112"/>
      <c r="S117" s="112"/>
      <c r="T117" s="112"/>
      <c r="U117" s="107"/>
      <c r="V117" s="107"/>
      <c r="W117" s="107"/>
      <c r="X117" s="107"/>
      <c r="Y117" s="107"/>
      <c r="Z117" s="112"/>
      <c r="AA117" s="112"/>
      <c r="AB117" s="112"/>
      <c r="AC117" s="112"/>
      <c r="AD117" s="112"/>
      <c r="AE117" s="112"/>
      <c r="AF117" s="112"/>
      <c r="AG117" s="124"/>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c r="BK117" s="124"/>
      <c r="BL117" s="124"/>
      <c r="BM117" s="124"/>
      <c r="BN117" s="124"/>
      <c r="BO117" s="124"/>
      <c r="BP117" s="124"/>
      <c r="BQ117" s="124"/>
      <c r="BR117" s="124"/>
      <c r="BS117" s="124"/>
      <c r="BT117" s="124"/>
      <c r="BU117" s="124"/>
      <c r="BV117" s="124"/>
      <c r="BW117" s="124"/>
      <c r="BX117" s="124"/>
      <c r="BY117" s="124"/>
      <c r="BZ117" s="124"/>
      <c r="CA117" s="124"/>
    </row>
    <row r="118">
      <c r="A118" s="141"/>
      <c r="B118" s="141"/>
      <c r="C118" s="141"/>
      <c r="D118" s="137"/>
      <c r="E118" s="112"/>
      <c r="F118" s="112"/>
      <c r="G118" s="112"/>
      <c r="H118" s="112"/>
      <c r="I118" s="112"/>
      <c r="J118" s="112"/>
      <c r="K118" s="112"/>
      <c r="L118" s="112"/>
      <c r="M118" s="112"/>
      <c r="N118" s="112"/>
      <c r="O118" s="112"/>
      <c r="P118" s="112"/>
      <c r="Q118" s="112"/>
      <c r="R118" s="112"/>
      <c r="S118" s="112"/>
      <c r="T118" s="112"/>
      <c r="U118" s="107"/>
      <c r="V118" s="107"/>
      <c r="W118" s="107"/>
      <c r="X118" s="107"/>
      <c r="Y118" s="107"/>
      <c r="Z118" s="112"/>
      <c r="AA118" s="112"/>
      <c r="AB118" s="112"/>
      <c r="AC118" s="112"/>
      <c r="AD118" s="112"/>
      <c r="AE118" s="112"/>
      <c r="AF118" s="112"/>
      <c r="AG118" s="124"/>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row>
    <row r="119">
      <c r="A119" s="141"/>
      <c r="B119" s="141"/>
      <c r="C119" s="141"/>
      <c r="D119" s="137"/>
      <c r="E119" s="112"/>
      <c r="F119" s="112"/>
      <c r="G119" s="112"/>
      <c r="H119" s="112"/>
      <c r="I119" s="112"/>
      <c r="J119" s="112"/>
      <c r="K119" s="112"/>
      <c r="L119" s="112"/>
      <c r="M119" s="112"/>
      <c r="N119" s="112"/>
      <c r="O119" s="112"/>
      <c r="P119" s="112"/>
      <c r="Q119" s="112"/>
      <c r="R119" s="112"/>
      <c r="S119" s="112"/>
      <c r="T119" s="112"/>
      <c r="U119" s="107"/>
      <c r="V119" s="107"/>
      <c r="W119" s="107"/>
      <c r="X119" s="107"/>
      <c r="Y119" s="107"/>
      <c r="Z119" s="112"/>
      <c r="AA119" s="112"/>
      <c r="AB119" s="112"/>
      <c r="AC119" s="112"/>
      <c r="AD119" s="112"/>
      <c r="AE119" s="112"/>
      <c r="AF119" s="112"/>
      <c r="AG119" s="124"/>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c r="BK119" s="124"/>
      <c r="BL119" s="124"/>
      <c r="BM119" s="124"/>
      <c r="BN119" s="124"/>
      <c r="BO119" s="124"/>
      <c r="BP119" s="124"/>
      <c r="BQ119" s="124"/>
      <c r="BR119" s="124"/>
      <c r="BS119" s="124"/>
      <c r="BT119" s="124"/>
      <c r="BU119" s="124"/>
      <c r="BV119" s="124"/>
      <c r="BW119" s="124"/>
      <c r="BX119" s="124"/>
      <c r="BY119" s="124"/>
      <c r="BZ119" s="124"/>
      <c r="CA119" s="124"/>
    </row>
    <row r="120">
      <c r="A120" s="141"/>
      <c r="B120" s="141"/>
      <c r="C120" s="141"/>
      <c r="D120" s="137"/>
      <c r="E120" s="112"/>
      <c r="F120" s="112"/>
      <c r="G120" s="112"/>
      <c r="H120" s="112"/>
      <c r="I120" s="112"/>
      <c r="J120" s="112"/>
      <c r="K120" s="112"/>
      <c r="L120" s="112"/>
      <c r="M120" s="112"/>
      <c r="N120" s="112"/>
      <c r="O120" s="112"/>
      <c r="P120" s="112"/>
      <c r="Q120" s="112"/>
      <c r="R120" s="112"/>
      <c r="S120" s="112"/>
      <c r="T120" s="112"/>
      <c r="U120" s="107"/>
      <c r="V120" s="107"/>
      <c r="W120" s="107"/>
      <c r="X120" s="107"/>
      <c r="Y120" s="107"/>
      <c r="Z120" s="112"/>
      <c r="AA120" s="112"/>
      <c r="AB120" s="112"/>
      <c r="AC120" s="112"/>
      <c r="AD120" s="112"/>
      <c r="AE120" s="112"/>
      <c r="AF120" s="112"/>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row>
    <row r="121">
      <c r="A121" s="141"/>
      <c r="B121" s="141"/>
      <c r="C121" s="141"/>
      <c r="D121" s="137"/>
      <c r="E121" s="112"/>
      <c r="F121" s="112"/>
      <c r="G121" s="112"/>
      <c r="H121" s="112"/>
      <c r="I121" s="112"/>
      <c r="J121" s="112"/>
      <c r="K121" s="112"/>
      <c r="L121" s="112"/>
      <c r="M121" s="112"/>
      <c r="N121" s="112"/>
      <c r="O121" s="112"/>
      <c r="P121" s="112"/>
      <c r="Q121" s="112"/>
      <c r="R121" s="112"/>
      <c r="S121" s="112"/>
      <c r="T121" s="112"/>
      <c r="U121" s="107"/>
      <c r="V121" s="107"/>
      <c r="W121" s="107"/>
      <c r="X121" s="107"/>
      <c r="Y121" s="107"/>
      <c r="Z121" s="112"/>
      <c r="AA121" s="112"/>
      <c r="AB121" s="112"/>
      <c r="AC121" s="112"/>
      <c r="AD121" s="112"/>
      <c r="AE121" s="112"/>
      <c r="AF121" s="112"/>
      <c r="AG121" s="124"/>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c r="BS121" s="124"/>
      <c r="BT121" s="124"/>
      <c r="BU121" s="124"/>
      <c r="BV121" s="124"/>
      <c r="BW121" s="124"/>
      <c r="BX121" s="124"/>
      <c r="BY121" s="124"/>
      <c r="BZ121" s="124"/>
      <c r="CA121" s="124"/>
    </row>
    <row r="122">
      <c r="A122" s="141"/>
      <c r="B122" s="141"/>
      <c r="C122" s="141"/>
      <c r="D122" s="137"/>
      <c r="E122" s="112"/>
      <c r="F122" s="112"/>
      <c r="G122" s="112"/>
      <c r="H122" s="112"/>
      <c r="I122" s="112"/>
      <c r="J122" s="112"/>
      <c r="K122" s="112"/>
      <c r="L122" s="112"/>
      <c r="M122" s="112"/>
      <c r="N122" s="112"/>
      <c r="O122" s="112"/>
      <c r="P122" s="112"/>
      <c r="Q122" s="112"/>
      <c r="R122" s="112"/>
      <c r="S122" s="112"/>
      <c r="T122" s="112"/>
      <c r="U122" s="107"/>
      <c r="V122" s="107"/>
      <c r="W122" s="107"/>
      <c r="X122" s="107"/>
      <c r="Y122" s="107"/>
      <c r="Z122" s="112"/>
      <c r="AA122" s="112"/>
      <c r="AB122" s="112"/>
      <c r="AC122" s="112"/>
      <c r="AD122" s="112"/>
      <c r="AE122" s="112"/>
      <c r="AF122" s="112"/>
      <c r="AG122" s="124"/>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row>
    <row r="123">
      <c r="A123" s="141"/>
      <c r="B123" s="141"/>
      <c r="C123" s="141"/>
      <c r="D123" s="137"/>
      <c r="E123" s="112"/>
      <c r="F123" s="112"/>
      <c r="G123" s="112"/>
      <c r="H123" s="112"/>
      <c r="I123" s="112"/>
      <c r="J123" s="112"/>
      <c r="K123" s="112"/>
      <c r="L123" s="112"/>
      <c r="M123" s="112"/>
      <c r="N123" s="112"/>
      <c r="O123" s="112"/>
      <c r="P123" s="112"/>
      <c r="Q123" s="112"/>
      <c r="R123" s="112"/>
      <c r="S123" s="112"/>
      <c r="T123" s="112"/>
      <c r="U123" s="107"/>
      <c r="V123" s="107"/>
      <c r="W123" s="107"/>
      <c r="X123" s="107"/>
      <c r="Y123" s="107"/>
      <c r="Z123" s="112"/>
      <c r="AA123" s="112"/>
      <c r="AB123" s="112"/>
      <c r="AC123" s="112"/>
      <c r="AD123" s="112"/>
      <c r="AE123" s="112"/>
      <c r="AF123" s="112"/>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row>
    <row r="124">
      <c r="A124" s="141"/>
      <c r="B124" s="141"/>
      <c r="C124" s="141"/>
      <c r="D124" s="137"/>
      <c r="E124" s="112"/>
      <c r="F124" s="112"/>
      <c r="G124" s="112"/>
      <c r="H124" s="112"/>
      <c r="I124" s="112"/>
      <c r="J124" s="112"/>
      <c r="K124" s="112"/>
      <c r="L124" s="112"/>
      <c r="M124" s="112"/>
      <c r="N124" s="112"/>
      <c r="O124" s="112"/>
      <c r="P124" s="112"/>
      <c r="Q124" s="112"/>
      <c r="R124" s="112"/>
      <c r="S124" s="112"/>
      <c r="T124" s="112"/>
      <c r="U124" s="107"/>
      <c r="V124" s="107"/>
      <c r="W124" s="107"/>
      <c r="X124" s="107"/>
      <c r="Y124" s="107"/>
      <c r="Z124" s="112"/>
      <c r="AA124" s="112"/>
      <c r="AB124" s="112"/>
      <c r="AC124" s="112"/>
      <c r="AD124" s="112"/>
      <c r="AE124" s="112"/>
      <c r="AF124" s="112"/>
      <c r="AG124" s="124"/>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c r="BK124" s="124"/>
      <c r="BL124" s="124"/>
      <c r="BM124" s="124"/>
      <c r="BN124" s="124"/>
      <c r="BO124" s="124"/>
      <c r="BP124" s="124"/>
      <c r="BQ124" s="124"/>
      <c r="BR124" s="124"/>
      <c r="BS124" s="124"/>
      <c r="BT124" s="124"/>
      <c r="BU124" s="124"/>
      <c r="BV124" s="124"/>
      <c r="BW124" s="124"/>
      <c r="BX124" s="124"/>
      <c r="BY124" s="124"/>
      <c r="BZ124" s="124"/>
      <c r="CA124" s="124"/>
    </row>
    <row r="125">
      <c r="A125" s="141"/>
      <c r="B125" s="141"/>
      <c r="C125" s="141"/>
      <c r="D125" s="137"/>
      <c r="E125" s="112"/>
      <c r="F125" s="112"/>
      <c r="G125" s="112"/>
      <c r="H125" s="112"/>
      <c r="I125" s="112"/>
      <c r="J125" s="112"/>
      <c r="K125" s="112"/>
      <c r="L125" s="112"/>
      <c r="M125" s="112"/>
      <c r="N125" s="112"/>
      <c r="O125" s="112"/>
      <c r="P125" s="112"/>
      <c r="Q125" s="112"/>
      <c r="R125" s="112"/>
      <c r="S125" s="112"/>
      <c r="T125" s="112"/>
      <c r="U125" s="107"/>
      <c r="V125" s="107"/>
      <c r="W125" s="107"/>
      <c r="X125" s="107"/>
      <c r="Y125" s="107"/>
      <c r="Z125" s="112"/>
      <c r="AA125" s="112"/>
      <c r="AB125" s="112"/>
      <c r="AC125" s="112"/>
      <c r="AD125" s="112"/>
      <c r="AE125" s="112"/>
      <c r="AF125" s="112"/>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row>
    <row r="126">
      <c r="A126" s="141"/>
      <c r="B126" s="141"/>
      <c r="C126" s="141"/>
      <c r="D126" s="137"/>
      <c r="E126" s="112"/>
      <c r="F126" s="112"/>
      <c r="G126" s="112"/>
      <c r="H126" s="112"/>
      <c r="I126" s="112"/>
      <c r="J126" s="112"/>
      <c r="K126" s="112"/>
      <c r="L126" s="112"/>
      <c r="M126" s="112"/>
      <c r="N126" s="112"/>
      <c r="O126" s="112"/>
      <c r="P126" s="112"/>
      <c r="Q126" s="112"/>
      <c r="R126" s="112"/>
      <c r="S126" s="112"/>
      <c r="T126" s="112"/>
      <c r="U126" s="107"/>
      <c r="V126" s="107"/>
      <c r="W126" s="107"/>
      <c r="X126" s="107"/>
      <c r="Y126" s="107"/>
      <c r="Z126" s="112"/>
      <c r="AA126" s="112"/>
      <c r="AB126" s="112"/>
      <c r="AC126" s="112"/>
      <c r="AD126" s="112"/>
      <c r="AE126" s="112"/>
      <c r="AF126" s="112"/>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row>
    <row r="127">
      <c r="A127" s="141"/>
      <c r="B127" s="141"/>
      <c r="C127" s="141"/>
      <c r="D127" s="137"/>
      <c r="E127" s="112"/>
      <c r="F127" s="112"/>
      <c r="G127" s="112"/>
      <c r="H127" s="112"/>
      <c r="I127" s="112"/>
      <c r="J127" s="112"/>
      <c r="K127" s="112"/>
      <c r="L127" s="112"/>
      <c r="M127" s="112"/>
      <c r="N127" s="112"/>
      <c r="O127" s="112"/>
      <c r="P127" s="112"/>
      <c r="Q127" s="112"/>
      <c r="R127" s="112"/>
      <c r="S127" s="112"/>
      <c r="T127" s="112"/>
      <c r="U127" s="107"/>
      <c r="V127" s="107"/>
      <c r="W127" s="107"/>
      <c r="X127" s="107"/>
      <c r="Y127" s="107"/>
      <c r="Z127" s="112"/>
      <c r="AA127" s="112"/>
      <c r="AB127" s="112"/>
      <c r="AC127" s="112"/>
      <c r="AD127" s="112"/>
      <c r="AE127" s="112"/>
      <c r="AF127" s="112"/>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row>
    <row r="128">
      <c r="A128" s="141"/>
      <c r="B128" s="141"/>
      <c r="C128" s="141"/>
      <c r="D128" s="137"/>
      <c r="E128" s="112"/>
      <c r="F128" s="112"/>
      <c r="G128" s="112"/>
      <c r="H128" s="112"/>
      <c r="I128" s="112"/>
      <c r="J128" s="112"/>
      <c r="K128" s="112"/>
      <c r="L128" s="112"/>
      <c r="M128" s="112"/>
      <c r="N128" s="112"/>
      <c r="O128" s="112"/>
      <c r="P128" s="112"/>
      <c r="Q128" s="112"/>
      <c r="R128" s="112"/>
      <c r="S128" s="112"/>
      <c r="T128" s="112"/>
      <c r="U128" s="107"/>
      <c r="V128" s="107"/>
      <c r="W128" s="107"/>
      <c r="X128" s="107"/>
      <c r="Y128" s="107"/>
      <c r="Z128" s="112"/>
      <c r="AA128" s="112"/>
      <c r="AB128" s="112"/>
      <c r="AC128" s="112"/>
      <c r="AD128" s="112"/>
      <c r="AE128" s="112"/>
      <c r="AF128" s="112"/>
      <c r="AG128" s="124"/>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row>
    <row r="129">
      <c r="A129" s="141"/>
      <c r="B129" s="141"/>
      <c r="C129" s="141"/>
      <c r="D129" s="137"/>
      <c r="E129" s="112"/>
      <c r="F129" s="112"/>
      <c r="G129" s="112"/>
      <c r="H129" s="112"/>
      <c r="I129" s="112"/>
      <c r="J129" s="112"/>
      <c r="K129" s="112"/>
      <c r="L129" s="112"/>
      <c r="M129" s="112"/>
      <c r="N129" s="112"/>
      <c r="O129" s="112"/>
      <c r="P129" s="112"/>
      <c r="Q129" s="112"/>
      <c r="R129" s="112"/>
      <c r="S129" s="112"/>
      <c r="T129" s="112"/>
      <c r="U129" s="107"/>
      <c r="V129" s="107"/>
      <c r="W129" s="107"/>
      <c r="X129" s="107"/>
      <c r="Y129" s="107"/>
      <c r="Z129" s="112"/>
      <c r="AA129" s="112"/>
      <c r="AB129" s="112"/>
      <c r="AC129" s="112"/>
      <c r="AD129" s="112"/>
      <c r="AE129" s="112"/>
      <c r="AF129" s="112"/>
      <c r="AG129" s="124"/>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row>
    <row r="130">
      <c r="A130" s="141"/>
      <c r="B130" s="141"/>
      <c r="C130" s="141"/>
      <c r="D130" s="137"/>
      <c r="E130" s="112"/>
      <c r="F130" s="112"/>
      <c r="G130" s="112"/>
      <c r="H130" s="112"/>
      <c r="I130" s="112"/>
      <c r="J130" s="112"/>
      <c r="K130" s="112"/>
      <c r="L130" s="112"/>
      <c r="M130" s="112"/>
      <c r="N130" s="112"/>
      <c r="O130" s="112"/>
      <c r="P130" s="112"/>
      <c r="Q130" s="112"/>
      <c r="R130" s="112"/>
      <c r="S130" s="112"/>
      <c r="T130" s="112"/>
      <c r="U130" s="107"/>
      <c r="V130" s="107"/>
      <c r="W130" s="107"/>
      <c r="X130" s="107"/>
      <c r="Y130" s="107"/>
      <c r="Z130" s="112"/>
      <c r="AA130" s="112"/>
      <c r="AB130" s="112"/>
      <c r="AC130" s="112"/>
      <c r="AD130" s="112"/>
      <c r="AE130" s="112"/>
      <c r="AF130" s="112"/>
      <c r="AG130" s="124"/>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row>
    <row r="131">
      <c r="A131" s="141"/>
      <c r="B131" s="141"/>
      <c r="C131" s="141"/>
      <c r="D131" s="137"/>
      <c r="E131" s="112"/>
      <c r="F131" s="112"/>
      <c r="G131" s="112"/>
      <c r="H131" s="112"/>
      <c r="I131" s="112"/>
      <c r="J131" s="112"/>
      <c r="K131" s="112"/>
      <c r="L131" s="112"/>
      <c r="M131" s="112"/>
      <c r="N131" s="112"/>
      <c r="O131" s="112"/>
      <c r="P131" s="112"/>
      <c r="Q131" s="112"/>
      <c r="R131" s="112"/>
      <c r="S131" s="112"/>
      <c r="T131" s="112"/>
      <c r="U131" s="107"/>
      <c r="V131" s="107"/>
      <c r="W131" s="107"/>
      <c r="X131" s="107"/>
      <c r="Y131" s="107"/>
      <c r="Z131" s="112"/>
      <c r="AA131" s="112"/>
      <c r="AB131" s="112"/>
      <c r="AC131" s="112"/>
      <c r="AD131" s="112"/>
      <c r="AE131" s="112"/>
      <c r="AF131" s="112"/>
      <c r="AG131" s="124"/>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row>
    <row r="132">
      <c r="D132" s="143"/>
      <c r="E132" s="112"/>
      <c r="F132" s="112"/>
      <c r="G132" s="112"/>
      <c r="H132" s="112"/>
      <c r="I132" s="112"/>
      <c r="J132" s="112"/>
      <c r="K132" s="112"/>
      <c r="L132" s="112"/>
      <c r="M132" s="112"/>
      <c r="N132" s="112"/>
      <c r="O132" s="112"/>
      <c r="P132" s="112"/>
      <c r="Q132" s="112"/>
      <c r="R132" s="112"/>
      <c r="S132" s="112"/>
      <c r="T132" s="112"/>
      <c r="U132" s="107"/>
      <c r="V132" s="107"/>
      <c r="W132" s="107"/>
      <c r="X132" s="107"/>
      <c r="Y132" s="107"/>
      <c r="Z132" s="112"/>
      <c r="AA132" s="112"/>
      <c r="AB132" s="112"/>
      <c r="AC132" s="112"/>
      <c r="AD132" s="112"/>
      <c r="AE132" s="112"/>
      <c r="AF132" s="112"/>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row>
    <row r="133">
      <c r="D133" s="143"/>
      <c r="E133" s="112"/>
      <c r="F133" s="112"/>
      <c r="G133" s="112"/>
      <c r="H133" s="112"/>
      <c r="I133" s="112"/>
      <c r="J133" s="112"/>
      <c r="K133" s="112"/>
      <c r="L133" s="112"/>
      <c r="M133" s="112"/>
      <c r="N133" s="112"/>
      <c r="O133" s="112"/>
      <c r="P133" s="112"/>
      <c r="Q133" s="112"/>
      <c r="R133" s="112"/>
      <c r="S133" s="112"/>
      <c r="T133" s="112"/>
      <c r="U133" s="107"/>
      <c r="V133" s="107"/>
      <c r="W133" s="107"/>
      <c r="X133" s="107"/>
      <c r="Y133" s="107"/>
      <c r="Z133" s="112"/>
      <c r="AA133" s="112"/>
      <c r="AB133" s="112"/>
      <c r="AC133" s="112"/>
      <c r="AD133" s="112"/>
      <c r="AE133" s="112"/>
      <c r="AF133" s="112"/>
      <c r="AG133" s="124"/>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row>
    <row r="134">
      <c r="D134" s="143"/>
      <c r="E134" s="112"/>
      <c r="F134" s="112"/>
      <c r="G134" s="112"/>
      <c r="H134" s="112"/>
      <c r="I134" s="112"/>
      <c r="J134" s="112"/>
      <c r="K134" s="112"/>
      <c r="L134" s="112"/>
      <c r="M134" s="112"/>
      <c r="N134" s="112"/>
      <c r="O134" s="112"/>
      <c r="P134" s="112"/>
      <c r="Q134" s="112"/>
      <c r="R134" s="112"/>
      <c r="S134" s="112"/>
      <c r="T134" s="112"/>
      <c r="U134" s="107"/>
      <c r="V134" s="107"/>
      <c r="W134" s="107"/>
      <c r="X134" s="107"/>
      <c r="Y134" s="107"/>
      <c r="Z134" s="112"/>
      <c r="AA134" s="112"/>
      <c r="AB134" s="112"/>
      <c r="AC134" s="112"/>
      <c r="AD134" s="112"/>
      <c r="AE134" s="112"/>
      <c r="AF134" s="112"/>
      <c r="AG134" s="124"/>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row>
    <row r="135">
      <c r="D135" s="143"/>
      <c r="E135" s="112"/>
      <c r="F135" s="112"/>
      <c r="G135" s="112"/>
      <c r="H135" s="112"/>
      <c r="I135" s="112"/>
      <c r="J135" s="112"/>
      <c r="K135" s="112"/>
      <c r="L135" s="112"/>
      <c r="M135" s="112"/>
      <c r="N135" s="112"/>
      <c r="O135" s="112"/>
      <c r="P135" s="112"/>
      <c r="Q135" s="112"/>
      <c r="R135" s="112"/>
      <c r="S135" s="112"/>
      <c r="T135" s="112"/>
      <c r="U135" s="107"/>
      <c r="V135" s="107"/>
      <c r="W135" s="107"/>
      <c r="X135" s="107"/>
      <c r="Y135" s="107"/>
      <c r="Z135" s="112"/>
      <c r="AA135" s="112"/>
      <c r="AB135" s="112"/>
      <c r="AC135" s="112"/>
      <c r="AD135" s="112"/>
      <c r="AE135" s="112"/>
      <c r="AF135" s="112"/>
      <c r="AG135" s="124"/>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c r="BK135" s="124"/>
      <c r="BL135" s="124"/>
      <c r="BM135" s="124"/>
      <c r="BN135" s="124"/>
      <c r="BO135" s="124"/>
      <c r="BP135" s="124"/>
      <c r="BQ135" s="124"/>
      <c r="BR135" s="124"/>
      <c r="BS135" s="124"/>
      <c r="BT135" s="124"/>
      <c r="BU135" s="124"/>
      <c r="BV135" s="124"/>
      <c r="BW135" s="124"/>
      <c r="BX135" s="124"/>
      <c r="BY135" s="124"/>
      <c r="BZ135" s="124"/>
      <c r="CA135" s="124"/>
    </row>
    <row r="136">
      <c r="D136" s="143"/>
      <c r="E136" s="112"/>
      <c r="F136" s="112"/>
      <c r="G136" s="112"/>
      <c r="H136" s="112"/>
      <c r="I136" s="112"/>
      <c r="J136" s="112"/>
      <c r="K136" s="112"/>
      <c r="L136" s="112"/>
      <c r="M136" s="112"/>
      <c r="N136" s="112"/>
      <c r="O136" s="112"/>
      <c r="P136" s="112"/>
      <c r="Q136" s="112"/>
      <c r="R136" s="112"/>
      <c r="S136" s="112"/>
      <c r="T136" s="112"/>
      <c r="U136" s="107"/>
      <c r="V136" s="107"/>
      <c r="W136" s="107"/>
      <c r="X136" s="107"/>
      <c r="Y136" s="107"/>
      <c r="Z136" s="112"/>
      <c r="AA136" s="112"/>
      <c r="AB136" s="112"/>
      <c r="AC136" s="112"/>
      <c r="AD136" s="112"/>
      <c r="AE136" s="112"/>
      <c r="AF136" s="112"/>
      <c r="AG136" s="124"/>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row>
    <row r="137">
      <c r="D137" s="143"/>
      <c r="E137" s="112"/>
      <c r="F137" s="112"/>
      <c r="G137" s="112"/>
      <c r="H137" s="112"/>
      <c r="I137" s="112"/>
      <c r="J137" s="112"/>
      <c r="K137" s="112"/>
      <c r="L137" s="112"/>
      <c r="M137" s="112"/>
      <c r="N137" s="112"/>
      <c r="O137" s="112"/>
      <c r="P137" s="112"/>
      <c r="Q137" s="112"/>
      <c r="R137" s="112"/>
      <c r="S137" s="112"/>
      <c r="T137" s="112"/>
      <c r="U137" s="107"/>
      <c r="V137" s="107"/>
      <c r="W137" s="107"/>
      <c r="X137" s="107"/>
      <c r="Y137" s="107"/>
      <c r="Z137" s="112"/>
      <c r="AA137" s="112"/>
      <c r="AB137" s="112"/>
      <c r="AC137" s="112"/>
      <c r="AD137" s="112"/>
      <c r="AE137" s="112"/>
      <c r="AF137" s="112"/>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row>
    <row r="138">
      <c r="D138" s="143"/>
      <c r="E138" s="112"/>
      <c r="F138" s="112"/>
      <c r="G138" s="112"/>
      <c r="H138" s="112"/>
      <c r="I138" s="112"/>
      <c r="J138" s="112"/>
      <c r="K138" s="112"/>
      <c r="L138" s="112"/>
      <c r="M138" s="112"/>
      <c r="N138" s="112"/>
      <c r="O138" s="112"/>
      <c r="P138" s="112"/>
      <c r="Q138" s="112"/>
      <c r="R138" s="112"/>
      <c r="S138" s="112"/>
      <c r="T138" s="112"/>
      <c r="U138" s="107"/>
      <c r="V138" s="107"/>
      <c r="W138" s="107"/>
      <c r="X138" s="107"/>
      <c r="Y138" s="107"/>
      <c r="Z138" s="112"/>
      <c r="AA138" s="112"/>
      <c r="AB138" s="112"/>
      <c r="AC138" s="112"/>
      <c r="AD138" s="112"/>
      <c r="AE138" s="112"/>
      <c r="AF138" s="112"/>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row>
    <row r="139">
      <c r="D139" s="143"/>
      <c r="E139" s="112"/>
      <c r="F139" s="112"/>
      <c r="G139" s="112"/>
      <c r="H139" s="112"/>
      <c r="I139" s="112"/>
      <c r="J139" s="112"/>
      <c r="K139" s="112"/>
      <c r="L139" s="112"/>
      <c r="M139" s="112"/>
      <c r="N139" s="112"/>
      <c r="O139" s="112"/>
      <c r="P139" s="112"/>
      <c r="Q139" s="112"/>
      <c r="R139" s="112"/>
      <c r="S139" s="112"/>
      <c r="T139" s="112"/>
      <c r="U139" s="107"/>
      <c r="V139" s="107"/>
      <c r="W139" s="107"/>
      <c r="X139" s="107"/>
      <c r="Y139" s="107"/>
      <c r="Z139" s="112"/>
      <c r="AA139" s="112"/>
      <c r="AB139" s="112"/>
      <c r="AC139" s="112"/>
      <c r="AD139" s="112"/>
      <c r="AE139" s="112"/>
      <c r="AF139" s="112"/>
      <c r="AG139" s="124"/>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row>
    <row r="140">
      <c r="D140" s="143"/>
      <c r="E140" s="112"/>
      <c r="F140" s="112"/>
      <c r="G140" s="112"/>
      <c r="H140" s="112"/>
      <c r="I140" s="112"/>
      <c r="J140" s="112"/>
      <c r="K140" s="112"/>
      <c r="L140" s="112"/>
      <c r="M140" s="112"/>
      <c r="N140" s="112"/>
      <c r="O140" s="112"/>
      <c r="P140" s="112"/>
      <c r="Q140" s="112"/>
      <c r="R140" s="112"/>
      <c r="S140" s="112"/>
      <c r="T140" s="112"/>
      <c r="U140" s="107"/>
      <c r="V140" s="107"/>
      <c r="W140" s="107"/>
      <c r="X140" s="107"/>
      <c r="Y140" s="107"/>
      <c r="Z140" s="112"/>
      <c r="AA140" s="112"/>
      <c r="AB140" s="112"/>
      <c r="AC140" s="112"/>
      <c r="AD140" s="112"/>
      <c r="AE140" s="112"/>
      <c r="AF140" s="112"/>
      <c r="AG140" s="124"/>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row>
    <row r="141">
      <c r="D141" s="143"/>
      <c r="E141" s="112"/>
      <c r="F141" s="112"/>
      <c r="G141" s="112"/>
      <c r="H141" s="112"/>
      <c r="I141" s="112"/>
      <c r="J141" s="112"/>
      <c r="K141" s="112"/>
      <c r="L141" s="112"/>
      <c r="M141" s="112"/>
      <c r="N141" s="112"/>
      <c r="O141" s="112"/>
      <c r="P141" s="112"/>
      <c r="Q141" s="112"/>
      <c r="R141" s="112"/>
      <c r="S141" s="112"/>
      <c r="T141" s="112"/>
      <c r="U141" s="107"/>
      <c r="V141" s="107"/>
      <c r="W141" s="107"/>
      <c r="X141" s="107"/>
      <c r="Y141" s="107"/>
      <c r="Z141" s="112"/>
      <c r="AA141" s="112"/>
      <c r="AB141" s="112"/>
      <c r="AC141" s="112"/>
      <c r="AD141" s="112"/>
      <c r="AE141" s="112"/>
      <c r="AF141" s="112"/>
      <c r="AG141" s="124"/>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row>
    <row r="142">
      <c r="D142" s="143"/>
      <c r="E142" s="112"/>
      <c r="F142" s="112"/>
      <c r="G142" s="112"/>
      <c r="H142" s="112"/>
      <c r="I142" s="112"/>
      <c r="J142" s="112"/>
      <c r="K142" s="112"/>
      <c r="L142" s="112"/>
      <c r="M142" s="112"/>
      <c r="N142" s="112"/>
      <c r="O142" s="112"/>
      <c r="P142" s="112"/>
      <c r="Q142" s="112"/>
      <c r="R142" s="112"/>
      <c r="S142" s="112"/>
      <c r="T142" s="112"/>
      <c r="U142" s="107"/>
      <c r="V142" s="107"/>
      <c r="W142" s="107"/>
      <c r="X142" s="107"/>
      <c r="Y142" s="107"/>
      <c r="Z142" s="112"/>
      <c r="AA142" s="112"/>
      <c r="AB142" s="112"/>
      <c r="AC142" s="112"/>
      <c r="AD142" s="112"/>
      <c r="AE142" s="112"/>
      <c r="AF142" s="112"/>
      <c r="AG142" s="124"/>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c r="BK142" s="124"/>
      <c r="BL142" s="124"/>
      <c r="BM142" s="124"/>
      <c r="BN142" s="124"/>
      <c r="BO142" s="124"/>
      <c r="BP142" s="124"/>
      <c r="BQ142" s="124"/>
      <c r="BR142" s="124"/>
      <c r="BS142" s="124"/>
      <c r="BT142" s="124"/>
      <c r="BU142" s="124"/>
      <c r="BV142" s="124"/>
      <c r="BW142" s="124"/>
      <c r="BX142" s="124"/>
      <c r="BY142" s="124"/>
      <c r="BZ142" s="124"/>
      <c r="CA142" s="124"/>
    </row>
    <row r="143">
      <c r="D143" s="143"/>
      <c r="E143" s="112"/>
      <c r="F143" s="112"/>
      <c r="G143" s="112"/>
      <c r="H143" s="112"/>
      <c r="I143" s="112"/>
      <c r="J143" s="112"/>
      <c r="K143" s="112"/>
      <c r="L143" s="112"/>
      <c r="M143" s="112"/>
      <c r="N143" s="112"/>
      <c r="O143" s="112"/>
      <c r="P143" s="112"/>
      <c r="Q143" s="112"/>
      <c r="R143" s="112"/>
      <c r="S143" s="112"/>
      <c r="T143" s="112"/>
      <c r="U143" s="107"/>
      <c r="V143" s="107"/>
      <c r="W143" s="107"/>
      <c r="X143" s="107"/>
      <c r="Y143" s="107"/>
      <c r="Z143" s="112"/>
      <c r="AA143" s="112"/>
      <c r="AB143" s="112"/>
      <c r="AC143" s="112"/>
      <c r="AD143" s="112"/>
      <c r="AE143" s="112"/>
      <c r="AF143" s="112"/>
      <c r="AG143" s="124"/>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row>
    <row r="144">
      <c r="D144" s="143"/>
      <c r="E144" s="112"/>
      <c r="F144" s="112"/>
      <c r="G144" s="112"/>
      <c r="H144" s="112"/>
      <c r="I144" s="112"/>
      <c r="J144" s="112"/>
      <c r="K144" s="112"/>
      <c r="L144" s="112"/>
      <c r="M144" s="112"/>
      <c r="N144" s="112"/>
      <c r="O144" s="112"/>
      <c r="P144" s="112"/>
      <c r="Q144" s="112"/>
      <c r="R144" s="112"/>
      <c r="S144" s="112"/>
      <c r="T144" s="112"/>
      <c r="U144" s="107"/>
      <c r="V144" s="107"/>
      <c r="W144" s="107"/>
      <c r="X144" s="107"/>
      <c r="Y144" s="107"/>
      <c r="Z144" s="112"/>
      <c r="AA144" s="112"/>
      <c r="AB144" s="112"/>
      <c r="AC144" s="112"/>
      <c r="AD144" s="112"/>
      <c r="AE144" s="112"/>
      <c r="AF144" s="112"/>
      <c r="AG144" s="124"/>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c r="BQ144" s="124"/>
      <c r="BR144" s="124"/>
      <c r="BS144" s="124"/>
      <c r="BT144" s="124"/>
      <c r="BU144" s="124"/>
      <c r="BV144" s="124"/>
      <c r="BW144" s="124"/>
      <c r="BX144" s="124"/>
      <c r="BY144" s="124"/>
      <c r="BZ144" s="124"/>
      <c r="CA144" s="124"/>
    </row>
    <row r="145">
      <c r="D145" s="143"/>
      <c r="E145" s="112"/>
      <c r="F145" s="112"/>
      <c r="G145" s="112"/>
      <c r="H145" s="112"/>
      <c r="I145" s="112"/>
      <c r="J145" s="112"/>
      <c r="K145" s="112"/>
      <c r="L145" s="112"/>
      <c r="M145" s="112"/>
      <c r="N145" s="112"/>
      <c r="O145" s="112"/>
      <c r="P145" s="112"/>
      <c r="Q145" s="112"/>
      <c r="R145" s="112"/>
      <c r="S145" s="112"/>
      <c r="T145" s="112"/>
      <c r="U145" s="107"/>
      <c r="V145" s="107"/>
      <c r="W145" s="107"/>
      <c r="X145" s="107"/>
      <c r="Y145" s="107"/>
      <c r="Z145" s="112"/>
      <c r="AA145" s="112"/>
      <c r="AB145" s="112"/>
      <c r="AC145" s="112"/>
      <c r="AD145" s="112"/>
      <c r="AE145" s="112"/>
      <c r="AF145" s="112"/>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row>
    <row r="146">
      <c r="D146" s="143"/>
      <c r="E146" s="112"/>
      <c r="F146" s="112"/>
      <c r="G146" s="112"/>
      <c r="H146" s="112"/>
      <c r="I146" s="112"/>
      <c r="J146" s="112"/>
      <c r="K146" s="112"/>
      <c r="L146" s="112"/>
      <c r="M146" s="112"/>
      <c r="N146" s="112"/>
      <c r="O146" s="112"/>
      <c r="P146" s="112"/>
      <c r="Q146" s="112"/>
      <c r="R146" s="112"/>
      <c r="S146" s="112"/>
      <c r="T146" s="112"/>
      <c r="U146" s="107"/>
      <c r="V146" s="107"/>
      <c r="W146" s="107"/>
      <c r="X146" s="107"/>
      <c r="Y146" s="107"/>
      <c r="Z146" s="112"/>
      <c r="AA146" s="112"/>
      <c r="AB146" s="112"/>
      <c r="AC146" s="112"/>
      <c r="AD146" s="112"/>
      <c r="AE146" s="112"/>
      <c r="AF146" s="112"/>
      <c r="AG146" s="124"/>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row>
    <row r="147">
      <c r="D147" s="143"/>
      <c r="E147" s="112"/>
      <c r="F147" s="112"/>
      <c r="G147" s="112"/>
      <c r="H147" s="112"/>
      <c r="I147" s="112"/>
      <c r="J147" s="112"/>
      <c r="K147" s="112"/>
      <c r="L147" s="112"/>
      <c r="M147" s="112"/>
      <c r="N147" s="112"/>
      <c r="O147" s="112"/>
      <c r="P147" s="112"/>
      <c r="Q147" s="112"/>
      <c r="R147" s="112"/>
      <c r="S147" s="112"/>
      <c r="T147" s="112"/>
      <c r="U147" s="107"/>
      <c r="V147" s="107"/>
      <c r="W147" s="107"/>
      <c r="X147" s="107"/>
      <c r="Y147" s="107"/>
      <c r="Z147" s="112"/>
      <c r="AA147" s="112"/>
      <c r="AB147" s="112"/>
      <c r="AC147" s="112"/>
      <c r="AD147" s="112"/>
      <c r="AE147" s="112"/>
      <c r="AF147" s="112"/>
      <c r="AG147" s="124"/>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c r="BK147" s="124"/>
      <c r="BL147" s="124"/>
      <c r="BM147" s="124"/>
      <c r="BN147" s="124"/>
      <c r="BO147" s="124"/>
      <c r="BP147" s="124"/>
      <c r="BQ147" s="124"/>
      <c r="BR147" s="124"/>
      <c r="BS147" s="124"/>
      <c r="BT147" s="124"/>
      <c r="BU147" s="124"/>
      <c r="BV147" s="124"/>
      <c r="BW147" s="124"/>
      <c r="BX147" s="124"/>
      <c r="BY147" s="124"/>
      <c r="BZ147" s="124"/>
      <c r="CA147" s="124"/>
    </row>
    <row r="148">
      <c r="D148" s="143"/>
      <c r="E148" s="112"/>
      <c r="F148" s="112"/>
      <c r="G148" s="112"/>
      <c r="H148" s="112"/>
      <c r="I148" s="112"/>
      <c r="J148" s="112"/>
      <c r="K148" s="112"/>
      <c r="L148" s="112"/>
      <c r="M148" s="112"/>
      <c r="N148" s="112"/>
      <c r="O148" s="112"/>
      <c r="P148" s="112"/>
      <c r="Q148" s="112"/>
      <c r="R148" s="112"/>
      <c r="S148" s="112"/>
      <c r="T148" s="112"/>
      <c r="U148" s="107"/>
      <c r="V148" s="107"/>
      <c r="W148" s="107"/>
      <c r="X148" s="107"/>
      <c r="Y148" s="107"/>
      <c r="Z148" s="112"/>
      <c r="AA148" s="112"/>
      <c r="AB148" s="112"/>
      <c r="AC148" s="112"/>
      <c r="AD148" s="112"/>
      <c r="AE148" s="112"/>
      <c r="AF148" s="112"/>
      <c r="AG148" s="124"/>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row>
    <row r="149">
      <c r="D149" s="143"/>
      <c r="E149" s="112"/>
      <c r="F149" s="112"/>
      <c r="G149" s="112"/>
      <c r="H149" s="112"/>
      <c r="I149" s="112"/>
      <c r="J149" s="112"/>
      <c r="K149" s="112"/>
      <c r="L149" s="112"/>
      <c r="M149" s="112"/>
      <c r="N149" s="112"/>
      <c r="O149" s="112"/>
      <c r="P149" s="112"/>
      <c r="Q149" s="112"/>
      <c r="R149" s="112"/>
      <c r="S149" s="112"/>
      <c r="T149" s="112"/>
      <c r="U149" s="107"/>
      <c r="V149" s="107"/>
      <c r="W149" s="107"/>
      <c r="X149" s="107"/>
      <c r="Y149" s="107"/>
      <c r="Z149" s="112"/>
      <c r="AA149" s="112"/>
      <c r="AB149" s="112"/>
      <c r="AC149" s="112"/>
      <c r="AD149" s="112"/>
      <c r="AE149" s="112"/>
      <c r="AF149" s="112"/>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row>
    <row r="150">
      <c r="D150" s="143"/>
      <c r="E150" s="112"/>
      <c r="F150" s="112"/>
      <c r="G150" s="112"/>
      <c r="H150" s="112"/>
      <c r="I150" s="112"/>
      <c r="J150" s="112"/>
      <c r="K150" s="112"/>
      <c r="L150" s="112"/>
      <c r="M150" s="112"/>
      <c r="N150" s="112"/>
      <c r="O150" s="112"/>
      <c r="P150" s="112"/>
      <c r="Q150" s="112"/>
      <c r="R150" s="112"/>
      <c r="S150" s="112"/>
      <c r="T150" s="112"/>
      <c r="U150" s="107"/>
      <c r="V150" s="107"/>
      <c r="W150" s="107"/>
      <c r="X150" s="107"/>
      <c r="Y150" s="107"/>
      <c r="Z150" s="112"/>
      <c r="AA150" s="112"/>
      <c r="AB150" s="112"/>
      <c r="AC150" s="112"/>
      <c r="AD150" s="112"/>
      <c r="AE150" s="112"/>
      <c r="AF150" s="112"/>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c r="BK150" s="124"/>
      <c r="BL150" s="124"/>
      <c r="BM150" s="124"/>
      <c r="BN150" s="124"/>
      <c r="BO150" s="124"/>
      <c r="BP150" s="124"/>
      <c r="BQ150" s="124"/>
      <c r="BR150" s="124"/>
      <c r="BS150" s="124"/>
      <c r="BT150" s="124"/>
      <c r="BU150" s="124"/>
      <c r="BV150" s="124"/>
      <c r="BW150" s="124"/>
      <c r="BX150" s="124"/>
      <c r="BY150" s="124"/>
      <c r="BZ150" s="124"/>
      <c r="CA150" s="124"/>
    </row>
    <row r="151">
      <c r="D151" s="143"/>
      <c r="E151" s="112"/>
      <c r="F151" s="112"/>
      <c r="G151" s="112"/>
      <c r="H151" s="112"/>
      <c r="I151" s="112"/>
      <c r="J151" s="112"/>
      <c r="K151" s="112"/>
      <c r="L151" s="112"/>
      <c r="M151" s="112"/>
      <c r="N151" s="112"/>
      <c r="O151" s="112"/>
      <c r="P151" s="112"/>
      <c r="Q151" s="112"/>
      <c r="R151" s="112"/>
      <c r="S151" s="112"/>
      <c r="T151" s="112"/>
      <c r="U151" s="107"/>
      <c r="V151" s="107"/>
      <c r="W151" s="107"/>
      <c r="X151" s="107"/>
      <c r="Y151" s="107"/>
      <c r="Z151" s="112"/>
      <c r="AA151" s="112"/>
      <c r="AB151" s="112"/>
      <c r="AC151" s="112"/>
      <c r="AD151" s="112"/>
      <c r="AE151" s="112"/>
      <c r="AF151" s="112"/>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row>
    <row r="152">
      <c r="D152" s="143"/>
      <c r="E152" s="112"/>
      <c r="F152" s="112"/>
      <c r="G152" s="112"/>
      <c r="H152" s="112"/>
      <c r="I152" s="112"/>
      <c r="J152" s="112"/>
      <c r="K152" s="112"/>
      <c r="L152" s="112"/>
      <c r="M152" s="112"/>
      <c r="N152" s="112"/>
      <c r="O152" s="112"/>
      <c r="P152" s="112"/>
      <c r="Q152" s="112"/>
      <c r="R152" s="112"/>
      <c r="S152" s="112"/>
      <c r="T152" s="112"/>
      <c r="U152" s="107"/>
      <c r="V152" s="107"/>
      <c r="W152" s="107"/>
      <c r="X152" s="107"/>
      <c r="Y152" s="107"/>
      <c r="Z152" s="112"/>
      <c r="AA152" s="112"/>
      <c r="AB152" s="112"/>
      <c r="AC152" s="112"/>
      <c r="AD152" s="112"/>
      <c r="AE152" s="112"/>
      <c r="AF152" s="112"/>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c r="BK152" s="124"/>
      <c r="BL152" s="124"/>
      <c r="BM152" s="124"/>
      <c r="BN152" s="124"/>
      <c r="BO152" s="124"/>
      <c r="BP152" s="124"/>
      <c r="BQ152" s="124"/>
      <c r="BR152" s="124"/>
      <c r="BS152" s="124"/>
      <c r="BT152" s="124"/>
      <c r="BU152" s="124"/>
      <c r="BV152" s="124"/>
      <c r="BW152" s="124"/>
      <c r="BX152" s="124"/>
      <c r="BY152" s="124"/>
      <c r="BZ152" s="124"/>
      <c r="CA152" s="124"/>
    </row>
    <row r="153">
      <c r="D153" s="143"/>
      <c r="E153" s="112"/>
      <c r="F153" s="112"/>
      <c r="G153" s="112"/>
      <c r="H153" s="112"/>
      <c r="I153" s="112"/>
      <c r="J153" s="112"/>
      <c r="K153" s="112"/>
      <c r="L153" s="112"/>
      <c r="M153" s="112"/>
      <c r="N153" s="112"/>
      <c r="O153" s="112"/>
      <c r="P153" s="112"/>
      <c r="Q153" s="112"/>
      <c r="R153" s="112"/>
      <c r="S153" s="112"/>
      <c r="T153" s="112"/>
      <c r="U153" s="107"/>
      <c r="V153" s="107"/>
      <c r="W153" s="107"/>
      <c r="X153" s="107"/>
      <c r="Y153" s="107"/>
      <c r="Z153" s="112"/>
      <c r="AA153" s="112"/>
      <c r="AB153" s="112"/>
      <c r="AC153" s="112"/>
      <c r="AD153" s="112"/>
      <c r="AE153" s="112"/>
      <c r="AF153" s="112"/>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row>
    <row r="154">
      <c r="D154" s="143"/>
      <c r="E154" s="112"/>
      <c r="F154" s="112"/>
      <c r="G154" s="112"/>
      <c r="H154" s="112"/>
      <c r="I154" s="112"/>
      <c r="J154" s="112"/>
      <c r="K154" s="112"/>
      <c r="L154" s="112"/>
      <c r="M154" s="112"/>
      <c r="N154" s="112"/>
      <c r="O154" s="112"/>
      <c r="P154" s="112"/>
      <c r="Q154" s="112"/>
      <c r="R154" s="112"/>
      <c r="S154" s="112"/>
      <c r="T154" s="112"/>
      <c r="U154" s="107"/>
      <c r="V154" s="107"/>
      <c r="W154" s="107"/>
      <c r="X154" s="107"/>
      <c r="Y154" s="107"/>
      <c r="Z154" s="112"/>
      <c r="AA154" s="112"/>
      <c r="AB154" s="112"/>
      <c r="AC154" s="112"/>
      <c r="AD154" s="112"/>
      <c r="AE154" s="112"/>
      <c r="AF154" s="112"/>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row>
    <row r="155">
      <c r="D155" s="143"/>
      <c r="E155" s="112"/>
      <c r="F155" s="112"/>
      <c r="G155" s="112"/>
      <c r="H155" s="112"/>
      <c r="I155" s="112"/>
      <c r="J155" s="112"/>
      <c r="K155" s="112"/>
      <c r="L155" s="112"/>
      <c r="M155" s="112"/>
      <c r="N155" s="112"/>
      <c r="O155" s="112"/>
      <c r="P155" s="112"/>
      <c r="Q155" s="112"/>
      <c r="R155" s="112"/>
      <c r="S155" s="112"/>
      <c r="T155" s="112"/>
      <c r="U155" s="107"/>
      <c r="V155" s="107"/>
      <c r="W155" s="107"/>
      <c r="X155" s="107"/>
      <c r="Y155" s="107"/>
      <c r="Z155" s="112"/>
      <c r="AA155" s="112"/>
      <c r="AB155" s="112"/>
      <c r="AC155" s="112"/>
      <c r="AD155" s="112"/>
      <c r="AE155" s="112"/>
      <c r="AF155" s="112"/>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row>
    <row r="156">
      <c r="D156" s="143"/>
      <c r="E156" s="112"/>
      <c r="F156" s="112"/>
      <c r="G156" s="112"/>
      <c r="H156" s="112"/>
      <c r="I156" s="112"/>
      <c r="J156" s="112"/>
      <c r="K156" s="112"/>
      <c r="L156" s="112"/>
      <c r="M156" s="112"/>
      <c r="N156" s="112"/>
      <c r="O156" s="112"/>
      <c r="P156" s="112"/>
      <c r="Q156" s="112"/>
      <c r="R156" s="112"/>
      <c r="S156" s="112"/>
      <c r="T156" s="112"/>
      <c r="U156" s="107"/>
      <c r="V156" s="107"/>
      <c r="W156" s="107"/>
      <c r="X156" s="107"/>
      <c r="Y156" s="107"/>
      <c r="Z156" s="112"/>
      <c r="AA156" s="112"/>
      <c r="AB156" s="112"/>
      <c r="AC156" s="112"/>
      <c r="AD156" s="112"/>
      <c r="AE156" s="112"/>
      <c r="AF156" s="112"/>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row>
    <row r="157">
      <c r="D157" s="143"/>
      <c r="E157" s="112"/>
      <c r="F157" s="112"/>
      <c r="G157" s="112"/>
      <c r="H157" s="112"/>
      <c r="I157" s="112"/>
      <c r="J157" s="112"/>
      <c r="K157" s="112"/>
      <c r="L157" s="112"/>
      <c r="M157" s="112"/>
      <c r="N157" s="112"/>
      <c r="O157" s="112"/>
      <c r="P157" s="112"/>
      <c r="Q157" s="112"/>
      <c r="R157" s="112"/>
      <c r="S157" s="112"/>
      <c r="T157" s="112"/>
      <c r="U157" s="107"/>
      <c r="V157" s="107"/>
      <c r="W157" s="107"/>
      <c r="X157" s="107"/>
      <c r="Y157" s="107"/>
      <c r="Z157" s="112"/>
      <c r="AA157" s="112"/>
      <c r="AB157" s="112"/>
      <c r="AC157" s="112"/>
      <c r="AD157" s="112"/>
      <c r="AE157" s="112"/>
      <c r="AF157" s="112"/>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row>
    <row r="158">
      <c r="D158" s="143"/>
      <c r="E158" s="112"/>
      <c r="F158" s="112"/>
      <c r="G158" s="112"/>
      <c r="H158" s="112"/>
      <c r="I158" s="112"/>
      <c r="J158" s="112"/>
      <c r="K158" s="112"/>
      <c r="L158" s="112"/>
      <c r="M158" s="112"/>
      <c r="N158" s="112"/>
      <c r="O158" s="112"/>
      <c r="P158" s="112"/>
      <c r="Q158" s="112"/>
      <c r="R158" s="112"/>
      <c r="S158" s="112"/>
      <c r="T158" s="112"/>
      <c r="U158" s="107"/>
      <c r="V158" s="107"/>
      <c r="W158" s="107"/>
      <c r="X158" s="107"/>
      <c r="Y158" s="107"/>
      <c r="Z158" s="112"/>
      <c r="AA158" s="112"/>
      <c r="AB158" s="112"/>
      <c r="AC158" s="112"/>
      <c r="AD158" s="112"/>
      <c r="AE158" s="112"/>
      <c r="AF158" s="112"/>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row>
    <row r="159">
      <c r="D159" s="143"/>
      <c r="E159" s="112"/>
      <c r="F159" s="112"/>
      <c r="G159" s="112"/>
      <c r="H159" s="112"/>
      <c r="I159" s="112"/>
      <c r="J159" s="112"/>
      <c r="K159" s="112"/>
      <c r="L159" s="112"/>
      <c r="M159" s="112"/>
      <c r="N159" s="112"/>
      <c r="O159" s="112"/>
      <c r="P159" s="112"/>
      <c r="Q159" s="112"/>
      <c r="R159" s="112"/>
      <c r="S159" s="112"/>
      <c r="T159" s="112"/>
      <c r="U159" s="107"/>
      <c r="V159" s="107"/>
      <c r="W159" s="107"/>
      <c r="X159" s="107"/>
      <c r="Y159" s="107"/>
      <c r="Z159" s="112"/>
      <c r="AA159" s="112"/>
      <c r="AB159" s="112"/>
      <c r="AC159" s="112"/>
      <c r="AD159" s="112"/>
      <c r="AE159" s="112"/>
      <c r="AF159" s="112"/>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row>
    <row r="160">
      <c r="D160" s="143"/>
      <c r="E160" s="112"/>
      <c r="F160" s="112"/>
      <c r="G160" s="112"/>
      <c r="H160" s="112"/>
      <c r="I160" s="112"/>
      <c r="J160" s="112"/>
      <c r="K160" s="112"/>
      <c r="L160" s="112"/>
      <c r="M160" s="112"/>
      <c r="N160" s="112"/>
      <c r="O160" s="112"/>
      <c r="P160" s="112"/>
      <c r="Q160" s="112"/>
      <c r="R160" s="112"/>
      <c r="S160" s="112"/>
      <c r="T160" s="112"/>
      <c r="U160" s="107"/>
      <c r="V160" s="107"/>
      <c r="W160" s="107"/>
      <c r="X160" s="107"/>
      <c r="Y160" s="107"/>
      <c r="Z160" s="112"/>
      <c r="AA160" s="112"/>
      <c r="AB160" s="112"/>
      <c r="AC160" s="112"/>
      <c r="AD160" s="112"/>
      <c r="AE160" s="112"/>
      <c r="AF160" s="112"/>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c r="BK160" s="124"/>
      <c r="BL160" s="124"/>
      <c r="BM160" s="124"/>
      <c r="BN160" s="124"/>
      <c r="BO160" s="124"/>
      <c r="BP160" s="124"/>
      <c r="BQ160" s="124"/>
      <c r="BR160" s="124"/>
      <c r="BS160" s="124"/>
      <c r="BT160" s="124"/>
      <c r="BU160" s="124"/>
      <c r="BV160" s="124"/>
      <c r="BW160" s="124"/>
      <c r="BX160" s="124"/>
      <c r="BY160" s="124"/>
      <c r="BZ160" s="124"/>
      <c r="CA160" s="124"/>
    </row>
    <row r="161">
      <c r="D161" s="143"/>
      <c r="E161" s="112"/>
      <c r="F161" s="112"/>
      <c r="G161" s="112"/>
      <c r="H161" s="112"/>
      <c r="I161" s="112"/>
      <c r="J161" s="112"/>
      <c r="K161" s="112"/>
      <c r="L161" s="112"/>
      <c r="M161" s="112"/>
      <c r="N161" s="112"/>
      <c r="O161" s="112"/>
      <c r="P161" s="112"/>
      <c r="Q161" s="112"/>
      <c r="R161" s="112"/>
      <c r="S161" s="112"/>
      <c r="T161" s="112"/>
      <c r="U161" s="107"/>
      <c r="V161" s="107"/>
      <c r="W161" s="107"/>
      <c r="X161" s="107"/>
      <c r="Y161" s="107"/>
      <c r="Z161" s="112"/>
      <c r="AA161" s="112"/>
      <c r="AB161" s="112"/>
      <c r="AC161" s="112"/>
      <c r="AD161" s="112"/>
      <c r="AE161" s="112"/>
      <c r="AF161" s="112"/>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c r="BK161" s="124"/>
      <c r="BL161" s="124"/>
      <c r="BM161" s="124"/>
      <c r="BN161" s="124"/>
      <c r="BO161" s="124"/>
      <c r="BP161" s="124"/>
      <c r="BQ161" s="124"/>
      <c r="BR161" s="124"/>
      <c r="BS161" s="124"/>
      <c r="BT161" s="124"/>
      <c r="BU161" s="124"/>
      <c r="BV161" s="124"/>
      <c r="BW161" s="124"/>
      <c r="BX161" s="124"/>
      <c r="BY161" s="124"/>
      <c r="BZ161" s="124"/>
      <c r="CA161" s="124"/>
    </row>
    <row r="162">
      <c r="D162" s="143"/>
      <c r="E162" s="112"/>
      <c r="F162" s="112"/>
      <c r="G162" s="112"/>
      <c r="H162" s="112"/>
      <c r="I162" s="112"/>
      <c r="J162" s="112"/>
      <c r="K162" s="112"/>
      <c r="L162" s="112"/>
      <c r="M162" s="112"/>
      <c r="N162" s="112"/>
      <c r="O162" s="112"/>
      <c r="P162" s="112"/>
      <c r="Q162" s="112"/>
      <c r="R162" s="112"/>
      <c r="S162" s="112"/>
      <c r="T162" s="112"/>
      <c r="U162" s="107"/>
      <c r="V162" s="107"/>
      <c r="W162" s="107"/>
      <c r="X162" s="107"/>
      <c r="Y162" s="107"/>
      <c r="Z162" s="112"/>
      <c r="AA162" s="112"/>
      <c r="AB162" s="112"/>
      <c r="AC162" s="112"/>
      <c r="AD162" s="112"/>
      <c r="AE162" s="112"/>
      <c r="AF162" s="112"/>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4"/>
      <c r="BV162" s="124"/>
      <c r="BW162" s="124"/>
      <c r="BX162" s="124"/>
      <c r="BY162" s="124"/>
      <c r="BZ162" s="124"/>
      <c r="CA162" s="124"/>
    </row>
    <row r="163">
      <c r="D163" s="143"/>
      <c r="E163" s="112"/>
      <c r="F163" s="112"/>
      <c r="G163" s="112"/>
      <c r="H163" s="112"/>
      <c r="I163" s="112"/>
      <c r="J163" s="112"/>
      <c r="K163" s="112"/>
      <c r="L163" s="112"/>
      <c r="M163" s="112"/>
      <c r="N163" s="112"/>
      <c r="O163" s="112"/>
      <c r="P163" s="112"/>
      <c r="Q163" s="112"/>
      <c r="R163" s="112"/>
      <c r="S163" s="112"/>
      <c r="T163" s="112"/>
      <c r="U163" s="107"/>
      <c r="V163" s="107"/>
      <c r="W163" s="107"/>
      <c r="X163" s="107"/>
      <c r="Y163" s="107"/>
      <c r="Z163" s="112"/>
      <c r="AA163" s="112"/>
      <c r="AB163" s="112"/>
      <c r="AC163" s="112"/>
      <c r="AD163" s="112"/>
      <c r="AE163" s="112"/>
      <c r="AF163" s="112"/>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c r="BK163" s="124"/>
      <c r="BL163" s="124"/>
      <c r="BM163" s="124"/>
      <c r="BN163" s="124"/>
      <c r="BO163" s="124"/>
      <c r="BP163" s="124"/>
      <c r="BQ163" s="124"/>
      <c r="BR163" s="124"/>
      <c r="BS163" s="124"/>
      <c r="BT163" s="124"/>
      <c r="BU163" s="124"/>
      <c r="BV163" s="124"/>
      <c r="BW163" s="124"/>
      <c r="BX163" s="124"/>
      <c r="BY163" s="124"/>
      <c r="BZ163" s="124"/>
      <c r="CA163" s="124"/>
    </row>
    <row r="164">
      <c r="D164" s="143"/>
      <c r="E164" s="112"/>
      <c r="F164" s="112"/>
      <c r="G164" s="112"/>
      <c r="H164" s="112"/>
      <c r="I164" s="112"/>
      <c r="J164" s="112"/>
      <c r="K164" s="112"/>
      <c r="L164" s="112"/>
      <c r="M164" s="112"/>
      <c r="N164" s="112"/>
      <c r="O164" s="112"/>
      <c r="P164" s="112"/>
      <c r="Q164" s="112"/>
      <c r="R164" s="112"/>
      <c r="S164" s="112"/>
      <c r="T164" s="112"/>
      <c r="U164" s="107"/>
      <c r="V164" s="107"/>
      <c r="W164" s="107"/>
      <c r="X164" s="107"/>
      <c r="Y164" s="107"/>
      <c r="Z164" s="112"/>
      <c r="AA164" s="112"/>
      <c r="AB164" s="112"/>
      <c r="AC164" s="112"/>
      <c r="AD164" s="112"/>
      <c r="AE164" s="112"/>
      <c r="AF164" s="112"/>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row>
    <row r="165">
      <c r="D165" s="143"/>
      <c r="E165" s="112"/>
      <c r="F165" s="112"/>
      <c r="G165" s="112"/>
      <c r="H165" s="112"/>
      <c r="I165" s="112"/>
      <c r="J165" s="112"/>
      <c r="K165" s="112"/>
      <c r="L165" s="112"/>
      <c r="M165" s="112"/>
      <c r="N165" s="112"/>
      <c r="O165" s="112"/>
      <c r="P165" s="112"/>
      <c r="Q165" s="112"/>
      <c r="R165" s="112"/>
      <c r="S165" s="112"/>
      <c r="T165" s="112"/>
      <c r="U165" s="107"/>
      <c r="V165" s="107"/>
      <c r="W165" s="107"/>
      <c r="X165" s="107"/>
      <c r="Y165" s="107"/>
      <c r="Z165" s="112"/>
      <c r="AA165" s="112"/>
      <c r="AB165" s="112"/>
      <c r="AC165" s="112"/>
      <c r="AD165" s="112"/>
      <c r="AE165" s="112"/>
      <c r="AF165" s="112"/>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row>
    <row r="166">
      <c r="D166" s="143"/>
      <c r="E166" s="112"/>
      <c r="F166" s="112"/>
      <c r="G166" s="112"/>
      <c r="H166" s="112"/>
      <c r="I166" s="112"/>
      <c r="J166" s="112"/>
      <c r="K166" s="112"/>
      <c r="L166" s="112"/>
      <c r="M166" s="112"/>
      <c r="N166" s="112"/>
      <c r="O166" s="112"/>
      <c r="P166" s="112"/>
      <c r="Q166" s="112"/>
      <c r="R166" s="112"/>
      <c r="S166" s="112"/>
      <c r="T166" s="112"/>
      <c r="U166" s="107"/>
      <c r="V166" s="107"/>
      <c r="W166" s="107"/>
      <c r="X166" s="107"/>
      <c r="Y166" s="107"/>
      <c r="Z166" s="112"/>
      <c r="AA166" s="112"/>
      <c r="AB166" s="112"/>
      <c r="AC166" s="112"/>
      <c r="AD166" s="112"/>
      <c r="AE166" s="112"/>
      <c r="AF166" s="112"/>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c r="BK166" s="124"/>
      <c r="BL166" s="124"/>
      <c r="BM166" s="124"/>
      <c r="BN166" s="124"/>
      <c r="BO166" s="124"/>
      <c r="BP166" s="124"/>
      <c r="BQ166" s="124"/>
      <c r="BR166" s="124"/>
      <c r="BS166" s="124"/>
      <c r="BT166" s="124"/>
      <c r="BU166" s="124"/>
      <c r="BV166" s="124"/>
      <c r="BW166" s="124"/>
      <c r="BX166" s="124"/>
      <c r="BY166" s="124"/>
      <c r="BZ166" s="124"/>
      <c r="CA166" s="124"/>
    </row>
    <row r="167">
      <c r="D167" s="143"/>
      <c r="E167" s="112"/>
      <c r="F167" s="112"/>
      <c r="G167" s="112"/>
      <c r="H167" s="112"/>
      <c r="I167" s="112"/>
      <c r="J167" s="112"/>
      <c r="K167" s="112"/>
      <c r="L167" s="112"/>
      <c r="M167" s="112"/>
      <c r="N167" s="112"/>
      <c r="O167" s="112"/>
      <c r="P167" s="112"/>
      <c r="Q167" s="112"/>
      <c r="R167" s="112"/>
      <c r="S167" s="112"/>
      <c r="T167" s="112"/>
      <c r="U167" s="107"/>
      <c r="V167" s="107"/>
      <c r="W167" s="107"/>
      <c r="X167" s="107"/>
      <c r="Y167" s="107"/>
      <c r="Z167" s="112"/>
      <c r="AA167" s="112"/>
      <c r="AB167" s="112"/>
      <c r="AC167" s="112"/>
      <c r="AD167" s="112"/>
      <c r="AE167" s="112"/>
      <c r="AF167" s="112"/>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c r="BK167" s="124"/>
      <c r="BL167" s="124"/>
      <c r="BM167" s="124"/>
      <c r="BN167" s="124"/>
      <c r="BO167" s="124"/>
      <c r="BP167" s="124"/>
      <c r="BQ167" s="124"/>
      <c r="BR167" s="124"/>
      <c r="BS167" s="124"/>
      <c r="BT167" s="124"/>
      <c r="BU167" s="124"/>
      <c r="BV167" s="124"/>
      <c r="BW167" s="124"/>
      <c r="BX167" s="124"/>
      <c r="BY167" s="124"/>
      <c r="BZ167" s="124"/>
      <c r="CA167" s="124"/>
    </row>
    <row r="168">
      <c r="D168" s="143"/>
      <c r="E168" s="112"/>
      <c r="F168" s="112"/>
      <c r="G168" s="112"/>
      <c r="H168" s="112"/>
      <c r="I168" s="112"/>
      <c r="J168" s="112"/>
      <c r="K168" s="112"/>
      <c r="L168" s="112"/>
      <c r="M168" s="112"/>
      <c r="N168" s="112"/>
      <c r="O168" s="112"/>
      <c r="P168" s="112"/>
      <c r="Q168" s="112"/>
      <c r="R168" s="112"/>
      <c r="S168" s="112"/>
      <c r="T168" s="112"/>
      <c r="U168" s="107"/>
      <c r="V168" s="107"/>
      <c r="W168" s="107"/>
      <c r="X168" s="107"/>
      <c r="Y168" s="107"/>
      <c r="Z168" s="112"/>
      <c r="AA168" s="112"/>
      <c r="AB168" s="112"/>
      <c r="AC168" s="112"/>
      <c r="AD168" s="112"/>
      <c r="AE168" s="112"/>
      <c r="AF168" s="112"/>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row>
    <row r="169">
      <c r="D169" s="143"/>
      <c r="E169" s="112"/>
      <c r="F169" s="112"/>
      <c r="G169" s="112"/>
      <c r="H169" s="112"/>
      <c r="I169" s="112"/>
      <c r="J169" s="112"/>
      <c r="K169" s="112"/>
      <c r="L169" s="112"/>
      <c r="M169" s="112"/>
      <c r="N169" s="112"/>
      <c r="O169" s="112"/>
      <c r="P169" s="112"/>
      <c r="Q169" s="112"/>
      <c r="R169" s="112"/>
      <c r="S169" s="112"/>
      <c r="T169" s="112"/>
      <c r="U169" s="107"/>
      <c r="V169" s="107"/>
      <c r="W169" s="107"/>
      <c r="X169" s="107"/>
      <c r="Y169" s="107"/>
      <c r="Z169" s="112"/>
      <c r="AA169" s="112"/>
      <c r="AB169" s="112"/>
      <c r="AC169" s="112"/>
      <c r="AD169" s="112"/>
      <c r="AE169" s="112"/>
      <c r="AF169" s="112"/>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c r="BK169" s="124"/>
      <c r="BL169" s="124"/>
      <c r="BM169" s="124"/>
      <c r="BN169" s="124"/>
      <c r="BO169" s="124"/>
      <c r="BP169" s="124"/>
      <c r="BQ169" s="124"/>
      <c r="BR169" s="124"/>
      <c r="BS169" s="124"/>
      <c r="BT169" s="124"/>
      <c r="BU169" s="124"/>
      <c r="BV169" s="124"/>
      <c r="BW169" s="124"/>
      <c r="BX169" s="124"/>
      <c r="BY169" s="124"/>
      <c r="BZ169" s="124"/>
      <c r="CA169" s="124"/>
    </row>
    <row r="170">
      <c r="D170" s="143"/>
      <c r="E170" s="112"/>
      <c r="F170" s="112"/>
      <c r="G170" s="112"/>
      <c r="H170" s="112"/>
      <c r="I170" s="112"/>
      <c r="J170" s="112"/>
      <c r="K170" s="112"/>
      <c r="L170" s="112"/>
      <c r="M170" s="112"/>
      <c r="N170" s="112"/>
      <c r="O170" s="112"/>
      <c r="P170" s="112"/>
      <c r="Q170" s="112"/>
      <c r="R170" s="112"/>
      <c r="S170" s="112"/>
      <c r="T170" s="112"/>
      <c r="U170" s="107"/>
      <c r="V170" s="107"/>
      <c r="W170" s="107"/>
      <c r="X170" s="107"/>
      <c r="Y170" s="107"/>
      <c r="Z170" s="112"/>
      <c r="AA170" s="112"/>
      <c r="AB170" s="112"/>
      <c r="AC170" s="112"/>
      <c r="AD170" s="112"/>
      <c r="AE170" s="112"/>
      <c r="AF170" s="112"/>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row>
    <row r="171">
      <c r="D171" s="143"/>
      <c r="E171" s="112"/>
      <c r="F171" s="112"/>
      <c r="G171" s="112"/>
      <c r="H171" s="112"/>
      <c r="I171" s="112"/>
      <c r="J171" s="112"/>
      <c r="K171" s="112"/>
      <c r="L171" s="112"/>
      <c r="M171" s="112"/>
      <c r="N171" s="112"/>
      <c r="O171" s="112"/>
      <c r="P171" s="112"/>
      <c r="Q171" s="112"/>
      <c r="R171" s="112"/>
      <c r="S171" s="112"/>
      <c r="T171" s="112"/>
      <c r="U171" s="107"/>
      <c r="V171" s="107"/>
      <c r="W171" s="107"/>
      <c r="X171" s="107"/>
      <c r="Y171" s="107"/>
      <c r="Z171" s="112"/>
      <c r="AA171" s="112"/>
      <c r="AB171" s="112"/>
      <c r="AC171" s="112"/>
      <c r="AD171" s="112"/>
      <c r="AE171" s="112"/>
      <c r="AF171" s="112"/>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c r="BK171" s="124"/>
      <c r="BL171" s="124"/>
      <c r="BM171" s="124"/>
      <c r="BN171" s="124"/>
      <c r="BO171" s="124"/>
      <c r="BP171" s="124"/>
      <c r="BQ171" s="124"/>
      <c r="BR171" s="124"/>
      <c r="BS171" s="124"/>
      <c r="BT171" s="124"/>
      <c r="BU171" s="124"/>
      <c r="BV171" s="124"/>
      <c r="BW171" s="124"/>
      <c r="BX171" s="124"/>
      <c r="BY171" s="124"/>
      <c r="BZ171" s="124"/>
      <c r="CA171" s="124"/>
    </row>
    <row r="172">
      <c r="D172" s="143"/>
      <c r="E172" s="112"/>
      <c r="F172" s="112"/>
      <c r="G172" s="112"/>
      <c r="H172" s="112"/>
      <c r="I172" s="112"/>
      <c r="J172" s="112"/>
      <c r="K172" s="112"/>
      <c r="L172" s="112"/>
      <c r="M172" s="112"/>
      <c r="N172" s="112"/>
      <c r="O172" s="112"/>
      <c r="P172" s="112"/>
      <c r="Q172" s="112"/>
      <c r="R172" s="112"/>
      <c r="S172" s="112"/>
      <c r="T172" s="112"/>
      <c r="U172" s="107"/>
      <c r="V172" s="107"/>
      <c r="W172" s="107"/>
      <c r="X172" s="107"/>
      <c r="Y172" s="107"/>
      <c r="Z172" s="112"/>
      <c r="AA172" s="112"/>
      <c r="AB172" s="112"/>
      <c r="AC172" s="112"/>
      <c r="AD172" s="112"/>
      <c r="AE172" s="112"/>
      <c r="AF172" s="112"/>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c r="BK172" s="124"/>
      <c r="BL172" s="124"/>
      <c r="BM172" s="124"/>
      <c r="BN172" s="124"/>
      <c r="BO172" s="124"/>
      <c r="BP172" s="124"/>
      <c r="BQ172" s="124"/>
      <c r="BR172" s="124"/>
      <c r="BS172" s="124"/>
      <c r="BT172" s="124"/>
      <c r="BU172" s="124"/>
      <c r="BV172" s="124"/>
      <c r="BW172" s="124"/>
      <c r="BX172" s="124"/>
      <c r="BY172" s="124"/>
      <c r="BZ172" s="124"/>
      <c r="CA172" s="124"/>
    </row>
    <row r="173">
      <c r="D173" s="143"/>
      <c r="E173" s="112"/>
      <c r="F173" s="112"/>
      <c r="G173" s="112"/>
      <c r="H173" s="112"/>
      <c r="I173" s="112"/>
      <c r="J173" s="112"/>
      <c r="K173" s="112"/>
      <c r="L173" s="112"/>
      <c r="M173" s="112"/>
      <c r="N173" s="112"/>
      <c r="O173" s="112"/>
      <c r="P173" s="112"/>
      <c r="Q173" s="112"/>
      <c r="R173" s="112"/>
      <c r="S173" s="112"/>
      <c r="T173" s="112"/>
      <c r="U173" s="107"/>
      <c r="V173" s="107"/>
      <c r="W173" s="107"/>
      <c r="X173" s="107"/>
      <c r="Y173" s="107"/>
      <c r="Z173" s="112"/>
      <c r="AA173" s="112"/>
      <c r="AB173" s="112"/>
      <c r="AC173" s="112"/>
      <c r="AD173" s="112"/>
      <c r="AE173" s="112"/>
      <c r="AF173" s="112"/>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c r="BK173" s="124"/>
      <c r="BL173" s="124"/>
      <c r="BM173" s="124"/>
      <c r="BN173" s="124"/>
      <c r="BO173" s="124"/>
      <c r="BP173" s="124"/>
      <c r="BQ173" s="124"/>
      <c r="BR173" s="124"/>
      <c r="BS173" s="124"/>
      <c r="BT173" s="124"/>
      <c r="BU173" s="124"/>
      <c r="BV173" s="124"/>
      <c r="BW173" s="124"/>
      <c r="BX173" s="124"/>
      <c r="BY173" s="124"/>
      <c r="BZ173" s="124"/>
      <c r="CA173" s="124"/>
    </row>
    <row r="174">
      <c r="D174" s="143"/>
      <c r="E174" s="112"/>
      <c r="F174" s="112"/>
      <c r="G174" s="112"/>
      <c r="H174" s="112"/>
      <c r="I174" s="112"/>
      <c r="J174" s="112"/>
      <c r="K174" s="112"/>
      <c r="L174" s="112"/>
      <c r="M174" s="112"/>
      <c r="N174" s="112"/>
      <c r="O174" s="112"/>
      <c r="P174" s="112"/>
      <c r="Q174" s="112"/>
      <c r="R174" s="112"/>
      <c r="S174" s="112"/>
      <c r="T174" s="112"/>
      <c r="U174" s="107"/>
      <c r="V174" s="107"/>
      <c r="W174" s="107"/>
      <c r="X174" s="107"/>
      <c r="Y174" s="107"/>
      <c r="Z174" s="112"/>
      <c r="AA174" s="112"/>
      <c r="AB174" s="112"/>
      <c r="AC174" s="112"/>
      <c r="AD174" s="112"/>
      <c r="AE174" s="112"/>
      <c r="AF174" s="112"/>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c r="BK174" s="124"/>
      <c r="BL174" s="124"/>
      <c r="BM174" s="124"/>
      <c r="BN174" s="124"/>
      <c r="BO174" s="124"/>
      <c r="BP174" s="124"/>
      <c r="BQ174" s="124"/>
      <c r="BR174" s="124"/>
      <c r="BS174" s="124"/>
      <c r="BT174" s="124"/>
      <c r="BU174" s="124"/>
      <c r="BV174" s="124"/>
      <c r="BW174" s="124"/>
      <c r="BX174" s="124"/>
      <c r="BY174" s="124"/>
      <c r="BZ174" s="124"/>
      <c r="CA174" s="124"/>
    </row>
    <row r="175">
      <c r="D175" s="143"/>
      <c r="E175" s="112"/>
      <c r="F175" s="112"/>
      <c r="G175" s="112"/>
      <c r="H175" s="112"/>
      <c r="I175" s="112"/>
      <c r="J175" s="112"/>
      <c r="K175" s="112"/>
      <c r="L175" s="112"/>
      <c r="M175" s="112"/>
      <c r="N175" s="112"/>
      <c r="O175" s="112"/>
      <c r="P175" s="112"/>
      <c r="Q175" s="112"/>
      <c r="R175" s="112"/>
      <c r="S175" s="112"/>
      <c r="T175" s="112"/>
      <c r="U175" s="107"/>
      <c r="V175" s="107"/>
      <c r="W175" s="107"/>
      <c r="X175" s="107"/>
      <c r="Y175" s="107"/>
      <c r="Z175" s="112"/>
      <c r="AA175" s="112"/>
      <c r="AB175" s="112"/>
      <c r="AC175" s="112"/>
      <c r="AD175" s="112"/>
      <c r="AE175" s="112"/>
      <c r="AF175" s="112"/>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row>
    <row r="176">
      <c r="D176" s="143"/>
      <c r="E176" s="112"/>
      <c r="F176" s="112"/>
      <c r="G176" s="112"/>
      <c r="H176" s="112"/>
      <c r="I176" s="112"/>
      <c r="J176" s="112"/>
      <c r="K176" s="112"/>
      <c r="L176" s="112"/>
      <c r="M176" s="112"/>
      <c r="N176" s="112"/>
      <c r="O176" s="112"/>
      <c r="P176" s="112"/>
      <c r="Q176" s="112"/>
      <c r="R176" s="112"/>
      <c r="S176" s="112"/>
      <c r="T176" s="112"/>
      <c r="U176" s="107"/>
      <c r="V176" s="107"/>
      <c r="W176" s="107"/>
      <c r="X176" s="107"/>
      <c r="Y176" s="107"/>
      <c r="Z176" s="112"/>
      <c r="AA176" s="112"/>
      <c r="AB176" s="112"/>
      <c r="AC176" s="112"/>
      <c r="AD176" s="112"/>
      <c r="AE176" s="112"/>
      <c r="AF176" s="112"/>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row>
    <row r="177">
      <c r="D177" s="143"/>
      <c r="E177" s="112"/>
      <c r="F177" s="112"/>
      <c r="G177" s="112"/>
      <c r="H177" s="112"/>
      <c r="I177" s="112"/>
      <c r="J177" s="112"/>
      <c r="K177" s="112"/>
      <c r="L177" s="112"/>
      <c r="M177" s="112"/>
      <c r="N177" s="112"/>
      <c r="O177" s="112"/>
      <c r="P177" s="112"/>
      <c r="Q177" s="112"/>
      <c r="R177" s="112"/>
      <c r="S177" s="112"/>
      <c r="T177" s="112"/>
      <c r="U177" s="107"/>
      <c r="V177" s="107"/>
      <c r="W177" s="107"/>
      <c r="X177" s="107"/>
      <c r="Y177" s="107"/>
      <c r="Z177" s="112"/>
      <c r="AA177" s="112"/>
      <c r="AB177" s="112"/>
      <c r="AC177" s="112"/>
      <c r="AD177" s="112"/>
      <c r="AE177" s="112"/>
      <c r="AF177" s="112"/>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c r="BK177" s="124"/>
      <c r="BL177" s="124"/>
      <c r="BM177" s="124"/>
      <c r="BN177" s="124"/>
      <c r="BO177" s="124"/>
      <c r="BP177" s="124"/>
      <c r="BQ177" s="124"/>
      <c r="BR177" s="124"/>
      <c r="BS177" s="124"/>
      <c r="BT177" s="124"/>
      <c r="BU177" s="124"/>
      <c r="BV177" s="124"/>
      <c r="BW177" s="124"/>
      <c r="BX177" s="124"/>
      <c r="BY177" s="124"/>
      <c r="BZ177" s="124"/>
      <c r="CA177" s="124"/>
    </row>
    <row r="178">
      <c r="D178" s="143"/>
      <c r="E178" s="112"/>
      <c r="F178" s="112"/>
      <c r="G178" s="112"/>
      <c r="H178" s="112"/>
      <c r="I178" s="112"/>
      <c r="J178" s="112"/>
      <c r="K178" s="112"/>
      <c r="L178" s="112"/>
      <c r="M178" s="112"/>
      <c r="N178" s="112"/>
      <c r="O178" s="112"/>
      <c r="P178" s="112"/>
      <c r="Q178" s="112"/>
      <c r="R178" s="112"/>
      <c r="S178" s="112"/>
      <c r="T178" s="112"/>
      <c r="U178" s="107"/>
      <c r="V178" s="107"/>
      <c r="W178" s="107"/>
      <c r="X178" s="107"/>
      <c r="Y178" s="107"/>
      <c r="Z178" s="112"/>
      <c r="AA178" s="112"/>
      <c r="AB178" s="112"/>
      <c r="AC178" s="112"/>
      <c r="AD178" s="112"/>
      <c r="AE178" s="112"/>
      <c r="AF178" s="112"/>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row>
    <row r="179">
      <c r="D179" s="143"/>
      <c r="E179" s="112"/>
      <c r="F179" s="112"/>
      <c r="G179" s="112"/>
      <c r="H179" s="112"/>
      <c r="I179" s="112"/>
      <c r="J179" s="112"/>
      <c r="K179" s="112"/>
      <c r="L179" s="112"/>
      <c r="M179" s="112"/>
      <c r="N179" s="112"/>
      <c r="O179" s="112"/>
      <c r="P179" s="112"/>
      <c r="Q179" s="112"/>
      <c r="R179" s="112"/>
      <c r="S179" s="112"/>
      <c r="T179" s="112"/>
      <c r="U179" s="107"/>
      <c r="V179" s="107"/>
      <c r="W179" s="107"/>
      <c r="X179" s="107"/>
      <c r="Y179" s="107"/>
      <c r="Z179" s="112"/>
      <c r="AA179" s="112"/>
      <c r="AB179" s="112"/>
      <c r="AC179" s="112"/>
      <c r="AD179" s="112"/>
      <c r="AE179" s="112"/>
      <c r="AF179" s="112"/>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c r="BK179" s="124"/>
      <c r="BL179" s="124"/>
      <c r="BM179" s="124"/>
      <c r="BN179" s="124"/>
      <c r="BO179" s="124"/>
      <c r="BP179" s="124"/>
      <c r="BQ179" s="124"/>
      <c r="BR179" s="124"/>
      <c r="BS179" s="124"/>
      <c r="BT179" s="124"/>
      <c r="BU179" s="124"/>
      <c r="BV179" s="124"/>
      <c r="BW179" s="124"/>
      <c r="BX179" s="124"/>
      <c r="BY179" s="124"/>
      <c r="BZ179" s="124"/>
      <c r="CA179" s="124"/>
    </row>
    <row r="180">
      <c r="D180" s="143"/>
      <c r="E180" s="112"/>
      <c r="F180" s="112"/>
      <c r="G180" s="112"/>
      <c r="H180" s="112"/>
      <c r="I180" s="112"/>
      <c r="J180" s="112"/>
      <c r="K180" s="112"/>
      <c r="L180" s="112"/>
      <c r="M180" s="112"/>
      <c r="N180" s="112"/>
      <c r="O180" s="112"/>
      <c r="P180" s="112"/>
      <c r="Q180" s="112"/>
      <c r="R180" s="112"/>
      <c r="S180" s="112"/>
      <c r="T180" s="112"/>
      <c r="U180" s="107"/>
      <c r="V180" s="107"/>
      <c r="W180" s="107"/>
      <c r="X180" s="107"/>
      <c r="Y180" s="107"/>
      <c r="Z180" s="112"/>
      <c r="AA180" s="112"/>
      <c r="AB180" s="112"/>
      <c r="AC180" s="112"/>
      <c r="AD180" s="112"/>
      <c r="AE180" s="112"/>
      <c r="AF180" s="112"/>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row>
    <row r="181">
      <c r="D181" s="143"/>
      <c r="E181" s="112"/>
      <c r="F181" s="112"/>
      <c r="G181" s="112"/>
      <c r="H181" s="112"/>
      <c r="I181" s="112"/>
      <c r="J181" s="112"/>
      <c r="K181" s="112"/>
      <c r="L181" s="112"/>
      <c r="M181" s="112"/>
      <c r="N181" s="112"/>
      <c r="O181" s="112"/>
      <c r="P181" s="112"/>
      <c r="Q181" s="112"/>
      <c r="R181" s="112"/>
      <c r="S181" s="112"/>
      <c r="T181" s="112"/>
      <c r="U181" s="107"/>
      <c r="V181" s="107"/>
      <c r="W181" s="107"/>
      <c r="X181" s="107"/>
      <c r="Y181" s="107"/>
      <c r="Z181" s="112"/>
      <c r="AA181" s="112"/>
      <c r="AB181" s="112"/>
      <c r="AC181" s="112"/>
      <c r="AD181" s="112"/>
      <c r="AE181" s="112"/>
      <c r="AF181" s="112"/>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row>
    <row r="182">
      <c r="D182" s="143"/>
      <c r="E182" s="112"/>
      <c r="F182" s="112"/>
      <c r="G182" s="112"/>
      <c r="H182" s="112"/>
      <c r="I182" s="112"/>
      <c r="J182" s="112"/>
      <c r="K182" s="112"/>
      <c r="L182" s="112"/>
      <c r="M182" s="112"/>
      <c r="N182" s="112"/>
      <c r="O182" s="112"/>
      <c r="P182" s="112"/>
      <c r="Q182" s="112"/>
      <c r="R182" s="112"/>
      <c r="S182" s="112"/>
      <c r="T182" s="112"/>
      <c r="U182" s="107"/>
      <c r="V182" s="107"/>
      <c r="W182" s="107"/>
      <c r="X182" s="107"/>
      <c r="Y182" s="107"/>
      <c r="Z182" s="112"/>
      <c r="AA182" s="112"/>
      <c r="AB182" s="112"/>
      <c r="AC182" s="112"/>
      <c r="AD182" s="112"/>
      <c r="AE182" s="112"/>
      <c r="AF182" s="112"/>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row>
    <row r="183">
      <c r="D183" s="143"/>
      <c r="E183" s="112"/>
      <c r="F183" s="112"/>
      <c r="G183" s="112"/>
      <c r="H183" s="112"/>
      <c r="I183" s="112"/>
      <c r="J183" s="112"/>
      <c r="K183" s="112"/>
      <c r="L183" s="112"/>
      <c r="M183" s="112"/>
      <c r="N183" s="112"/>
      <c r="O183" s="112"/>
      <c r="P183" s="112"/>
      <c r="Q183" s="112"/>
      <c r="R183" s="112"/>
      <c r="S183" s="112"/>
      <c r="T183" s="112"/>
      <c r="U183" s="107"/>
      <c r="V183" s="107"/>
      <c r="W183" s="107"/>
      <c r="X183" s="107"/>
      <c r="Y183" s="107"/>
      <c r="Z183" s="112"/>
      <c r="AA183" s="112"/>
      <c r="AB183" s="112"/>
      <c r="AC183" s="112"/>
      <c r="AD183" s="112"/>
      <c r="AE183" s="112"/>
      <c r="AF183" s="112"/>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row>
    <row r="184">
      <c r="D184" s="143"/>
      <c r="E184" s="112"/>
      <c r="F184" s="112"/>
      <c r="G184" s="112"/>
      <c r="H184" s="112"/>
      <c r="I184" s="112"/>
      <c r="J184" s="112"/>
      <c r="K184" s="112"/>
      <c r="L184" s="112"/>
      <c r="M184" s="112"/>
      <c r="N184" s="112"/>
      <c r="O184" s="112"/>
      <c r="P184" s="112"/>
      <c r="Q184" s="112"/>
      <c r="R184" s="112"/>
      <c r="S184" s="112"/>
      <c r="T184" s="112"/>
      <c r="U184" s="107"/>
      <c r="V184" s="107"/>
      <c r="W184" s="107"/>
      <c r="X184" s="107"/>
      <c r="Y184" s="107"/>
      <c r="Z184" s="112"/>
      <c r="AA184" s="112"/>
      <c r="AB184" s="112"/>
      <c r="AC184" s="112"/>
      <c r="AD184" s="112"/>
      <c r="AE184" s="112"/>
      <c r="AF184" s="112"/>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row>
    <row r="185">
      <c r="D185" s="143"/>
      <c r="E185" s="112"/>
      <c r="F185" s="112"/>
      <c r="G185" s="112"/>
      <c r="H185" s="112"/>
      <c r="I185" s="112"/>
      <c r="J185" s="112"/>
      <c r="K185" s="112"/>
      <c r="L185" s="112"/>
      <c r="M185" s="112"/>
      <c r="N185" s="112"/>
      <c r="O185" s="112"/>
      <c r="P185" s="112"/>
      <c r="Q185" s="112"/>
      <c r="R185" s="112"/>
      <c r="S185" s="112"/>
      <c r="T185" s="112"/>
      <c r="U185" s="107"/>
      <c r="V185" s="107"/>
      <c r="W185" s="107"/>
      <c r="X185" s="107"/>
      <c r="Y185" s="107"/>
      <c r="Z185" s="112"/>
      <c r="AA185" s="112"/>
      <c r="AB185" s="112"/>
      <c r="AC185" s="112"/>
      <c r="AD185" s="112"/>
      <c r="AE185" s="112"/>
      <c r="AF185" s="112"/>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c r="BK185" s="124"/>
      <c r="BL185" s="124"/>
      <c r="BM185" s="124"/>
      <c r="BN185" s="124"/>
      <c r="BO185" s="124"/>
      <c r="BP185" s="124"/>
      <c r="BQ185" s="124"/>
      <c r="BR185" s="124"/>
      <c r="BS185" s="124"/>
      <c r="BT185" s="124"/>
      <c r="BU185" s="124"/>
      <c r="BV185" s="124"/>
      <c r="BW185" s="124"/>
      <c r="BX185" s="124"/>
      <c r="BY185" s="124"/>
      <c r="BZ185" s="124"/>
      <c r="CA185" s="124"/>
    </row>
    <row r="186">
      <c r="D186" s="143"/>
      <c r="E186" s="112"/>
      <c r="F186" s="112"/>
      <c r="G186" s="112"/>
      <c r="H186" s="112"/>
      <c r="I186" s="112"/>
      <c r="J186" s="112"/>
      <c r="K186" s="112"/>
      <c r="L186" s="112"/>
      <c r="M186" s="112"/>
      <c r="N186" s="112"/>
      <c r="O186" s="112"/>
      <c r="P186" s="112"/>
      <c r="Q186" s="112"/>
      <c r="R186" s="112"/>
      <c r="S186" s="112"/>
      <c r="T186" s="112"/>
      <c r="U186" s="107"/>
      <c r="V186" s="107"/>
      <c r="W186" s="107"/>
      <c r="X186" s="107"/>
      <c r="Y186" s="107"/>
      <c r="Z186" s="112"/>
      <c r="AA186" s="112"/>
      <c r="AB186" s="112"/>
      <c r="AC186" s="112"/>
      <c r="AD186" s="112"/>
      <c r="AE186" s="112"/>
      <c r="AF186" s="112"/>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row>
    <row r="187">
      <c r="D187" s="143"/>
      <c r="E187" s="112"/>
      <c r="F187" s="112"/>
      <c r="G187" s="112"/>
      <c r="H187" s="112"/>
      <c r="I187" s="112"/>
      <c r="J187" s="112"/>
      <c r="K187" s="112"/>
      <c r="L187" s="112"/>
      <c r="M187" s="112"/>
      <c r="N187" s="112"/>
      <c r="O187" s="112"/>
      <c r="P187" s="112"/>
      <c r="Q187" s="112"/>
      <c r="R187" s="112"/>
      <c r="S187" s="112"/>
      <c r="T187" s="112"/>
      <c r="U187" s="107"/>
      <c r="V187" s="107"/>
      <c r="W187" s="107"/>
      <c r="X187" s="107"/>
      <c r="Y187" s="107"/>
      <c r="Z187" s="112"/>
      <c r="AA187" s="112"/>
      <c r="AB187" s="112"/>
      <c r="AC187" s="112"/>
      <c r="AD187" s="112"/>
      <c r="AE187" s="112"/>
      <c r="AF187" s="112"/>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row>
    <row r="188">
      <c r="D188" s="143"/>
      <c r="E188" s="112"/>
      <c r="F188" s="112"/>
      <c r="G188" s="112"/>
      <c r="H188" s="112"/>
      <c r="I188" s="112"/>
      <c r="J188" s="112"/>
      <c r="K188" s="112"/>
      <c r="L188" s="112"/>
      <c r="M188" s="112"/>
      <c r="N188" s="112"/>
      <c r="O188" s="112"/>
      <c r="P188" s="112"/>
      <c r="Q188" s="112"/>
      <c r="R188" s="112"/>
      <c r="S188" s="112"/>
      <c r="T188" s="112"/>
      <c r="U188" s="107"/>
      <c r="V188" s="107"/>
      <c r="W188" s="107"/>
      <c r="X188" s="107"/>
      <c r="Y188" s="107"/>
      <c r="Z188" s="112"/>
      <c r="AA188" s="112"/>
      <c r="AB188" s="112"/>
      <c r="AC188" s="112"/>
      <c r="AD188" s="112"/>
      <c r="AE188" s="112"/>
      <c r="AF188" s="112"/>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c r="BK188" s="124"/>
      <c r="BL188" s="124"/>
      <c r="BM188" s="124"/>
      <c r="BN188" s="124"/>
      <c r="BO188" s="124"/>
      <c r="BP188" s="124"/>
      <c r="BQ188" s="124"/>
      <c r="BR188" s="124"/>
      <c r="BS188" s="124"/>
      <c r="BT188" s="124"/>
      <c r="BU188" s="124"/>
      <c r="BV188" s="124"/>
      <c r="BW188" s="124"/>
      <c r="BX188" s="124"/>
      <c r="BY188" s="124"/>
      <c r="BZ188" s="124"/>
      <c r="CA188" s="124"/>
    </row>
    <row r="189">
      <c r="D189" s="143"/>
      <c r="E189" s="112"/>
      <c r="F189" s="112"/>
      <c r="G189" s="112"/>
      <c r="H189" s="112"/>
      <c r="I189" s="112"/>
      <c r="J189" s="112"/>
      <c r="K189" s="112"/>
      <c r="L189" s="112"/>
      <c r="M189" s="112"/>
      <c r="N189" s="112"/>
      <c r="O189" s="112"/>
      <c r="P189" s="112"/>
      <c r="Q189" s="112"/>
      <c r="R189" s="112"/>
      <c r="S189" s="112"/>
      <c r="T189" s="112"/>
      <c r="U189" s="107"/>
      <c r="V189" s="107"/>
      <c r="W189" s="107"/>
      <c r="X189" s="107"/>
      <c r="Y189" s="107"/>
      <c r="Z189" s="112"/>
      <c r="AA189" s="112"/>
      <c r="AB189" s="112"/>
      <c r="AC189" s="112"/>
      <c r="AD189" s="112"/>
      <c r="AE189" s="112"/>
      <c r="AF189" s="112"/>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c r="BK189" s="124"/>
      <c r="BL189" s="124"/>
      <c r="BM189" s="124"/>
      <c r="BN189" s="124"/>
      <c r="BO189" s="124"/>
      <c r="BP189" s="124"/>
      <c r="BQ189" s="124"/>
      <c r="BR189" s="124"/>
      <c r="BS189" s="124"/>
      <c r="BT189" s="124"/>
      <c r="BU189" s="124"/>
      <c r="BV189" s="124"/>
      <c r="BW189" s="124"/>
      <c r="BX189" s="124"/>
      <c r="BY189" s="124"/>
      <c r="BZ189" s="124"/>
      <c r="CA189" s="124"/>
    </row>
    <row r="190">
      <c r="D190" s="143"/>
      <c r="E190" s="112"/>
      <c r="F190" s="112"/>
      <c r="G190" s="112"/>
      <c r="H190" s="112"/>
      <c r="I190" s="112"/>
      <c r="J190" s="112"/>
      <c r="K190" s="112"/>
      <c r="L190" s="112"/>
      <c r="M190" s="112"/>
      <c r="N190" s="112"/>
      <c r="O190" s="112"/>
      <c r="P190" s="112"/>
      <c r="Q190" s="112"/>
      <c r="R190" s="112"/>
      <c r="S190" s="112"/>
      <c r="T190" s="112"/>
      <c r="U190" s="107"/>
      <c r="V190" s="107"/>
      <c r="W190" s="107"/>
      <c r="X190" s="107"/>
      <c r="Y190" s="107"/>
      <c r="Z190" s="112"/>
      <c r="AA190" s="112"/>
      <c r="AB190" s="112"/>
      <c r="AC190" s="112"/>
      <c r="AD190" s="112"/>
      <c r="AE190" s="112"/>
      <c r="AF190" s="112"/>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row>
    <row r="191">
      <c r="D191" s="143"/>
      <c r="E191" s="112"/>
      <c r="F191" s="112"/>
      <c r="G191" s="112"/>
      <c r="H191" s="112"/>
      <c r="I191" s="112"/>
      <c r="J191" s="112"/>
      <c r="K191" s="112"/>
      <c r="L191" s="112"/>
      <c r="M191" s="112"/>
      <c r="N191" s="112"/>
      <c r="O191" s="112"/>
      <c r="P191" s="112"/>
      <c r="Q191" s="112"/>
      <c r="R191" s="112"/>
      <c r="S191" s="112"/>
      <c r="T191" s="112"/>
      <c r="U191" s="107"/>
      <c r="V191" s="107"/>
      <c r="W191" s="107"/>
      <c r="X191" s="107"/>
      <c r="Y191" s="107"/>
      <c r="Z191" s="112"/>
      <c r="AA191" s="112"/>
      <c r="AB191" s="112"/>
      <c r="AC191" s="112"/>
      <c r="AD191" s="112"/>
      <c r="AE191" s="112"/>
      <c r="AF191" s="112"/>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row>
    <row r="192">
      <c r="D192" s="143"/>
      <c r="E192" s="112"/>
      <c r="F192" s="112"/>
      <c r="G192" s="112"/>
      <c r="H192" s="112"/>
      <c r="I192" s="112"/>
      <c r="J192" s="112"/>
      <c r="K192" s="112"/>
      <c r="L192" s="112"/>
      <c r="M192" s="112"/>
      <c r="N192" s="112"/>
      <c r="O192" s="112"/>
      <c r="P192" s="112"/>
      <c r="Q192" s="112"/>
      <c r="R192" s="112"/>
      <c r="S192" s="112"/>
      <c r="T192" s="112"/>
      <c r="U192" s="107"/>
      <c r="V192" s="107"/>
      <c r="W192" s="107"/>
      <c r="X192" s="107"/>
      <c r="Y192" s="107"/>
      <c r="Z192" s="112"/>
      <c r="AA192" s="112"/>
      <c r="AB192" s="112"/>
      <c r="AC192" s="112"/>
      <c r="AD192" s="112"/>
      <c r="AE192" s="112"/>
      <c r="AF192" s="112"/>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row>
    <row r="193">
      <c r="D193" s="143"/>
      <c r="E193" s="112"/>
      <c r="F193" s="112"/>
      <c r="G193" s="112"/>
      <c r="H193" s="112"/>
      <c r="I193" s="112"/>
      <c r="J193" s="112"/>
      <c r="K193" s="112"/>
      <c r="L193" s="112"/>
      <c r="M193" s="112"/>
      <c r="N193" s="112"/>
      <c r="O193" s="112"/>
      <c r="P193" s="112"/>
      <c r="Q193" s="112"/>
      <c r="R193" s="112"/>
      <c r="S193" s="112"/>
      <c r="T193" s="112"/>
      <c r="U193" s="107"/>
      <c r="V193" s="107"/>
      <c r="W193" s="107"/>
      <c r="X193" s="107"/>
      <c r="Y193" s="107"/>
      <c r="Z193" s="112"/>
      <c r="AA193" s="112"/>
      <c r="AB193" s="112"/>
      <c r="AC193" s="112"/>
      <c r="AD193" s="112"/>
      <c r="AE193" s="112"/>
      <c r="AF193" s="112"/>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row>
    <row r="194">
      <c r="D194" s="143"/>
      <c r="E194" s="112"/>
      <c r="F194" s="112"/>
      <c r="G194" s="112"/>
      <c r="H194" s="112"/>
      <c r="I194" s="112"/>
      <c r="J194" s="112"/>
      <c r="K194" s="112"/>
      <c r="L194" s="112"/>
      <c r="M194" s="112"/>
      <c r="N194" s="112"/>
      <c r="O194" s="112"/>
      <c r="P194" s="112"/>
      <c r="Q194" s="112"/>
      <c r="R194" s="112"/>
      <c r="S194" s="112"/>
      <c r="T194" s="112"/>
      <c r="U194" s="107"/>
      <c r="V194" s="107"/>
      <c r="W194" s="107"/>
      <c r="X194" s="107"/>
      <c r="Y194" s="107"/>
      <c r="Z194" s="112"/>
      <c r="AA194" s="112"/>
      <c r="AB194" s="112"/>
      <c r="AC194" s="112"/>
      <c r="AD194" s="112"/>
      <c r="AE194" s="112"/>
      <c r="AF194" s="112"/>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row>
    <row r="195">
      <c r="D195" s="143"/>
      <c r="E195" s="112"/>
      <c r="F195" s="112"/>
      <c r="G195" s="112"/>
      <c r="H195" s="112"/>
      <c r="I195" s="112"/>
      <c r="J195" s="112"/>
      <c r="K195" s="112"/>
      <c r="L195" s="112"/>
      <c r="M195" s="112"/>
      <c r="N195" s="112"/>
      <c r="O195" s="112"/>
      <c r="P195" s="112"/>
      <c r="Q195" s="112"/>
      <c r="R195" s="112"/>
      <c r="S195" s="112"/>
      <c r="T195" s="112"/>
      <c r="U195" s="107"/>
      <c r="V195" s="107"/>
      <c r="W195" s="107"/>
      <c r="X195" s="107"/>
      <c r="Y195" s="107"/>
      <c r="Z195" s="112"/>
      <c r="AA195" s="112"/>
      <c r="AB195" s="112"/>
      <c r="AC195" s="112"/>
      <c r="AD195" s="112"/>
      <c r="AE195" s="112"/>
      <c r="AF195" s="112"/>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c r="BZ195" s="124"/>
      <c r="CA195" s="124"/>
    </row>
    <row r="196">
      <c r="D196" s="143"/>
      <c r="E196" s="112"/>
      <c r="F196" s="112"/>
      <c r="G196" s="112"/>
      <c r="H196" s="112"/>
      <c r="I196" s="112"/>
      <c r="J196" s="112"/>
      <c r="K196" s="112"/>
      <c r="L196" s="112"/>
      <c r="M196" s="112"/>
      <c r="N196" s="112"/>
      <c r="O196" s="112"/>
      <c r="P196" s="112"/>
      <c r="Q196" s="112"/>
      <c r="R196" s="112"/>
      <c r="S196" s="112"/>
      <c r="T196" s="112"/>
      <c r="U196" s="107"/>
      <c r="V196" s="107"/>
      <c r="W196" s="107"/>
      <c r="X196" s="107"/>
      <c r="Y196" s="107"/>
      <c r="Z196" s="112"/>
      <c r="AA196" s="112"/>
      <c r="AB196" s="112"/>
      <c r="AC196" s="112"/>
      <c r="AD196" s="112"/>
      <c r="AE196" s="112"/>
      <c r="AF196" s="112"/>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row>
    <row r="197">
      <c r="D197" s="143"/>
      <c r="E197" s="112"/>
      <c r="F197" s="112"/>
      <c r="G197" s="112"/>
      <c r="H197" s="112"/>
      <c r="I197" s="112"/>
      <c r="J197" s="112"/>
      <c r="K197" s="112"/>
      <c r="L197" s="112"/>
      <c r="M197" s="112"/>
      <c r="N197" s="112"/>
      <c r="O197" s="112"/>
      <c r="P197" s="112"/>
      <c r="Q197" s="112"/>
      <c r="R197" s="112"/>
      <c r="S197" s="112"/>
      <c r="T197" s="112"/>
      <c r="U197" s="107"/>
      <c r="V197" s="107"/>
      <c r="W197" s="107"/>
      <c r="X197" s="107"/>
      <c r="Y197" s="107"/>
      <c r="Z197" s="112"/>
      <c r="AA197" s="112"/>
      <c r="AB197" s="112"/>
      <c r="AC197" s="112"/>
      <c r="AD197" s="112"/>
      <c r="AE197" s="112"/>
      <c r="AF197" s="112"/>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124"/>
      <c r="BO197" s="124"/>
      <c r="BP197" s="124"/>
      <c r="BQ197" s="124"/>
      <c r="BR197" s="124"/>
      <c r="BS197" s="124"/>
      <c r="BT197" s="124"/>
      <c r="BU197" s="124"/>
      <c r="BV197" s="124"/>
      <c r="BW197" s="124"/>
      <c r="BX197" s="124"/>
      <c r="BY197" s="124"/>
      <c r="BZ197" s="124"/>
      <c r="CA197" s="124"/>
    </row>
    <row r="198">
      <c r="D198" s="143"/>
      <c r="E198" s="112"/>
      <c r="F198" s="112"/>
      <c r="G198" s="112"/>
      <c r="H198" s="112"/>
      <c r="I198" s="112"/>
      <c r="J198" s="112"/>
      <c r="K198" s="112"/>
      <c r="L198" s="112"/>
      <c r="M198" s="112"/>
      <c r="N198" s="112"/>
      <c r="O198" s="112"/>
      <c r="P198" s="112"/>
      <c r="Q198" s="112"/>
      <c r="R198" s="112"/>
      <c r="S198" s="112"/>
      <c r="T198" s="112"/>
      <c r="U198" s="107"/>
      <c r="V198" s="107"/>
      <c r="W198" s="107"/>
      <c r="X198" s="107"/>
      <c r="Y198" s="107"/>
      <c r="Z198" s="112"/>
      <c r="AA198" s="112"/>
      <c r="AB198" s="112"/>
      <c r="AC198" s="112"/>
      <c r="AD198" s="112"/>
      <c r="AE198" s="112"/>
      <c r="AF198" s="112"/>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row>
    <row r="199">
      <c r="D199" s="143"/>
      <c r="E199" s="112"/>
      <c r="F199" s="112"/>
      <c r="G199" s="112"/>
      <c r="H199" s="112"/>
      <c r="I199" s="112"/>
      <c r="J199" s="112"/>
      <c r="K199" s="112"/>
      <c r="L199" s="112"/>
      <c r="M199" s="112"/>
      <c r="N199" s="112"/>
      <c r="O199" s="112"/>
      <c r="P199" s="112"/>
      <c r="Q199" s="112"/>
      <c r="R199" s="112"/>
      <c r="S199" s="112"/>
      <c r="T199" s="112"/>
      <c r="U199" s="107"/>
      <c r="V199" s="107"/>
      <c r="W199" s="107"/>
      <c r="X199" s="107"/>
      <c r="Y199" s="107"/>
      <c r="Z199" s="112"/>
      <c r="AA199" s="112"/>
      <c r="AB199" s="112"/>
      <c r="AC199" s="112"/>
      <c r="AD199" s="112"/>
      <c r="AE199" s="112"/>
      <c r="AF199" s="112"/>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row>
    <row r="200">
      <c r="D200" s="143"/>
      <c r="E200" s="112"/>
      <c r="F200" s="112"/>
      <c r="G200" s="112"/>
      <c r="H200" s="112"/>
      <c r="I200" s="112"/>
      <c r="J200" s="112"/>
      <c r="K200" s="112"/>
      <c r="L200" s="112"/>
      <c r="M200" s="112"/>
      <c r="N200" s="112"/>
      <c r="O200" s="112"/>
      <c r="P200" s="112"/>
      <c r="Q200" s="112"/>
      <c r="R200" s="112"/>
      <c r="S200" s="112"/>
      <c r="T200" s="112"/>
      <c r="U200" s="107"/>
      <c r="V200" s="107"/>
      <c r="W200" s="107"/>
      <c r="X200" s="107"/>
      <c r="Y200" s="107"/>
      <c r="Z200" s="112"/>
      <c r="AA200" s="112"/>
      <c r="AB200" s="112"/>
      <c r="AC200" s="112"/>
      <c r="AD200" s="112"/>
      <c r="AE200" s="112"/>
      <c r="AF200" s="112"/>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row>
    <row r="201">
      <c r="D201" s="143"/>
      <c r="E201" s="112"/>
      <c r="F201" s="112"/>
      <c r="G201" s="112"/>
      <c r="H201" s="112"/>
      <c r="I201" s="112"/>
      <c r="J201" s="112"/>
      <c r="K201" s="112"/>
      <c r="L201" s="112"/>
      <c r="M201" s="112"/>
      <c r="N201" s="112"/>
      <c r="O201" s="112"/>
      <c r="P201" s="112"/>
      <c r="Q201" s="112"/>
      <c r="R201" s="112"/>
      <c r="S201" s="112"/>
      <c r="T201" s="112"/>
      <c r="U201" s="107"/>
      <c r="V201" s="107"/>
      <c r="W201" s="107"/>
      <c r="X201" s="107"/>
      <c r="Y201" s="107"/>
      <c r="Z201" s="112"/>
      <c r="AA201" s="112"/>
      <c r="AB201" s="112"/>
      <c r="AC201" s="112"/>
      <c r="AD201" s="112"/>
      <c r="AE201" s="112"/>
      <c r="AF201" s="112"/>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row>
    <row r="202">
      <c r="D202" s="143"/>
      <c r="E202" s="112"/>
      <c r="F202" s="112"/>
      <c r="G202" s="112"/>
      <c r="H202" s="112"/>
      <c r="I202" s="112"/>
      <c r="J202" s="112"/>
      <c r="K202" s="112"/>
      <c r="L202" s="112"/>
      <c r="M202" s="112"/>
      <c r="N202" s="112"/>
      <c r="O202" s="112"/>
      <c r="P202" s="112"/>
      <c r="Q202" s="112"/>
      <c r="R202" s="112"/>
      <c r="S202" s="112"/>
      <c r="T202" s="112"/>
      <c r="U202" s="107"/>
      <c r="V202" s="107"/>
      <c r="W202" s="107"/>
      <c r="X202" s="107"/>
      <c r="Y202" s="107"/>
      <c r="Z202" s="112"/>
      <c r="AA202" s="112"/>
      <c r="AB202" s="112"/>
      <c r="AC202" s="112"/>
      <c r="AD202" s="112"/>
      <c r="AE202" s="112"/>
      <c r="AF202" s="112"/>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row>
    <row r="203">
      <c r="D203" s="143"/>
      <c r="E203" s="112"/>
      <c r="F203" s="112"/>
      <c r="G203" s="112"/>
      <c r="H203" s="112"/>
      <c r="I203" s="112"/>
      <c r="J203" s="112"/>
      <c r="K203" s="112"/>
      <c r="L203" s="112"/>
      <c r="M203" s="112"/>
      <c r="N203" s="112"/>
      <c r="O203" s="112"/>
      <c r="P203" s="112"/>
      <c r="Q203" s="112"/>
      <c r="R203" s="112"/>
      <c r="S203" s="112"/>
      <c r="T203" s="112"/>
      <c r="U203" s="107"/>
      <c r="V203" s="107"/>
      <c r="W203" s="107"/>
      <c r="X203" s="107"/>
      <c r="Y203" s="107"/>
      <c r="Z203" s="112"/>
      <c r="AA203" s="112"/>
      <c r="AB203" s="112"/>
      <c r="AC203" s="112"/>
      <c r="AD203" s="112"/>
      <c r="AE203" s="112"/>
      <c r="AF203" s="112"/>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row>
    <row r="204">
      <c r="D204" s="143"/>
      <c r="E204" s="112"/>
      <c r="F204" s="112"/>
      <c r="G204" s="112"/>
      <c r="H204" s="112"/>
      <c r="I204" s="112"/>
      <c r="J204" s="112"/>
      <c r="K204" s="112"/>
      <c r="L204" s="112"/>
      <c r="M204" s="112"/>
      <c r="N204" s="112"/>
      <c r="O204" s="112"/>
      <c r="P204" s="112"/>
      <c r="Q204" s="112"/>
      <c r="R204" s="112"/>
      <c r="S204" s="112"/>
      <c r="T204" s="112"/>
      <c r="U204" s="107"/>
      <c r="V204" s="107"/>
      <c r="W204" s="107"/>
      <c r="X204" s="107"/>
      <c r="Y204" s="107"/>
      <c r="Z204" s="112"/>
      <c r="AA204" s="112"/>
      <c r="AB204" s="112"/>
      <c r="AC204" s="112"/>
      <c r="AD204" s="112"/>
      <c r="AE204" s="112"/>
      <c r="AF204" s="112"/>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row>
    <row r="205">
      <c r="D205" s="143"/>
      <c r="E205" s="112"/>
      <c r="F205" s="112"/>
      <c r="G205" s="112"/>
      <c r="H205" s="112"/>
      <c r="I205" s="112"/>
      <c r="J205" s="112"/>
      <c r="K205" s="112"/>
      <c r="L205" s="112"/>
      <c r="M205" s="112"/>
      <c r="N205" s="112"/>
      <c r="O205" s="112"/>
      <c r="P205" s="112"/>
      <c r="Q205" s="112"/>
      <c r="R205" s="112"/>
      <c r="S205" s="112"/>
      <c r="T205" s="112"/>
      <c r="U205" s="107"/>
      <c r="V205" s="107"/>
      <c r="W205" s="107"/>
      <c r="X205" s="107"/>
      <c r="Y205" s="107"/>
      <c r="Z205" s="112"/>
      <c r="AA205" s="112"/>
      <c r="AB205" s="112"/>
      <c r="AC205" s="112"/>
      <c r="AD205" s="112"/>
      <c r="AE205" s="112"/>
      <c r="AF205" s="112"/>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row>
    <row r="206">
      <c r="D206" s="143"/>
      <c r="E206" s="112"/>
      <c r="F206" s="112"/>
      <c r="G206" s="112"/>
      <c r="H206" s="112"/>
      <c r="I206" s="112"/>
      <c r="J206" s="112"/>
      <c r="K206" s="112"/>
      <c r="L206" s="112"/>
      <c r="M206" s="112"/>
      <c r="N206" s="112"/>
      <c r="O206" s="112"/>
      <c r="P206" s="112"/>
      <c r="Q206" s="112"/>
      <c r="R206" s="112"/>
      <c r="S206" s="112"/>
      <c r="T206" s="112"/>
      <c r="U206" s="107"/>
      <c r="V206" s="107"/>
      <c r="W206" s="107"/>
      <c r="X206" s="107"/>
      <c r="Y206" s="107"/>
      <c r="Z206" s="112"/>
      <c r="AA206" s="112"/>
      <c r="AB206" s="112"/>
      <c r="AC206" s="112"/>
      <c r="AD206" s="112"/>
      <c r="AE206" s="112"/>
      <c r="AF206" s="112"/>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row>
    <row r="207">
      <c r="D207" s="143"/>
      <c r="E207" s="112"/>
      <c r="F207" s="112"/>
      <c r="G207" s="112"/>
      <c r="H207" s="112"/>
      <c r="I207" s="112"/>
      <c r="J207" s="112"/>
      <c r="K207" s="112"/>
      <c r="L207" s="112"/>
      <c r="M207" s="112"/>
      <c r="N207" s="112"/>
      <c r="O207" s="112"/>
      <c r="P207" s="112"/>
      <c r="Q207" s="112"/>
      <c r="R207" s="112"/>
      <c r="S207" s="112"/>
      <c r="T207" s="112"/>
      <c r="U207" s="107"/>
      <c r="V207" s="107"/>
      <c r="W207" s="107"/>
      <c r="X207" s="107"/>
      <c r="Y207" s="107"/>
      <c r="Z207" s="112"/>
      <c r="AA207" s="112"/>
      <c r="AB207" s="112"/>
      <c r="AC207" s="112"/>
      <c r="AD207" s="112"/>
      <c r="AE207" s="112"/>
      <c r="AF207" s="112"/>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row>
    <row r="208">
      <c r="D208" s="143"/>
      <c r="E208" s="112"/>
      <c r="F208" s="112"/>
      <c r="G208" s="112"/>
      <c r="H208" s="112"/>
      <c r="I208" s="112"/>
      <c r="J208" s="112"/>
      <c r="K208" s="112"/>
      <c r="L208" s="112"/>
      <c r="M208" s="112"/>
      <c r="N208" s="112"/>
      <c r="O208" s="112"/>
      <c r="P208" s="112"/>
      <c r="Q208" s="112"/>
      <c r="R208" s="112"/>
      <c r="S208" s="112"/>
      <c r="T208" s="112"/>
      <c r="U208" s="107"/>
      <c r="V208" s="107"/>
      <c r="W208" s="107"/>
      <c r="X208" s="107"/>
      <c r="Y208" s="107"/>
      <c r="Z208" s="112"/>
      <c r="AA208" s="112"/>
      <c r="AB208" s="112"/>
      <c r="AC208" s="112"/>
      <c r="AD208" s="112"/>
      <c r="AE208" s="112"/>
      <c r="AF208" s="112"/>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row>
    <row r="209">
      <c r="D209" s="143"/>
      <c r="E209" s="112"/>
      <c r="F209" s="112"/>
      <c r="G209" s="112"/>
      <c r="H209" s="112"/>
      <c r="I209" s="112"/>
      <c r="J209" s="112"/>
      <c r="K209" s="112"/>
      <c r="L209" s="112"/>
      <c r="M209" s="112"/>
      <c r="N209" s="112"/>
      <c r="O209" s="112"/>
      <c r="P209" s="112"/>
      <c r="Q209" s="112"/>
      <c r="R209" s="112"/>
      <c r="S209" s="112"/>
      <c r="T209" s="112"/>
      <c r="U209" s="107"/>
      <c r="V209" s="107"/>
      <c r="W209" s="107"/>
      <c r="X209" s="107"/>
      <c r="Y209" s="107"/>
      <c r="Z209" s="112"/>
      <c r="AA209" s="112"/>
      <c r="AB209" s="112"/>
      <c r="AC209" s="112"/>
      <c r="AD209" s="112"/>
      <c r="AE209" s="112"/>
      <c r="AF209" s="112"/>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row>
    <row r="210">
      <c r="D210" s="143"/>
      <c r="E210" s="112"/>
      <c r="F210" s="112"/>
      <c r="G210" s="112"/>
      <c r="H210" s="112"/>
      <c r="I210" s="112"/>
      <c r="J210" s="112"/>
      <c r="K210" s="112"/>
      <c r="L210" s="112"/>
      <c r="M210" s="112"/>
      <c r="N210" s="112"/>
      <c r="O210" s="112"/>
      <c r="P210" s="112"/>
      <c r="Q210" s="112"/>
      <c r="R210" s="112"/>
      <c r="S210" s="112"/>
      <c r="T210" s="112"/>
      <c r="U210" s="107"/>
      <c r="V210" s="107"/>
      <c r="W210" s="107"/>
      <c r="X210" s="107"/>
      <c r="Y210" s="107"/>
      <c r="Z210" s="112"/>
      <c r="AA210" s="112"/>
      <c r="AB210" s="112"/>
      <c r="AC210" s="112"/>
      <c r="AD210" s="112"/>
      <c r="AE210" s="112"/>
      <c r="AF210" s="112"/>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row>
    <row r="211">
      <c r="D211" s="143"/>
      <c r="E211" s="112"/>
      <c r="F211" s="112"/>
      <c r="G211" s="112"/>
      <c r="H211" s="112"/>
      <c r="I211" s="112"/>
      <c r="J211" s="112"/>
      <c r="K211" s="112"/>
      <c r="L211" s="112"/>
      <c r="M211" s="112"/>
      <c r="N211" s="112"/>
      <c r="O211" s="112"/>
      <c r="P211" s="112"/>
      <c r="Q211" s="112"/>
      <c r="R211" s="112"/>
      <c r="S211" s="112"/>
      <c r="T211" s="112"/>
      <c r="U211" s="107"/>
      <c r="V211" s="107"/>
      <c r="W211" s="107"/>
      <c r="X211" s="107"/>
      <c r="Y211" s="107"/>
      <c r="Z211" s="112"/>
      <c r="AA211" s="112"/>
      <c r="AB211" s="112"/>
      <c r="AC211" s="112"/>
      <c r="AD211" s="112"/>
      <c r="AE211" s="112"/>
      <c r="AF211" s="112"/>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row>
    <row r="212">
      <c r="D212" s="143"/>
      <c r="E212" s="112"/>
      <c r="F212" s="112"/>
      <c r="G212" s="112"/>
      <c r="H212" s="112"/>
      <c r="I212" s="112"/>
      <c r="J212" s="112"/>
      <c r="K212" s="112"/>
      <c r="L212" s="112"/>
      <c r="M212" s="112"/>
      <c r="N212" s="112"/>
      <c r="O212" s="112"/>
      <c r="P212" s="112"/>
      <c r="Q212" s="112"/>
      <c r="R212" s="112"/>
      <c r="S212" s="112"/>
      <c r="T212" s="112"/>
      <c r="U212" s="107"/>
      <c r="V212" s="107"/>
      <c r="W212" s="107"/>
      <c r="X212" s="107"/>
      <c r="Y212" s="107"/>
      <c r="Z212" s="112"/>
      <c r="AA212" s="112"/>
      <c r="AB212" s="112"/>
      <c r="AC212" s="112"/>
      <c r="AD212" s="112"/>
      <c r="AE212" s="112"/>
      <c r="AF212" s="112"/>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row>
    <row r="213">
      <c r="D213" s="143"/>
      <c r="E213" s="112"/>
      <c r="F213" s="112"/>
      <c r="G213" s="112"/>
      <c r="H213" s="112"/>
      <c r="I213" s="112"/>
      <c r="J213" s="112"/>
      <c r="K213" s="112"/>
      <c r="L213" s="112"/>
      <c r="M213" s="112"/>
      <c r="N213" s="112"/>
      <c r="O213" s="112"/>
      <c r="P213" s="112"/>
      <c r="Q213" s="112"/>
      <c r="R213" s="112"/>
      <c r="S213" s="112"/>
      <c r="T213" s="112"/>
      <c r="U213" s="107"/>
      <c r="V213" s="107"/>
      <c r="W213" s="107"/>
      <c r="X213" s="107"/>
      <c r="Y213" s="107"/>
      <c r="Z213" s="112"/>
      <c r="AA213" s="112"/>
      <c r="AB213" s="112"/>
      <c r="AC213" s="112"/>
      <c r="AD213" s="112"/>
      <c r="AE213" s="112"/>
      <c r="AF213" s="112"/>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row>
    <row r="214">
      <c r="D214" s="143"/>
      <c r="E214" s="112"/>
      <c r="F214" s="112"/>
      <c r="G214" s="112"/>
      <c r="H214" s="112"/>
      <c r="I214" s="112"/>
      <c r="J214" s="112"/>
      <c r="K214" s="112"/>
      <c r="L214" s="112"/>
      <c r="M214" s="112"/>
      <c r="N214" s="112"/>
      <c r="O214" s="112"/>
      <c r="P214" s="112"/>
      <c r="Q214" s="112"/>
      <c r="R214" s="112"/>
      <c r="S214" s="112"/>
      <c r="T214" s="112"/>
      <c r="U214" s="107"/>
      <c r="V214" s="107"/>
      <c r="W214" s="107"/>
      <c r="X214" s="107"/>
      <c r="Y214" s="107"/>
      <c r="Z214" s="112"/>
      <c r="AA214" s="112"/>
      <c r="AB214" s="112"/>
      <c r="AC214" s="112"/>
      <c r="AD214" s="112"/>
      <c r="AE214" s="112"/>
      <c r="AF214" s="112"/>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row>
    <row r="215">
      <c r="D215" s="143"/>
      <c r="E215" s="112"/>
      <c r="F215" s="112"/>
      <c r="G215" s="112"/>
      <c r="H215" s="112"/>
      <c r="I215" s="112"/>
      <c r="J215" s="112"/>
      <c r="K215" s="112"/>
      <c r="L215" s="112"/>
      <c r="M215" s="112"/>
      <c r="N215" s="112"/>
      <c r="O215" s="112"/>
      <c r="P215" s="112"/>
      <c r="Q215" s="112"/>
      <c r="R215" s="112"/>
      <c r="S215" s="112"/>
      <c r="T215" s="112"/>
      <c r="U215" s="107"/>
      <c r="V215" s="107"/>
      <c r="W215" s="107"/>
      <c r="X215" s="107"/>
      <c r="Y215" s="107"/>
      <c r="Z215" s="112"/>
      <c r="AA215" s="112"/>
      <c r="AB215" s="112"/>
      <c r="AC215" s="112"/>
      <c r="AD215" s="112"/>
      <c r="AE215" s="112"/>
      <c r="AF215" s="112"/>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row>
    <row r="216">
      <c r="D216" s="143"/>
      <c r="E216" s="112"/>
      <c r="F216" s="112"/>
      <c r="G216" s="112"/>
      <c r="H216" s="112"/>
      <c r="I216" s="112"/>
      <c r="J216" s="112"/>
      <c r="K216" s="112"/>
      <c r="L216" s="112"/>
      <c r="M216" s="112"/>
      <c r="N216" s="112"/>
      <c r="O216" s="112"/>
      <c r="P216" s="112"/>
      <c r="Q216" s="112"/>
      <c r="R216" s="112"/>
      <c r="S216" s="112"/>
      <c r="T216" s="112"/>
      <c r="U216" s="107"/>
      <c r="V216" s="107"/>
      <c r="W216" s="107"/>
      <c r="X216" s="107"/>
      <c r="Y216" s="107"/>
      <c r="Z216" s="112"/>
      <c r="AA216" s="112"/>
      <c r="AB216" s="112"/>
      <c r="AC216" s="112"/>
      <c r="AD216" s="112"/>
      <c r="AE216" s="112"/>
      <c r="AF216" s="112"/>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row>
    <row r="217">
      <c r="D217" s="143"/>
      <c r="E217" s="112"/>
      <c r="F217" s="112"/>
      <c r="G217" s="112"/>
      <c r="H217" s="112"/>
      <c r="I217" s="112"/>
      <c r="J217" s="112"/>
      <c r="K217" s="112"/>
      <c r="L217" s="112"/>
      <c r="M217" s="112"/>
      <c r="N217" s="112"/>
      <c r="O217" s="112"/>
      <c r="P217" s="112"/>
      <c r="Q217" s="112"/>
      <c r="R217" s="112"/>
      <c r="S217" s="112"/>
      <c r="T217" s="112"/>
      <c r="U217" s="107"/>
      <c r="V217" s="107"/>
      <c r="W217" s="107"/>
      <c r="X217" s="107"/>
      <c r="Y217" s="107"/>
      <c r="Z217" s="112"/>
      <c r="AA217" s="112"/>
      <c r="AB217" s="112"/>
      <c r="AC217" s="112"/>
      <c r="AD217" s="112"/>
      <c r="AE217" s="112"/>
      <c r="AF217" s="112"/>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row>
    <row r="218">
      <c r="D218" s="143"/>
      <c r="E218" s="112"/>
      <c r="F218" s="112"/>
      <c r="G218" s="112"/>
      <c r="H218" s="112"/>
      <c r="I218" s="112"/>
      <c r="J218" s="112"/>
      <c r="K218" s="112"/>
      <c r="L218" s="112"/>
      <c r="M218" s="112"/>
      <c r="N218" s="112"/>
      <c r="O218" s="112"/>
      <c r="P218" s="112"/>
      <c r="Q218" s="112"/>
      <c r="R218" s="112"/>
      <c r="S218" s="112"/>
      <c r="T218" s="112"/>
      <c r="U218" s="107"/>
      <c r="V218" s="107"/>
      <c r="W218" s="107"/>
      <c r="X218" s="107"/>
      <c r="Y218" s="107"/>
      <c r="Z218" s="112"/>
      <c r="AA218" s="112"/>
      <c r="AB218" s="112"/>
      <c r="AC218" s="112"/>
      <c r="AD218" s="112"/>
      <c r="AE218" s="112"/>
      <c r="AF218" s="112"/>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124"/>
      <c r="BO218" s="124"/>
      <c r="BP218" s="124"/>
      <c r="BQ218" s="124"/>
      <c r="BR218" s="124"/>
      <c r="BS218" s="124"/>
      <c r="BT218" s="124"/>
      <c r="BU218" s="124"/>
      <c r="BV218" s="124"/>
      <c r="BW218" s="124"/>
      <c r="BX218" s="124"/>
      <c r="BY218" s="124"/>
      <c r="BZ218" s="124"/>
      <c r="CA218" s="124"/>
    </row>
    <row r="219">
      <c r="D219" s="143"/>
      <c r="E219" s="112"/>
      <c r="F219" s="112"/>
      <c r="G219" s="112"/>
      <c r="H219" s="112"/>
      <c r="I219" s="112"/>
      <c r="J219" s="112"/>
      <c r="K219" s="112"/>
      <c r="L219" s="112"/>
      <c r="M219" s="112"/>
      <c r="N219" s="112"/>
      <c r="O219" s="112"/>
      <c r="P219" s="112"/>
      <c r="Q219" s="112"/>
      <c r="R219" s="112"/>
      <c r="S219" s="112"/>
      <c r="T219" s="112"/>
      <c r="U219" s="107"/>
      <c r="V219" s="107"/>
      <c r="W219" s="107"/>
      <c r="X219" s="107"/>
      <c r="Y219" s="107"/>
      <c r="Z219" s="112"/>
      <c r="AA219" s="112"/>
      <c r="AB219" s="112"/>
      <c r="AC219" s="112"/>
      <c r="AD219" s="112"/>
      <c r="AE219" s="112"/>
      <c r="AF219" s="112"/>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124"/>
      <c r="BO219" s="124"/>
      <c r="BP219" s="124"/>
      <c r="BQ219" s="124"/>
      <c r="BR219" s="124"/>
      <c r="BS219" s="124"/>
      <c r="BT219" s="124"/>
      <c r="BU219" s="124"/>
      <c r="BV219" s="124"/>
      <c r="BW219" s="124"/>
      <c r="BX219" s="124"/>
      <c r="BY219" s="124"/>
      <c r="BZ219" s="124"/>
      <c r="CA219" s="124"/>
    </row>
    <row r="220">
      <c r="D220" s="143"/>
      <c r="E220" s="112"/>
      <c r="F220" s="112"/>
      <c r="G220" s="112"/>
      <c r="H220" s="112"/>
      <c r="I220" s="112"/>
      <c r="J220" s="112"/>
      <c r="K220" s="112"/>
      <c r="L220" s="112"/>
      <c r="M220" s="112"/>
      <c r="N220" s="112"/>
      <c r="O220" s="112"/>
      <c r="P220" s="112"/>
      <c r="Q220" s="112"/>
      <c r="R220" s="112"/>
      <c r="S220" s="112"/>
      <c r="T220" s="112"/>
      <c r="U220" s="107"/>
      <c r="V220" s="107"/>
      <c r="W220" s="107"/>
      <c r="X220" s="107"/>
      <c r="Y220" s="107"/>
      <c r="Z220" s="112"/>
      <c r="AA220" s="112"/>
      <c r="AB220" s="112"/>
      <c r="AC220" s="112"/>
      <c r="AD220" s="112"/>
      <c r="AE220" s="112"/>
      <c r="AF220" s="112"/>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row>
    <row r="221">
      <c r="D221" s="143"/>
      <c r="E221" s="112"/>
      <c r="F221" s="112"/>
      <c r="G221" s="112"/>
      <c r="H221" s="112"/>
      <c r="I221" s="112"/>
      <c r="J221" s="112"/>
      <c r="K221" s="112"/>
      <c r="L221" s="112"/>
      <c r="M221" s="112"/>
      <c r="N221" s="112"/>
      <c r="O221" s="112"/>
      <c r="P221" s="112"/>
      <c r="Q221" s="112"/>
      <c r="R221" s="112"/>
      <c r="S221" s="112"/>
      <c r="T221" s="112"/>
      <c r="U221" s="107"/>
      <c r="V221" s="107"/>
      <c r="W221" s="107"/>
      <c r="X221" s="107"/>
      <c r="Y221" s="107"/>
      <c r="Z221" s="112"/>
      <c r="AA221" s="112"/>
      <c r="AB221" s="112"/>
      <c r="AC221" s="112"/>
      <c r="AD221" s="112"/>
      <c r="AE221" s="112"/>
      <c r="AF221" s="112"/>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row>
    <row r="222">
      <c r="D222" s="143"/>
      <c r="E222" s="112"/>
      <c r="F222" s="112"/>
      <c r="G222" s="112"/>
      <c r="H222" s="112"/>
      <c r="I222" s="112"/>
      <c r="J222" s="112"/>
      <c r="K222" s="112"/>
      <c r="L222" s="112"/>
      <c r="M222" s="112"/>
      <c r="N222" s="112"/>
      <c r="O222" s="112"/>
      <c r="P222" s="112"/>
      <c r="Q222" s="112"/>
      <c r="R222" s="112"/>
      <c r="S222" s="112"/>
      <c r="T222" s="112"/>
      <c r="U222" s="107"/>
      <c r="V222" s="107"/>
      <c r="W222" s="107"/>
      <c r="X222" s="107"/>
      <c r="Y222" s="107"/>
      <c r="Z222" s="112"/>
      <c r="AA222" s="112"/>
      <c r="AB222" s="112"/>
      <c r="AC222" s="112"/>
      <c r="AD222" s="112"/>
      <c r="AE222" s="112"/>
      <c r="AF222" s="112"/>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row>
    <row r="223">
      <c r="D223" s="143"/>
      <c r="E223" s="112"/>
      <c r="F223" s="112"/>
      <c r="G223" s="112"/>
      <c r="H223" s="112"/>
      <c r="I223" s="112"/>
      <c r="J223" s="112"/>
      <c r="K223" s="112"/>
      <c r="L223" s="112"/>
      <c r="M223" s="112"/>
      <c r="N223" s="112"/>
      <c r="O223" s="112"/>
      <c r="P223" s="112"/>
      <c r="Q223" s="112"/>
      <c r="R223" s="112"/>
      <c r="S223" s="112"/>
      <c r="T223" s="112"/>
      <c r="U223" s="107"/>
      <c r="V223" s="107"/>
      <c r="W223" s="107"/>
      <c r="X223" s="107"/>
      <c r="Y223" s="107"/>
      <c r="Z223" s="112"/>
      <c r="AA223" s="112"/>
      <c r="AB223" s="112"/>
      <c r="AC223" s="112"/>
      <c r="AD223" s="112"/>
      <c r="AE223" s="112"/>
      <c r="AF223" s="112"/>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row>
    <row r="224">
      <c r="D224" s="143"/>
      <c r="E224" s="112"/>
      <c r="F224" s="112"/>
      <c r="G224" s="112"/>
      <c r="H224" s="112"/>
      <c r="I224" s="112"/>
      <c r="J224" s="112"/>
      <c r="K224" s="112"/>
      <c r="L224" s="112"/>
      <c r="M224" s="112"/>
      <c r="N224" s="112"/>
      <c r="O224" s="112"/>
      <c r="P224" s="112"/>
      <c r="Q224" s="112"/>
      <c r="R224" s="112"/>
      <c r="S224" s="112"/>
      <c r="T224" s="112"/>
      <c r="U224" s="107"/>
      <c r="V224" s="107"/>
      <c r="W224" s="107"/>
      <c r="X224" s="107"/>
      <c r="Y224" s="107"/>
      <c r="Z224" s="112"/>
      <c r="AA224" s="112"/>
      <c r="AB224" s="112"/>
      <c r="AC224" s="112"/>
      <c r="AD224" s="112"/>
      <c r="AE224" s="112"/>
      <c r="AF224" s="112"/>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row>
    <row r="225">
      <c r="D225" s="143"/>
      <c r="E225" s="112"/>
      <c r="F225" s="112"/>
      <c r="G225" s="112"/>
      <c r="H225" s="112"/>
      <c r="I225" s="112"/>
      <c r="J225" s="112"/>
      <c r="K225" s="112"/>
      <c r="L225" s="112"/>
      <c r="M225" s="112"/>
      <c r="N225" s="112"/>
      <c r="O225" s="112"/>
      <c r="P225" s="112"/>
      <c r="Q225" s="112"/>
      <c r="R225" s="112"/>
      <c r="S225" s="112"/>
      <c r="T225" s="112"/>
      <c r="U225" s="107"/>
      <c r="V225" s="107"/>
      <c r="W225" s="107"/>
      <c r="X225" s="107"/>
      <c r="Y225" s="107"/>
      <c r="Z225" s="112"/>
      <c r="AA225" s="112"/>
      <c r="AB225" s="112"/>
      <c r="AC225" s="112"/>
      <c r="AD225" s="112"/>
      <c r="AE225" s="112"/>
      <c r="AF225" s="112"/>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row>
    <row r="226">
      <c r="D226" s="143"/>
      <c r="E226" s="112"/>
      <c r="F226" s="112"/>
      <c r="G226" s="112"/>
      <c r="H226" s="112"/>
      <c r="I226" s="112"/>
      <c r="J226" s="112"/>
      <c r="K226" s="112"/>
      <c r="L226" s="112"/>
      <c r="M226" s="112"/>
      <c r="N226" s="112"/>
      <c r="O226" s="112"/>
      <c r="P226" s="112"/>
      <c r="Q226" s="112"/>
      <c r="R226" s="112"/>
      <c r="S226" s="112"/>
      <c r="T226" s="112"/>
      <c r="U226" s="107"/>
      <c r="V226" s="107"/>
      <c r="W226" s="107"/>
      <c r="X226" s="107"/>
      <c r="Y226" s="107"/>
      <c r="Z226" s="112"/>
      <c r="AA226" s="112"/>
      <c r="AB226" s="112"/>
      <c r="AC226" s="112"/>
      <c r="AD226" s="112"/>
      <c r="AE226" s="112"/>
      <c r="AF226" s="112"/>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124"/>
      <c r="BO226" s="124"/>
      <c r="BP226" s="124"/>
      <c r="BQ226" s="124"/>
      <c r="BR226" s="124"/>
      <c r="BS226" s="124"/>
      <c r="BT226" s="124"/>
      <c r="BU226" s="124"/>
      <c r="BV226" s="124"/>
      <c r="BW226" s="124"/>
      <c r="BX226" s="124"/>
      <c r="BY226" s="124"/>
      <c r="BZ226" s="124"/>
      <c r="CA226" s="124"/>
    </row>
    <row r="227">
      <c r="D227" s="143"/>
      <c r="E227" s="112"/>
      <c r="F227" s="112"/>
      <c r="G227" s="112"/>
      <c r="H227" s="112"/>
      <c r="I227" s="112"/>
      <c r="J227" s="112"/>
      <c r="K227" s="112"/>
      <c r="L227" s="112"/>
      <c r="M227" s="112"/>
      <c r="N227" s="112"/>
      <c r="O227" s="112"/>
      <c r="P227" s="112"/>
      <c r="Q227" s="112"/>
      <c r="R227" s="112"/>
      <c r="S227" s="112"/>
      <c r="T227" s="112"/>
      <c r="U227" s="107"/>
      <c r="V227" s="107"/>
      <c r="W227" s="107"/>
      <c r="X227" s="107"/>
      <c r="Y227" s="107"/>
      <c r="Z227" s="112"/>
      <c r="AA227" s="112"/>
      <c r="AB227" s="112"/>
      <c r="AC227" s="112"/>
      <c r="AD227" s="112"/>
      <c r="AE227" s="112"/>
      <c r="AF227" s="112"/>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row>
    <row r="228">
      <c r="D228" s="143"/>
      <c r="E228" s="112"/>
      <c r="F228" s="112"/>
      <c r="G228" s="112"/>
      <c r="H228" s="112"/>
      <c r="I228" s="112"/>
      <c r="J228" s="112"/>
      <c r="K228" s="112"/>
      <c r="L228" s="112"/>
      <c r="M228" s="112"/>
      <c r="N228" s="112"/>
      <c r="O228" s="112"/>
      <c r="P228" s="112"/>
      <c r="Q228" s="112"/>
      <c r="R228" s="112"/>
      <c r="S228" s="112"/>
      <c r="T228" s="112"/>
      <c r="U228" s="107"/>
      <c r="V228" s="107"/>
      <c r="W228" s="107"/>
      <c r="X228" s="107"/>
      <c r="Y228" s="107"/>
      <c r="Z228" s="112"/>
      <c r="AA228" s="112"/>
      <c r="AB228" s="112"/>
      <c r="AC228" s="112"/>
      <c r="AD228" s="112"/>
      <c r="AE228" s="112"/>
      <c r="AF228" s="112"/>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c r="BK228" s="124"/>
      <c r="BL228" s="124"/>
      <c r="BM228" s="124"/>
      <c r="BN228" s="124"/>
      <c r="BO228" s="124"/>
      <c r="BP228" s="124"/>
      <c r="BQ228" s="124"/>
      <c r="BR228" s="124"/>
      <c r="BS228" s="124"/>
      <c r="BT228" s="124"/>
      <c r="BU228" s="124"/>
      <c r="BV228" s="124"/>
      <c r="BW228" s="124"/>
      <c r="BX228" s="124"/>
      <c r="BY228" s="124"/>
      <c r="BZ228" s="124"/>
      <c r="CA228" s="124"/>
    </row>
    <row r="229">
      <c r="D229" s="143"/>
      <c r="E229" s="112"/>
      <c r="F229" s="112"/>
      <c r="G229" s="112"/>
      <c r="H229" s="112"/>
      <c r="I229" s="112"/>
      <c r="J229" s="112"/>
      <c r="K229" s="112"/>
      <c r="L229" s="112"/>
      <c r="M229" s="112"/>
      <c r="N229" s="112"/>
      <c r="O229" s="112"/>
      <c r="P229" s="112"/>
      <c r="Q229" s="112"/>
      <c r="R229" s="112"/>
      <c r="S229" s="112"/>
      <c r="T229" s="112"/>
      <c r="U229" s="107"/>
      <c r="V229" s="107"/>
      <c r="W229" s="107"/>
      <c r="X229" s="107"/>
      <c r="Y229" s="107"/>
      <c r="Z229" s="112"/>
      <c r="AA229" s="112"/>
      <c r="AB229" s="112"/>
      <c r="AC229" s="112"/>
      <c r="AD229" s="112"/>
      <c r="AE229" s="112"/>
      <c r="AF229" s="112"/>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124"/>
      <c r="BO229" s="124"/>
      <c r="BP229" s="124"/>
      <c r="BQ229" s="124"/>
      <c r="BR229" s="124"/>
      <c r="BS229" s="124"/>
      <c r="BT229" s="124"/>
      <c r="BU229" s="124"/>
      <c r="BV229" s="124"/>
      <c r="BW229" s="124"/>
      <c r="BX229" s="124"/>
      <c r="BY229" s="124"/>
      <c r="BZ229" s="124"/>
      <c r="CA229" s="124"/>
    </row>
    <row r="230">
      <c r="D230" s="143"/>
      <c r="E230" s="112"/>
      <c r="F230" s="112"/>
      <c r="G230" s="112"/>
      <c r="H230" s="112"/>
      <c r="I230" s="112"/>
      <c r="J230" s="112"/>
      <c r="K230" s="112"/>
      <c r="L230" s="112"/>
      <c r="M230" s="112"/>
      <c r="N230" s="112"/>
      <c r="O230" s="112"/>
      <c r="P230" s="112"/>
      <c r="Q230" s="112"/>
      <c r="R230" s="112"/>
      <c r="S230" s="112"/>
      <c r="T230" s="112"/>
      <c r="U230" s="107"/>
      <c r="V230" s="107"/>
      <c r="W230" s="107"/>
      <c r="X230" s="107"/>
      <c r="Y230" s="107"/>
      <c r="Z230" s="112"/>
      <c r="AA230" s="112"/>
      <c r="AB230" s="112"/>
      <c r="AC230" s="112"/>
      <c r="AD230" s="112"/>
      <c r="AE230" s="112"/>
      <c r="AF230" s="112"/>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c r="BK230" s="124"/>
      <c r="BL230" s="124"/>
      <c r="BM230" s="124"/>
      <c r="BN230" s="124"/>
      <c r="BO230" s="124"/>
      <c r="BP230" s="124"/>
      <c r="BQ230" s="124"/>
      <c r="BR230" s="124"/>
      <c r="BS230" s="124"/>
      <c r="BT230" s="124"/>
      <c r="BU230" s="124"/>
      <c r="BV230" s="124"/>
      <c r="BW230" s="124"/>
      <c r="BX230" s="124"/>
      <c r="BY230" s="124"/>
      <c r="BZ230" s="124"/>
      <c r="CA230" s="124"/>
    </row>
    <row r="231">
      <c r="D231" s="143"/>
      <c r="E231" s="112"/>
      <c r="F231" s="112"/>
      <c r="G231" s="112"/>
      <c r="H231" s="112"/>
      <c r="I231" s="112"/>
      <c r="J231" s="112"/>
      <c r="K231" s="112"/>
      <c r="L231" s="112"/>
      <c r="M231" s="112"/>
      <c r="N231" s="112"/>
      <c r="O231" s="112"/>
      <c r="P231" s="112"/>
      <c r="Q231" s="112"/>
      <c r="R231" s="112"/>
      <c r="S231" s="112"/>
      <c r="T231" s="112"/>
      <c r="U231" s="107"/>
      <c r="V231" s="107"/>
      <c r="W231" s="107"/>
      <c r="X231" s="107"/>
      <c r="Y231" s="107"/>
      <c r="Z231" s="112"/>
      <c r="AA231" s="112"/>
      <c r="AB231" s="112"/>
      <c r="AC231" s="112"/>
      <c r="AD231" s="112"/>
      <c r="AE231" s="112"/>
      <c r="AF231" s="112"/>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c r="BK231" s="124"/>
      <c r="BL231" s="124"/>
      <c r="BM231" s="124"/>
      <c r="BN231" s="124"/>
      <c r="BO231" s="124"/>
      <c r="BP231" s="124"/>
      <c r="BQ231" s="124"/>
      <c r="BR231" s="124"/>
      <c r="BS231" s="124"/>
      <c r="BT231" s="124"/>
      <c r="BU231" s="124"/>
      <c r="BV231" s="124"/>
      <c r="BW231" s="124"/>
      <c r="BX231" s="124"/>
      <c r="BY231" s="124"/>
      <c r="BZ231" s="124"/>
      <c r="CA231" s="124"/>
    </row>
    <row r="232">
      <c r="D232" s="143"/>
      <c r="E232" s="112"/>
      <c r="F232" s="112"/>
      <c r="G232" s="112"/>
      <c r="H232" s="112"/>
      <c r="I232" s="112"/>
      <c r="J232" s="112"/>
      <c r="K232" s="112"/>
      <c r="L232" s="112"/>
      <c r="M232" s="112"/>
      <c r="N232" s="112"/>
      <c r="O232" s="112"/>
      <c r="P232" s="112"/>
      <c r="Q232" s="112"/>
      <c r="R232" s="112"/>
      <c r="S232" s="112"/>
      <c r="T232" s="112"/>
      <c r="U232" s="107"/>
      <c r="V232" s="107"/>
      <c r="W232" s="107"/>
      <c r="X232" s="107"/>
      <c r="Y232" s="107"/>
      <c r="Z232" s="112"/>
      <c r="AA232" s="112"/>
      <c r="AB232" s="112"/>
      <c r="AC232" s="112"/>
      <c r="AD232" s="112"/>
      <c r="AE232" s="112"/>
      <c r="AF232" s="112"/>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c r="BK232" s="124"/>
      <c r="BL232" s="124"/>
      <c r="BM232" s="124"/>
      <c r="BN232" s="124"/>
      <c r="BO232" s="124"/>
      <c r="BP232" s="124"/>
      <c r="BQ232" s="124"/>
      <c r="BR232" s="124"/>
      <c r="BS232" s="124"/>
      <c r="BT232" s="124"/>
      <c r="BU232" s="124"/>
      <c r="BV232" s="124"/>
      <c r="BW232" s="124"/>
      <c r="BX232" s="124"/>
      <c r="BY232" s="124"/>
      <c r="BZ232" s="124"/>
      <c r="CA232" s="124"/>
    </row>
    <row r="233">
      <c r="D233" s="143"/>
      <c r="E233" s="112"/>
      <c r="F233" s="112"/>
      <c r="G233" s="112"/>
      <c r="H233" s="112"/>
      <c r="I233" s="112"/>
      <c r="J233" s="112"/>
      <c r="K233" s="112"/>
      <c r="L233" s="112"/>
      <c r="M233" s="112"/>
      <c r="N233" s="112"/>
      <c r="O233" s="112"/>
      <c r="P233" s="112"/>
      <c r="Q233" s="112"/>
      <c r="R233" s="112"/>
      <c r="S233" s="112"/>
      <c r="T233" s="112"/>
      <c r="U233" s="107"/>
      <c r="V233" s="107"/>
      <c r="W233" s="107"/>
      <c r="X233" s="107"/>
      <c r="Y233" s="107"/>
      <c r="Z233" s="112"/>
      <c r="AA233" s="112"/>
      <c r="AB233" s="112"/>
      <c r="AC233" s="112"/>
      <c r="AD233" s="112"/>
      <c r="AE233" s="112"/>
      <c r="AF233" s="112"/>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row>
    <row r="234">
      <c r="D234" s="143"/>
      <c r="E234" s="112"/>
      <c r="F234" s="112"/>
      <c r="G234" s="112"/>
      <c r="H234" s="112"/>
      <c r="I234" s="112"/>
      <c r="J234" s="112"/>
      <c r="K234" s="112"/>
      <c r="L234" s="112"/>
      <c r="M234" s="112"/>
      <c r="N234" s="112"/>
      <c r="O234" s="112"/>
      <c r="P234" s="112"/>
      <c r="Q234" s="112"/>
      <c r="R234" s="112"/>
      <c r="S234" s="112"/>
      <c r="T234" s="112"/>
      <c r="U234" s="107"/>
      <c r="V234" s="107"/>
      <c r="W234" s="107"/>
      <c r="X234" s="107"/>
      <c r="Y234" s="107"/>
      <c r="Z234" s="112"/>
      <c r="AA234" s="112"/>
      <c r="AB234" s="112"/>
      <c r="AC234" s="112"/>
      <c r="AD234" s="112"/>
      <c r="AE234" s="112"/>
      <c r="AF234" s="112"/>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124"/>
      <c r="BO234" s="124"/>
      <c r="BP234" s="124"/>
      <c r="BQ234" s="124"/>
      <c r="BR234" s="124"/>
      <c r="BS234" s="124"/>
      <c r="BT234" s="124"/>
      <c r="BU234" s="124"/>
      <c r="BV234" s="124"/>
      <c r="BW234" s="124"/>
      <c r="BX234" s="124"/>
      <c r="BY234" s="124"/>
      <c r="BZ234" s="124"/>
      <c r="CA234" s="124"/>
    </row>
    <row r="235">
      <c r="D235" s="143"/>
      <c r="E235" s="112"/>
      <c r="F235" s="112"/>
      <c r="G235" s="112"/>
      <c r="H235" s="112"/>
      <c r="I235" s="112"/>
      <c r="J235" s="112"/>
      <c r="K235" s="112"/>
      <c r="L235" s="112"/>
      <c r="M235" s="112"/>
      <c r="N235" s="112"/>
      <c r="O235" s="112"/>
      <c r="P235" s="112"/>
      <c r="Q235" s="112"/>
      <c r="R235" s="112"/>
      <c r="S235" s="112"/>
      <c r="T235" s="112"/>
      <c r="U235" s="107"/>
      <c r="V235" s="107"/>
      <c r="W235" s="107"/>
      <c r="X235" s="107"/>
      <c r="Y235" s="107"/>
      <c r="Z235" s="112"/>
      <c r="AA235" s="112"/>
      <c r="AB235" s="112"/>
      <c r="AC235" s="112"/>
      <c r="AD235" s="112"/>
      <c r="AE235" s="112"/>
      <c r="AF235" s="112"/>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c r="BK235" s="124"/>
      <c r="BL235" s="124"/>
      <c r="BM235" s="124"/>
      <c r="BN235" s="124"/>
      <c r="BO235" s="124"/>
      <c r="BP235" s="124"/>
      <c r="BQ235" s="124"/>
      <c r="BR235" s="124"/>
      <c r="BS235" s="124"/>
      <c r="BT235" s="124"/>
      <c r="BU235" s="124"/>
      <c r="BV235" s="124"/>
      <c r="BW235" s="124"/>
      <c r="BX235" s="124"/>
      <c r="BY235" s="124"/>
      <c r="BZ235" s="124"/>
      <c r="CA235" s="124"/>
    </row>
    <row r="236">
      <c r="D236" s="143"/>
      <c r="E236" s="112"/>
      <c r="F236" s="112"/>
      <c r="G236" s="112"/>
      <c r="H236" s="112"/>
      <c r="I236" s="112"/>
      <c r="J236" s="112"/>
      <c r="K236" s="112"/>
      <c r="L236" s="112"/>
      <c r="M236" s="112"/>
      <c r="N236" s="112"/>
      <c r="O236" s="112"/>
      <c r="P236" s="112"/>
      <c r="Q236" s="112"/>
      <c r="R236" s="112"/>
      <c r="S236" s="112"/>
      <c r="T236" s="112"/>
      <c r="U236" s="107"/>
      <c r="V236" s="107"/>
      <c r="W236" s="107"/>
      <c r="X236" s="107"/>
      <c r="Y236" s="107"/>
      <c r="Z236" s="112"/>
      <c r="AA236" s="112"/>
      <c r="AB236" s="112"/>
      <c r="AC236" s="112"/>
      <c r="AD236" s="112"/>
      <c r="AE236" s="112"/>
      <c r="AF236" s="112"/>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c r="BK236" s="124"/>
      <c r="BL236" s="124"/>
      <c r="BM236" s="124"/>
      <c r="BN236" s="124"/>
      <c r="BO236" s="124"/>
      <c r="BP236" s="124"/>
      <c r="BQ236" s="124"/>
      <c r="BR236" s="124"/>
      <c r="BS236" s="124"/>
      <c r="BT236" s="124"/>
      <c r="BU236" s="124"/>
      <c r="BV236" s="124"/>
      <c r="BW236" s="124"/>
      <c r="BX236" s="124"/>
      <c r="BY236" s="124"/>
      <c r="BZ236" s="124"/>
      <c r="CA236" s="124"/>
    </row>
    <row r="237">
      <c r="D237" s="143"/>
      <c r="E237" s="112"/>
      <c r="F237" s="112"/>
      <c r="G237" s="112"/>
      <c r="H237" s="112"/>
      <c r="I237" s="112"/>
      <c r="J237" s="112"/>
      <c r="K237" s="112"/>
      <c r="L237" s="112"/>
      <c r="M237" s="112"/>
      <c r="N237" s="112"/>
      <c r="O237" s="112"/>
      <c r="P237" s="112"/>
      <c r="Q237" s="112"/>
      <c r="R237" s="112"/>
      <c r="S237" s="112"/>
      <c r="T237" s="112"/>
      <c r="U237" s="107"/>
      <c r="V237" s="107"/>
      <c r="W237" s="107"/>
      <c r="X237" s="107"/>
      <c r="Y237" s="107"/>
      <c r="Z237" s="112"/>
      <c r="AA237" s="112"/>
      <c r="AB237" s="112"/>
      <c r="AC237" s="112"/>
      <c r="AD237" s="112"/>
      <c r="AE237" s="112"/>
      <c r="AF237" s="112"/>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124"/>
      <c r="BO237" s="124"/>
      <c r="BP237" s="124"/>
      <c r="BQ237" s="124"/>
      <c r="BR237" s="124"/>
      <c r="BS237" s="124"/>
      <c r="BT237" s="124"/>
      <c r="BU237" s="124"/>
      <c r="BV237" s="124"/>
      <c r="BW237" s="124"/>
      <c r="BX237" s="124"/>
      <c r="BY237" s="124"/>
      <c r="BZ237" s="124"/>
      <c r="CA237" s="124"/>
    </row>
    <row r="238">
      <c r="D238" s="143"/>
      <c r="E238" s="112"/>
      <c r="F238" s="112"/>
      <c r="G238" s="112"/>
      <c r="H238" s="112"/>
      <c r="I238" s="112"/>
      <c r="J238" s="112"/>
      <c r="K238" s="112"/>
      <c r="L238" s="112"/>
      <c r="M238" s="112"/>
      <c r="N238" s="112"/>
      <c r="O238" s="112"/>
      <c r="P238" s="112"/>
      <c r="Q238" s="112"/>
      <c r="R238" s="112"/>
      <c r="S238" s="112"/>
      <c r="T238" s="112"/>
      <c r="U238" s="107"/>
      <c r="V238" s="107"/>
      <c r="W238" s="107"/>
      <c r="X238" s="107"/>
      <c r="Y238" s="107"/>
      <c r="Z238" s="112"/>
      <c r="AA238" s="112"/>
      <c r="AB238" s="112"/>
      <c r="AC238" s="112"/>
      <c r="AD238" s="112"/>
      <c r="AE238" s="112"/>
      <c r="AF238" s="112"/>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c r="BK238" s="124"/>
      <c r="BL238" s="124"/>
      <c r="BM238" s="124"/>
      <c r="BN238" s="124"/>
      <c r="BO238" s="124"/>
      <c r="BP238" s="124"/>
      <c r="BQ238" s="124"/>
      <c r="BR238" s="124"/>
      <c r="BS238" s="124"/>
      <c r="BT238" s="124"/>
      <c r="BU238" s="124"/>
      <c r="BV238" s="124"/>
      <c r="BW238" s="124"/>
      <c r="BX238" s="124"/>
      <c r="BY238" s="124"/>
      <c r="BZ238" s="124"/>
      <c r="CA238" s="124"/>
    </row>
    <row r="239">
      <c r="D239" s="143"/>
      <c r="E239" s="112"/>
      <c r="F239" s="112"/>
      <c r="G239" s="112"/>
      <c r="H239" s="112"/>
      <c r="I239" s="112"/>
      <c r="J239" s="112"/>
      <c r="K239" s="112"/>
      <c r="L239" s="112"/>
      <c r="M239" s="112"/>
      <c r="N239" s="112"/>
      <c r="O239" s="112"/>
      <c r="P239" s="112"/>
      <c r="Q239" s="112"/>
      <c r="R239" s="112"/>
      <c r="S239" s="112"/>
      <c r="T239" s="112"/>
      <c r="U239" s="107"/>
      <c r="V239" s="107"/>
      <c r="W239" s="107"/>
      <c r="X239" s="107"/>
      <c r="Y239" s="107"/>
      <c r="Z239" s="112"/>
      <c r="AA239" s="112"/>
      <c r="AB239" s="112"/>
      <c r="AC239" s="112"/>
      <c r="AD239" s="112"/>
      <c r="AE239" s="112"/>
      <c r="AF239" s="112"/>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row>
    <row r="240">
      <c r="D240" s="143"/>
      <c r="E240" s="112"/>
      <c r="F240" s="112"/>
      <c r="G240" s="112"/>
      <c r="H240" s="112"/>
      <c r="I240" s="112"/>
      <c r="J240" s="112"/>
      <c r="K240" s="112"/>
      <c r="L240" s="112"/>
      <c r="M240" s="112"/>
      <c r="N240" s="112"/>
      <c r="O240" s="112"/>
      <c r="P240" s="112"/>
      <c r="Q240" s="112"/>
      <c r="R240" s="112"/>
      <c r="S240" s="112"/>
      <c r="T240" s="112"/>
      <c r="U240" s="107"/>
      <c r="V240" s="107"/>
      <c r="W240" s="107"/>
      <c r="X240" s="107"/>
      <c r="Y240" s="107"/>
      <c r="Z240" s="112"/>
      <c r="AA240" s="112"/>
      <c r="AB240" s="112"/>
      <c r="AC240" s="112"/>
      <c r="AD240" s="112"/>
      <c r="AE240" s="112"/>
      <c r="AF240" s="112"/>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124"/>
      <c r="BO240" s="124"/>
      <c r="BP240" s="124"/>
      <c r="BQ240" s="124"/>
      <c r="BR240" s="124"/>
      <c r="BS240" s="124"/>
      <c r="BT240" s="124"/>
      <c r="BU240" s="124"/>
      <c r="BV240" s="124"/>
      <c r="BW240" s="124"/>
      <c r="BX240" s="124"/>
      <c r="BY240" s="124"/>
      <c r="BZ240" s="124"/>
      <c r="CA240" s="124"/>
    </row>
    <row r="241">
      <c r="D241" s="143"/>
      <c r="E241" s="112"/>
      <c r="F241" s="112"/>
      <c r="G241" s="112"/>
      <c r="H241" s="112"/>
      <c r="I241" s="112"/>
      <c r="J241" s="112"/>
      <c r="K241" s="112"/>
      <c r="L241" s="112"/>
      <c r="M241" s="112"/>
      <c r="N241" s="112"/>
      <c r="O241" s="112"/>
      <c r="P241" s="112"/>
      <c r="Q241" s="112"/>
      <c r="R241" s="112"/>
      <c r="S241" s="112"/>
      <c r="T241" s="112"/>
      <c r="U241" s="107"/>
      <c r="V241" s="107"/>
      <c r="W241" s="107"/>
      <c r="X241" s="107"/>
      <c r="Y241" s="107"/>
      <c r="Z241" s="112"/>
      <c r="AA241" s="112"/>
      <c r="AB241" s="112"/>
      <c r="AC241" s="112"/>
      <c r="AD241" s="112"/>
      <c r="AE241" s="112"/>
      <c r="AF241" s="112"/>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124"/>
      <c r="BO241" s="124"/>
      <c r="BP241" s="124"/>
      <c r="BQ241" s="124"/>
      <c r="BR241" s="124"/>
      <c r="BS241" s="124"/>
      <c r="BT241" s="124"/>
      <c r="BU241" s="124"/>
      <c r="BV241" s="124"/>
      <c r="BW241" s="124"/>
      <c r="BX241" s="124"/>
      <c r="BY241" s="124"/>
      <c r="BZ241" s="124"/>
      <c r="CA241" s="124"/>
    </row>
    <row r="242">
      <c r="D242" s="143"/>
      <c r="E242" s="112"/>
      <c r="F242" s="112"/>
      <c r="G242" s="112"/>
      <c r="H242" s="112"/>
      <c r="I242" s="112"/>
      <c r="J242" s="112"/>
      <c r="K242" s="112"/>
      <c r="L242" s="112"/>
      <c r="M242" s="112"/>
      <c r="N242" s="112"/>
      <c r="O242" s="112"/>
      <c r="P242" s="112"/>
      <c r="Q242" s="112"/>
      <c r="R242" s="112"/>
      <c r="S242" s="112"/>
      <c r="T242" s="112"/>
      <c r="U242" s="107"/>
      <c r="V242" s="107"/>
      <c r="W242" s="107"/>
      <c r="X242" s="107"/>
      <c r="Y242" s="107"/>
      <c r="Z242" s="112"/>
      <c r="AA242" s="112"/>
      <c r="AB242" s="112"/>
      <c r="AC242" s="112"/>
      <c r="AD242" s="112"/>
      <c r="AE242" s="112"/>
      <c r="AF242" s="112"/>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c r="BK242" s="124"/>
      <c r="BL242" s="124"/>
      <c r="BM242" s="124"/>
      <c r="BN242" s="124"/>
      <c r="BO242" s="124"/>
      <c r="BP242" s="124"/>
      <c r="BQ242" s="124"/>
      <c r="BR242" s="124"/>
      <c r="BS242" s="124"/>
      <c r="BT242" s="124"/>
      <c r="BU242" s="124"/>
      <c r="BV242" s="124"/>
      <c r="BW242" s="124"/>
      <c r="BX242" s="124"/>
      <c r="BY242" s="124"/>
      <c r="BZ242" s="124"/>
      <c r="CA242" s="124"/>
    </row>
    <row r="243">
      <c r="D243" s="143"/>
      <c r="E243" s="112"/>
      <c r="F243" s="112"/>
      <c r="G243" s="112"/>
      <c r="H243" s="112"/>
      <c r="I243" s="112"/>
      <c r="J243" s="112"/>
      <c r="K243" s="112"/>
      <c r="L243" s="112"/>
      <c r="M243" s="112"/>
      <c r="N243" s="112"/>
      <c r="O243" s="112"/>
      <c r="P243" s="112"/>
      <c r="Q243" s="112"/>
      <c r="R243" s="112"/>
      <c r="S243" s="112"/>
      <c r="T243" s="112"/>
      <c r="U243" s="107"/>
      <c r="V243" s="107"/>
      <c r="W243" s="107"/>
      <c r="X243" s="107"/>
      <c r="Y243" s="107"/>
      <c r="Z243" s="112"/>
      <c r="AA243" s="112"/>
      <c r="AB243" s="112"/>
      <c r="AC243" s="112"/>
      <c r="AD243" s="112"/>
      <c r="AE243" s="112"/>
      <c r="AF243" s="112"/>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124"/>
      <c r="BO243" s="124"/>
      <c r="BP243" s="124"/>
      <c r="BQ243" s="124"/>
      <c r="BR243" s="124"/>
      <c r="BS243" s="124"/>
      <c r="BT243" s="124"/>
      <c r="BU243" s="124"/>
      <c r="BV243" s="124"/>
      <c r="BW243" s="124"/>
      <c r="BX243" s="124"/>
      <c r="BY243" s="124"/>
      <c r="BZ243" s="124"/>
      <c r="CA243" s="124"/>
    </row>
    <row r="244">
      <c r="D244" s="143"/>
      <c r="E244" s="112"/>
      <c r="F244" s="112"/>
      <c r="G244" s="112"/>
      <c r="H244" s="112"/>
      <c r="I244" s="112"/>
      <c r="J244" s="112"/>
      <c r="K244" s="112"/>
      <c r="L244" s="112"/>
      <c r="M244" s="112"/>
      <c r="N244" s="112"/>
      <c r="O244" s="112"/>
      <c r="P244" s="112"/>
      <c r="Q244" s="112"/>
      <c r="R244" s="112"/>
      <c r="S244" s="112"/>
      <c r="T244" s="112"/>
      <c r="U244" s="107"/>
      <c r="V244" s="107"/>
      <c r="W244" s="107"/>
      <c r="X244" s="107"/>
      <c r="Y244" s="107"/>
      <c r="Z244" s="112"/>
      <c r="AA244" s="112"/>
      <c r="AB244" s="112"/>
      <c r="AC244" s="112"/>
      <c r="AD244" s="112"/>
      <c r="AE244" s="112"/>
      <c r="AF244" s="112"/>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124"/>
      <c r="BO244" s="124"/>
      <c r="BP244" s="124"/>
      <c r="BQ244" s="124"/>
      <c r="BR244" s="124"/>
      <c r="BS244" s="124"/>
      <c r="BT244" s="124"/>
      <c r="BU244" s="124"/>
      <c r="BV244" s="124"/>
      <c r="BW244" s="124"/>
      <c r="BX244" s="124"/>
      <c r="BY244" s="124"/>
      <c r="BZ244" s="124"/>
      <c r="CA244" s="124"/>
    </row>
    <row r="245">
      <c r="D245" s="143"/>
      <c r="E245" s="112"/>
      <c r="F245" s="112"/>
      <c r="G245" s="112"/>
      <c r="H245" s="112"/>
      <c r="I245" s="112"/>
      <c r="J245" s="112"/>
      <c r="K245" s="112"/>
      <c r="L245" s="112"/>
      <c r="M245" s="112"/>
      <c r="N245" s="112"/>
      <c r="O245" s="112"/>
      <c r="P245" s="112"/>
      <c r="Q245" s="112"/>
      <c r="R245" s="112"/>
      <c r="S245" s="112"/>
      <c r="T245" s="112"/>
      <c r="U245" s="107"/>
      <c r="V245" s="107"/>
      <c r="W245" s="107"/>
      <c r="X245" s="107"/>
      <c r="Y245" s="107"/>
      <c r="Z245" s="112"/>
      <c r="AA245" s="112"/>
      <c r="AB245" s="112"/>
      <c r="AC245" s="112"/>
      <c r="AD245" s="112"/>
      <c r="AE245" s="112"/>
      <c r="AF245" s="112"/>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row>
    <row r="246">
      <c r="D246" s="143"/>
      <c r="E246" s="112"/>
      <c r="F246" s="112"/>
      <c r="G246" s="112"/>
      <c r="H246" s="112"/>
      <c r="I246" s="112"/>
      <c r="J246" s="112"/>
      <c r="K246" s="112"/>
      <c r="L246" s="112"/>
      <c r="M246" s="112"/>
      <c r="N246" s="112"/>
      <c r="O246" s="112"/>
      <c r="P246" s="112"/>
      <c r="Q246" s="112"/>
      <c r="R246" s="112"/>
      <c r="S246" s="112"/>
      <c r="T246" s="112"/>
      <c r="U246" s="107"/>
      <c r="V246" s="107"/>
      <c r="W246" s="107"/>
      <c r="X246" s="107"/>
      <c r="Y246" s="107"/>
      <c r="Z246" s="112"/>
      <c r="AA246" s="112"/>
      <c r="AB246" s="112"/>
      <c r="AC246" s="112"/>
      <c r="AD246" s="112"/>
      <c r="AE246" s="112"/>
      <c r="AF246" s="112"/>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row>
    <row r="247">
      <c r="D247" s="143"/>
      <c r="E247" s="112"/>
      <c r="F247" s="112"/>
      <c r="G247" s="112"/>
      <c r="H247" s="112"/>
      <c r="I247" s="112"/>
      <c r="J247" s="112"/>
      <c r="K247" s="112"/>
      <c r="L247" s="112"/>
      <c r="M247" s="112"/>
      <c r="N247" s="112"/>
      <c r="O247" s="112"/>
      <c r="P247" s="112"/>
      <c r="Q247" s="112"/>
      <c r="R247" s="112"/>
      <c r="S247" s="112"/>
      <c r="T247" s="112"/>
      <c r="U247" s="107"/>
      <c r="V247" s="107"/>
      <c r="W247" s="107"/>
      <c r="X247" s="107"/>
      <c r="Y247" s="107"/>
      <c r="Z247" s="112"/>
      <c r="AA247" s="112"/>
      <c r="AB247" s="112"/>
      <c r="AC247" s="112"/>
      <c r="AD247" s="112"/>
      <c r="AE247" s="112"/>
      <c r="AF247" s="112"/>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124"/>
      <c r="BO247" s="124"/>
      <c r="BP247" s="124"/>
      <c r="BQ247" s="124"/>
      <c r="BR247" s="124"/>
      <c r="BS247" s="124"/>
      <c r="BT247" s="124"/>
      <c r="BU247" s="124"/>
      <c r="BV247" s="124"/>
      <c r="BW247" s="124"/>
      <c r="BX247" s="124"/>
      <c r="BY247" s="124"/>
      <c r="BZ247" s="124"/>
      <c r="CA247" s="124"/>
    </row>
    <row r="248">
      <c r="D248" s="143"/>
      <c r="E248" s="112"/>
      <c r="F248" s="112"/>
      <c r="G248" s="112"/>
      <c r="H248" s="112"/>
      <c r="I248" s="112"/>
      <c r="J248" s="112"/>
      <c r="K248" s="112"/>
      <c r="L248" s="112"/>
      <c r="M248" s="112"/>
      <c r="N248" s="112"/>
      <c r="O248" s="112"/>
      <c r="P248" s="112"/>
      <c r="Q248" s="112"/>
      <c r="R248" s="112"/>
      <c r="S248" s="112"/>
      <c r="T248" s="112"/>
      <c r="U248" s="107"/>
      <c r="V248" s="107"/>
      <c r="W248" s="107"/>
      <c r="X248" s="107"/>
      <c r="Y248" s="107"/>
      <c r="Z248" s="112"/>
      <c r="AA248" s="112"/>
      <c r="AB248" s="112"/>
      <c r="AC248" s="112"/>
      <c r="AD248" s="112"/>
      <c r="AE248" s="112"/>
      <c r="AF248" s="112"/>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c r="BK248" s="124"/>
      <c r="BL248" s="124"/>
      <c r="BM248" s="124"/>
      <c r="BN248" s="124"/>
      <c r="BO248" s="124"/>
      <c r="BP248" s="124"/>
      <c r="BQ248" s="124"/>
      <c r="BR248" s="124"/>
      <c r="BS248" s="124"/>
      <c r="BT248" s="124"/>
      <c r="BU248" s="124"/>
      <c r="BV248" s="124"/>
      <c r="BW248" s="124"/>
      <c r="BX248" s="124"/>
      <c r="BY248" s="124"/>
      <c r="BZ248" s="124"/>
      <c r="CA248" s="124"/>
    </row>
    <row r="249">
      <c r="D249" s="143"/>
      <c r="E249" s="112"/>
      <c r="F249" s="112"/>
      <c r="G249" s="112"/>
      <c r="H249" s="112"/>
      <c r="I249" s="112"/>
      <c r="J249" s="112"/>
      <c r="K249" s="112"/>
      <c r="L249" s="112"/>
      <c r="M249" s="112"/>
      <c r="N249" s="112"/>
      <c r="O249" s="112"/>
      <c r="P249" s="112"/>
      <c r="Q249" s="112"/>
      <c r="R249" s="112"/>
      <c r="S249" s="112"/>
      <c r="T249" s="112"/>
      <c r="U249" s="107"/>
      <c r="V249" s="107"/>
      <c r="W249" s="107"/>
      <c r="X249" s="107"/>
      <c r="Y249" s="107"/>
      <c r="Z249" s="112"/>
      <c r="AA249" s="112"/>
      <c r="AB249" s="112"/>
      <c r="AC249" s="112"/>
      <c r="AD249" s="112"/>
      <c r="AE249" s="112"/>
      <c r="AF249" s="112"/>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c r="BK249" s="124"/>
      <c r="BL249" s="124"/>
      <c r="BM249" s="124"/>
      <c r="BN249" s="124"/>
      <c r="BO249" s="124"/>
      <c r="BP249" s="124"/>
      <c r="BQ249" s="124"/>
      <c r="BR249" s="124"/>
      <c r="BS249" s="124"/>
      <c r="BT249" s="124"/>
      <c r="BU249" s="124"/>
      <c r="BV249" s="124"/>
      <c r="BW249" s="124"/>
      <c r="BX249" s="124"/>
      <c r="BY249" s="124"/>
      <c r="BZ249" s="124"/>
      <c r="CA249" s="124"/>
    </row>
    <row r="250">
      <c r="D250" s="143"/>
      <c r="E250" s="112"/>
      <c r="F250" s="112"/>
      <c r="G250" s="112"/>
      <c r="H250" s="112"/>
      <c r="I250" s="112"/>
      <c r="J250" s="112"/>
      <c r="K250" s="112"/>
      <c r="L250" s="112"/>
      <c r="M250" s="112"/>
      <c r="N250" s="112"/>
      <c r="O250" s="112"/>
      <c r="P250" s="112"/>
      <c r="Q250" s="112"/>
      <c r="R250" s="112"/>
      <c r="S250" s="112"/>
      <c r="T250" s="112"/>
      <c r="U250" s="107"/>
      <c r="V250" s="107"/>
      <c r="W250" s="107"/>
      <c r="X250" s="107"/>
      <c r="Y250" s="107"/>
      <c r="Z250" s="112"/>
      <c r="AA250" s="112"/>
      <c r="AB250" s="112"/>
      <c r="AC250" s="112"/>
      <c r="AD250" s="112"/>
      <c r="AE250" s="112"/>
      <c r="AF250" s="112"/>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c r="BK250" s="124"/>
      <c r="BL250" s="124"/>
      <c r="BM250" s="124"/>
      <c r="BN250" s="124"/>
      <c r="BO250" s="124"/>
      <c r="BP250" s="124"/>
      <c r="BQ250" s="124"/>
      <c r="BR250" s="124"/>
      <c r="BS250" s="124"/>
      <c r="BT250" s="124"/>
      <c r="BU250" s="124"/>
      <c r="BV250" s="124"/>
      <c r="BW250" s="124"/>
      <c r="BX250" s="124"/>
      <c r="BY250" s="124"/>
      <c r="BZ250" s="124"/>
      <c r="CA250" s="124"/>
    </row>
    <row r="251">
      <c r="D251" s="143"/>
      <c r="E251" s="112"/>
      <c r="F251" s="112"/>
      <c r="G251" s="112"/>
      <c r="H251" s="112"/>
      <c r="I251" s="112"/>
      <c r="J251" s="112"/>
      <c r="K251" s="112"/>
      <c r="L251" s="112"/>
      <c r="M251" s="112"/>
      <c r="N251" s="112"/>
      <c r="O251" s="112"/>
      <c r="P251" s="112"/>
      <c r="Q251" s="112"/>
      <c r="R251" s="112"/>
      <c r="S251" s="112"/>
      <c r="T251" s="112"/>
      <c r="U251" s="107"/>
      <c r="V251" s="107"/>
      <c r="W251" s="107"/>
      <c r="X251" s="107"/>
      <c r="Y251" s="107"/>
      <c r="Z251" s="112"/>
      <c r="AA251" s="112"/>
      <c r="AB251" s="112"/>
      <c r="AC251" s="112"/>
      <c r="AD251" s="112"/>
      <c r="AE251" s="112"/>
      <c r="AF251" s="112"/>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row>
    <row r="252">
      <c r="D252" s="143"/>
      <c r="E252" s="112"/>
      <c r="F252" s="112"/>
      <c r="G252" s="112"/>
      <c r="H252" s="112"/>
      <c r="I252" s="112"/>
      <c r="J252" s="112"/>
      <c r="K252" s="112"/>
      <c r="L252" s="112"/>
      <c r="M252" s="112"/>
      <c r="N252" s="112"/>
      <c r="O252" s="112"/>
      <c r="P252" s="112"/>
      <c r="Q252" s="112"/>
      <c r="R252" s="112"/>
      <c r="S252" s="112"/>
      <c r="T252" s="112"/>
      <c r="U252" s="107"/>
      <c r="V252" s="107"/>
      <c r="W252" s="107"/>
      <c r="X252" s="107"/>
      <c r="Y252" s="107"/>
      <c r="Z252" s="112"/>
      <c r="AA252" s="112"/>
      <c r="AB252" s="112"/>
      <c r="AC252" s="112"/>
      <c r="AD252" s="112"/>
      <c r="AE252" s="112"/>
      <c r="AF252" s="112"/>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c r="BK252" s="124"/>
      <c r="BL252" s="124"/>
      <c r="BM252" s="124"/>
      <c r="BN252" s="124"/>
      <c r="BO252" s="124"/>
      <c r="BP252" s="124"/>
      <c r="BQ252" s="124"/>
      <c r="BR252" s="124"/>
      <c r="BS252" s="124"/>
      <c r="BT252" s="124"/>
      <c r="BU252" s="124"/>
      <c r="BV252" s="124"/>
      <c r="BW252" s="124"/>
      <c r="BX252" s="124"/>
      <c r="BY252" s="124"/>
      <c r="BZ252" s="124"/>
      <c r="CA252" s="124"/>
    </row>
    <row r="253">
      <c r="D253" s="143"/>
      <c r="E253" s="112"/>
      <c r="F253" s="112"/>
      <c r="G253" s="112"/>
      <c r="H253" s="112"/>
      <c r="I253" s="112"/>
      <c r="J253" s="112"/>
      <c r="K253" s="112"/>
      <c r="L253" s="112"/>
      <c r="M253" s="112"/>
      <c r="N253" s="112"/>
      <c r="O253" s="112"/>
      <c r="P253" s="112"/>
      <c r="Q253" s="112"/>
      <c r="R253" s="112"/>
      <c r="S253" s="112"/>
      <c r="T253" s="112"/>
      <c r="U253" s="107"/>
      <c r="V253" s="107"/>
      <c r="W253" s="107"/>
      <c r="X253" s="107"/>
      <c r="Y253" s="107"/>
      <c r="Z253" s="112"/>
      <c r="AA253" s="112"/>
      <c r="AB253" s="112"/>
      <c r="AC253" s="112"/>
      <c r="AD253" s="112"/>
      <c r="AE253" s="112"/>
      <c r="AF253" s="112"/>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c r="BK253" s="124"/>
      <c r="BL253" s="124"/>
      <c r="BM253" s="124"/>
      <c r="BN253" s="124"/>
      <c r="BO253" s="124"/>
      <c r="BP253" s="124"/>
      <c r="BQ253" s="124"/>
      <c r="BR253" s="124"/>
      <c r="BS253" s="124"/>
      <c r="BT253" s="124"/>
      <c r="BU253" s="124"/>
      <c r="BV253" s="124"/>
      <c r="BW253" s="124"/>
      <c r="BX253" s="124"/>
      <c r="BY253" s="124"/>
      <c r="BZ253" s="124"/>
      <c r="CA253" s="124"/>
    </row>
    <row r="254">
      <c r="D254" s="143"/>
      <c r="E254" s="112"/>
      <c r="F254" s="112"/>
      <c r="G254" s="112"/>
      <c r="H254" s="112"/>
      <c r="I254" s="112"/>
      <c r="J254" s="112"/>
      <c r="K254" s="112"/>
      <c r="L254" s="112"/>
      <c r="M254" s="112"/>
      <c r="N254" s="112"/>
      <c r="O254" s="112"/>
      <c r="P254" s="112"/>
      <c r="Q254" s="112"/>
      <c r="R254" s="112"/>
      <c r="S254" s="112"/>
      <c r="T254" s="112"/>
      <c r="U254" s="107"/>
      <c r="V254" s="107"/>
      <c r="W254" s="107"/>
      <c r="X254" s="107"/>
      <c r="Y254" s="107"/>
      <c r="Z254" s="112"/>
      <c r="AA254" s="112"/>
      <c r="AB254" s="112"/>
      <c r="AC254" s="112"/>
      <c r="AD254" s="112"/>
      <c r="AE254" s="112"/>
      <c r="AF254" s="112"/>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c r="BK254" s="124"/>
      <c r="BL254" s="124"/>
      <c r="BM254" s="124"/>
      <c r="BN254" s="124"/>
      <c r="BO254" s="124"/>
      <c r="BP254" s="124"/>
      <c r="BQ254" s="124"/>
      <c r="BR254" s="124"/>
      <c r="BS254" s="124"/>
      <c r="BT254" s="124"/>
      <c r="BU254" s="124"/>
      <c r="BV254" s="124"/>
      <c r="BW254" s="124"/>
      <c r="BX254" s="124"/>
      <c r="BY254" s="124"/>
      <c r="BZ254" s="124"/>
      <c r="CA254" s="124"/>
    </row>
    <row r="255">
      <c r="D255" s="143"/>
      <c r="E255" s="112"/>
      <c r="F255" s="112"/>
      <c r="G255" s="112"/>
      <c r="H255" s="112"/>
      <c r="I255" s="112"/>
      <c r="J255" s="112"/>
      <c r="K255" s="112"/>
      <c r="L255" s="112"/>
      <c r="M255" s="112"/>
      <c r="N255" s="112"/>
      <c r="O255" s="112"/>
      <c r="P255" s="112"/>
      <c r="Q255" s="112"/>
      <c r="R255" s="112"/>
      <c r="S255" s="112"/>
      <c r="T255" s="112"/>
      <c r="U255" s="107"/>
      <c r="V255" s="107"/>
      <c r="W255" s="107"/>
      <c r="X255" s="107"/>
      <c r="Y255" s="107"/>
      <c r="Z255" s="112"/>
      <c r="AA255" s="112"/>
      <c r="AB255" s="112"/>
      <c r="AC255" s="112"/>
      <c r="AD255" s="112"/>
      <c r="AE255" s="112"/>
      <c r="AF255" s="112"/>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c r="BK255" s="124"/>
      <c r="BL255" s="124"/>
      <c r="BM255" s="124"/>
      <c r="BN255" s="124"/>
      <c r="BO255" s="124"/>
      <c r="BP255" s="124"/>
      <c r="BQ255" s="124"/>
      <c r="BR255" s="124"/>
      <c r="BS255" s="124"/>
      <c r="BT255" s="124"/>
      <c r="BU255" s="124"/>
      <c r="BV255" s="124"/>
      <c r="BW255" s="124"/>
      <c r="BX255" s="124"/>
      <c r="BY255" s="124"/>
      <c r="BZ255" s="124"/>
      <c r="CA255" s="124"/>
    </row>
    <row r="256">
      <c r="D256" s="143"/>
      <c r="E256" s="112"/>
      <c r="F256" s="112"/>
      <c r="G256" s="112"/>
      <c r="H256" s="112"/>
      <c r="I256" s="112"/>
      <c r="J256" s="112"/>
      <c r="K256" s="112"/>
      <c r="L256" s="112"/>
      <c r="M256" s="112"/>
      <c r="N256" s="112"/>
      <c r="O256" s="112"/>
      <c r="P256" s="112"/>
      <c r="Q256" s="112"/>
      <c r="R256" s="112"/>
      <c r="S256" s="112"/>
      <c r="T256" s="112"/>
      <c r="U256" s="107"/>
      <c r="V256" s="107"/>
      <c r="W256" s="107"/>
      <c r="X256" s="107"/>
      <c r="Y256" s="107"/>
      <c r="Z256" s="112"/>
      <c r="AA256" s="112"/>
      <c r="AB256" s="112"/>
      <c r="AC256" s="112"/>
      <c r="AD256" s="112"/>
      <c r="AE256" s="112"/>
      <c r="AF256" s="112"/>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124"/>
      <c r="BO256" s="124"/>
      <c r="BP256" s="124"/>
      <c r="BQ256" s="124"/>
      <c r="BR256" s="124"/>
      <c r="BS256" s="124"/>
      <c r="BT256" s="124"/>
      <c r="BU256" s="124"/>
      <c r="BV256" s="124"/>
      <c r="BW256" s="124"/>
      <c r="BX256" s="124"/>
      <c r="BY256" s="124"/>
      <c r="BZ256" s="124"/>
      <c r="CA256" s="124"/>
    </row>
    <row r="257">
      <c r="D257" s="143"/>
      <c r="E257" s="112"/>
      <c r="F257" s="112"/>
      <c r="G257" s="112"/>
      <c r="H257" s="112"/>
      <c r="I257" s="112"/>
      <c r="J257" s="112"/>
      <c r="K257" s="112"/>
      <c r="L257" s="112"/>
      <c r="M257" s="112"/>
      <c r="N257" s="112"/>
      <c r="O257" s="112"/>
      <c r="P257" s="112"/>
      <c r="Q257" s="112"/>
      <c r="R257" s="112"/>
      <c r="S257" s="112"/>
      <c r="T257" s="112"/>
      <c r="U257" s="107"/>
      <c r="V257" s="107"/>
      <c r="W257" s="107"/>
      <c r="X257" s="107"/>
      <c r="Y257" s="107"/>
      <c r="Z257" s="112"/>
      <c r="AA257" s="112"/>
      <c r="AB257" s="112"/>
      <c r="AC257" s="112"/>
      <c r="AD257" s="112"/>
      <c r="AE257" s="112"/>
      <c r="AF257" s="112"/>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124"/>
      <c r="BO257" s="124"/>
      <c r="BP257" s="124"/>
      <c r="BQ257" s="124"/>
      <c r="BR257" s="124"/>
      <c r="BS257" s="124"/>
      <c r="BT257" s="124"/>
      <c r="BU257" s="124"/>
      <c r="BV257" s="124"/>
      <c r="BW257" s="124"/>
      <c r="BX257" s="124"/>
      <c r="BY257" s="124"/>
      <c r="BZ257" s="124"/>
      <c r="CA257" s="124"/>
    </row>
    <row r="258">
      <c r="D258" s="143"/>
      <c r="E258" s="112"/>
      <c r="F258" s="112"/>
      <c r="G258" s="112"/>
      <c r="H258" s="112"/>
      <c r="I258" s="112"/>
      <c r="J258" s="112"/>
      <c r="K258" s="112"/>
      <c r="L258" s="112"/>
      <c r="M258" s="112"/>
      <c r="N258" s="112"/>
      <c r="O258" s="112"/>
      <c r="P258" s="112"/>
      <c r="Q258" s="112"/>
      <c r="R258" s="112"/>
      <c r="S258" s="112"/>
      <c r="T258" s="112"/>
      <c r="U258" s="107"/>
      <c r="V258" s="107"/>
      <c r="W258" s="107"/>
      <c r="X258" s="107"/>
      <c r="Y258" s="107"/>
      <c r="Z258" s="112"/>
      <c r="AA258" s="112"/>
      <c r="AB258" s="112"/>
      <c r="AC258" s="112"/>
      <c r="AD258" s="112"/>
      <c r="AE258" s="112"/>
      <c r="AF258" s="112"/>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row>
    <row r="259">
      <c r="D259" s="143"/>
      <c r="E259" s="112"/>
      <c r="F259" s="112"/>
      <c r="G259" s="112"/>
      <c r="H259" s="112"/>
      <c r="I259" s="112"/>
      <c r="J259" s="112"/>
      <c r="K259" s="112"/>
      <c r="L259" s="112"/>
      <c r="M259" s="112"/>
      <c r="N259" s="112"/>
      <c r="O259" s="112"/>
      <c r="P259" s="112"/>
      <c r="Q259" s="112"/>
      <c r="R259" s="112"/>
      <c r="S259" s="112"/>
      <c r="T259" s="112"/>
      <c r="U259" s="107"/>
      <c r="V259" s="107"/>
      <c r="W259" s="107"/>
      <c r="X259" s="107"/>
      <c r="Y259" s="107"/>
      <c r="Z259" s="112"/>
      <c r="AA259" s="112"/>
      <c r="AB259" s="112"/>
      <c r="AC259" s="112"/>
      <c r="AD259" s="112"/>
      <c r="AE259" s="112"/>
      <c r="AF259" s="112"/>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c r="BK259" s="124"/>
      <c r="BL259" s="124"/>
      <c r="BM259" s="124"/>
      <c r="BN259" s="124"/>
      <c r="BO259" s="124"/>
      <c r="BP259" s="124"/>
      <c r="BQ259" s="124"/>
      <c r="BR259" s="124"/>
      <c r="BS259" s="124"/>
      <c r="BT259" s="124"/>
      <c r="BU259" s="124"/>
      <c r="BV259" s="124"/>
      <c r="BW259" s="124"/>
      <c r="BX259" s="124"/>
      <c r="BY259" s="124"/>
      <c r="BZ259" s="124"/>
      <c r="CA259" s="124"/>
    </row>
    <row r="260">
      <c r="D260" s="143"/>
      <c r="E260" s="112"/>
      <c r="F260" s="112"/>
      <c r="G260" s="112"/>
      <c r="H260" s="112"/>
      <c r="I260" s="112"/>
      <c r="J260" s="112"/>
      <c r="K260" s="112"/>
      <c r="L260" s="112"/>
      <c r="M260" s="112"/>
      <c r="N260" s="112"/>
      <c r="O260" s="112"/>
      <c r="P260" s="112"/>
      <c r="Q260" s="112"/>
      <c r="R260" s="112"/>
      <c r="S260" s="112"/>
      <c r="T260" s="112"/>
      <c r="U260" s="107"/>
      <c r="V260" s="107"/>
      <c r="W260" s="107"/>
      <c r="X260" s="107"/>
      <c r="Y260" s="107"/>
      <c r="Z260" s="112"/>
      <c r="AA260" s="112"/>
      <c r="AB260" s="112"/>
      <c r="AC260" s="112"/>
      <c r="AD260" s="112"/>
      <c r="AE260" s="112"/>
      <c r="AF260" s="112"/>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c r="BK260" s="124"/>
      <c r="BL260" s="124"/>
      <c r="BM260" s="124"/>
      <c r="BN260" s="124"/>
      <c r="BO260" s="124"/>
      <c r="BP260" s="124"/>
      <c r="BQ260" s="124"/>
      <c r="BR260" s="124"/>
      <c r="BS260" s="124"/>
      <c r="BT260" s="124"/>
      <c r="BU260" s="124"/>
      <c r="BV260" s="124"/>
      <c r="BW260" s="124"/>
      <c r="BX260" s="124"/>
      <c r="BY260" s="124"/>
      <c r="BZ260" s="124"/>
      <c r="CA260" s="124"/>
    </row>
    <row r="261">
      <c r="D261" s="143"/>
      <c r="E261" s="112"/>
      <c r="F261" s="112"/>
      <c r="G261" s="112"/>
      <c r="H261" s="112"/>
      <c r="I261" s="112"/>
      <c r="J261" s="112"/>
      <c r="K261" s="112"/>
      <c r="L261" s="112"/>
      <c r="M261" s="112"/>
      <c r="N261" s="112"/>
      <c r="O261" s="112"/>
      <c r="P261" s="112"/>
      <c r="Q261" s="112"/>
      <c r="R261" s="112"/>
      <c r="S261" s="112"/>
      <c r="T261" s="112"/>
      <c r="U261" s="107"/>
      <c r="V261" s="107"/>
      <c r="W261" s="107"/>
      <c r="X261" s="107"/>
      <c r="Y261" s="107"/>
      <c r="Z261" s="112"/>
      <c r="AA261" s="112"/>
      <c r="AB261" s="112"/>
      <c r="AC261" s="112"/>
      <c r="AD261" s="112"/>
      <c r="AE261" s="112"/>
      <c r="AF261" s="112"/>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row>
    <row r="262">
      <c r="D262" s="143"/>
      <c r="E262" s="112"/>
      <c r="F262" s="112"/>
      <c r="G262" s="112"/>
      <c r="H262" s="112"/>
      <c r="I262" s="112"/>
      <c r="J262" s="112"/>
      <c r="K262" s="112"/>
      <c r="L262" s="112"/>
      <c r="M262" s="112"/>
      <c r="N262" s="112"/>
      <c r="O262" s="112"/>
      <c r="P262" s="112"/>
      <c r="Q262" s="112"/>
      <c r="R262" s="112"/>
      <c r="S262" s="112"/>
      <c r="T262" s="112"/>
      <c r="U262" s="107"/>
      <c r="V262" s="107"/>
      <c r="W262" s="107"/>
      <c r="X262" s="107"/>
      <c r="Y262" s="107"/>
      <c r="Z262" s="112"/>
      <c r="AA262" s="112"/>
      <c r="AB262" s="112"/>
      <c r="AC262" s="112"/>
      <c r="AD262" s="112"/>
      <c r="AE262" s="112"/>
      <c r="AF262" s="112"/>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c r="BK262" s="124"/>
      <c r="BL262" s="124"/>
      <c r="BM262" s="124"/>
      <c r="BN262" s="124"/>
      <c r="BO262" s="124"/>
      <c r="BP262" s="124"/>
      <c r="BQ262" s="124"/>
      <c r="BR262" s="124"/>
      <c r="BS262" s="124"/>
      <c r="BT262" s="124"/>
      <c r="BU262" s="124"/>
      <c r="BV262" s="124"/>
      <c r="BW262" s="124"/>
      <c r="BX262" s="124"/>
      <c r="BY262" s="124"/>
      <c r="BZ262" s="124"/>
      <c r="CA262" s="124"/>
    </row>
    <row r="263">
      <c r="D263" s="143"/>
      <c r="E263" s="112"/>
      <c r="F263" s="112"/>
      <c r="G263" s="112"/>
      <c r="H263" s="112"/>
      <c r="I263" s="112"/>
      <c r="J263" s="112"/>
      <c r="K263" s="112"/>
      <c r="L263" s="112"/>
      <c r="M263" s="112"/>
      <c r="N263" s="112"/>
      <c r="O263" s="112"/>
      <c r="P263" s="112"/>
      <c r="Q263" s="112"/>
      <c r="R263" s="112"/>
      <c r="S263" s="112"/>
      <c r="T263" s="112"/>
      <c r="U263" s="107"/>
      <c r="V263" s="107"/>
      <c r="W263" s="107"/>
      <c r="X263" s="107"/>
      <c r="Y263" s="107"/>
      <c r="Z263" s="112"/>
      <c r="AA263" s="112"/>
      <c r="AB263" s="112"/>
      <c r="AC263" s="112"/>
      <c r="AD263" s="112"/>
      <c r="AE263" s="112"/>
      <c r="AF263" s="112"/>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124"/>
      <c r="BO263" s="124"/>
      <c r="BP263" s="124"/>
      <c r="BQ263" s="124"/>
      <c r="BR263" s="124"/>
      <c r="BS263" s="124"/>
      <c r="BT263" s="124"/>
      <c r="BU263" s="124"/>
      <c r="BV263" s="124"/>
      <c r="BW263" s="124"/>
      <c r="BX263" s="124"/>
      <c r="BY263" s="124"/>
      <c r="BZ263" s="124"/>
      <c r="CA263" s="124"/>
    </row>
    <row r="264">
      <c r="D264" s="143"/>
      <c r="E264" s="112"/>
      <c r="F264" s="112"/>
      <c r="G264" s="112"/>
      <c r="H264" s="112"/>
      <c r="I264" s="112"/>
      <c r="J264" s="112"/>
      <c r="K264" s="112"/>
      <c r="L264" s="112"/>
      <c r="M264" s="112"/>
      <c r="N264" s="112"/>
      <c r="O264" s="112"/>
      <c r="P264" s="112"/>
      <c r="Q264" s="112"/>
      <c r="R264" s="112"/>
      <c r="S264" s="112"/>
      <c r="T264" s="112"/>
      <c r="U264" s="107"/>
      <c r="V264" s="107"/>
      <c r="W264" s="107"/>
      <c r="X264" s="107"/>
      <c r="Y264" s="107"/>
      <c r="Z264" s="112"/>
      <c r="AA264" s="112"/>
      <c r="AB264" s="112"/>
      <c r="AC264" s="112"/>
      <c r="AD264" s="112"/>
      <c r="AE264" s="112"/>
      <c r="AF264" s="112"/>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row>
    <row r="265">
      <c r="D265" s="143"/>
      <c r="E265" s="112"/>
      <c r="F265" s="112"/>
      <c r="G265" s="112"/>
      <c r="H265" s="112"/>
      <c r="I265" s="112"/>
      <c r="J265" s="112"/>
      <c r="K265" s="112"/>
      <c r="L265" s="112"/>
      <c r="M265" s="112"/>
      <c r="N265" s="112"/>
      <c r="O265" s="112"/>
      <c r="P265" s="112"/>
      <c r="Q265" s="112"/>
      <c r="R265" s="112"/>
      <c r="S265" s="112"/>
      <c r="T265" s="112"/>
      <c r="U265" s="107"/>
      <c r="V265" s="107"/>
      <c r="W265" s="107"/>
      <c r="X265" s="107"/>
      <c r="Y265" s="107"/>
      <c r="Z265" s="112"/>
      <c r="AA265" s="112"/>
      <c r="AB265" s="112"/>
      <c r="AC265" s="112"/>
      <c r="AD265" s="112"/>
      <c r="AE265" s="112"/>
      <c r="AF265" s="112"/>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124"/>
      <c r="BO265" s="124"/>
      <c r="BP265" s="124"/>
      <c r="BQ265" s="124"/>
      <c r="BR265" s="124"/>
      <c r="BS265" s="124"/>
      <c r="BT265" s="124"/>
      <c r="BU265" s="124"/>
      <c r="BV265" s="124"/>
      <c r="BW265" s="124"/>
      <c r="BX265" s="124"/>
      <c r="BY265" s="124"/>
      <c r="BZ265" s="124"/>
      <c r="CA265" s="124"/>
    </row>
    <row r="266">
      <c r="D266" s="143"/>
      <c r="E266" s="112"/>
      <c r="F266" s="112"/>
      <c r="G266" s="112"/>
      <c r="H266" s="112"/>
      <c r="I266" s="112"/>
      <c r="J266" s="112"/>
      <c r="K266" s="112"/>
      <c r="L266" s="112"/>
      <c r="M266" s="112"/>
      <c r="N266" s="112"/>
      <c r="O266" s="112"/>
      <c r="P266" s="112"/>
      <c r="Q266" s="112"/>
      <c r="R266" s="112"/>
      <c r="S266" s="112"/>
      <c r="T266" s="112"/>
      <c r="U266" s="107"/>
      <c r="V266" s="107"/>
      <c r="W266" s="107"/>
      <c r="X266" s="107"/>
      <c r="Y266" s="107"/>
      <c r="Z266" s="112"/>
      <c r="AA266" s="112"/>
      <c r="AB266" s="112"/>
      <c r="AC266" s="112"/>
      <c r="AD266" s="112"/>
      <c r="AE266" s="112"/>
      <c r="AF266" s="112"/>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124"/>
      <c r="BO266" s="124"/>
      <c r="BP266" s="124"/>
      <c r="BQ266" s="124"/>
      <c r="BR266" s="124"/>
      <c r="BS266" s="124"/>
      <c r="BT266" s="124"/>
      <c r="BU266" s="124"/>
      <c r="BV266" s="124"/>
      <c r="BW266" s="124"/>
      <c r="BX266" s="124"/>
      <c r="BY266" s="124"/>
      <c r="BZ266" s="124"/>
      <c r="CA266" s="124"/>
    </row>
    <row r="267">
      <c r="D267" s="143"/>
      <c r="E267" s="112"/>
      <c r="F267" s="112"/>
      <c r="G267" s="112"/>
      <c r="H267" s="112"/>
      <c r="I267" s="112"/>
      <c r="J267" s="112"/>
      <c r="K267" s="112"/>
      <c r="L267" s="112"/>
      <c r="M267" s="112"/>
      <c r="N267" s="112"/>
      <c r="O267" s="112"/>
      <c r="P267" s="112"/>
      <c r="Q267" s="112"/>
      <c r="R267" s="112"/>
      <c r="S267" s="112"/>
      <c r="T267" s="112"/>
      <c r="U267" s="107"/>
      <c r="V267" s="107"/>
      <c r="W267" s="107"/>
      <c r="X267" s="107"/>
      <c r="Y267" s="107"/>
      <c r="Z267" s="112"/>
      <c r="AA267" s="112"/>
      <c r="AB267" s="112"/>
      <c r="AC267" s="112"/>
      <c r="AD267" s="112"/>
      <c r="AE267" s="112"/>
      <c r="AF267" s="112"/>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124"/>
      <c r="BO267" s="124"/>
      <c r="BP267" s="124"/>
      <c r="BQ267" s="124"/>
      <c r="BR267" s="124"/>
      <c r="BS267" s="124"/>
      <c r="BT267" s="124"/>
      <c r="BU267" s="124"/>
      <c r="BV267" s="124"/>
      <c r="BW267" s="124"/>
      <c r="BX267" s="124"/>
      <c r="BY267" s="124"/>
      <c r="BZ267" s="124"/>
      <c r="CA267" s="124"/>
    </row>
    <row r="268">
      <c r="D268" s="143"/>
      <c r="E268" s="112"/>
      <c r="F268" s="112"/>
      <c r="G268" s="112"/>
      <c r="H268" s="112"/>
      <c r="I268" s="112"/>
      <c r="J268" s="112"/>
      <c r="K268" s="112"/>
      <c r="L268" s="112"/>
      <c r="M268" s="112"/>
      <c r="N268" s="112"/>
      <c r="O268" s="112"/>
      <c r="P268" s="112"/>
      <c r="Q268" s="112"/>
      <c r="R268" s="112"/>
      <c r="S268" s="112"/>
      <c r="T268" s="112"/>
      <c r="U268" s="107"/>
      <c r="V268" s="107"/>
      <c r="W268" s="107"/>
      <c r="X268" s="107"/>
      <c r="Y268" s="107"/>
      <c r="Z268" s="112"/>
      <c r="AA268" s="112"/>
      <c r="AB268" s="112"/>
      <c r="AC268" s="112"/>
      <c r="AD268" s="112"/>
      <c r="AE268" s="112"/>
      <c r="AF268" s="112"/>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c r="BK268" s="124"/>
      <c r="BL268" s="124"/>
      <c r="BM268" s="124"/>
      <c r="BN268" s="124"/>
      <c r="BO268" s="124"/>
      <c r="BP268" s="124"/>
      <c r="BQ268" s="124"/>
      <c r="BR268" s="124"/>
      <c r="BS268" s="124"/>
      <c r="BT268" s="124"/>
      <c r="BU268" s="124"/>
      <c r="BV268" s="124"/>
      <c r="BW268" s="124"/>
      <c r="BX268" s="124"/>
      <c r="BY268" s="124"/>
      <c r="BZ268" s="124"/>
      <c r="CA268" s="124"/>
    </row>
    <row r="269">
      <c r="D269" s="143"/>
      <c r="E269" s="112"/>
      <c r="F269" s="112"/>
      <c r="G269" s="112"/>
      <c r="H269" s="112"/>
      <c r="I269" s="112"/>
      <c r="J269" s="112"/>
      <c r="K269" s="112"/>
      <c r="L269" s="112"/>
      <c r="M269" s="112"/>
      <c r="N269" s="112"/>
      <c r="O269" s="112"/>
      <c r="P269" s="112"/>
      <c r="Q269" s="112"/>
      <c r="R269" s="112"/>
      <c r="S269" s="112"/>
      <c r="T269" s="112"/>
      <c r="U269" s="107"/>
      <c r="V269" s="107"/>
      <c r="W269" s="107"/>
      <c r="X269" s="107"/>
      <c r="Y269" s="107"/>
      <c r="Z269" s="112"/>
      <c r="AA269" s="112"/>
      <c r="AB269" s="112"/>
      <c r="AC269" s="112"/>
      <c r="AD269" s="112"/>
      <c r="AE269" s="112"/>
      <c r="AF269" s="112"/>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c r="BK269" s="124"/>
      <c r="BL269" s="124"/>
      <c r="BM269" s="124"/>
      <c r="BN269" s="124"/>
      <c r="BO269" s="124"/>
      <c r="BP269" s="124"/>
      <c r="BQ269" s="124"/>
      <c r="BR269" s="124"/>
      <c r="BS269" s="124"/>
      <c r="BT269" s="124"/>
      <c r="BU269" s="124"/>
      <c r="BV269" s="124"/>
      <c r="BW269" s="124"/>
      <c r="BX269" s="124"/>
      <c r="BY269" s="124"/>
      <c r="BZ269" s="124"/>
      <c r="CA269" s="124"/>
    </row>
    <row r="270">
      <c r="D270" s="143"/>
      <c r="E270" s="112"/>
      <c r="F270" s="112"/>
      <c r="G270" s="112"/>
      <c r="H270" s="112"/>
      <c r="I270" s="112"/>
      <c r="J270" s="112"/>
      <c r="K270" s="112"/>
      <c r="L270" s="112"/>
      <c r="M270" s="112"/>
      <c r="N270" s="112"/>
      <c r="O270" s="112"/>
      <c r="P270" s="112"/>
      <c r="Q270" s="112"/>
      <c r="R270" s="112"/>
      <c r="S270" s="112"/>
      <c r="T270" s="112"/>
      <c r="U270" s="107"/>
      <c r="V270" s="107"/>
      <c r="W270" s="107"/>
      <c r="X270" s="107"/>
      <c r="Y270" s="107"/>
      <c r="Z270" s="112"/>
      <c r="AA270" s="112"/>
      <c r="AB270" s="112"/>
      <c r="AC270" s="112"/>
      <c r="AD270" s="112"/>
      <c r="AE270" s="112"/>
      <c r="AF270" s="112"/>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c r="BK270" s="124"/>
      <c r="BL270" s="124"/>
      <c r="BM270" s="124"/>
      <c r="BN270" s="124"/>
      <c r="BO270" s="124"/>
      <c r="BP270" s="124"/>
      <c r="BQ270" s="124"/>
      <c r="BR270" s="124"/>
      <c r="BS270" s="124"/>
      <c r="BT270" s="124"/>
      <c r="BU270" s="124"/>
      <c r="BV270" s="124"/>
      <c r="BW270" s="124"/>
      <c r="BX270" s="124"/>
      <c r="BY270" s="124"/>
      <c r="BZ270" s="124"/>
      <c r="CA270" s="124"/>
    </row>
    <row r="271">
      <c r="D271" s="143"/>
      <c r="E271" s="112"/>
      <c r="F271" s="112"/>
      <c r="G271" s="112"/>
      <c r="H271" s="112"/>
      <c r="I271" s="112"/>
      <c r="J271" s="112"/>
      <c r="K271" s="112"/>
      <c r="L271" s="112"/>
      <c r="M271" s="112"/>
      <c r="N271" s="112"/>
      <c r="O271" s="112"/>
      <c r="P271" s="112"/>
      <c r="Q271" s="112"/>
      <c r="R271" s="112"/>
      <c r="S271" s="112"/>
      <c r="T271" s="112"/>
      <c r="U271" s="107"/>
      <c r="V271" s="107"/>
      <c r="W271" s="107"/>
      <c r="X271" s="107"/>
      <c r="Y271" s="107"/>
      <c r="Z271" s="112"/>
      <c r="AA271" s="112"/>
      <c r="AB271" s="112"/>
      <c r="AC271" s="112"/>
      <c r="AD271" s="112"/>
      <c r="AE271" s="112"/>
      <c r="AF271" s="112"/>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row>
    <row r="272">
      <c r="D272" s="143"/>
      <c r="E272" s="112"/>
      <c r="F272" s="112"/>
      <c r="G272" s="112"/>
      <c r="H272" s="112"/>
      <c r="I272" s="112"/>
      <c r="J272" s="112"/>
      <c r="K272" s="112"/>
      <c r="L272" s="112"/>
      <c r="M272" s="112"/>
      <c r="N272" s="112"/>
      <c r="O272" s="112"/>
      <c r="P272" s="112"/>
      <c r="Q272" s="112"/>
      <c r="R272" s="112"/>
      <c r="S272" s="112"/>
      <c r="T272" s="112"/>
      <c r="U272" s="107"/>
      <c r="V272" s="107"/>
      <c r="W272" s="107"/>
      <c r="X272" s="107"/>
      <c r="Y272" s="107"/>
      <c r="Z272" s="112"/>
      <c r="AA272" s="112"/>
      <c r="AB272" s="112"/>
      <c r="AC272" s="112"/>
      <c r="AD272" s="112"/>
      <c r="AE272" s="112"/>
      <c r="AF272" s="112"/>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c r="BX272" s="124"/>
      <c r="BY272" s="124"/>
      <c r="BZ272" s="124"/>
      <c r="CA272" s="124"/>
    </row>
    <row r="273">
      <c r="D273" s="143"/>
      <c r="E273" s="112"/>
      <c r="F273" s="112"/>
      <c r="G273" s="112"/>
      <c r="H273" s="112"/>
      <c r="I273" s="112"/>
      <c r="J273" s="112"/>
      <c r="K273" s="112"/>
      <c r="L273" s="112"/>
      <c r="M273" s="112"/>
      <c r="N273" s="112"/>
      <c r="O273" s="112"/>
      <c r="P273" s="112"/>
      <c r="Q273" s="112"/>
      <c r="R273" s="112"/>
      <c r="S273" s="112"/>
      <c r="T273" s="112"/>
      <c r="U273" s="107"/>
      <c r="V273" s="107"/>
      <c r="W273" s="107"/>
      <c r="X273" s="107"/>
      <c r="Y273" s="107"/>
      <c r="Z273" s="112"/>
      <c r="AA273" s="112"/>
      <c r="AB273" s="112"/>
      <c r="AC273" s="112"/>
      <c r="AD273" s="112"/>
      <c r="AE273" s="112"/>
      <c r="AF273" s="112"/>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row>
    <row r="274">
      <c r="D274" s="143"/>
      <c r="E274" s="112"/>
      <c r="F274" s="112"/>
      <c r="G274" s="112"/>
      <c r="H274" s="112"/>
      <c r="I274" s="112"/>
      <c r="J274" s="112"/>
      <c r="K274" s="112"/>
      <c r="L274" s="112"/>
      <c r="M274" s="112"/>
      <c r="N274" s="112"/>
      <c r="O274" s="112"/>
      <c r="P274" s="112"/>
      <c r="Q274" s="112"/>
      <c r="R274" s="112"/>
      <c r="S274" s="112"/>
      <c r="T274" s="112"/>
      <c r="U274" s="107"/>
      <c r="V274" s="107"/>
      <c r="W274" s="107"/>
      <c r="X274" s="107"/>
      <c r="Y274" s="107"/>
      <c r="Z274" s="112"/>
      <c r="AA274" s="112"/>
      <c r="AB274" s="112"/>
      <c r="AC274" s="112"/>
      <c r="AD274" s="112"/>
      <c r="AE274" s="112"/>
      <c r="AF274" s="112"/>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c r="BK274" s="124"/>
      <c r="BL274" s="124"/>
      <c r="BM274" s="124"/>
      <c r="BN274" s="124"/>
      <c r="BO274" s="124"/>
      <c r="BP274" s="124"/>
      <c r="BQ274" s="124"/>
      <c r="BR274" s="124"/>
      <c r="BS274" s="124"/>
      <c r="BT274" s="124"/>
      <c r="BU274" s="124"/>
      <c r="BV274" s="124"/>
      <c r="BW274" s="124"/>
      <c r="BX274" s="124"/>
      <c r="BY274" s="124"/>
      <c r="BZ274" s="124"/>
      <c r="CA274" s="124"/>
    </row>
    <row r="275">
      <c r="D275" s="143"/>
      <c r="E275" s="112"/>
      <c r="F275" s="112"/>
      <c r="G275" s="112"/>
      <c r="H275" s="112"/>
      <c r="I275" s="112"/>
      <c r="J275" s="112"/>
      <c r="K275" s="112"/>
      <c r="L275" s="112"/>
      <c r="M275" s="112"/>
      <c r="N275" s="112"/>
      <c r="O275" s="112"/>
      <c r="P275" s="112"/>
      <c r="Q275" s="112"/>
      <c r="R275" s="112"/>
      <c r="S275" s="112"/>
      <c r="T275" s="112"/>
      <c r="U275" s="107"/>
      <c r="V275" s="107"/>
      <c r="W275" s="107"/>
      <c r="X275" s="107"/>
      <c r="Y275" s="107"/>
      <c r="Z275" s="112"/>
      <c r="AA275" s="112"/>
      <c r="AB275" s="112"/>
      <c r="AC275" s="112"/>
      <c r="AD275" s="112"/>
      <c r="AE275" s="112"/>
      <c r="AF275" s="112"/>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c r="BK275" s="124"/>
      <c r="BL275" s="124"/>
      <c r="BM275" s="124"/>
      <c r="BN275" s="124"/>
      <c r="BO275" s="124"/>
      <c r="BP275" s="124"/>
      <c r="BQ275" s="124"/>
      <c r="BR275" s="124"/>
      <c r="BS275" s="124"/>
      <c r="BT275" s="124"/>
      <c r="BU275" s="124"/>
      <c r="BV275" s="124"/>
      <c r="BW275" s="124"/>
      <c r="BX275" s="124"/>
      <c r="BY275" s="124"/>
      <c r="BZ275" s="124"/>
      <c r="CA275" s="124"/>
    </row>
    <row r="276">
      <c r="D276" s="143"/>
      <c r="E276" s="112"/>
      <c r="F276" s="112"/>
      <c r="G276" s="112"/>
      <c r="H276" s="112"/>
      <c r="I276" s="112"/>
      <c r="J276" s="112"/>
      <c r="K276" s="112"/>
      <c r="L276" s="112"/>
      <c r="M276" s="112"/>
      <c r="N276" s="112"/>
      <c r="O276" s="112"/>
      <c r="P276" s="112"/>
      <c r="Q276" s="112"/>
      <c r="R276" s="112"/>
      <c r="S276" s="112"/>
      <c r="T276" s="112"/>
      <c r="U276" s="107"/>
      <c r="V276" s="107"/>
      <c r="W276" s="107"/>
      <c r="X276" s="107"/>
      <c r="Y276" s="107"/>
      <c r="Z276" s="112"/>
      <c r="AA276" s="112"/>
      <c r="AB276" s="112"/>
      <c r="AC276" s="112"/>
      <c r="AD276" s="112"/>
      <c r="AE276" s="112"/>
      <c r="AF276" s="112"/>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c r="BK276" s="124"/>
      <c r="BL276" s="124"/>
      <c r="BM276" s="124"/>
      <c r="BN276" s="124"/>
      <c r="BO276" s="124"/>
      <c r="BP276" s="124"/>
      <c r="BQ276" s="124"/>
      <c r="BR276" s="124"/>
      <c r="BS276" s="124"/>
      <c r="BT276" s="124"/>
      <c r="BU276" s="124"/>
      <c r="BV276" s="124"/>
      <c r="BW276" s="124"/>
      <c r="BX276" s="124"/>
      <c r="BY276" s="124"/>
      <c r="BZ276" s="124"/>
      <c r="CA276" s="124"/>
    </row>
    <row r="277">
      <c r="D277" s="143"/>
      <c r="E277" s="112"/>
      <c r="F277" s="112"/>
      <c r="G277" s="112"/>
      <c r="H277" s="112"/>
      <c r="I277" s="112"/>
      <c r="J277" s="112"/>
      <c r="K277" s="112"/>
      <c r="L277" s="112"/>
      <c r="M277" s="112"/>
      <c r="N277" s="112"/>
      <c r="O277" s="112"/>
      <c r="P277" s="112"/>
      <c r="Q277" s="112"/>
      <c r="R277" s="112"/>
      <c r="S277" s="112"/>
      <c r="T277" s="112"/>
      <c r="U277" s="107"/>
      <c r="V277" s="107"/>
      <c r="W277" s="107"/>
      <c r="X277" s="107"/>
      <c r="Y277" s="107"/>
      <c r="Z277" s="112"/>
      <c r="AA277" s="112"/>
      <c r="AB277" s="112"/>
      <c r="AC277" s="112"/>
      <c r="AD277" s="112"/>
      <c r="AE277" s="112"/>
      <c r="AF277" s="112"/>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row>
    <row r="278">
      <c r="D278" s="143"/>
      <c r="E278" s="112"/>
      <c r="F278" s="112"/>
      <c r="G278" s="112"/>
      <c r="H278" s="112"/>
      <c r="I278" s="112"/>
      <c r="J278" s="112"/>
      <c r="K278" s="112"/>
      <c r="L278" s="112"/>
      <c r="M278" s="112"/>
      <c r="N278" s="112"/>
      <c r="O278" s="112"/>
      <c r="P278" s="112"/>
      <c r="Q278" s="112"/>
      <c r="R278" s="112"/>
      <c r="S278" s="112"/>
      <c r="T278" s="112"/>
      <c r="U278" s="107"/>
      <c r="V278" s="107"/>
      <c r="W278" s="107"/>
      <c r="X278" s="107"/>
      <c r="Y278" s="107"/>
      <c r="Z278" s="112"/>
      <c r="AA278" s="112"/>
      <c r="AB278" s="112"/>
      <c r="AC278" s="112"/>
      <c r="AD278" s="112"/>
      <c r="AE278" s="112"/>
      <c r="AF278" s="112"/>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c r="BK278" s="124"/>
      <c r="BL278" s="124"/>
      <c r="BM278" s="124"/>
      <c r="BN278" s="124"/>
      <c r="BO278" s="124"/>
      <c r="BP278" s="124"/>
      <c r="BQ278" s="124"/>
      <c r="BR278" s="124"/>
      <c r="BS278" s="124"/>
      <c r="BT278" s="124"/>
      <c r="BU278" s="124"/>
      <c r="BV278" s="124"/>
      <c r="BW278" s="124"/>
      <c r="BX278" s="124"/>
      <c r="BY278" s="124"/>
      <c r="BZ278" s="124"/>
      <c r="CA278" s="124"/>
    </row>
    <row r="279">
      <c r="D279" s="143"/>
      <c r="E279" s="112"/>
      <c r="F279" s="112"/>
      <c r="G279" s="112"/>
      <c r="H279" s="112"/>
      <c r="I279" s="112"/>
      <c r="J279" s="112"/>
      <c r="K279" s="112"/>
      <c r="L279" s="112"/>
      <c r="M279" s="112"/>
      <c r="N279" s="112"/>
      <c r="O279" s="112"/>
      <c r="P279" s="112"/>
      <c r="Q279" s="112"/>
      <c r="R279" s="112"/>
      <c r="S279" s="112"/>
      <c r="T279" s="112"/>
      <c r="U279" s="107"/>
      <c r="V279" s="107"/>
      <c r="W279" s="107"/>
      <c r="X279" s="107"/>
      <c r="Y279" s="107"/>
      <c r="Z279" s="112"/>
      <c r="AA279" s="112"/>
      <c r="AB279" s="112"/>
      <c r="AC279" s="112"/>
      <c r="AD279" s="112"/>
      <c r="AE279" s="112"/>
      <c r="AF279" s="112"/>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124"/>
      <c r="BO279" s="124"/>
      <c r="BP279" s="124"/>
      <c r="BQ279" s="124"/>
      <c r="BR279" s="124"/>
      <c r="BS279" s="124"/>
      <c r="BT279" s="124"/>
      <c r="BU279" s="124"/>
      <c r="BV279" s="124"/>
      <c r="BW279" s="124"/>
      <c r="BX279" s="124"/>
      <c r="BY279" s="124"/>
      <c r="BZ279" s="124"/>
      <c r="CA279" s="124"/>
    </row>
    <row r="280">
      <c r="D280" s="143"/>
      <c r="E280" s="112"/>
      <c r="F280" s="112"/>
      <c r="G280" s="112"/>
      <c r="H280" s="112"/>
      <c r="I280" s="112"/>
      <c r="J280" s="112"/>
      <c r="K280" s="112"/>
      <c r="L280" s="112"/>
      <c r="M280" s="112"/>
      <c r="N280" s="112"/>
      <c r="O280" s="112"/>
      <c r="P280" s="112"/>
      <c r="Q280" s="112"/>
      <c r="R280" s="112"/>
      <c r="S280" s="112"/>
      <c r="T280" s="112"/>
      <c r="U280" s="107"/>
      <c r="V280" s="107"/>
      <c r="W280" s="107"/>
      <c r="X280" s="107"/>
      <c r="Y280" s="107"/>
      <c r="Z280" s="112"/>
      <c r="AA280" s="112"/>
      <c r="AB280" s="112"/>
      <c r="AC280" s="112"/>
      <c r="AD280" s="112"/>
      <c r="AE280" s="112"/>
      <c r="AF280" s="112"/>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c r="BK280" s="124"/>
      <c r="BL280" s="124"/>
      <c r="BM280" s="124"/>
      <c r="BN280" s="124"/>
      <c r="BO280" s="124"/>
      <c r="BP280" s="124"/>
      <c r="BQ280" s="124"/>
      <c r="BR280" s="124"/>
      <c r="BS280" s="124"/>
      <c r="BT280" s="124"/>
      <c r="BU280" s="124"/>
      <c r="BV280" s="124"/>
      <c r="BW280" s="124"/>
      <c r="BX280" s="124"/>
      <c r="BY280" s="124"/>
      <c r="BZ280" s="124"/>
      <c r="CA280" s="124"/>
    </row>
    <row r="281">
      <c r="D281" s="143"/>
      <c r="E281" s="112"/>
      <c r="F281" s="112"/>
      <c r="G281" s="112"/>
      <c r="H281" s="112"/>
      <c r="I281" s="112"/>
      <c r="J281" s="112"/>
      <c r="K281" s="112"/>
      <c r="L281" s="112"/>
      <c r="M281" s="112"/>
      <c r="N281" s="112"/>
      <c r="O281" s="112"/>
      <c r="P281" s="112"/>
      <c r="Q281" s="112"/>
      <c r="R281" s="112"/>
      <c r="S281" s="112"/>
      <c r="T281" s="112"/>
      <c r="U281" s="107"/>
      <c r="V281" s="107"/>
      <c r="W281" s="107"/>
      <c r="X281" s="107"/>
      <c r="Y281" s="107"/>
      <c r="Z281" s="112"/>
      <c r="AA281" s="112"/>
      <c r="AB281" s="112"/>
      <c r="AC281" s="112"/>
      <c r="AD281" s="112"/>
      <c r="AE281" s="112"/>
      <c r="AF281" s="112"/>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4"/>
      <c r="BV281" s="124"/>
      <c r="BW281" s="124"/>
      <c r="BX281" s="124"/>
      <c r="BY281" s="124"/>
      <c r="BZ281" s="124"/>
      <c r="CA281" s="124"/>
    </row>
    <row r="282">
      <c r="D282" s="143"/>
      <c r="E282" s="112"/>
      <c r="F282" s="112"/>
      <c r="G282" s="112"/>
      <c r="H282" s="112"/>
      <c r="I282" s="112"/>
      <c r="J282" s="112"/>
      <c r="K282" s="112"/>
      <c r="L282" s="112"/>
      <c r="M282" s="112"/>
      <c r="N282" s="112"/>
      <c r="O282" s="112"/>
      <c r="P282" s="112"/>
      <c r="Q282" s="112"/>
      <c r="R282" s="112"/>
      <c r="S282" s="112"/>
      <c r="T282" s="112"/>
      <c r="U282" s="107"/>
      <c r="V282" s="107"/>
      <c r="W282" s="107"/>
      <c r="X282" s="107"/>
      <c r="Y282" s="107"/>
      <c r="Z282" s="112"/>
      <c r="AA282" s="112"/>
      <c r="AB282" s="112"/>
      <c r="AC282" s="112"/>
      <c r="AD282" s="112"/>
      <c r="AE282" s="112"/>
      <c r="AF282" s="112"/>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124"/>
      <c r="BO282" s="124"/>
      <c r="BP282" s="124"/>
      <c r="BQ282" s="124"/>
      <c r="BR282" s="124"/>
      <c r="BS282" s="124"/>
      <c r="BT282" s="124"/>
      <c r="BU282" s="124"/>
      <c r="BV282" s="124"/>
      <c r="BW282" s="124"/>
      <c r="BX282" s="124"/>
      <c r="BY282" s="124"/>
      <c r="BZ282" s="124"/>
      <c r="CA282" s="124"/>
    </row>
    <row r="283">
      <c r="D283" s="143"/>
      <c r="E283" s="112"/>
      <c r="F283" s="112"/>
      <c r="G283" s="112"/>
      <c r="H283" s="112"/>
      <c r="I283" s="112"/>
      <c r="J283" s="112"/>
      <c r="K283" s="112"/>
      <c r="L283" s="112"/>
      <c r="M283" s="112"/>
      <c r="N283" s="112"/>
      <c r="O283" s="112"/>
      <c r="P283" s="112"/>
      <c r="Q283" s="112"/>
      <c r="R283" s="112"/>
      <c r="S283" s="112"/>
      <c r="T283" s="112"/>
      <c r="U283" s="107"/>
      <c r="V283" s="107"/>
      <c r="W283" s="107"/>
      <c r="X283" s="107"/>
      <c r="Y283" s="107"/>
      <c r="Z283" s="112"/>
      <c r="AA283" s="112"/>
      <c r="AB283" s="112"/>
      <c r="AC283" s="112"/>
      <c r="AD283" s="112"/>
      <c r="AE283" s="112"/>
      <c r="AF283" s="112"/>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4"/>
      <c r="BR283" s="124"/>
      <c r="BS283" s="124"/>
      <c r="BT283" s="124"/>
      <c r="BU283" s="124"/>
      <c r="BV283" s="124"/>
      <c r="BW283" s="124"/>
      <c r="BX283" s="124"/>
      <c r="BY283" s="124"/>
      <c r="BZ283" s="124"/>
      <c r="CA283" s="124"/>
    </row>
    <row r="284">
      <c r="D284" s="143"/>
      <c r="E284" s="112"/>
      <c r="F284" s="112"/>
      <c r="G284" s="112"/>
      <c r="H284" s="112"/>
      <c r="I284" s="112"/>
      <c r="J284" s="112"/>
      <c r="K284" s="112"/>
      <c r="L284" s="112"/>
      <c r="M284" s="112"/>
      <c r="N284" s="112"/>
      <c r="O284" s="112"/>
      <c r="P284" s="112"/>
      <c r="Q284" s="112"/>
      <c r="R284" s="112"/>
      <c r="S284" s="112"/>
      <c r="T284" s="112"/>
      <c r="U284" s="107"/>
      <c r="V284" s="107"/>
      <c r="W284" s="107"/>
      <c r="X284" s="107"/>
      <c r="Y284" s="107"/>
      <c r="Z284" s="112"/>
      <c r="AA284" s="112"/>
      <c r="AB284" s="112"/>
      <c r="AC284" s="112"/>
      <c r="AD284" s="112"/>
      <c r="AE284" s="112"/>
      <c r="AF284" s="112"/>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row>
    <row r="285">
      <c r="D285" s="143"/>
      <c r="E285" s="112"/>
      <c r="F285" s="112"/>
      <c r="G285" s="112"/>
      <c r="H285" s="112"/>
      <c r="I285" s="112"/>
      <c r="J285" s="112"/>
      <c r="K285" s="112"/>
      <c r="L285" s="112"/>
      <c r="M285" s="112"/>
      <c r="N285" s="112"/>
      <c r="O285" s="112"/>
      <c r="P285" s="112"/>
      <c r="Q285" s="112"/>
      <c r="R285" s="112"/>
      <c r="S285" s="112"/>
      <c r="T285" s="112"/>
      <c r="U285" s="107"/>
      <c r="V285" s="107"/>
      <c r="W285" s="107"/>
      <c r="X285" s="107"/>
      <c r="Y285" s="107"/>
      <c r="Z285" s="112"/>
      <c r="AA285" s="112"/>
      <c r="AB285" s="112"/>
      <c r="AC285" s="112"/>
      <c r="AD285" s="112"/>
      <c r="AE285" s="112"/>
      <c r="AF285" s="112"/>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row>
    <row r="286">
      <c r="D286" s="143"/>
      <c r="E286" s="112"/>
      <c r="F286" s="112"/>
      <c r="G286" s="112"/>
      <c r="H286" s="112"/>
      <c r="I286" s="112"/>
      <c r="J286" s="112"/>
      <c r="K286" s="112"/>
      <c r="L286" s="112"/>
      <c r="M286" s="112"/>
      <c r="N286" s="112"/>
      <c r="O286" s="112"/>
      <c r="P286" s="112"/>
      <c r="Q286" s="112"/>
      <c r="R286" s="112"/>
      <c r="S286" s="112"/>
      <c r="T286" s="112"/>
      <c r="U286" s="107"/>
      <c r="V286" s="107"/>
      <c r="W286" s="107"/>
      <c r="X286" s="107"/>
      <c r="Y286" s="107"/>
      <c r="Z286" s="112"/>
      <c r="AA286" s="112"/>
      <c r="AB286" s="112"/>
      <c r="AC286" s="112"/>
      <c r="AD286" s="112"/>
      <c r="AE286" s="112"/>
      <c r="AF286" s="112"/>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row>
    <row r="287">
      <c r="D287" s="143"/>
      <c r="E287" s="112"/>
      <c r="F287" s="112"/>
      <c r="G287" s="112"/>
      <c r="H287" s="112"/>
      <c r="I287" s="112"/>
      <c r="J287" s="112"/>
      <c r="K287" s="112"/>
      <c r="L287" s="112"/>
      <c r="M287" s="112"/>
      <c r="N287" s="112"/>
      <c r="O287" s="112"/>
      <c r="P287" s="112"/>
      <c r="Q287" s="112"/>
      <c r="R287" s="112"/>
      <c r="S287" s="112"/>
      <c r="T287" s="112"/>
      <c r="U287" s="107"/>
      <c r="V287" s="107"/>
      <c r="W287" s="107"/>
      <c r="X287" s="107"/>
      <c r="Y287" s="107"/>
      <c r="Z287" s="112"/>
      <c r="AA287" s="112"/>
      <c r="AB287" s="112"/>
      <c r="AC287" s="112"/>
      <c r="AD287" s="112"/>
      <c r="AE287" s="112"/>
      <c r="AF287" s="112"/>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c r="BK287" s="124"/>
      <c r="BL287" s="124"/>
      <c r="BM287" s="124"/>
      <c r="BN287" s="124"/>
      <c r="BO287" s="124"/>
      <c r="BP287" s="124"/>
      <c r="BQ287" s="124"/>
      <c r="BR287" s="124"/>
      <c r="BS287" s="124"/>
      <c r="BT287" s="124"/>
      <c r="BU287" s="124"/>
      <c r="BV287" s="124"/>
      <c r="BW287" s="124"/>
      <c r="BX287" s="124"/>
      <c r="BY287" s="124"/>
      <c r="BZ287" s="124"/>
      <c r="CA287" s="124"/>
    </row>
    <row r="288">
      <c r="D288" s="143"/>
      <c r="E288" s="112"/>
      <c r="F288" s="112"/>
      <c r="G288" s="112"/>
      <c r="H288" s="112"/>
      <c r="I288" s="112"/>
      <c r="J288" s="112"/>
      <c r="K288" s="112"/>
      <c r="L288" s="112"/>
      <c r="M288" s="112"/>
      <c r="N288" s="112"/>
      <c r="O288" s="112"/>
      <c r="P288" s="112"/>
      <c r="Q288" s="112"/>
      <c r="R288" s="112"/>
      <c r="S288" s="112"/>
      <c r="T288" s="112"/>
      <c r="U288" s="107"/>
      <c r="V288" s="107"/>
      <c r="W288" s="107"/>
      <c r="X288" s="107"/>
      <c r="Y288" s="107"/>
      <c r="Z288" s="112"/>
      <c r="AA288" s="112"/>
      <c r="AB288" s="112"/>
      <c r="AC288" s="112"/>
      <c r="AD288" s="112"/>
      <c r="AE288" s="112"/>
      <c r="AF288" s="112"/>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row>
    <row r="289">
      <c r="D289" s="143"/>
      <c r="E289" s="112"/>
      <c r="F289" s="112"/>
      <c r="G289" s="112"/>
      <c r="H289" s="112"/>
      <c r="I289" s="112"/>
      <c r="J289" s="112"/>
      <c r="K289" s="112"/>
      <c r="L289" s="112"/>
      <c r="M289" s="112"/>
      <c r="N289" s="112"/>
      <c r="O289" s="112"/>
      <c r="P289" s="112"/>
      <c r="Q289" s="112"/>
      <c r="R289" s="112"/>
      <c r="S289" s="112"/>
      <c r="T289" s="112"/>
      <c r="U289" s="107"/>
      <c r="V289" s="107"/>
      <c r="W289" s="107"/>
      <c r="X289" s="107"/>
      <c r="Y289" s="107"/>
      <c r="Z289" s="112"/>
      <c r="AA289" s="112"/>
      <c r="AB289" s="112"/>
      <c r="AC289" s="112"/>
      <c r="AD289" s="112"/>
      <c r="AE289" s="112"/>
      <c r="AF289" s="112"/>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row>
    <row r="290">
      <c r="D290" s="143"/>
      <c r="E290" s="112"/>
      <c r="F290" s="112"/>
      <c r="G290" s="112"/>
      <c r="H290" s="112"/>
      <c r="I290" s="112"/>
      <c r="J290" s="112"/>
      <c r="K290" s="112"/>
      <c r="L290" s="112"/>
      <c r="M290" s="112"/>
      <c r="N290" s="112"/>
      <c r="O290" s="112"/>
      <c r="P290" s="112"/>
      <c r="Q290" s="112"/>
      <c r="R290" s="112"/>
      <c r="S290" s="112"/>
      <c r="T290" s="112"/>
      <c r="U290" s="107"/>
      <c r="V290" s="107"/>
      <c r="W290" s="107"/>
      <c r="X290" s="107"/>
      <c r="Y290" s="107"/>
      <c r="Z290" s="112"/>
      <c r="AA290" s="112"/>
      <c r="AB290" s="112"/>
      <c r="AC290" s="112"/>
      <c r="AD290" s="112"/>
      <c r="AE290" s="112"/>
      <c r="AF290" s="112"/>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row>
    <row r="291">
      <c r="D291" s="143"/>
      <c r="E291" s="112"/>
      <c r="F291" s="112"/>
      <c r="G291" s="112"/>
      <c r="H291" s="112"/>
      <c r="I291" s="112"/>
      <c r="J291" s="112"/>
      <c r="K291" s="112"/>
      <c r="L291" s="112"/>
      <c r="M291" s="112"/>
      <c r="N291" s="112"/>
      <c r="O291" s="112"/>
      <c r="P291" s="112"/>
      <c r="Q291" s="112"/>
      <c r="R291" s="112"/>
      <c r="S291" s="112"/>
      <c r="T291" s="112"/>
      <c r="U291" s="107"/>
      <c r="V291" s="107"/>
      <c r="W291" s="107"/>
      <c r="X291" s="107"/>
      <c r="Y291" s="107"/>
      <c r="Z291" s="112"/>
      <c r="AA291" s="112"/>
      <c r="AB291" s="112"/>
      <c r="AC291" s="112"/>
      <c r="AD291" s="112"/>
      <c r="AE291" s="112"/>
      <c r="AF291" s="112"/>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row>
    <row r="292">
      <c r="D292" s="143"/>
      <c r="E292" s="112"/>
      <c r="F292" s="112"/>
      <c r="G292" s="112"/>
      <c r="H292" s="112"/>
      <c r="I292" s="112"/>
      <c r="J292" s="112"/>
      <c r="K292" s="112"/>
      <c r="L292" s="112"/>
      <c r="M292" s="112"/>
      <c r="N292" s="112"/>
      <c r="O292" s="112"/>
      <c r="P292" s="112"/>
      <c r="Q292" s="112"/>
      <c r="R292" s="112"/>
      <c r="S292" s="112"/>
      <c r="T292" s="112"/>
      <c r="U292" s="107"/>
      <c r="V292" s="107"/>
      <c r="W292" s="107"/>
      <c r="X292" s="107"/>
      <c r="Y292" s="107"/>
      <c r="Z292" s="112"/>
      <c r="AA292" s="112"/>
      <c r="AB292" s="112"/>
      <c r="AC292" s="112"/>
      <c r="AD292" s="112"/>
      <c r="AE292" s="112"/>
      <c r="AF292" s="112"/>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c r="BK292" s="124"/>
      <c r="BL292" s="124"/>
      <c r="BM292" s="124"/>
      <c r="BN292" s="124"/>
      <c r="BO292" s="124"/>
      <c r="BP292" s="124"/>
      <c r="BQ292" s="124"/>
      <c r="BR292" s="124"/>
      <c r="BS292" s="124"/>
      <c r="BT292" s="124"/>
      <c r="BU292" s="124"/>
      <c r="BV292" s="124"/>
      <c r="BW292" s="124"/>
      <c r="BX292" s="124"/>
      <c r="BY292" s="124"/>
      <c r="BZ292" s="124"/>
      <c r="CA292" s="124"/>
    </row>
    <row r="293">
      <c r="D293" s="143"/>
      <c r="E293" s="112"/>
      <c r="F293" s="112"/>
      <c r="G293" s="112"/>
      <c r="H293" s="112"/>
      <c r="I293" s="112"/>
      <c r="J293" s="112"/>
      <c r="K293" s="112"/>
      <c r="L293" s="112"/>
      <c r="M293" s="112"/>
      <c r="N293" s="112"/>
      <c r="O293" s="112"/>
      <c r="P293" s="112"/>
      <c r="Q293" s="112"/>
      <c r="R293" s="112"/>
      <c r="S293" s="112"/>
      <c r="T293" s="112"/>
      <c r="U293" s="107"/>
      <c r="V293" s="107"/>
      <c r="W293" s="107"/>
      <c r="X293" s="107"/>
      <c r="Y293" s="107"/>
      <c r="Z293" s="112"/>
      <c r="AA293" s="112"/>
      <c r="AB293" s="112"/>
      <c r="AC293" s="112"/>
      <c r="AD293" s="112"/>
      <c r="AE293" s="112"/>
      <c r="AF293" s="112"/>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124"/>
      <c r="BO293" s="124"/>
      <c r="BP293" s="124"/>
      <c r="BQ293" s="124"/>
      <c r="BR293" s="124"/>
      <c r="BS293" s="124"/>
      <c r="BT293" s="124"/>
      <c r="BU293" s="124"/>
      <c r="BV293" s="124"/>
      <c r="BW293" s="124"/>
      <c r="BX293" s="124"/>
      <c r="BY293" s="124"/>
      <c r="BZ293" s="124"/>
      <c r="CA293" s="124"/>
    </row>
    <row r="294">
      <c r="D294" s="143"/>
      <c r="E294" s="112"/>
      <c r="F294" s="112"/>
      <c r="G294" s="112"/>
      <c r="H294" s="112"/>
      <c r="I294" s="112"/>
      <c r="J294" s="112"/>
      <c r="K294" s="112"/>
      <c r="L294" s="112"/>
      <c r="M294" s="112"/>
      <c r="N294" s="112"/>
      <c r="O294" s="112"/>
      <c r="P294" s="112"/>
      <c r="Q294" s="112"/>
      <c r="R294" s="112"/>
      <c r="S294" s="112"/>
      <c r="T294" s="112"/>
      <c r="U294" s="107"/>
      <c r="V294" s="107"/>
      <c r="W294" s="107"/>
      <c r="X294" s="107"/>
      <c r="Y294" s="107"/>
      <c r="Z294" s="112"/>
      <c r="AA294" s="112"/>
      <c r="AB294" s="112"/>
      <c r="AC294" s="112"/>
      <c r="AD294" s="112"/>
      <c r="AE294" s="112"/>
      <c r="AF294" s="112"/>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124"/>
      <c r="BO294" s="124"/>
      <c r="BP294" s="124"/>
      <c r="BQ294" s="124"/>
      <c r="BR294" s="124"/>
      <c r="BS294" s="124"/>
      <c r="BT294" s="124"/>
      <c r="BU294" s="124"/>
      <c r="BV294" s="124"/>
      <c r="BW294" s="124"/>
      <c r="BX294" s="124"/>
      <c r="BY294" s="124"/>
      <c r="BZ294" s="124"/>
      <c r="CA294" s="124"/>
    </row>
    <row r="295">
      <c r="D295" s="143"/>
      <c r="E295" s="112"/>
      <c r="F295" s="112"/>
      <c r="G295" s="112"/>
      <c r="H295" s="112"/>
      <c r="I295" s="112"/>
      <c r="J295" s="112"/>
      <c r="K295" s="112"/>
      <c r="L295" s="112"/>
      <c r="M295" s="112"/>
      <c r="N295" s="112"/>
      <c r="O295" s="112"/>
      <c r="P295" s="112"/>
      <c r="Q295" s="112"/>
      <c r="R295" s="112"/>
      <c r="S295" s="112"/>
      <c r="T295" s="112"/>
      <c r="U295" s="107"/>
      <c r="V295" s="107"/>
      <c r="W295" s="107"/>
      <c r="X295" s="107"/>
      <c r="Y295" s="107"/>
      <c r="Z295" s="112"/>
      <c r="AA295" s="112"/>
      <c r="AB295" s="112"/>
      <c r="AC295" s="112"/>
      <c r="AD295" s="112"/>
      <c r="AE295" s="112"/>
      <c r="AF295" s="112"/>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row>
    <row r="296">
      <c r="D296" s="143"/>
      <c r="E296" s="112"/>
      <c r="F296" s="112"/>
      <c r="G296" s="112"/>
      <c r="H296" s="112"/>
      <c r="I296" s="112"/>
      <c r="J296" s="112"/>
      <c r="K296" s="112"/>
      <c r="L296" s="112"/>
      <c r="M296" s="112"/>
      <c r="N296" s="112"/>
      <c r="O296" s="112"/>
      <c r="P296" s="112"/>
      <c r="Q296" s="112"/>
      <c r="R296" s="112"/>
      <c r="S296" s="112"/>
      <c r="T296" s="112"/>
      <c r="U296" s="107"/>
      <c r="V296" s="107"/>
      <c r="W296" s="107"/>
      <c r="X296" s="107"/>
      <c r="Y296" s="107"/>
      <c r="Z296" s="112"/>
      <c r="AA296" s="112"/>
      <c r="AB296" s="112"/>
      <c r="AC296" s="112"/>
      <c r="AD296" s="112"/>
      <c r="AE296" s="112"/>
      <c r="AF296" s="112"/>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row>
    <row r="297">
      <c r="D297" s="143"/>
      <c r="E297" s="112"/>
      <c r="F297" s="112"/>
      <c r="G297" s="112"/>
      <c r="H297" s="112"/>
      <c r="I297" s="112"/>
      <c r="J297" s="112"/>
      <c r="K297" s="112"/>
      <c r="L297" s="112"/>
      <c r="M297" s="112"/>
      <c r="N297" s="112"/>
      <c r="O297" s="112"/>
      <c r="P297" s="112"/>
      <c r="Q297" s="112"/>
      <c r="R297" s="112"/>
      <c r="S297" s="112"/>
      <c r="T297" s="112"/>
      <c r="U297" s="107"/>
      <c r="V297" s="107"/>
      <c r="W297" s="107"/>
      <c r="X297" s="107"/>
      <c r="Y297" s="107"/>
      <c r="Z297" s="112"/>
      <c r="AA297" s="112"/>
      <c r="AB297" s="112"/>
      <c r="AC297" s="112"/>
      <c r="AD297" s="112"/>
      <c r="AE297" s="112"/>
      <c r="AF297" s="112"/>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row>
    <row r="298">
      <c r="D298" s="143"/>
      <c r="E298" s="112"/>
      <c r="F298" s="112"/>
      <c r="G298" s="112"/>
      <c r="H298" s="112"/>
      <c r="I298" s="112"/>
      <c r="J298" s="112"/>
      <c r="K298" s="112"/>
      <c r="L298" s="112"/>
      <c r="M298" s="112"/>
      <c r="N298" s="112"/>
      <c r="O298" s="112"/>
      <c r="P298" s="112"/>
      <c r="Q298" s="112"/>
      <c r="R298" s="112"/>
      <c r="S298" s="112"/>
      <c r="T298" s="112"/>
      <c r="U298" s="107"/>
      <c r="V298" s="107"/>
      <c r="W298" s="107"/>
      <c r="X298" s="107"/>
      <c r="Y298" s="107"/>
      <c r="Z298" s="112"/>
      <c r="AA298" s="112"/>
      <c r="AB298" s="112"/>
      <c r="AC298" s="112"/>
      <c r="AD298" s="112"/>
      <c r="AE298" s="112"/>
      <c r="AF298" s="112"/>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c r="BK298" s="124"/>
      <c r="BL298" s="124"/>
      <c r="BM298" s="124"/>
      <c r="BN298" s="124"/>
      <c r="BO298" s="124"/>
      <c r="BP298" s="124"/>
      <c r="BQ298" s="124"/>
      <c r="BR298" s="124"/>
      <c r="BS298" s="124"/>
      <c r="BT298" s="124"/>
      <c r="BU298" s="124"/>
      <c r="BV298" s="124"/>
      <c r="BW298" s="124"/>
      <c r="BX298" s="124"/>
      <c r="BY298" s="124"/>
      <c r="BZ298" s="124"/>
      <c r="CA298" s="124"/>
    </row>
    <row r="299">
      <c r="D299" s="143"/>
      <c r="E299" s="112"/>
      <c r="F299" s="112"/>
      <c r="G299" s="112"/>
      <c r="H299" s="112"/>
      <c r="I299" s="112"/>
      <c r="J299" s="112"/>
      <c r="K299" s="112"/>
      <c r="L299" s="112"/>
      <c r="M299" s="112"/>
      <c r="N299" s="112"/>
      <c r="O299" s="112"/>
      <c r="P299" s="112"/>
      <c r="Q299" s="112"/>
      <c r="R299" s="112"/>
      <c r="S299" s="112"/>
      <c r="T299" s="112"/>
      <c r="U299" s="107"/>
      <c r="V299" s="107"/>
      <c r="W299" s="107"/>
      <c r="X299" s="107"/>
      <c r="Y299" s="107"/>
      <c r="Z299" s="112"/>
      <c r="AA299" s="112"/>
      <c r="AB299" s="112"/>
      <c r="AC299" s="112"/>
      <c r="AD299" s="112"/>
      <c r="AE299" s="112"/>
      <c r="AF299" s="112"/>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c r="BK299" s="124"/>
      <c r="BL299" s="124"/>
      <c r="BM299" s="124"/>
      <c r="BN299" s="124"/>
      <c r="BO299" s="124"/>
      <c r="BP299" s="124"/>
      <c r="BQ299" s="124"/>
      <c r="BR299" s="124"/>
      <c r="BS299" s="124"/>
      <c r="BT299" s="124"/>
      <c r="BU299" s="124"/>
      <c r="BV299" s="124"/>
      <c r="BW299" s="124"/>
      <c r="BX299" s="124"/>
      <c r="BY299" s="124"/>
      <c r="BZ299" s="124"/>
      <c r="CA299" s="124"/>
    </row>
    <row r="300">
      <c r="D300" s="143"/>
      <c r="E300" s="112"/>
      <c r="F300" s="112"/>
      <c r="G300" s="112"/>
      <c r="H300" s="112"/>
      <c r="I300" s="112"/>
      <c r="J300" s="112"/>
      <c r="K300" s="112"/>
      <c r="L300" s="112"/>
      <c r="M300" s="112"/>
      <c r="N300" s="112"/>
      <c r="O300" s="112"/>
      <c r="P300" s="112"/>
      <c r="Q300" s="112"/>
      <c r="R300" s="112"/>
      <c r="S300" s="112"/>
      <c r="T300" s="112"/>
      <c r="U300" s="107"/>
      <c r="V300" s="107"/>
      <c r="W300" s="107"/>
      <c r="X300" s="107"/>
      <c r="Y300" s="107"/>
      <c r="Z300" s="112"/>
      <c r="AA300" s="112"/>
      <c r="AB300" s="112"/>
      <c r="AC300" s="112"/>
      <c r="AD300" s="112"/>
      <c r="AE300" s="112"/>
      <c r="AF300" s="112"/>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row>
    <row r="301">
      <c r="D301" s="143"/>
      <c r="E301" s="112"/>
      <c r="F301" s="112"/>
      <c r="G301" s="112"/>
      <c r="H301" s="112"/>
      <c r="I301" s="112"/>
      <c r="J301" s="112"/>
      <c r="K301" s="112"/>
      <c r="L301" s="112"/>
      <c r="M301" s="112"/>
      <c r="N301" s="112"/>
      <c r="O301" s="112"/>
      <c r="P301" s="112"/>
      <c r="Q301" s="112"/>
      <c r="R301" s="112"/>
      <c r="S301" s="112"/>
      <c r="T301" s="112"/>
      <c r="U301" s="107"/>
      <c r="V301" s="107"/>
      <c r="W301" s="107"/>
      <c r="X301" s="107"/>
      <c r="Y301" s="107"/>
      <c r="Z301" s="112"/>
      <c r="AA301" s="112"/>
      <c r="AB301" s="112"/>
      <c r="AC301" s="112"/>
      <c r="AD301" s="112"/>
      <c r="AE301" s="112"/>
      <c r="AF301" s="112"/>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row>
    <row r="302">
      <c r="D302" s="143"/>
      <c r="E302" s="112"/>
      <c r="F302" s="112"/>
      <c r="G302" s="112"/>
      <c r="H302" s="112"/>
      <c r="I302" s="112"/>
      <c r="J302" s="112"/>
      <c r="K302" s="112"/>
      <c r="L302" s="112"/>
      <c r="M302" s="112"/>
      <c r="N302" s="112"/>
      <c r="O302" s="112"/>
      <c r="P302" s="112"/>
      <c r="Q302" s="112"/>
      <c r="R302" s="112"/>
      <c r="S302" s="112"/>
      <c r="T302" s="112"/>
      <c r="U302" s="107"/>
      <c r="V302" s="107"/>
      <c r="W302" s="107"/>
      <c r="X302" s="107"/>
      <c r="Y302" s="107"/>
      <c r="Z302" s="112"/>
      <c r="AA302" s="112"/>
      <c r="AB302" s="112"/>
      <c r="AC302" s="112"/>
      <c r="AD302" s="112"/>
      <c r="AE302" s="112"/>
      <c r="AF302" s="112"/>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row>
    <row r="303">
      <c r="D303" s="143"/>
      <c r="E303" s="112"/>
      <c r="F303" s="112"/>
      <c r="G303" s="112"/>
      <c r="H303" s="112"/>
      <c r="I303" s="112"/>
      <c r="J303" s="112"/>
      <c r="K303" s="112"/>
      <c r="L303" s="112"/>
      <c r="M303" s="112"/>
      <c r="N303" s="112"/>
      <c r="O303" s="112"/>
      <c r="P303" s="112"/>
      <c r="Q303" s="112"/>
      <c r="R303" s="112"/>
      <c r="S303" s="112"/>
      <c r="T303" s="112"/>
      <c r="U303" s="107"/>
      <c r="V303" s="107"/>
      <c r="W303" s="107"/>
      <c r="X303" s="107"/>
      <c r="Y303" s="107"/>
      <c r="Z303" s="112"/>
      <c r="AA303" s="112"/>
      <c r="AB303" s="112"/>
      <c r="AC303" s="112"/>
      <c r="AD303" s="112"/>
      <c r="AE303" s="112"/>
      <c r="AF303" s="112"/>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row>
    <row r="304">
      <c r="D304" s="143"/>
      <c r="E304" s="112"/>
      <c r="F304" s="112"/>
      <c r="G304" s="112"/>
      <c r="H304" s="112"/>
      <c r="I304" s="112"/>
      <c r="J304" s="112"/>
      <c r="K304" s="112"/>
      <c r="L304" s="112"/>
      <c r="M304" s="112"/>
      <c r="N304" s="112"/>
      <c r="O304" s="112"/>
      <c r="P304" s="112"/>
      <c r="Q304" s="112"/>
      <c r="R304" s="112"/>
      <c r="S304" s="112"/>
      <c r="T304" s="112"/>
      <c r="U304" s="107"/>
      <c r="V304" s="107"/>
      <c r="W304" s="107"/>
      <c r="X304" s="107"/>
      <c r="Y304" s="107"/>
      <c r="Z304" s="112"/>
      <c r="AA304" s="112"/>
      <c r="AB304" s="112"/>
      <c r="AC304" s="112"/>
      <c r="AD304" s="112"/>
      <c r="AE304" s="112"/>
      <c r="AF304" s="112"/>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row>
    <row r="305">
      <c r="D305" s="143"/>
      <c r="E305" s="112"/>
      <c r="F305" s="112"/>
      <c r="G305" s="112"/>
      <c r="H305" s="112"/>
      <c r="I305" s="112"/>
      <c r="J305" s="112"/>
      <c r="K305" s="112"/>
      <c r="L305" s="112"/>
      <c r="M305" s="112"/>
      <c r="N305" s="112"/>
      <c r="O305" s="112"/>
      <c r="P305" s="112"/>
      <c r="Q305" s="112"/>
      <c r="R305" s="112"/>
      <c r="S305" s="112"/>
      <c r="T305" s="112"/>
      <c r="U305" s="107"/>
      <c r="V305" s="107"/>
      <c r="W305" s="107"/>
      <c r="X305" s="107"/>
      <c r="Y305" s="107"/>
      <c r="Z305" s="112"/>
      <c r="AA305" s="112"/>
      <c r="AB305" s="112"/>
      <c r="AC305" s="112"/>
      <c r="AD305" s="112"/>
      <c r="AE305" s="112"/>
      <c r="AF305" s="112"/>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row>
    <row r="306">
      <c r="D306" s="143"/>
      <c r="E306" s="112"/>
      <c r="F306" s="112"/>
      <c r="G306" s="112"/>
      <c r="H306" s="112"/>
      <c r="I306" s="112"/>
      <c r="J306" s="112"/>
      <c r="K306" s="112"/>
      <c r="L306" s="112"/>
      <c r="M306" s="112"/>
      <c r="N306" s="112"/>
      <c r="O306" s="112"/>
      <c r="P306" s="112"/>
      <c r="Q306" s="112"/>
      <c r="R306" s="112"/>
      <c r="S306" s="112"/>
      <c r="T306" s="112"/>
      <c r="U306" s="107"/>
      <c r="V306" s="107"/>
      <c r="W306" s="107"/>
      <c r="X306" s="107"/>
      <c r="Y306" s="107"/>
      <c r="Z306" s="112"/>
      <c r="AA306" s="112"/>
      <c r="AB306" s="112"/>
      <c r="AC306" s="112"/>
      <c r="AD306" s="112"/>
      <c r="AE306" s="112"/>
      <c r="AF306" s="112"/>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row>
    <row r="307">
      <c r="D307" s="143"/>
      <c r="E307" s="112"/>
      <c r="F307" s="112"/>
      <c r="G307" s="112"/>
      <c r="H307" s="112"/>
      <c r="I307" s="112"/>
      <c r="J307" s="112"/>
      <c r="K307" s="112"/>
      <c r="L307" s="112"/>
      <c r="M307" s="112"/>
      <c r="N307" s="112"/>
      <c r="O307" s="112"/>
      <c r="P307" s="112"/>
      <c r="Q307" s="112"/>
      <c r="R307" s="112"/>
      <c r="S307" s="112"/>
      <c r="T307" s="112"/>
      <c r="U307" s="107"/>
      <c r="V307" s="107"/>
      <c r="W307" s="107"/>
      <c r="X307" s="107"/>
      <c r="Y307" s="107"/>
      <c r="Z307" s="112"/>
      <c r="AA307" s="112"/>
      <c r="AB307" s="112"/>
      <c r="AC307" s="112"/>
      <c r="AD307" s="112"/>
      <c r="AE307" s="112"/>
      <c r="AF307" s="112"/>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row>
    <row r="308">
      <c r="D308" s="143"/>
      <c r="E308" s="112"/>
      <c r="F308" s="112"/>
      <c r="G308" s="112"/>
      <c r="H308" s="112"/>
      <c r="I308" s="112"/>
      <c r="J308" s="112"/>
      <c r="K308" s="112"/>
      <c r="L308" s="112"/>
      <c r="M308" s="112"/>
      <c r="N308" s="112"/>
      <c r="O308" s="112"/>
      <c r="P308" s="112"/>
      <c r="Q308" s="112"/>
      <c r="R308" s="112"/>
      <c r="S308" s="112"/>
      <c r="T308" s="112"/>
      <c r="U308" s="107"/>
      <c r="V308" s="107"/>
      <c r="W308" s="107"/>
      <c r="X308" s="107"/>
      <c r="Y308" s="107"/>
      <c r="Z308" s="112"/>
      <c r="AA308" s="112"/>
      <c r="AB308" s="112"/>
      <c r="AC308" s="112"/>
      <c r="AD308" s="112"/>
      <c r="AE308" s="112"/>
      <c r="AF308" s="112"/>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row>
    <row r="309">
      <c r="D309" s="143"/>
      <c r="E309" s="112"/>
      <c r="F309" s="112"/>
      <c r="G309" s="112"/>
      <c r="H309" s="112"/>
      <c r="I309" s="112"/>
      <c r="J309" s="112"/>
      <c r="K309" s="112"/>
      <c r="L309" s="112"/>
      <c r="M309" s="112"/>
      <c r="N309" s="112"/>
      <c r="O309" s="112"/>
      <c r="P309" s="112"/>
      <c r="Q309" s="112"/>
      <c r="R309" s="112"/>
      <c r="S309" s="112"/>
      <c r="T309" s="112"/>
      <c r="U309" s="107"/>
      <c r="V309" s="107"/>
      <c r="W309" s="107"/>
      <c r="X309" s="107"/>
      <c r="Y309" s="107"/>
      <c r="Z309" s="112"/>
      <c r="AA309" s="112"/>
      <c r="AB309" s="112"/>
      <c r="AC309" s="112"/>
      <c r="AD309" s="112"/>
      <c r="AE309" s="112"/>
      <c r="AF309" s="112"/>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row>
    <row r="310">
      <c r="D310" s="143"/>
      <c r="E310" s="112"/>
      <c r="F310" s="112"/>
      <c r="G310" s="112"/>
      <c r="H310" s="112"/>
      <c r="I310" s="112"/>
      <c r="J310" s="112"/>
      <c r="K310" s="112"/>
      <c r="L310" s="112"/>
      <c r="M310" s="112"/>
      <c r="N310" s="112"/>
      <c r="O310" s="112"/>
      <c r="P310" s="112"/>
      <c r="Q310" s="112"/>
      <c r="R310" s="112"/>
      <c r="S310" s="112"/>
      <c r="T310" s="112"/>
      <c r="U310" s="107"/>
      <c r="V310" s="107"/>
      <c r="W310" s="107"/>
      <c r="X310" s="107"/>
      <c r="Y310" s="107"/>
      <c r="Z310" s="112"/>
      <c r="AA310" s="112"/>
      <c r="AB310" s="112"/>
      <c r="AC310" s="112"/>
      <c r="AD310" s="112"/>
      <c r="AE310" s="112"/>
      <c r="AF310" s="112"/>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124"/>
      <c r="BO310" s="124"/>
      <c r="BP310" s="124"/>
      <c r="BQ310" s="124"/>
      <c r="BR310" s="124"/>
      <c r="BS310" s="124"/>
      <c r="BT310" s="124"/>
      <c r="BU310" s="124"/>
      <c r="BV310" s="124"/>
      <c r="BW310" s="124"/>
      <c r="BX310" s="124"/>
      <c r="BY310" s="124"/>
      <c r="BZ310" s="124"/>
      <c r="CA310" s="124"/>
    </row>
    <row r="311">
      <c r="D311" s="143"/>
      <c r="E311" s="112"/>
      <c r="F311" s="112"/>
      <c r="G311" s="112"/>
      <c r="H311" s="112"/>
      <c r="I311" s="112"/>
      <c r="J311" s="112"/>
      <c r="K311" s="112"/>
      <c r="L311" s="112"/>
      <c r="M311" s="112"/>
      <c r="N311" s="112"/>
      <c r="O311" s="112"/>
      <c r="P311" s="112"/>
      <c r="Q311" s="112"/>
      <c r="R311" s="112"/>
      <c r="S311" s="112"/>
      <c r="T311" s="112"/>
      <c r="U311" s="107"/>
      <c r="V311" s="107"/>
      <c r="W311" s="107"/>
      <c r="X311" s="107"/>
      <c r="Y311" s="107"/>
      <c r="Z311" s="112"/>
      <c r="AA311" s="112"/>
      <c r="AB311" s="112"/>
      <c r="AC311" s="112"/>
      <c r="AD311" s="112"/>
      <c r="AE311" s="112"/>
      <c r="AF311" s="112"/>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c r="BK311" s="124"/>
      <c r="BL311" s="124"/>
      <c r="BM311" s="124"/>
      <c r="BN311" s="124"/>
      <c r="BO311" s="124"/>
      <c r="BP311" s="124"/>
      <c r="BQ311" s="124"/>
      <c r="BR311" s="124"/>
      <c r="BS311" s="124"/>
      <c r="BT311" s="124"/>
      <c r="BU311" s="124"/>
      <c r="BV311" s="124"/>
      <c r="BW311" s="124"/>
      <c r="BX311" s="124"/>
      <c r="BY311" s="124"/>
      <c r="BZ311" s="124"/>
      <c r="CA311" s="124"/>
    </row>
    <row r="312">
      <c r="D312" s="143"/>
      <c r="E312" s="112"/>
      <c r="F312" s="112"/>
      <c r="G312" s="112"/>
      <c r="H312" s="112"/>
      <c r="I312" s="112"/>
      <c r="J312" s="112"/>
      <c r="K312" s="112"/>
      <c r="L312" s="112"/>
      <c r="M312" s="112"/>
      <c r="N312" s="112"/>
      <c r="O312" s="112"/>
      <c r="P312" s="112"/>
      <c r="Q312" s="112"/>
      <c r="R312" s="112"/>
      <c r="S312" s="112"/>
      <c r="T312" s="112"/>
      <c r="U312" s="107"/>
      <c r="V312" s="107"/>
      <c r="W312" s="107"/>
      <c r="X312" s="107"/>
      <c r="Y312" s="107"/>
      <c r="Z312" s="112"/>
      <c r="AA312" s="112"/>
      <c r="AB312" s="112"/>
      <c r="AC312" s="112"/>
      <c r="AD312" s="112"/>
      <c r="AE312" s="112"/>
      <c r="AF312" s="112"/>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124"/>
      <c r="BO312" s="124"/>
      <c r="BP312" s="124"/>
      <c r="BQ312" s="124"/>
      <c r="BR312" s="124"/>
      <c r="BS312" s="124"/>
      <c r="BT312" s="124"/>
      <c r="BU312" s="124"/>
      <c r="BV312" s="124"/>
      <c r="BW312" s="124"/>
      <c r="BX312" s="124"/>
      <c r="BY312" s="124"/>
      <c r="BZ312" s="124"/>
      <c r="CA312" s="124"/>
    </row>
    <row r="313">
      <c r="D313" s="143"/>
      <c r="E313" s="112"/>
      <c r="F313" s="112"/>
      <c r="G313" s="112"/>
      <c r="H313" s="112"/>
      <c r="I313" s="112"/>
      <c r="J313" s="112"/>
      <c r="K313" s="112"/>
      <c r="L313" s="112"/>
      <c r="M313" s="112"/>
      <c r="N313" s="112"/>
      <c r="O313" s="112"/>
      <c r="P313" s="112"/>
      <c r="Q313" s="112"/>
      <c r="R313" s="112"/>
      <c r="S313" s="112"/>
      <c r="T313" s="112"/>
      <c r="U313" s="107"/>
      <c r="V313" s="107"/>
      <c r="W313" s="107"/>
      <c r="X313" s="107"/>
      <c r="Y313" s="107"/>
      <c r="Z313" s="112"/>
      <c r="AA313" s="112"/>
      <c r="AB313" s="112"/>
      <c r="AC313" s="112"/>
      <c r="AD313" s="112"/>
      <c r="AE313" s="112"/>
      <c r="AF313" s="112"/>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124"/>
      <c r="BO313" s="124"/>
      <c r="BP313" s="124"/>
      <c r="BQ313" s="124"/>
      <c r="BR313" s="124"/>
      <c r="BS313" s="124"/>
      <c r="BT313" s="124"/>
      <c r="BU313" s="124"/>
      <c r="BV313" s="124"/>
      <c r="BW313" s="124"/>
      <c r="BX313" s="124"/>
      <c r="BY313" s="124"/>
      <c r="BZ313" s="124"/>
      <c r="CA313" s="124"/>
    </row>
    <row r="314">
      <c r="D314" s="143"/>
      <c r="E314" s="112"/>
      <c r="F314" s="112"/>
      <c r="G314" s="112"/>
      <c r="H314" s="112"/>
      <c r="I314" s="112"/>
      <c r="J314" s="112"/>
      <c r="K314" s="112"/>
      <c r="L314" s="112"/>
      <c r="M314" s="112"/>
      <c r="N314" s="112"/>
      <c r="O314" s="112"/>
      <c r="P314" s="112"/>
      <c r="Q314" s="112"/>
      <c r="R314" s="112"/>
      <c r="S314" s="112"/>
      <c r="T314" s="112"/>
      <c r="U314" s="107"/>
      <c r="V314" s="107"/>
      <c r="W314" s="107"/>
      <c r="X314" s="107"/>
      <c r="Y314" s="107"/>
      <c r="Z314" s="112"/>
      <c r="AA314" s="112"/>
      <c r="AB314" s="112"/>
      <c r="AC314" s="112"/>
      <c r="AD314" s="112"/>
      <c r="AE314" s="112"/>
      <c r="AF314" s="112"/>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row>
    <row r="315">
      <c r="D315" s="143"/>
      <c r="E315" s="112"/>
      <c r="F315" s="112"/>
      <c r="G315" s="112"/>
      <c r="H315" s="112"/>
      <c r="I315" s="112"/>
      <c r="J315" s="112"/>
      <c r="K315" s="112"/>
      <c r="L315" s="112"/>
      <c r="M315" s="112"/>
      <c r="N315" s="112"/>
      <c r="O315" s="112"/>
      <c r="P315" s="112"/>
      <c r="Q315" s="112"/>
      <c r="R315" s="112"/>
      <c r="S315" s="112"/>
      <c r="T315" s="112"/>
      <c r="U315" s="107"/>
      <c r="V315" s="107"/>
      <c r="W315" s="107"/>
      <c r="X315" s="107"/>
      <c r="Y315" s="107"/>
      <c r="Z315" s="112"/>
      <c r="AA315" s="112"/>
      <c r="AB315" s="112"/>
      <c r="AC315" s="112"/>
      <c r="AD315" s="112"/>
      <c r="AE315" s="112"/>
      <c r="AF315" s="112"/>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row>
    <row r="316">
      <c r="D316" s="143"/>
      <c r="E316" s="112"/>
      <c r="F316" s="112"/>
      <c r="G316" s="112"/>
      <c r="H316" s="112"/>
      <c r="I316" s="112"/>
      <c r="J316" s="112"/>
      <c r="K316" s="112"/>
      <c r="L316" s="112"/>
      <c r="M316" s="112"/>
      <c r="N316" s="112"/>
      <c r="O316" s="112"/>
      <c r="P316" s="112"/>
      <c r="Q316" s="112"/>
      <c r="R316" s="112"/>
      <c r="S316" s="112"/>
      <c r="T316" s="112"/>
      <c r="U316" s="107"/>
      <c r="V316" s="107"/>
      <c r="W316" s="107"/>
      <c r="X316" s="107"/>
      <c r="Y316" s="107"/>
      <c r="Z316" s="112"/>
      <c r="AA316" s="112"/>
      <c r="AB316" s="112"/>
      <c r="AC316" s="112"/>
      <c r="AD316" s="112"/>
      <c r="AE316" s="112"/>
      <c r="AF316" s="112"/>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124"/>
      <c r="BO316" s="124"/>
      <c r="BP316" s="124"/>
      <c r="BQ316" s="124"/>
      <c r="BR316" s="124"/>
      <c r="BS316" s="124"/>
      <c r="BT316" s="124"/>
      <c r="BU316" s="124"/>
      <c r="BV316" s="124"/>
      <c r="BW316" s="124"/>
      <c r="BX316" s="124"/>
      <c r="BY316" s="124"/>
      <c r="BZ316" s="124"/>
      <c r="CA316" s="124"/>
    </row>
    <row r="317">
      <c r="D317" s="143"/>
      <c r="E317" s="112"/>
      <c r="F317" s="112"/>
      <c r="G317" s="112"/>
      <c r="H317" s="112"/>
      <c r="I317" s="112"/>
      <c r="J317" s="112"/>
      <c r="K317" s="112"/>
      <c r="L317" s="112"/>
      <c r="M317" s="112"/>
      <c r="N317" s="112"/>
      <c r="O317" s="112"/>
      <c r="P317" s="112"/>
      <c r="Q317" s="112"/>
      <c r="R317" s="112"/>
      <c r="S317" s="112"/>
      <c r="T317" s="112"/>
      <c r="U317" s="107"/>
      <c r="V317" s="107"/>
      <c r="W317" s="107"/>
      <c r="X317" s="107"/>
      <c r="Y317" s="107"/>
      <c r="Z317" s="112"/>
      <c r="AA317" s="112"/>
      <c r="AB317" s="112"/>
      <c r="AC317" s="112"/>
      <c r="AD317" s="112"/>
      <c r="AE317" s="112"/>
      <c r="AF317" s="112"/>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124"/>
      <c r="BO317" s="124"/>
      <c r="BP317" s="124"/>
      <c r="BQ317" s="124"/>
      <c r="BR317" s="124"/>
      <c r="BS317" s="124"/>
      <c r="BT317" s="124"/>
      <c r="BU317" s="124"/>
      <c r="BV317" s="124"/>
      <c r="BW317" s="124"/>
      <c r="BX317" s="124"/>
      <c r="BY317" s="124"/>
      <c r="BZ317" s="124"/>
      <c r="CA317" s="124"/>
    </row>
    <row r="318">
      <c r="D318" s="143"/>
      <c r="E318" s="112"/>
      <c r="F318" s="112"/>
      <c r="G318" s="112"/>
      <c r="H318" s="112"/>
      <c r="I318" s="112"/>
      <c r="J318" s="112"/>
      <c r="K318" s="112"/>
      <c r="L318" s="112"/>
      <c r="M318" s="112"/>
      <c r="N318" s="112"/>
      <c r="O318" s="112"/>
      <c r="P318" s="112"/>
      <c r="Q318" s="112"/>
      <c r="R318" s="112"/>
      <c r="S318" s="112"/>
      <c r="T318" s="112"/>
      <c r="U318" s="107"/>
      <c r="V318" s="107"/>
      <c r="W318" s="107"/>
      <c r="X318" s="107"/>
      <c r="Y318" s="107"/>
      <c r="Z318" s="112"/>
      <c r="AA318" s="112"/>
      <c r="AB318" s="112"/>
      <c r="AC318" s="112"/>
      <c r="AD318" s="112"/>
      <c r="AE318" s="112"/>
      <c r="AF318" s="112"/>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c r="BK318" s="124"/>
      <c r="BL318" s="124"/>
      <c r="BM318" s="124"/>
      <c r="BN318" s="124"/>
      <c r="BO318" s="124"/>
      <c r="BP318" s="124"/>
      <c r="BQ318" s="124"/>
      <c r="BR318" s="124"/>
      <c r="BS318" s="124"/>
      <c r="BT318" s="124"/>
      <c r="BU318" s="124"/>
      <c r="BV318" s="124"/>
      <c r="BW318" s="124"/>
      <c r="BX318" s="124"/>
      <c r="BY318" s="124"/>
      <c r="BZ318" s="124"/>
      <c r="CA318" s="124"/>
    </row>
    <row r="319">
      <c r="D319" s="143"/>
      <c r="E319" s="112"/>
      <c r="F319" s="112"/>
      <c r="G319" s="112"/>
      <c r="H319" s="112"/>
      <c r="I319" s="112"/>
      <c r="J319" s="112"/>
      <c r="K319" s="112"/>
      <c r="L319" s="112"/>
      <c r="M319" s="112"/>
      <c r="N319" s="112"/>
      <c r="O319" s="112"/>
      <c r="P319" s="112"/>
      <c r="Q319" s="112"/>
      <c r="R319" s="112"/>
      <c r="S319" s="112"/>
      <c r="T319" s="112"/>
      <c r="U319" s="107"/>
      <c r="V319" s="107"/>
      <c r="W319" s="107"/>
      <c r="X319" s="107"/>
      <c r="Y319" s="107"/>
      <c r="Z319" s="112"/>
      <c r="AA319" s="112"/>
      <c r="AB319" s="112"/>
      <c r="AC319" s="112"/>
      <c r="AD319" s="112"/>
      <c r="AE319" s="112"/>
      <c r="AF319" s="112"/>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124"/>
      <c r="BO319" s="124"/>
      <c r="BP319" s="124"/>
      <c r="BQ319" s="124"/>
      <c r="BR319" s="124"/>
      <c r="BS319" s="124"/>
      <c r="BT319" s="124"/>
      <c r="BU319" s="124"/>
      <c r="BV319" s="124"/>
      <c r="BW319" s="124"/>
      <c r="BX319" s="124"/>
      <c r="BY319" s="124"/>
      <c r="BZ319" s="124"/>
      <c r="CA319" s="124"/>
    </row>
    <row r="320">
      <c r="D320" s="143"/>
      <c r="E320" s="112"/>
      <c r="F320" s="112"/>
      <c r="G320" s="112"/>
      <c r="H320" s="112"/>
      <c r="I320" s="112"/>
      <c r="J320" s="112"/>
      <c r="K320" s="112"/>
      <c r="L320" s="112"/>
      <c r="M320" s="112"/>
      <c r="N320" s="112"/>
      <c r="O320" s="112"/>
      <c r="P320" s="112"/>
      <c r="Q320" s="112"/>
      <c r="R320" s="112"/>
      <c r="S320" s="112"/>
      <c r="T320" s="112"/>
      <c r="U320" s="107"/>
      <c r="V320" s="107"/>
      <c r="W320" s="107"/>
      <c r="X320" s="107"/>
      <c r="Y320" s="107"/>
      <c r="Z320" s="112"/>
      <c r="AA320" s="112"/>
      <c r="AB320" s="112"/>
      <c r="AC320" s="112"/>
      <c r="AD320" s="112"/>
      <c r="AE320" s="112"/>
      <c r="AF320" s="112"/>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row>
    <row r="321">
      <c r="D321" s="143"/>
      <c r="E321" s="112"/>
      <c r="F321" s="112"/>
      <c r="G321" s="112"/>
      <c r="H321" s="112"/>
      <c r="I321" s="112"/>
      <c r="J321" s="112"/>
      <c r="K321" s="112"/>
      <c r="L321" s="112"/>
      <c r="M321" s="112"/>
      <c r="N321" s="112"/>
      <c r="O321" s="112"/>
      <c r="P321" s="112"/>
      <c r="Q321" s="112"/>
      <c r="R321" s="112"/>
      <c r="S321" s="112"/>
      <c r="T321" s="112"/>
      <c r="U321" s="107"/>
      <c r="V321" s="107"/>
      <c r="W321" s="107"/>
      <c r="X321" s="107"/>
      <c r="Y321" s="107"/>
      <c r="Z321" s="112"/>
      <c r="AA321" s="112"/>
      <c r="AB321" s="112"/>
      <c r="AC321" s="112"/>
      <c r="AD321" s="112"/>
      <c r="AE321" s="112"/>
      <c r="AF321" s="112"/>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c r="BZ321" s="124"/>
      <c r="CA321" s="124"/>
    </row>
    <row r="322">
      <c r="D322" s="143"/>
      <c r="E322" s="112"/>
      <c r="F322" s="112"/>
      <c r="G322" s="112"/>
      <c r="H322" s="112"/>
      <c r="I322" s="112"/>
      <c r="J322" s="112"/>
      <c r="K322" s="112"/>
      <c r="L322" s="112"/>
      <c r="M322" s="112"/>
      <c r="N322" s="112"/>
      <c r="O322" s="112"/>
      <c r="P322" s="112"/>
      <c r="Q322" s="112"/>
      <c r="R322" s="112"/>
      <c r="S322" s="112"/>
      <c r="T322" s="112"/>
      <c r="U322" s="107"/>
      <c r="V322" s="107"/>
      <c r="W322" s="107"/>
      <c r="X322" s="107"/>
      <c r="Y322" s="107"/>
      <c r="Z322" s="112"/>
      <c r="AA322" s="112"/>
      <c r="AB322" s="112"/>
      <c r="AC322" s="112"/>
      <c r="AD322" s="112"/>
      <c r="AE322" s="112"/>
      <c r="AF322" s="112"/>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124"/>
      <c r="BO322" s="124"/>
      <c r="BP322" s="124"/>
      <c r="BQ322" s="124"/>
      <c r="BR322" s="124"/>
      <c r="BS322" s="124"/>
      <c r="BT322" s="124"/>
      <c r="BU322" s="124"/>
      <c r="BV322" s="124"/>
      <c r="BW322" s="124"/>
      <c r="BX322" s="124"/>
      <c r="BY322" s="124"/>
      <c r="BZ322" s="124"/>
      <c r="CA322" s="124"/>
    </row>
    <row r="323">
      <c r="D323" s="143"/>
      <c r="E323" s="112"/>
      <c r="F323" s="112"/>
      <c r="G323" s="112"/>
      <c r="H323" s="112"/>
      <c r="I323" s="112"/>
      <c r="J323" s="112"/>
      <c r="K323" s="112"/>
      <c r="L323" s="112"/>
      <c r="M323" s="112"/>
      <c r="N323" s="112"/>
      <c r="O323" s="112"/>
      <c r="P323" s="112"/>
      <c r="Q323" s="112"/>
      <c r="R323" s="112"/>
      <c r="S323" s="112"/>
      <c r="T323" s="112"/>
      <c r="U323" s="107"/>
      <c r="V323" s="107"/>
      <c r="W323" s="107"/>
      <c r="X323" s="107"/>
      <c r="Y323" s="107"/>
      <c r="Z323" s="112"/>
      <c r="AA323" s="112"/>
      <c r="AB323" s="112"/>
      <c r="AC323" s="112"/>
      <c r="AD323" s="112"/>
      <c r="AE323" s="112"/>
      <c r="AF323" s="112"/>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4"/>
      <c r="BR323" s="124"/>
      <c r="BS323" s="124"/>
      <c r="BT323" s="124"/>
      <c r="BU323" s="124"/>
      <c r="BV323" s="124"/>
      <c r="BW323" s="124"/>
      <c r="BX323" s="124"/>
      <c r="BY323" s="124"/>
      <c r="BZ323" s="124"/>
      <c r="CA323" s="124"/>
    </row>
    <row r="324">
      <c r="D324" s="143"/>
      <c r="E324" s="112"/>
      <c r="F324" s="112"/>
      <c r="G324" s="112"/>
      <c r="H324" s="112"/>
      <c r="I324" s="112"/>
      <c r="J324" s="112"/>
      <c r="K324" s="112"/>
      <c r="L324" s="112"/>
      <c r="M324" s="112"/>
      <c r="N324" s="112"/>
      <c r="O324" s="112"/>
      <c r="P324" s="112"/>
      <c r="Q324" s="112"/>
      <c r="R324" s="112"/>
      <c r="S324" s="112"/>
      <c r="T324" s="112"/>
      <c r="U324" s="107"/>
      <c r="V324" s="107"/>
      <c r="W324" s="107"/>
      <c r="X324" s="107"/>
      <c r="Y324" s="107"/>
      <c r="Z324" s="112"/>
      <c r="AA324" s="112"/>
      <c r="AB324" s="112"/>
      <c r="AC324" s="112"/>
      <c r="AD324" s="112"/>
      <c r="AE324" s="112"/>
      <c r="AF324" s="112"/>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124"/>
      <c r="BO324" s="124"/>
      <c r="BP324" s="124"/>
      <c r="BQ324" s="124"/>
      <c r="BR324" s="124"/>
      <c r="BS324" s="124"/>
      <c r="BT324" s="124"/>
      <c r="BU324" s="124"/>
      <c r="BV324" s="124"/>
      <c r="BW324" s="124"/>
      <c r="BX324" s="124"/>
      <c r="BY324" s="124"/>
      <c r="BZ324" s="124"/>
      <c r="CA324" s="124"/>
    </row>
    <row r="325">
      <c r="D325" s="143"/>
      <c r="E325" s="112"/>
      <c r="F325" s="112"/>
      <c r="G325" s="112"/>
      <c r="H325" s="112"/>
      <c r="I325" s="112"/>
      <c r="J325" s="112"/>
      <c r="K325" s="112"/>
      <c r="L325" s="112"/>
      <c r="M325" s="112"/>
      <c r="N325" s="112"/>
      <c r="O325" s="112"/>
      <c r="P325" s="112"/>
      <c r="Q325" s="112"/>
      <c r="R325" s="112"/>
      <c r="S325" s="112"/>
      <c r="T325" s="112"/>
      <c r="U325" s="107"/>
      <c r="V325" s="107"/>
      <c r="W325" s="107"/>
      <c r="X325" s="107"/>
      <c r="Y325" s="107"/>
      <c r="Z325" s="112"/>
      <c r="AA325" s="112"/>
      <c r="AB325" s="112"/>
      <c r="AC325" s="112"/>
      <c r="AD325" s="112"/>
      <c r="AE325" s="112"/>
      <c r="AF325" s="112"/>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c r="BK325" s="124"/>
      <c r="BL325" s="124"/>
      <c r="BM325" s="124"/>
      <c r="BN325" s="124"/>
      <c r="BO325" s="124"/>
      <c r="BP325" s="124"/>
      <c r="BQ325" s="124"/>
      <c r="BR325" s="124"/>
      <c r="BS325" s="124"/>
      <c r="BT325" s="124"/>
      <c r="BU325" s="124"/>
      <c r="BV325" s="124"/>
      <c r="BW325" s="124"/>
      <c r="BX325" s="124"/>
      <c r="BY325" s="124"/>
      <c r="BZ325" s="124"/>
      <c r="CA325" s="124"/>
    </row>
    <row r="326">
      <c r="D326" s="143"/>
      <c r="E326" s="112"/>
      <c r="F326" s="112"/>
      <c r="G326" s="112"/>
      <c r="H326" s="112"/>
      <c r="I326" s="112"/>
      <c r="J326" s="112"/>
      <c r="K326" s="112"/>
      <c r="L326" s="112"/>
      <c r="M326" s="112"/>
      <c r="N326" s="112"/>
      <c r="O326" s="112"/>
      <c r="P326" s="112"/>
      <c r="Q326" s="112"/>
      <c r="R326" s="112"/>
      <c r="S326" s="112"/>
      <c r="T326" s="112"/>
      <c r="U326" s="107"/>
      <c r="V326" s="107"/>
      <c r="W326" s="107"/>
      <c r="X326" s="107"/>
      <c r="Y326" s="107"/>
      <c r="Z326" s="112"/>
      <c r="AA326" s="112"/>
      <c r="AB326" s="112"/>
      <c r="AC326" s="112"/>
      <c r="AD326" s="112"/>
      <c r="AE326" s="112"/>
      <c r="AF326" s="112"/>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row>
    <row r="327">
      <c r="D327" s="143"/>
      <c r="E327" s="112"/>
      <c r="F327" s="112"/>
      <c r="G327" s="112"/>
      <c r="H327" s="112"/>
      <c r="I327" s="112"/>
      <c r="J327" s="112"/>
      <c r="K327" s="112"/>
      <c r="L327" s="112"/>
      <c r="M327" s="112"/>
      <c r="N327" s="112"/>
      <c r="O327" s="112"/>
      <c r="P327" s="112"/>
      <c r="Q327" s="112"/>
      <c r="R327" s="112"/>
      <c r="S327" s="112"/>
      <c r="T327" s="112"/>
      <c r="U327" s="107"/>
      <c r="V327" s="107"/>
      <c r="W327" s="107"/>
      <c r="X327" s="107"/>
      <c r="Y327" s="107"/>
      <c r="Z327" s="112"/>
      <c r="AA327" s="112"/>
      <c r="AB327" s="112"/>
      <c r="AC327" s="112"/>
      <c r="AD327" s="112"/>
      <c r="AE327" s="112"/>
      <c r="AF327" s="112"/>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c r="BK327" s="124"/>
      <c r="BL327" s="124"/>
      <c r="BM327" s="124"/>
      <c r="BN327" s="124"/>
      <c r="BO327" s="124"/>
      <c r="BP327" s="124"/>
      <c r="BQ327" s="124"/>
      <c r="BR327" s="124"/>
      <c r="BS327" s="124"/>
      <c r="BT327" s="124"/>
      <c r="BU327" s="124"/>
      <c r="BV327" s="124"/>
      <c r="BW327" s="124"/>
      <c r="BX327" s="124"/>
      <c r="BY327" s="124"/>
      <c r="BZ327" s="124"/>
      <c r="CA327" s="124"/>
    </row>
    <row r="328">
      <c r="D328" s="143"/>
      <c r="E328" s="112"/>
      <c r="F328" s="112"/>
      <c r="G328" s="112"/>
      <c r="H328" s="112"/>
      <c r="I328" s="112"/>
      <c r="J328" s="112"/>
      <c r="K328" s="112"/>
      <c r="L328" s="112"/>
      <c r="M328" s="112"/>
      <c r="N328" s="112"/>
      <c r="O328" s="112"/>
      <c r="P328" s="112"/>
      <c r="Q328" s="112"/>
      <c r="R328" s="112"/>
      <c r="S328" s="112"/>
      <c r="T328" s="112"/>
      <c r="U328" s="107"/>
      <c r="V328" s="107"/>
      <c r="W328" s="107"/>
      <c r="X328" s="107"/>
      <c r="Y328" s="107"/>
      <c r="Z328" s="112"/>
      <c r="AA328" s="112"/>
      <c r="AB328" s="112"/>
      <c r="AC328" s="112"/>
      <c r="AD328" s="112"/>
      <c r="AE328" s="112"/>
      <c r="AF328" s="112"/>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124"/>
      <c r="BO328" s="124"/>
      <c r="BP328" s="124"/>
      <c r="BQ328" s="124"/>
      <c r="BR328" s="124"/>
      <c r="BS328" s="124"/>
      <c r="BT328" s="124"/>
      <c r="BU328" s="124"/>
      <c r="BV328" s="124"/>
      <c r="BW328" s="124"/>
      <c r="BX328" s="124"/>
      <c r="BY328" s="124"/>
      <c r="BZ328" s="124"/>
      <c r="CA328" s="124"/>
    </row>
    <row r="329">
      <c r="D329" s="143"/>
      <c r="E329" s="112"/>
      <c r="F329" s="112"/>
      <c r="G329" s="112"/>
      <c r="H329" s="112"/>
      <c r="I329" s="112"/>
      <c r="J329" s="112"/>
      <c r="K329" s="112"/>
      <c r="L329" s="112"/>
      <c r="M329" s="112"/>
      <c r="N329" s="112"/>
      <c r="O329" s="112"/>
      <c r="P329" s="112"/>
      <c r="Q329" s="112"/>
      <c r="R329" s="112"/>
      <c r="S329" s="112"/>
      <c r="T329" s="112"/>
      <c r="U329" s="107"/>
      <c r="V329" s="107"/>
      <c r="W329" s="107"/>
      <c r="X329" s="107"/>
      <c r="Y329" s="107"/>
      <c r="Z329" s="112"/>
      <c r="AA329" s="112"/>
      <c r="AB329" s="112"/>
      <c r="AC329" s="112"/>
      <c r="AD329" s="112"/>
      <c r="AE329" s="112"/>
      <c r="AF329" s="112"/>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row>
    <row r="330">
      <c r="D330" s="143"/>
      <c r="E330" s="112"/>
      <c r="F330" s="112"/>
      <c r="G330" s="112"/>
      <c r="H330" s="112"/>
      <c r="I330" s="112"/>
      <c r="J330" s="112"/>
      <c r="K330" s="112"/>
      <c r="L330" s="112"/>
      <c r="M330" s="112"/>
      <c r="N330" s="112"/>
      <c r="O330" s="112"/>
      <c r="P330" s="112"/>
      <c r="Q330" s="112"/>
      <c r="R330" s="112"/>
      <c r="S330" s="112"/>
      <c r="T330" s="112"/>
      <c r="U330" s="107"/>
      <c r="V330" s="107"/>
      <c r="W330" s="107"/>
      <c r="X330" s="107"/>
      <c r="Y330" s="107"/>
      <c r="Z330" s="112"/>
      <c r="AA330" s="112"/>
      <c r="AB330" s="112"/>
      <c r="AC330" s="112"/>
      <c r="AD330" s="112"/>
      <c r="AE330" s="112"/>
      <c r="AF330" s="112"/>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124"/>
      <c r="BO330" s="124"/>
      <c r="BP330" s="124"/>
      <c r="BQ330" s="124"/>
      <c r="BR330" s="124"/>
      <c r="BS330" s="124"/>
      <c r="BT330" s="124"/>
      <c r="BU330" s="124"/>
      <c r="BV330" s="124"/>
      <c r="BW330" s="124"/>
      <c r="BX330" s="124"/>
      <c r="BY330" s="124"/>
      <c r="BZ330" s="124"/>
      <c r="CA330" s="124"/>
    </row>
    <row r="331">
      <c r="D331" s="143"/>
      <c r="E331" s="112"/>
      <c r="F331" s="112"/>
      <c r="G331" s="112"/>
      <c r="H331" s="112"/>
      <c r="I331" s="112"/>
      <c r="J331" s="112"/>
      <c r="K331" s="112"/>
      <c r="L331" s="112"/>
      <c r="M331" s="112"/>
      <c r="N331" s="112"/>
      <c r="O331" s="112"/>
      <c r="P331" s="112"/>
      <c r="Q331" s="112"/>
      <c r="R331" s="112"/>
      <c r="S331" s="112"/>
      <c r="T331" s="112"/>
      <c r="U331" s="107"/>
      <c r="V331" s="107"/>
      <c r="W331" s="107"/>
      <c r="X331" s="107"/>
      <c r="Y331" s="107"/>
      <c r="Z331" s="112"/>
      <c r="AA331" s="112"/>
      <c r="AB331" s="112"/>
      <c r="AC331" s="112"/>
      <c r="AD331" s="112"/>
      <c r="AE331" s="112"/>
      <c r="AF331" s="112"/>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c r="BK331" s="124"/>
      <c r="BL331" s="124"/>
      <c r="BM331" s="124"/>
      <c r="BN331" s="124"/>
      <c r="BO331" s="124"/>
      <c r="BP331" s="124"/>
      <c r="BQ331" s="124"/>
      <c r="BR331" s="124"/>
      <c r="BS331" s="124"/>
      <c r="BT331" s="124"/>
      <c r="BU331" s="124"/>
      <c r="BV331" s="124"/>
      <c r="BW331" s="124"/>
      <c r="BX331" s="124"/>
      <c r="BY331" s="124"/>
      <c r="BZ331" s="124"/>
      <c r="CA331" s="124"/>
    </row>
    <row r="332">
      <c r="D332" s="143"/>
      <c r="E332" s="112"/>
      <c r="F332" s="112"/>
      <c r="G332" s="112"/>
      <c r="H332" s="112"/>
      <c r="I332" s="112"/>
      <c r="J332" s="112"/>
      <c r="K332" s="112"/>
      <c r="L332" s="112"/>
      <c r="M332" s="112"/>
      <c r="N332" s="112"/>
      <c r="O332" s="112"/>
      <c r="P332" s="112"/>
      <c r="Q332" s="112"/>
      <c r="R332" s="112"/>
      <c r="S332" s="112"/>
      <c r="T332" s="112"/>
      <c r="U332" s="107"/>
      <c r="V332" s="107"/>
      <c r="W332" s="107"/>
      <c r="X332" s="107"/>
      <c r="Y332" s="107"/>
      <c r="Z332" s="112"/>
      <c r="AA332" s="112"/>
      <c r="AB332" s="112"/>
      <c r="AC332" s="112"/>
      <c r="AD332" s="112"/>
      <c r="AE332" s="112"/>
      <c r="AF332" s="112"/>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row>
    <row r="333">
      <c r="D333" s="143"/>
      <c r="E333" s="112"/>
      <c r="F333" s="112"/>
      <c r="G333" s="112"/>
      <c r="H333" s="112"/>
      <c r="I333" s="112"/>
      <c r="J333" s="112"/>
      <c r="K333" s="112"/>
      <c r="L333" s="112"/>
      <c r="M333" s="112"/>
      <c r="N333" s="112"/>
      <c r="O333" s="112"/>
      <c r="P333" s="112"/>
      <c r="Q333" s="112"/>
      <c r="R333" s="112"/>
      <c r="S333" s="112"/>
      <c r="T333" s="112"/>
      <c r="U333" s="107"/>
      <c r="V333" s="107"/>
      <c r="W333" s="107"/>
      <c r="X333" s="107"/>
      <c r="Y333" s="107"/>
      <c r="Z333" s="112"/>
      <c r="AA333" s="112"/>
      <c r="AB333" s="112"/>
      <c r="AC333" s="112"/>
      <c r="AD333" s="112"/>
      <c r="AE333" s="112"/>
      <c r="AF333" s="112"/>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c r="BK333" s="124"/>
      <c r="BL333" s="124"/>
      <c r="BM333" s="124"/>
      <c r="BN333" s="124"/>
      <c r="BO333" s="124"/>
      <c r="BP333" s="124"/>
      <c r="BQ333" s="124"/>
      <c r="BR333" s="124"/>
      <c r="BS333" s="124"/>
      <c r="BT333" s="124"/>
      <c r="BU333" s="124"/>
      <c r="BV333" s="124"/>
      <c r="BW333" s="124"/>
      <c r="BX333" s="124"/>
      <c r="BY333" s="124"/>
      <c r="BZ333" s="124"/>
      <c r="CA333" s="124"/>
    </row>
    <row r="334">
      <c r="D334" s="143"/>
      <c r="E334" s="112"/>
      <c r="F334" s="112"/>
      <c r="G334" s="112"/>
      <c r="H334" s="112"/>
      <c r="I334" s="112"/>
      <c r="J334" s="112"/>
      <c r="K334" s="112"/>
      <c r="L334" s="112"/>
      <c r="M334" s="112"/>
      <c r="N334" s="112"/>
      <c r="O334" s="112"/>
      <c r="P334" s="112"/>
      <c r="Q334" s="112"/>
      <c r="R334" s="112"/>
      <c r="S334" s="112"/>
      <c r="T334" s="112"/>
      <c r="U334" s="107"/>
      <c r="V334" s="107"/>
      <c r="W334" s="107"/>
      <c r="X334" s="107"/>
      <c r="Y334" s="107"/>
      <c r="Z334" s="112"/>
      <c r="AA334" s="112"/>
      <c r="AB334" s="112"/>
      <c r="AC334" s="112"/>
      <c r="AD334" s="112"/>
      <c r="AE334" s="112"/>
      <c r="AF334" s="112"/>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c r="BK334" s="124"/>
      <c r="BL334" s="124"/>
      <c r="BM334" s="124"/>
      <c r="BN334" s="124"/>
      <c r="BO334" s="124"/>
      <c r="BP334" s="124"/>
      <c r="BQ334" s="124"/>
      <c r="BR334" s="124"/>
      <c r="BS334" s="124"/>
      <c r="BT334" s="124"/>
      <c r="BU334" s="124"/>
      <c r="BV334" s="124"/>
      <c r="BW334" s="124"/>
      <c r="BX334" s="124"/>
      <c r="BY334" s="124"/>
      <c r="BZ334" s="124"/>
      <c r="CA334" s="124"/>
    </row>
    <row r="335">
      <c r="D335" s="143"/>
      <c r="E335" s="112"/>
      <c r="F335" s="112"/>
      <c r="G335" s="112"/>
      <c r="H335" s="112"/>
      <c r="I335" s="112"/>
      <c r="J335" s="112"/>
      <c r="K335" s="112"/>
      <c r="L335" s="112"/>
      <c r="M335" s="112"/>
      <c r="N335" s="112"/>
      <c r="O335" s="112"/>
      <c r="P335" s="112"/>
      <c r="Q335" s="112"/>
      <c r="R335" s="112"/>
      <c r="S335" s="112"/>
      <c r="T335" s="112"/>
      <c r="U335" s="107"/>
      <c r="V335" s="107"/>
      <c r="W335" s="107"/>
      <c r="X335" s="107"/>
      <c r="Y335" s="107"/>
      <c r="Z335" s="112"/>
      <c r="AA335" s="112"/>
      <c r="AB335" s="112"/>
      <c r="AC335" s="112"/>
      <c r="AD335" s="112"/>
      <c r="AE335" s="112"/>
      <c r="AF335" s="112"/>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c r="BK335" s="124"/>
      <c r="BL335" s="124"/>
      <c r="BM335" s="124"/>
      <c r="BN335" s="124"/>
      <c r="BO335" s="124"/>
      <c r="BP335" s="124"/>
      <c r="BQ335" s="124"/>
      <c r="BR335" s="124"/>
      <c r="BS335" s="124"/>
      <c r="BT335" s="124"/>
      <c r="BU335" s="124"/>
      <c r="BV335" s="124"/>
      <c r="BW335" s="124"/>
      <c r="BX335" s="124"/>
      <c r="BY335" s="124"/>
      <c r="BZ335" s="124"/>
      <c r="CA335" s="124"/>
    </row>
    <row r="336">
      <c r="D336" s="143"/>
      <c r="E336" s="112"/>
      <c r="F336" s="112"/>
      <c r="G336" s="112"/>
      <c r="H336" s="112"/>
      <c r="I336" s="112"/>
      <c r="J336" s="112"/>
      <c r="K336" s="112"/>
      <c r="L336" s="112"/>
      <c r="M336" s="112"/>
      <c r="N336" s="112"/>
      <c r="O336" s="112"/>
      <c r="P336" s="112"/>
      <c r="Q336" s="112"/>
      <c r="R336" s="112"/>
      <c r="S336" s="112"/>
      <c r="T336" s="112"/>
      <c r="U336" s="107"/>
      <c r="V336" s="107"/>
      <c r="W336" s="107"/>
      <c r="X336" s="107"/>
      <c r="Y336" s="107"/>
      <c r="Z336" s="112"/>
      <c r="AA336" s="112"/>
      <c r="AB336" s="112"/>
      <c r="AC336" s="112"/>
      <c r="AD336" s="112"/>
      <c r="AE336" s="112"/>
      <c r="AF336" s="112"/>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c r="BK336" s="124"/>
      <c r="BL336" s="124"/>
      <c r="BM336" s="124"/>
      <c r="BN336" s="124"/>
      <c r="BO336" s="124"/>
      <c r="BP336" s="124"/>
      <c r="BQ336" s="124"/>
      <c r="BR336" s="124"/>
      <c r="BS336" s="124"/>
      <c r="BT336" s="124"/>
      <c r="BU336" s="124"/>
      <c r="BV336" s="124"/>
      <c r="BW336" s="124"/>
      <c r="BX336" s="124"/>
      <c r="BY336" s="124"/>
      <c r="BZ336" s="124"/>
      <c r="CA336" s="124"/>
    </row>
    <row r="337">
      <c r="D337" s="143"/>
      <c r="E337" s="112"/>
      <c r="F337" s="112"/>
      <c r="G337" s="112"/>
      <c r="H337" s="112"/>
      <c r="I337" s="112"/>
      <c r="J337" s="112"/>
      <c r="K337" s="112"/>
      <c r="L337" s="112"/>
      <c r="M337" s="112"/>
      <c r="N337" s="112"/>
      <c r="O337" s="112"/>
      <c r="P337" s="112"/>
      <c r="Q337" s="112"/>
      <c r="R337" s="112"/>
      <c r="S337" s="112"/>
      <c r="T337" s="112"/>
      <c r="U337" s="107"/>
      <c r="V337" s="107"/>
      <c r="W337" s="107"/>
      <c r="X337" s="107"/>
      <c r="Y337" s="107"/>
      <c r="Z337" s="112"/>
      <c r="AA337" s="112"/>
      <c r="AB337" s="112"/>
      <c r="AC337" s="112"/>
      <c r="AD337" s="112"/>
      <c r="AE337" s="112"/>
      <c r="AF337" s="112"/>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c r="BK337" s="124"/>
      <c r="BL337" s="124"/>
      <c r="BM337" s="124"/>
      <c r="BN337" s="124"/>
      <c r="BO337" s="124"/>
      <c r="BP337" s="124"/>
      <c r="BQ337" s="124"/>
      <c r="BR337" s="124"/>
      <c r="BS337" s="124"/>
      <c r="BT337" s="124"/>
      <c r="BU337" s="124"/>
      <c r="BV337" s="124"/>
      <c r="BW337" s="124"/>
      <c r="BX337" s="124"/>
      <c r="BY337" s="124"/>
      <c r="BZ337" s="124"/>
      <c r="CA337" s="124"/>
    </row>
    <row r="338">
      <c r="D338" s="143"/>
      <c r="E338" s="112"/>
      <c r="F338" s="112"/>
      <c r="G338" s="112"/>
      <c r="H338" s="112"/>
      <c r="I338" s="112"/>
      <c r="J338" s="112"/>
      <c r="K338" s="112"/>
      <c r="L338" s="112"/>
      <c r="M338" s="112"/>
      <c r="N338" s="112"/>
      <c r="O338" s="112"/>
      <c r="P338" s="112"/>
      <c r="Q338" s="112"/>
      <c r="R338" s="112"/>
      <c r="S338" s="112"/>
      <c r="T338" s="112"/>
      <c r="U338" s="107"/>
      <c r="V338" s="107"/>
      <c r="W338" s="107"/>
      <c r="X338" s="107"/>
      <c r="Y338" s="107"/>
      <c r="Z338" s="112"/>
      <c r="AA338" s="112"/>
      <c r="AB338" s="112"/>
      <c r="AC338" s="112"/>
      <c r="AD338" s="112"/>
      <c r="AE338" s="112"/>
      <c r="AF338" s="112"/>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row>
    <row r="339">
      <c r="D339" s="143"/>
      <c r="E339" s="112"/>
      <c r="F339" s="112"/>
      <c r="G339" s="112"/>
      <c r="H339" s="112"/>
      <c r="I339" s="112"/>
      <c r="J339" s="112"/>
      <c r="K339" s="112"/>
      <c r="L339" s="112"/>
      <c r="M339" s="112"/>
      <c r="N339" s="112"/>
      <c r="O339" s="112"/>
      <c r="P339" s="112"/>
      <c r="Q339" s="112"/>
      <c r="R339" s="112"/>
      <c r="S339" s="112"/>
      <c r="T339" s="112"/>
      <c r="U339" s="107"/>
      <c r="V339" s="107"/>
      <c r="W339" s="107"/>
      <c r="X339" s="107"/>
      <c r="Y339" s="107"/>
      <c r="Z339" s="112"/>
      <c r="AA339" s="112"/>
      <c r="AB339" s="112"/>
      <c r="AC339" s="112"/>
      <c r="AD339" s="112"/>
      <c r="AE339" s="112"/>
      <c r="AF339" s="112"/>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c r="BK339" s="124"/>
      <c r="BL339" s="124"/>
      <c r="BM339" s="124"/>
      <c r="BN339" s="124"/>
      <c r="BO339" s="124"/>
      <c r="BP339" s="124"/>
      <c r="BQ339" s="124"/>
      <c r="BR339" s="124"/>
      <c r="BS339" s="124"/>
      <c r="BT339" s="124"/>
      <c r="BU339" s="124"/>
      <c r="BV339" s="124"/>
      <c r="BW339" s="124"/>
      <c r="BX339" s="124"/>
      <c r="BY339" s="124"/>
      <c r="BZ339" s="124"/>
      <c r="CA339" s="124"/>
    </row>
    <row r="340">
      <c r="D340" s="143"/>
      <c r="E340" s="112"/>
      <c r="F340" s="112"/>
      <c r="G340" s="112"/>
      <c r="H340" s="112"/>
      <c r="I340" s="112"/>
      <c r="J340" s="112"/>
      <c r="K340" s="112"/>
      <c r="L340" s="112"/>
      <c r="M340" s="112"/>
      <c r="N340" s="112"/>
      <c r="O340" s="112"/>
      <c r="P340" s="112"/>
      <c r="Q340" s="112"/>
      <c r="R340" s="112"/>
      <c r="S340" s="112"/>
      <c r="T340" s="112"/>
      <c r="U340" s="107"/>
      <c r="V340" s="107"/>
      <c r="W340" s="107"/>
      <c r="X340" s="107"/>
      <c r="Y340" s="107"/>
      <c r="Z340" s="112"/>
      <c r="AA340" s="112"/>
      <c r="AB340" s="112"/>
      <c r="AC340" s="112"/>
      <c r="AD340" s="112"/>
      <c r="AE340" s="112"/>
      <c r="AF340" s="112"/>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c r="BK340" s="124"/>
      <c r="BL340" s="124"/>
      <c r="BM340" s="124"/>
      <c r="BN340" s="124"/>
      <c r="BO340" s="124"/>
      <c r="BP340" s="124"/>
      <c r="BQ340" s="124"/>
      <c r="BR340" s="124"/>
      <c r="BS340" s="124"/>
      <c r="BT340" s="124"/>
      <c r="BU340" s="124"/>
      <c r="BV340" s="124"/>
      <c r="BW340" s="124"/>
      <c r="BX340" s="124"/>
      <c r="BY340" s="124"/>
      <c r="BZ340" s="124"/>
      <c r="CA340" s="124"/>
    </row>
    <row r="341">
      <c r="D341" s="143"/>
      <c r="E341" s="112"/>
      <c r="F341" s="112"/>
      <c r="G341" s="112"/>
      <c r="H341" s="112"/>
      <c r="I341" s="112"/>
      <c r="J341" s="112"/>
      <c r="K341" s="112"/>
      <c r="L341" s="112"/>
      <c r="M341" s="112"/>
      <c r="N341" s="112"/>
      <c r="O341" s="112"/>
      <c r="P341" s="112"/>
      <c r="Q341" s="112"/>
      <c r="R341" s="112"/>
      <c r="S341" s="112"/>
      <c r="T341" s="112"/>
      <c r="U341" s="107"/>
      <c r="V341" s="107"/>
      <c r="W341" s="107"/>
      <c r="X341" s="107"/>
      <c r="Y341" s="107"/>
      <c r="Z341" s="112"/>
      <c r="AA341" s="112"/>
      <c r="AB341" s="112"/>
      <c r="AC341" s="112"/>
      <c r="AD341" s="112"/>
      <c r="AE341" s="112"/>
      <c r="AF341" s="112"/>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c r="BK341" s="124"/>
      <c r="BL341" s="124"/>
      <c r="BM341" s="124"/>
      <c r="BN341" s="124"/>
      <c r="BO341" s="124"/>
      <c r="BP341" s="124"/>
      <c r="BQ341" s="124"/>
      <c r="BR341" s="124"/>
      <c r="BS341" s="124"/>
      <c r="BT341" s="124"/>
      <c r="BU341" s="124"/>
      <c r="BV341" s="124"/>
      <c r="BW341" s="124"/>
      <c r="BX341" s="124"/>
      <c r="BY341" s="124"/>
      <c r="BZ341" s="124"/>
      <c r="CA341" s="124"/>
    </row>
    <row r="342">
      <c r="D342" s="143"/>
      <c r="E342" s="112"/>
      <c r="F342" s="112"/>
      <c r="G342" s="112"/>
      <c r="H342" s="112"/>
      <c r="I342" s="112"/>
      <c r="J342" s="112"/>
      <c r="K342" s="112"/>
      <c r="L342" s="112"/>
      <c r="M342" s="112"/>
      <c r="N342" s="112"/>
      <c r="O342" s="112"/>
      <c r="P342" s="112"/>
      <c r="Q342" s="112"/>
      <c r="R342" s="112"/>
      <c r="S342" s="112"/>
      <c r="T342" s="112"/>
      <c r="U342" s="107"/>
      <c r="V342" s="107"/>
      <c r="W342" s="107"/>
      <c r="X342" s="107"/>
      <c r="Y342" s="107"/>
      <c r="Z342" s="112"/>
      <c r="AA342" s="112"/>
      <c r="AB342" s="112"/>
      <c r="AC342" s="112"/>
      <c r="AD342" s="112"/>
      <c r="AE342" s="112"/>
      <c r="AF342" s="112"/>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c r="BK342" s="124"/>
      <c r="BL342" s="124"/>
      <c r="BM342" s="124"/>
      <c r="BN342" s="124"/>
      <c r="BO342" s="124"/>
      <c r="BP342" s="124"/>
      <c r="BQ342" s="124"/>
      <c r="BR342" s="124"/>
      <c r="BS342" s="124"/>
      <c r="BT342" s="124"/>
      <c r="BU342" s="124"/>
      <c r="BV342" s="124"/>
      <c r="BW342" s="124"/>
      <c r="BX342" s="124"/>
      <c r="BY342" s="124"/>
      <c r="BZ342" s="124"/>
      <c r="CA342" s="124"/>
    </row>
    <row r="343">
      <c r="D343" s="143"/>
      <c r="E343" s="112"/>
      <c r="F343" s="112"/>
      <c r="G343" s="112"/>
      <c r="H343" s="112"/>
      <c r="I343" s="112"/>
      <c r="J343" s="112"/>
      <c r="K343" s="112"/>
      <c r="L343" s="112"/>
      <c r="M343" s="112"/>
      <c r="N343" s="112"/>
      <c r="O343" s="112"/>
      <c r="P343" s="112"/>
      <c r="Q343" s="112"/>
      <c r="R343" s="112"/>
      <c r="S343" s="112"/>
      <c r="T343" s="112"/>
      <c r="U343" s="107"/>
      <c r="V343" s="107"/>
      <c r="W343" s="107"/>
      <c r="X343" s="107"/>
      <c r="Y343" s="107"/>
      <c r="Z343" s="112"/>
      <c r="AA343" s="112"/>
      <c r="AB343" s="112"/>
      <c r="AC343" s="112"/>
      <c r="AD343" s="112"/>
      <c r="AE343" s="112"/>
      <c r="AF343" s="112"/>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c r="BK343" s="124"/>
      <c r="BL343" s="124"/>
      <c r="BM343" s="124"/>
      <c r="BN343" s="124"/>
      <c r="BO343" s="124"/>
      <c r="BP343" s="124"/>
      <c r="BQ343" s="124"/>
      <c r="BR343" s="124"/>
      <c r="BS343" s="124"/>
      <c r="BT343" s="124"/>
      <c r="BU343" s="124"/>
      <c r="BV343" s="124"/>
      <c r="BW343" s="124"/>
      <c r="BX343" s="124"/>
      <c r="BY343" s="124"/>
      <c r="BZ343" s="124"/>
      <c r="CA343" s="124"/>
    </row>
    <row r="344">
      <c r="D344" s="143"/>
      <c r="E344" s="112"/>
      <c r="F344" s="112"/>
      <c r="G344" s="112"/>
      <c r="H344" s="112"/>
      <c r="I344" s="112"/>
      <c r="J344" s="112"/>
      <c r="K344" s="112"/>
      <c r="L344" s="112"/>
      <c r="M344" s="112"/>
      <c r="N344" s="112"/>
      <c r="O344" s="112"/>
      <c r="P344" s="112"/>
      <c r="Q344" s="112"/>
      <c r="R344" s="112"/>
      <c r="S344" s="112"/>
      <c r="T344" s="112"/>
      <c r="U344" s="107"/>
      <c r="V344" s="107"/>
      <c r="W344" s="107"/>
      <c r="X344" s="107"/>
      <c r="Y344" s="107"/>
      <c r="Z344" s="112"/>
      <c r="AA344" s="112"/>
      <c r="AB344" s="112"/>
      <c r="AC344" s="112"/>
      <c r="AD344" s="112"/>
      <c r="AE344" s="112"/>
      <c r="AF344" s="112"/>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c r="BK344" s="124"/>
      <c r="BL344" s="124"/>
      <c r="BM344" s="124"/>
      <c r="BN344" s="124"/>
      <c r="BO344" s="124"/>
      <c r="BP344" s="124"/>
      <c r="BQ344" s="124"/>
      <c r="BR344" s="124"/>
      <c r="BS344" s="124"/>
      <c r="BT344" s="124"/>
      <c r="BU344" s="124"/>
      <c r="BV344" s="124"/>
      <c r="BW344" s="124"/>
      <c r="BX344" s="124"/>
      <c r="BY344" s="124"/>
      <c r="BZ344" s="124"/>
      <c r="CA344" s="124"/>
    </row>
    <row r="345">
      <c r="D345" s="143"/>
      <c r="E345" s="112"/>
      <c r="F345" s="112"/>
      <c r="G345" s="112"/>
      <c r="H345" s="112"/>
      <c r="I345" s="112"/>
      <c r="J345" s="112"/>
      <c r="K345" s="112"/>
      <c r="L345" s="112"/>
      <c r="M345" s="112"/>
      <c r="N345" s="112"/>
      <c r="O345" s="112"/>
      <c r="P345" s="112"/>
      <c r="Q345" s="112"/>
      <c r="R345" s="112"/>
      <c r="S345" s="112"/>
      <c r="T345" s="112"/>
      <c r="U345" s="107"/>
      <c r="V345" s="107"/>
      <c r="W345" s="107"/>
      <c r="X345" s="107"/>
      <c r="Y345" s="107"/>
      <c r="Z345" s="112"/>
      <c r="AA345" s="112"/>
      <c r="AB345" s="112"/>
      <c r="AC345" s="112"/>
      <c r="AD345" s="112"/>
      <c r="AE345" s="112"/>
      <c r="AF345" s="112"/>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row>
    <row r="346">
      <c r="D346" s="143"/>
      <c r="E346" s="112"/>
      <c r="F346" s="112"/>
      <c r="G346" s="112"/>
      <c r="H346" s="112"/>
      <c r="I346" s="112"/>
      <c r="J346" s="112"/>
      <c r="K346" s="112"/>
      <c r="L346" s="112"/>
      <c r="M346" s="112"/>
      <c r="N346" s="112"/>
      <c r="O346" s="112"/>
      <c r="P346" s="112"/>
      <c r="Q346" s="112"/>
      <c r="R346" s="112"/>
      <c r="S346" s="112"/>
      <c r="T346" s="112"/>
      <c r="U346" s="107"/>
      <c r="V346" s="107"/>
      <c r="W346" s="107"/>
      <c r="X346" s="107"/>
      <c r="Y346" s="107"/>
      <c r="Z346" s="112"/>
      <c r="AA346" s="112"/>
      <c r="AB346" s="112"/>
      <c r="AC346" s="112"/>
      <c r="AD346" s="112"/>
      <c r="AE346" s="112"/>
      <c r="AF346" s="112"/>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c r="BK346" s="124"/>
      <c r="BL346" s="124"/>
      <c r="BM346" s="124"/>
      <c r="BN346" s="124"/>
      <c r="BO346" s="124"/>
      <c r="BP346" s="124"/>
      <c r="BQ346" s="124"/>
      <c r="BR346" s="124"/>
      <c r="BS346" s="124"/>
      <c r="BT346" s="124"/>
      <c r="BU346" s="124"/>
      <c r="BV346" s="124"/>
      <c r="BW346" s="124"/>
      <c r="BX346" s="124"/>
      <c r="BY346" s="124"/>
      <c r="BZ346" s="124"/>
      <c r="CA346" s="124"/>
    </row>
    <row r="347">
      <c r="D347" s="143"/>
      <c r="E347" s="112"/>
      <c r="F347" s="112"/>
      <c r="G347" s="112"/>
      <c r="H347" s="112"/>
      <c r="I347" s="112"/>
      <c r="J347" s="112"/>
      <c r="K347" s="112"/>
      <c r="L347" s="112"/>
      <c r="M347" s="112"/>
      <c r="N347" s="112"/>
      <c r="O347" s="112"/>
      <c r="P347" s="112"/>
      <c r="Q347" s="112"/>
      <c r="R347" s="112"/>
      <c r="S347" s="112"/>
      <c r="T347" s="112"/>
      <c r="U347" s="107"/>
      <c r="V347" s="107"/>
      <c r="W347" s="107"/>
      <c r="X347" s="107"/>
      <c r="Y347" s="107"/>
      <c r="Z347" s="112"/>
      <c r="AA347" s="112"/>
      <c r="AB347" s="112"/>
      <c r="AC347" s="112"/>
      <c r="AD347" s="112"/>
      <c r="AE347" s="112"/>
      <c r="AF347" s="112"/>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c r="BK347" s="124"/>
      <c r="BL347" s="124"/>
      <c r="BM347" s="124"/>
      <c r="BN347" s="124"/>
      <c r="BO347" s="124"/>
      <c r="BP347" s="124"/>
      <c r="BQ347" s="124"/>
      <c r="BR347" s="124"/>
      <c r="BS347" s="124"/>
      <c r="BT347" s="124"/>
      <c r="BU347" s="124"/>
      <c r="BV347" s="124"/>
      <c r="BW347" s="124"/>
      <c r="BX347" s="124"/>
      <c r="BY347" s="124"/>
      <c r="BZ347" s="124"/>
      <c r="CA347" s="124"/>
    </row>
    <row r="348">
      <c r="D348" s="143"/>
      <c r="E348" s="112"/>
      <c r="F348" s="112"/>
      <c r="G348" s="112"/>
      <c r="H348" s="112"/>
      <c r="I348" s="112"/>
      <c r="J348" s="112"/>
      <c r="K348" s="112"/>
      <c r="L348" s="112"/>
      <c r="M348" s="112"/>
      <c r="N348" s="112"/>
      <c r="O348" s="112"/>
      <c r="P348" s="112"/>
      <c r="Q348" s="112"/>
      <c r="R348" s="112"/>
      <c r="S348" s="112"/>
      <c r="T348" s="112"/>
      <c r="U348" s="107"/>
      <c r="V348" s="107"/>
      <c r="W348" s="107"/>
      <c r="X348" s="107"/>
      <c r="Y348" s="107"/>
      <c r="Z348" s="112"/>
      <c r="AA348" s="112"/>
      <c r="AB348" s="112"/>
      <c r="AC348" s="112"/>
      <c r="AD348" s="112"/>
      <c r="AE348" s="112"/>
      <c r="AF348" s="112"/>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c r="BK348" s="124"/>
      <c r="BL348" s="124"/>
      <c r="BM348" s="124"/>
      <c r="BN348" s="124"/>
      <c r="BO348" s="124"/>
      <c r="BP348" s="124"/>
      <c r="BQ348" s="124"/>
      <c r="BR348" s="124"/>
      <c r="BS348" s="124"/>
      <c r="BT348" s="124"/>
      <c r="BU348" s="124"/>
      <c r="BV348" s="124"/>
      <c r="BW348" s="124"/>
      <c r="BX348" s="124"/>
      <c r="BY348" s="124"/>
      <c r="BZ348" s="124"/>
      <c r="CA348" s="124"/>
    </row>
    <row r="349">
      <c r="D349" s="143"/>
      <c r="E349" s="112"/>
      <c r="F349" s="112"/>
      <c r="G349" s="112"/>
      <c r="H349" s="112"/>
      <c r="I349" s="112"/>
      <c r="J349" s="112"/>
      <c r="K349" s="112"/>
      <c r="L349" s="112"/>
      <c r="M349" s="112"/>
      <c r="N349" s="112"/>
      <c r="O349" s="112"/>
      <c r="P349" s="112"/>
      <c r="Q349" s="112"/>
      <c r="R349" s="112"/>
      <c r="S349" s="112"/>
      <c r="T349" s="112"/>
      <c r="U349" s="107"/>
      <c r="V349" s="107"/>
      <c r="W349" s="107"/>
      <c r="X349" s="107"/>
      <c r="Y349" s="107"/>
      <c r="Z349" s="112"/>
      <c r="AA349" s="112"/>
      <c r="AB349" s="112"/>
      <c r="AC349" s="112"/>
      <c r="AD349" s="112"/>
      <c r="AE349" s="112"/>
      <c r="AF349" s="112"/>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c r="BK349" s="124"/>
      <c r="BL349" s="124"/>
      <c r="BM349" s="124"/>
      <c r="BN349" s="124"/>
      <c r="BO349" s="124"/>
      <c r="BP349" s="124"/>
      <c r="BQ349" s="124"/>
      <c r="BR349" s="124"/>
      <c r="BS349" s="124"/>
      <c r="BT349" s="124"/>
      <c r="BU349" s="124"/>
      <c r="BV349" s="124"/>
      <c r="BW349" s="124"/>
      <c r="BX349" s="124"/>
      <c r="BY349" s="124"/>
      <c r="BZ349" s="124"/>
      <c r="CA349" s="124"/>
    </row>
    <row r="350">
      <c r="D350" s="143"/>
      <c r="E350" s="112"/>
      <c r="F350" s="112"/>
      <c r="G350" s="112"/>
      <c r="H350" s="112"/>
      <c r="I350" s="112"/>
      <c r="J350" s="112"/>
      <c r="K350" s="112"/>
      <c r="L350" s="112"/>
      <c r="M350" s="112"/>
      <c r="N350" s="112"/>
      <c r="O350" s="112"/>
      <c r="P350" s="112"/>
      <c r="Q350" s="112"/>
      <c r="R350" s="112"/>
      <c r="S350" s="112"/>
      <c r="T350" s="112"/>
      <c r="U350" s="107"/>
      <c r="V350" s="107"/>
      <c r="W350" s="107"/>
      <c r="X350" s="107"/>
      <c r="Y350" s="107"/>
      <c r="Z350" s="112"/>
      <c r="AA350" s="112"/>
      <c r="AB350" s="112"/>
      <c r="AC350" s="112"/>
      <c r="AD350" s="112"/>
      <c r="AE350" s="112"/>
      <c r="AF350" s="112"/>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c r="BK350" s="124"/>
      <c r="BL350" s="124"/>
      <c r="BM350" s="124"/>
      <c r="BN350" s="124"/>
      <c r="BO350" s="124"/>
      <c r="BP350" s="124"/>
      <c r="BQ350" s="124"/>
      <c r="BR350" s="124"/>
      <c r="BS350" s="124"/>
      <c r="BT350" s="124"/>
      <c r="BU350" s="124"/>
      <c r="BV350" s="124"/>
      <c r="BW350" s="124"/>
      <c r="BX350" s="124"/>
      <c r="BY350" s="124"/>
      <c r="BZ350" s="124"/>
      <c r="CA350" s="124"/>
    </row>
    <row r="351">
      <c r="D351" s="143"/>
      <c r="E351" s="112"/>
      <c r="F351" s="112"/>
      <c r="G351" s="112"/>
      <c r="H351" s="112"/>
      <c r="I351" s="112"/>
      <c r="J351" s="112"/>
      <c r="K351" s="112"/>
      <c r="L351" s="112"/>
      <c r="M351" s="112"/>
      <c r="N351" s="112"/>
      <c r="O351" s="112"/>
      <c r="P351" s="112"/>
      <c r="Q351" s="112"/>
      <c r="R351" s="112"/>
      <c r="S351" s="112"/>
      <c r="T351" s="112"/>
      <c r="U351" s="107"/>
      <c r="V351" s="107"/>
      <c r="W351" s="107"/>
      <c r="X351" s="107"/>
      <c r="Y351" s="107"/>
      <c r="Z351" s="112"/>
      <c r="AA351" s="112"/>
      <c r="AB351" s="112"/>
      <c r="AC351" s="112"/>
      <c r="AD351" s="112"/>
      <c r="AE351" s="112"/>
      <c r="AF351" s="112"/>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c r="BK351" s="124"/>
      <c r="BL351" s="124"/>
      <c r="BM351" s="124"/>
      <c r="BN351" s="124"/>
      <c r="BO351" s="124"/>
      <c r="BP351" s="124"/>
      <c r="BQ351" s="124"/>
      <c r="BR351" s="124"/>
      <c r="BS351" s="124"/>
      <c r="BT351" s="124"/>
      <c r="BU351" s="124"/>
      <c r="BV351" s="124"/>
      <c r="BW351" s="124"/>
      <c r="BX351" s="124"/>
      <c r="BY351" s="124"/>
      <c r="BZ351" s="124"/>
      <c r="CA351" s="124"/>
    </row>
    <row r="352">
      <c r="D352" s="143"/>
      <c r="E352" s="112"/>
      <c r="F352" s="112"/>
      <c r="G352" s="112"/>
      <c r="H352" s="112"/>
      <c r="I352" s="112"/>
      <c r="J352" s="112"/>
      <c r="K352" s="112"/>
      <c r="L352" s="112"/>
      <c r="M352" s="112"/>
      <c r="N352" s="112"/>
      <c r="O352" s="112"/>
      <c r="P352" s="112"/>
      <c r="Q352" s="112"/>
      <c r="R352" s="112"/>
      <c r="S352" s="112"/>
      <c r="T352" s="112"/>
      <c r="U352" s="107"/>
      <c r="V352" s="107"/>
      <c r="W352" s="107"/>
      <c r="X352" s="107"/>
      <c r="Y352" s="107"/>
      <c r="Z352" s="112"/>
      <c r="AA352" s="112"/>
      <c r="AB352" s="112"/>
      <c r="AC352" s="112"/>
      <c r="AD352" s="112"/>
      <c r="AE352" s="112"/>
      <c r="AF352" s="112"/>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c r="BK352" s="124"/>
      <c r="BL352" s="124"/>
      <c r="BM352" s="124"/>
      <c r="BN352" s="124"/>
      <c r="BO352" s="124"/>
      <c r="BP352" s="124"/>
      <c r="BQ352" s="124"/>
      <c r="BR352" s="124"/>
      <c r="BS352" s="124"/>
      <c r="BT352" s="124"/>
      <c r="BU352" s="124"/>
      <c r="BV352" s="124"/>
      <c r="BW352" s="124"/>
      <c r="BX352" s="124"/>
      <c r="BY352" s="124"/>
      <c r="BZ352" s="124"/>
      <c r="CA352" s="124"/>
    </row>
    <row r="353">
      <c r="D353" s="143"/>
      <c r="E353" s="112"/>
      <c r="F353" s="112"/>
      <c r="G353" s="112"/>
      <c r="H353" s="112"/>
      <c r="I353" s="112"/>
      <c r="J353" s="112"/>
      <c r="K353" s="112"/>
      <c r="L353" s="112"/>
      <c r="M353" s="112"/>
      <c r="N353" s="112"/>
      <c r="O353" s="112"/>
      <c r="P353" s="112"/>
      <c r="Q353" s="112"/>
      <c r="R353" s="112"/>
      <c r="S353" s="112"/>
      <c r="T353" s="112"/>
      <c r="U353" s="107"/>
      <c r="V353" s="107"/>
      <c r="W353" s="107"/>
      <c r="X353" s="107"/>
      <c r="Y353" s="107"/>
      <c r="Z353" s="112"/>
      <c r="AA353" s="112"/>
      <c r="AB353" s="112"/>
      <c r="AC353" s="112"/>
      <c r="AD353" s="112"/>
      <c r="AE353" s="112"/>
      <c r="AF353" s="112"/>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c r="BK353" s="124"/>
      <c r="BL353" s="124"/>
      <c r="BM353" s="124"/>
      <c r="BN353" s="124"/>
      <c r="BO353" s="124"/>
      <c r="BP353" s="124"/>
      <c r="BQ353" s="124"/>
      <c r="BR353" s="124"/>
      <c r="BS353" s="124"/>
      <c r="BT353" s="124"/>
      <c r="BU353" s="124"/>
      <c r="BV353" s="124"/>
      <c r="BW353" s="124"/>
      <c r="BX353" s="124"/>
      <c r="BY353" s="124"/>
      <c r="BZ353" s="124"/>
      <c r="CA353" s="124"/>
    </row>
    <row r="354">
      <c r="D354" s="143"/>
      <c r="E354" s="112"/>
      <c r="F354" s="112"/>
      <c r="G354" s="112"/>
      <c r="H354" s="112"/>
      <c r="I354" s="112"/>
      <c r="J354" s="112"/>
      <c r="K354" s="112"/>
      <c r="L354" s="112"/>
      <c r="M354" s="112"/>
      <c r="N354" s="112"/>
      <c r="O354" s="112"/>
      <c r="P354" s="112"/>
      <c r="Q354" s="112"/>
      <c r="R354" s="112"/>
      <c r="S354" s="112"/>
      <c r="T354" s="112"/>
      <c r="U354" s="107"/>
      <c r="V354" s="107"/>
      <c r="W354" s="107"/>
      <c r="X354" s="107"/>
      <c r="Y354" s="107"/>
      <c r="Z354" s="112"/>
      <c r="AA354" s="112"/>
      <c r="AB354" s="112"/>
      <c r="AC354" s="112"/>
      <c r="AD354" s="112"/>
      <c r="AE354" s="112"/>
      <c r="AF354" s="112"/>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row>
    <row r="355">
      <c r="D355" s="143"/>
      <c r="E355" s="112"/>
      <c r="F355" s="112"/>
      <c r="G355" s="112"/>
      <c r="H355" s="112"/>
      <c r="I355" s="112"/>
      <c r="J355" s="112"/>
      <c r="K355" s="112"/>
      <c r="L355" s="112"/>
      <c r="M355" s="112"/>
      <c r="N355" s="112"/>
      <c r="O355" s="112"/>
      <c r="P355" s="112"/>
      <c r="Q355" s="112"/>
      <c r="R355" s="112"/>
      <c r="S355" s="112"/>
      <c r="T355" s="112"/>
      <c r="U355" s="107"/>
      <c r="V355" s="107"/>
      <c r="W355" s="107"/>
      <c r="X355" s="107"/>
      <c r="Y355" s="107"/>
      <c r="Z355" s="112"/>
      <c r="AA355" s="112"/>
      <c r="AB355" s="112"/>
      <c r="AC355" s="112"/>
      <c r="AD355" s="112"/>
      <c r="AE355" s="112"/>
      <c r="AF355" s="112"/>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c r="BK355" s="124"/>
      <c r="BL355" s="124"/>
      <c r="BM355" s="124"/>
      <c r="BN355" s="124"/>
      <c r="BO355" s="124"/>
      <c r="BP355" s="124"/>
      <c r="BQ355" s="124"/>
      <c r="BR355" s="124"/>
      <c r="BS355" s="124"/>
      <c r="BT355" s="124"/>
      <c r="BU355" s="124"/>
      <c r="BV355" s="124"/>
      <c r="BW355" s="124"/>
      <c r="BX355" s="124"/>
      <c r="BY355" s="124"/>
      <c r="BZ355" s="124"/>
      <c r="CA355" s="124"/>
    </row>
    <row r="356">
      <c r="D356" s="143"/>
      <c r="E356" s="112"/>
      <c r="F356" s="112"/>
      <c r="G356" s="112"/>
      <c r="H356" s="112"/>
      <c r="I356" s="112"/>
      <c r="J356" s="112"/>
      <c r="K356" s="112"/>
      <c r="L356" s="112"/>
      <c r="M356" s="112"/>
      <c r="N356" s="112"/>
      <c r="O356" s="112"/>
      <c r="P356" s="112"/>
      <c r="Q356" s="112"/>
      <c r="R356" s="112"/>
      <c r="S356" s="112"/>
      <c r="T356" s="112"/>
      <c r="U356" s="107"/>
      <c r="V356" s="107"/>
      <c r="W356" s="107"/>
      <c r="X356" s="107"/>
      <c r="Y356" s="107"/>
      <c r="Z356" s="112"/>
      <c r="AA356" s="112"/>
      <c r="AB356" s="112"/>
      <c r="AC356" s="112"/>
      <c r="AD356" s="112"/>
      <c r="AE356" s="112"/>
      <c r="AF356" s="112"/>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row>
    <row r="357">
      <c r="D357" s="143"/>
      <c r="E357" s="112"/>
      <c r="F357" s="112"/>
      <c r="G357" s="112"/>
      <c r="H357" s="112"/>
      <c r="I357" s="112"/>
      <c r="J357" s="112"/>
      <c r="K357" s="112"/>
      <c r="L357" s="112"/>
      <c r="M357" s="112"/>
      <c r="N357" s="112"/>
      <c r="O357" s="112"/>
      <c r="P357" s="112"/>
      <c r="Q357" s="112"/>
      <c r="R357" s="112"/>
      <c r="S357" s="112"/>
      <c r="T357" s="112"/>
      <c r="U357" s="107"/>
      <c r="V357" s="107"/>
      <c r="W357" s="107"/>
      <c r="X357" s="107"/>
      <c r="Y357" s="107"/>
      <c r="Z357" s="112"/>
      <c r="AA357" s="112"/>
      <c r="AB357" s="112"/>
      <c r="AC357" s="112"/>
      <c r="AD357" s="112"/>
      <c r="AE357" s="112"/>
      <c r="AF357" s="112"/>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c r="BK357" s="124"/>
      <c r="BL357" s="124"/>
      <c r="BM357" s="124"/>
      <c r="BN357" s="124"/>
      <c r="BO357" s="124"/>
      <c r="BP357" s="124"/>
      <c r="BQ357" s="124"/>
      <c r="BR357" s="124"/>
      <c r="BS357" s="124"/>
      <c r="BT357" s="124"/>
      <c r="BU357" s="124"/>
      <c r="BV357" s="124"/>
      <c r="BW357" s="124"/>
      <c r="BX357" s="124"/>
      <c r="BY357" s="124"/>
      <c r="BZ357" s="124"/>
      <c r="CA357" s="124"/>
    </row>
    <row r="358">
      <c r="D358" s="143"/>
      <c r="E358" s="112"/>
      <c r="F358" s="112"/>
      <c r="G358" s="112"/>
      <c r="H358" s="112"/>
      <c r="I358" s="112"/>
      <c r="J358" s="112"/>
      <c r="K358" s="112"/>
      <c r="L358" s="112"/>
      <c r="M358" s="112"/>
      <c r="N358" s="112"/>
      <c r="O358" s="112"/>
      <c r="P358" s="112"/>
      <c r="Q358" s="112"/>
      <c r="R358" s="112"/>
      <c r="S358" s="112"/>
      <c r="T358" s="112"/>
      <c r="U358" s="107"/>
      <c r="V358" s="107"/>
      <c r="W358" s="107"/>
      <c r="X358" s="107"/>
      <c r="Y358" s="107"/>
      <c r="Z358" s="112"/>
      <c r="AA358" s="112"/>
      <c r="AB358" s="112"/>
      <c r="AC358" s="112"/>
      <c r="AD358" s="112"/>
      <c r="AE358" s="112"/>
      <c r="AF358" s="112"/>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c r="BK358" s="124"/>
      <c r="BL358" s="124"/>
      <c r="BM358" s="124"/>
      <c r="BN358" s="124"/>
      <c r="BO358" s="124"/>
      <c r="BP358" s="124"/>
      <c r="BQ358" s="124"/>
      <c r="BR358" s="124"/>
      <c r="BS358" s="124"/>
      <c r="BT358" s="124"/>
      <c r="BU358" s="124"/>
      <c r="BV358" s="124"/>
      <c r="BW358" s="124"/>
      <c r="BX358" s="124"/>
      <c r="BY358" s="124"/>
      <c r="BZ358" s="124"/>
      <c r="CA358" s="124"/>
    </row>
    <row r="359">
      <c r="D359" s="143"/>
      <c r="E359" s="112"/>
      <c r="F359" s="112"/>
      <c r="G359" s="112"/>
      <c r="H359" s="112"/>
      <c r="I359" s="112"/>
      <c r="J359" s="112"/>
      <c r="K359" s="112"/>
      <c r="L359" s="112"/>
      <c r="M359" s="112"/>
      <c r="N359" s="112"/>
      <c r="O359" s="112"/>
      <c r="P359" s="112"/>
      <c r="Q359" s="112"/>
      <c r="R359" s="112"/>
      <c r="S359" s="112"/>
      <c r="T359" s="112"/>
      <c r="U359" s="107"/>
      <c r="V359" s="107"/>
      <c r="W359" s="107"/>
      <c r="X359" s="107"/>
      <c r="Y359" s="107"/>
      <c r="Z359" s="112"/>
      <c r="AA359" s="112"/>
      <c r="AB359" s="112"/>
      <c r="AC359" s="112"/>
      <c r="AD359" s="112"/>
      <c r="AE359" s="112"/>
      <c r="AF359" s="112"/>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c r="BK359" s="124"/>
      <c r="BL359" s="124"/>
      <c r="BM359" s="124"/>
      <c r="BN359" s="124"/>
      <c r="BO359" s="124"/>
      <c r="BP359" s="124"/>
      <c r="BQ359" s="124"/>
      <c r="BR359" s="124"/>
      <c r="BS359" s="124"/>
      <c r="BT359" s="124"/>
      <c r="BU359" s="124"/>
      <c r="BV359" s="124"/>
      <c r="BW359" s="124"/>
      <c r="BX359" s="124"/>
      <c r="BY359" s="124"/>
      <c r="BZ359" s="124"/>
      <c r="CA359" s="124"/>
    </row>
    <row r="360">
      <c r="D360" s="143"/>
      <c r="E360" s="112"/>
      <c r="F360" s="112"/>
      <c r="G360" s="112"/>
      <c r="H360" s="112"/>
      <c r="I360" s="112"/>
      <c r="J360" s="112"/>
      <c r="K360" s="112"/>
      <c r="L360" s="112"/>
      <c r="M360" s="112"/>
      <c r="N360" s="112"/>
      <c r="O360" s="112"/>
      <c r="P360" s="112"/>
      <c r="Q360" s="112"/>
      <c r="R360" s="112"/>
      <c r="S360" s="112"/>
      <c r="T360" s="112"/>
      <c r="U360" s="107"/>
      <c r="V360" s="107"/>
      <c r="W360" s="107"/>
      <c r="X360" s="107"/>
      <c r="Y360" s="107"/>
      <c r="Z360" s="112"/>
      <c r="AA360" s="112"/>
      <c r="AB360" s="112"/>
      <c r="AC360" s="112"/>
      <c r="AD360" s="112"/>
      <c r="AE360" s="112"/>
      <c r="AF360" s="112"/>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row>
    <row r="361">
      <c r="D361" s="143"/>
      <c r="E361" s="112"/>
      <c r="F361" s="112"/>
      <c r="G361" s="112"/>
      <c r="H361" s="112"/>
      <c r="I361" s="112"/>
      <c r="J361" s="112"/>
      <c r="K361" s="112"/>
      <c r="L361" s="112"/>
      <c r="M361" s="112"/>
      <c r="N361" s="112"/>
      <c r="O361" s="112"/>
      <c r="P361" s="112"/>
      <c r="Q361" s="112"/>
      <c r="R361" s="112"/>
      <c r="S361" s="112"/>
      <c r="T361" s="112"/>
      <c r="U361" s="107"/>
      <c r="V361" s="107"/>
      <c r="W361" s="107"/>
      <c r="X361" s="107"/>
      <c r="Y361" s="107"/>
      <c r="Z361" s="112"/>
      <c r="AA361" s="112"/>
      <c r="AB361" s="112"/>
      <c r="AC361" s="112"/>
      <c r="AD361" s="112"/>
      <c r="AE361" s="112"/>
      <c r="AF361" s="112"/>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c r="BK361" s="124"/>
      <c r="BL361" s="124"/>
      <c r="BM361" s="124"/>
      <c r="BN361" s="124"/>
      <c r="BO361" s="124"/>
      <c r="BP361" s="124"/>
      <c r="BQ361" s="124"/>
      <c r="BR361" s="124"/>
      <c r="BS361" s="124"/>
      <c r="BT361" s="124"/>
      <c r="BU361" s="124"/>
      <c r="BV361" s="124"/>
      <c r="BW361" s="124"/>
      <c r="BX361" s="124"/>
      <c r="BY361" s="124"/>
      <c r="BZ361" s="124"/>
      <c r="CA361" s="124"/>
    </row>
    <row r="362">
      <c r="D362" s="143"/>
      <c r="E362" s="168"/>
      <c r="F362" s="112"/>
      <c r="G362" s="112"/>
      <c r="H362" s="112"/>
      <c r="I362" s="112"/>
      <c r="J362" s="112"/>
      <c r="K362" s="112"/>
      <c r="L362" s="112"/>
      <c r="M362" s="112"/>
      <c r="N362" s="112"/>
      <c r="O362" s="112"/>
      <c r="P362" s="112"/>
      <c r="Q362" s="112"/>
      <c r="R362" s="112"/>
      <c r="S362" s="112"/>
      <c r="T362" s="112"/>
      <c r="U362" s="107"/>
      <c r="V362" s="107"/>
      <c r="W362" s="107"/>
      <c r="X362" s="107"/>
      <c r="Y362" s="107"/>
      <c r="Z362" s="112"/>
      <c r="AA362" s="112"/>
      <c r="AB362" s="112"/>
      <c r="AC362" s="112"/>
      <c r="AD362" s="112"/>
      <c r="AE362" s="112"/>
      <c r="AF362" s="112"/>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row>
    <row r="363">
      <c r="D363" s="143"/>
      <c r="E363" s="168"/>
      <c r="F363" s="112"/>
      <c r="G363" s="112"/>
      <c r="H363" s="112"/>
      <c r="I363" s="112"/>
      <c r="J363" s="112"/>
      <c r="K363" s="112"/>
      <c r="L363" s="112"/>
      <c r="M363" s="112"/>
      <c r="N363" s="112"/>
      <c r="O363" s="112"/>
      <c r="P363" s="112"/>
      <c r="Q363" s="112"/>
      <c r="R363" s="112"/>
      <c r="S363" s="112"/>
      <c r="T363" s="112"/>
      <c r="U363" s="107"/>
      <c r="V363" s="107"/>
      <c r="W363" s="107"/>
      <c r="X363" s="107"/>
      <c r="Y363" s="107"/>
      <c r="Z363" s="112"/>
      <c r="AA363" s="112"/>
      <c r="AB363" s="112"/>
      <c r="AC363" s="112"/>
      <c r="AD363" s="112"/>
      <c r="AE363" s="112"/>
      <c r="AF363" s="112"/>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c r="BK363" s="124"/>
      <c r="BL363" s="124"/>
      <c r="BM363" s="124"/>
      <c r="BN363" s="124"/>
      <c r="BO363" s="124"/>
      <c r="BP363" s="124"/>
      <c r="BQ363" s="124"/>
      <c r="BR363" s="124"/>
      <c r="BS363" s="124"/>
      <c r="BT363" s="124"/>
      <c r="BU363" s="124"/>
      <c r="BV363" s="124"/>
      <c r="BW363" s="124"/>
      <c r="BX363" s="124"/>
      <c r="BY363" s="124"/>
      <c r="BZ363" s="124"/>
      <c r="CA363" s="124"/>
    </row>
    <row r="364">
      <c r="D364" s="143"/>
      <c r="E364" s="168"/>
      <c r="F364" s="112"/>
      <c r="G364" s="112"/>
      <c r="H364" s="112"/>
      <c r="I364" s="112"/>
      <c r="J364" s="112"/>
      <c r="K364" s="112"/>
      <c r="L364" s="112"/>
      <c r="M364" s="112"/>
      <c r="N364" s="112"/>
      <c r="O364" s="112"/>
      <c r="P364" s="112"/>
      <c r="Q364" s="112"/>
      <c r="R364" s="112"/>
      <c r="S364" s="112"/>
      <c r="T364" s="112"/>
      <c r="U364" s="107"/>
      <c r="V364" s="107"/>
      <c r="W364" s="107"/>
      <c r="X364" s="107"/>
      <c r="Y364" s="107"/>
      <c r="Z364" s="112"/>
      <c r="AA364" s="112"/>
      <c r="AB364" s="112"/>
      <c r="AC364" s="112"/>
      <c r="AD364" s="112"/>
      <c r="AE364" s="112"/>
      <c r="AF364" s="112"/>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124"/>
      <c r="BY364" s="124"/>
      <c r="BZ364" s="124"/>
      <c r="CA364" s="124"/>
    </row>
    <row r="365">
      <c r="D365" s="143"/>
      <c r="E365" s="168"/>
      <c r="F365" s="112"/>
      <c r="G365" s="112"/>
      <c r="H365" s="112"/>
      <c r="I365" s="112"/>
      <c r="J365" s="112"/>
      <c r="K365" s="112"/>
      <c r="L365" s="112"/>
      <c r="M365" s="112"/>
      <c r="N365" s="112"/>
      <c r="O365" s="112"/>
      <c r="P365" s="112"/>
      <c r="Q365" s="112"/>
      <c r="R365" s="112"/>
      <c r="S365" s="112"/>
      <c r="T365" s="112"/>
      <c r="U365" s="107"/>
      <c r="V365" s="107"/>
      <c r="W365" s="107"/>
      <c r="X365" s="107"/>
      <c r="Y365" s="107"/>
      <c r="Z365" s="112"/>
      <c r="AA365" s="112"/>
      <c r="AB365" s="112"/>
      <c r="AC365" s="112"/>
      <c r="AD365" s="112"/>
      <c r="AE365" s="112"/>
      <c r="AF365" s="112"/>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c r="BK365" s="124"/>
      <c r="BL365" s="124"/>
      <c r="BM365" s="124"/>
      <c r="BN365" s="124"/>
      <c r="BO365" s="124"/>
      <c r="BP365" s="124"/>
      <c r="BQ365" s="124"/>
      <c r="BR365" s="124"/>
      <c r="BS365" s="124"/>
      <c r="BT365" s="124"/>
      <c r="BU365" s="124"/>
      <c r="BV365" s="124"/>
      <c r="BW365" s="124"/>
      <c r="BX365" s="124"/>
      <c r="BY365" s="124"/>
      <c r="BZ365" s="124"/>
      <c r="CA365" s="124"/>
    </row>
    <row r="366">
      <c r="D366" s="143"/>
      <c r="E366" s="168"/>
      <c r="F366" s="112"/>
      <c r="G366" s="112"/>
      <c r="H366" s="112"/>
      <c r="I366" s="112"/>
      <c r="J366" s="112"/>
      <c r="K366" s="112"/>
      <c r="L366" s="112"/>
      <c r="M366" s="112"/>
      <c r="N366" s="112"/>
      <c r="O366" s="112"/>
      <c r="P366" s="112"/>
      <c r="Q366" s="112"/>
      <c r="R366" s="112"/>
      <c r="S366" s="112"/>
      <c r="T366" s="112"/>
      <c r="U366" s="107"/>
      <c r="V366" s="107"/>
      <c r="W366" s="107"/>
      <c r="X366" s="107"/>
      <c r="Y366" s="107"/>
      <c r="Z366" s="112"/>
      <c r="AA366" s="112"/>
      <c r="AB366" s="112"/>
      <c r="AC366" s="112"/>
      <c r="AD366" s="112"/>
      <c r="AE366" s="112"/>
      <c r="AF366" s="112"/>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row>
    <row r="367">
      <c r="D367" s="143"/>
      <c r="E367" s="168"/>
      <c r="F367" s="112"/>
      <c r="G367" s="112"/>
      <c r="H367" s="112"/>
      <c r="I367" s="112"/>
      <c r="J367" s="112"/>
      <c r="K367" s="112"/>
      <c r="L367" s="112"/>
      <c r="M367" s="112"/>
      <c r="N367" s="112"/>
      <c r="O367" s="112"/>
      <c r="P367" s="112"/>
      <c r="Q367" s="112"/>
      <c r="R367" s="112"/>
      <c r="S367" s="112"/>
      <c r="T367" s="112"/>
      <c r="U367" s="107"/>
      <c r="V367" s="107"/>
      <c r="W367" s="107"/>
      <c r="X367" s="107"/>
      <c r="Y367" s="107"/>
      <c r="Z367" s="112"/>
      <c r="AA367" s="112"/>
      <c r="AB367" s="112"/>
      <c r="AC367" s="112"/>
      <c r="AD367" s="112"/>
      <c r="AE367" s="112"/>
      <c r="AF367" s="112"/>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c r="BK367" s="124"/>
      <c r="BL367" s="124"/>
      <c r="BM367" s="124"/>
      <c r="BN367" s="124"/>
      <c r="BO367" s="124"/>
      <c r="BP367" s="124"/>
      <c r="BQ367" s="124"/>
      <c r="BR367" s="124"/>
      <c r="BS367" s="124"/>
      <c r="BT367" s="124"/>
      <c r="BU367" s="124"/>
      <c r="BV367" s="124"/>
      <c r="BW367" s="124"/>
      <c r="BX367" s="124"/>
      <c r="BY367" s="124"/>
      <c r="BZ367" s="124"/>
      <c r="CA367" s="124"/>
    </row>
    <row r="368">
      <c r="D368" s="143"/>
      <c r="E368" s="168"/>
      <c r="F368" s="112"/>
      <c r="G368" s="112"/>
      <c r="H368" s="112"/>
      <c r="I368" s="112"/>
      <c r="J368" s="112"/>
      <c r="K368" s="112"/>
      <c r="L368" s="112"/>
      <c r="M368" s="112"/>
      <c r="N368" s="112"/>
      <c r="O368" s="112"/>
      <c r="P368" s="112"/>
      <c r="Q368" s="112"/>
      <c r="R368" s="112"/>
      <c r="S368" s="112"/>
      <c r="T368" s="112"/>
      <c r="U368" s="107"/>
      <c r="V368" s="107"/>
      <c r="W368" s="107"/>
      <c r="X368" s="107"/>
      <c r="Y368" s="107"/>
      <c r="Z368" s="112"/>
      <c r="AA368" s="112"/>
      <c r="AB368" s="112"/>
      <c r="AC368" s="112"/>
      <c r="AD368" s="112"/>
      <c r="AE368" s="112"/>
      <c r="AF368" s="112"/>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row>
    <row r="369">
      <c r="D369" s="143"/>
      <c r="E369" s="168"/>
      <c r="F369" s="112"/>
      <c r="G369" s="112"/>
      <c r="H369" s="112"/>
      <c r="I369" s="112"/>
      <c r="J369" s="112"/>
      <c r="K369" s="112"/>
      <c r="L369" s="112"/>
      <c r="M369" s="112"/>
      <c r="N369" s="112"/>
      <c r="O369" s="112"/>
      <c r="P369" s="112"/>
      <c r="Q369" s="112"/>
      <c r="R369" s="112"/>
      <c r="S369" s="112"/>
      <c r="T369" s="112"/>
      <c r="U369" s="107"/>
      <c r="V369" s="107"/>
      <c r="W369" s="107"/>
      <c r="X369" s="107"/>
      <c r="Y369" s="107"/>
      <c r="Z369" s="112"/>
      <c r="AA369" s="112"/>
      <c r="AB369" s="112"/>
      <c r="AC369" s="112"/>
      <c r="AD369" s="112"/>
      <c r="AE369" s="112"/>
      <c r="AF369" s="112"/>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row>
    <row r="370">
      <c r="D370" s="143"/>
      <c r="E370" s="168"/>
      <c r="F370" s="112"/>
      <c r="G370" s="112"/>
      <c r="H370" s="112"/>
      <c r="I370" s="112"/>
      <c r="J370" s="112"/>
      <c r="K370" s="112"/>
      <c r="L370" s="112"/>
      <c r="M370" s="112"/>
      <c r="N370" s="112"/>
      <c r="O370" s="112"/>
      <c r="P370" s="112"/>
      <c r="Q370" s="112"/>
      <c r="R370" s="112"/>
      <c r="S370" s="112"/>
      <c r="T370" s="112"/>
      <c r="U370" s="107"/>
      <c r="V370" s="107"/>
      <c r="W370" s="107"/>
      <c r="X370" s="107"/>
      <c r="Y370" s="107"/>
      <c r="Z370" s="112"/>
      <c r="AA370" s="112"/>
      <c r="AB370" s="112"/>
      <c r="AC370" s="112"/>
      <c r="AD370" s="112"/>
      <c r="AE370" s="112"/>
      <c r="AF370" s="112"/>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c r="BK370" s="124"/>
      <c r="BL370" s="124"/>
      <c r="BM370" s="124"/>
      <c r="BN370" s="124"/>
      <c r="BO370" s="124"/>
      <c r="BP370" s="124"/>
      <c r="BQ370" s="124"/>
      <c r="BR370" s="124"/>
      <c r="BS370" s="124"/>
      <c r="BT370" s="124"/>
      <c r="BU370" s="124"/>
      <c r="BV370" s="124"/>
      <c r="BW370" s="124"/>
      <c r="BX370" s="124"/>
      <c r="BY370" s="124"/>
      <c r="BZ370" s="124"/>
      <c r="CA370" s="124"/>
    </row>
    <row r="371">
      <c r="D371" s="143"/>
      <c r="E371" s="168"/>
      <c r="F371" s="112"/>
      <c r="G371" s="112"/>
      <c r="H371" s="112"/>
      <c r="I371" s="112"/>
      <c r="J371" s="112"/>
      <c r="K371" s="112"/>
      <c r="L371" s="112"/>
      <c r="M371" s="112"/>
      <c r="N371" s="112"/>
      <c r="O371" s="112"/>
      <c r="P371" s="112"/>
      <c r="Q371" s="112"/>
      <c r="R371" s="112"/>
      <c r="S371" s="112"/>
      <c r="T371" s="112"/>
      <c r="U371" s="107"/>
      <c r="V371" s="107"/>
      <c r="W371" s="107"/>
      <c r="X371" s="107"/>
      <c r="Y371" s="107"/>
      <c r="Z371" s="112"/>
      <c r="AA371" s="112"/>
      <c r="AB371" s="112"/>
      <c r="AC371" s="112"/>
      <c r="AD371" s="112"/>
      <c r="AE371" s="112"/>
      <c r="AF371" s="112"/>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c r="BK371" s="124"/>
      <c r="BL371" s="124"/>
      <c r="BM371" s="124"/>
      <c r="BN371" s="124"/>
      <c r="BO371" s="124"/>
      <c r="BP371" s="124"/>
      <c r="BQ371" s="124"/>
      <c r="BR371" s="124"/>
      <c r="BS371" s="124"/>
      <c r="BT371" s="124"/>
      <c r="BU371" s="124"/>
      <c r="BV371" s="124"/>
      <c r="BW371" s="124"/>
      <c r="BX371" s="124"/>
      <c r="BY371" s="124"/>
      <c r="BZ371" s="124"/>
      <c r="CA371" s="124"/>
    </row>
    <row r="372">
      <c r="D372" s="143"/>
      <c r="E372" s="168"/>
      <c r="F372" s="112"/>
      <c r="G372" s="112"/>
      <c r="H372" s="112"/>
      <c r="I372" s="112"/>
      <c r="J372" s="112"/>
      <c r="K372" s="112"/>
      <c r="L372" s="112"/>
      <c r="M372" s="112"/>
      <c r="N372" s="112"/>
      <c r="O372" s="112"/>
      <c r="P372" s="112"/>
      <c r="Q372" s="112"/>
      <c r="R372" s="112"/>
      <c r="S372" s="112"/>
      <c r="T372" s="112"/>
      <c r="U372" s="107"/>
      <c r="V372" s="107"/>
      <c r="W372" s="107"/>
      <c r="X372" s="107"/>
      <c r="Y372" s="107"/>
      <c r="Z372" s="112"/>
      <c r="AA372" s="112"/>
      <c r="AB372" s="112"/>
      <c r="AC372" s="112"/>
      <c r="AD372" s="112"/>
      <c r="AE372" s="112"/>
      <c r="AF372" s="112"/>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row>
    <row r="373">
      <c r="D373" s="143"/>
      <c r="E373" s="168"/>
      <c r="F373" s="112"/>
      <c r="G373" s="112"/>
      <c r="H373" s="112"/>
      <c r="I373" s="112"/>
      <c r="J373" s="112"/>
      <c r="K373" s="112"/>
      <c r="L373" s="112"/>
      <c r="M373" s="112"/>
      <c r="N373" s="112"/>
      <c r="O373" s="112"/>
      <c r="P373" s="112"/>
      <c r="Q373" s="112"/>
      <c r="R373" s="112"/>
      <c r="S373" s="112"/>
      <c r="T373" s="112"/>
      <c r="U373" s="107"/>
      <c r="V373" s="107"/>
      <c r="W373" s="107"/>
      <c r="X373" s="107"/>
      <c r="Y373" s="107"/>
      <c r="Z373" s="112"/>
      <c r="AA373" s="112"/>
      <c r="AB373" s="112"/>
      <c r="AC373" s="112"/>
      <c r="AD373" s="112"/>
      <c r="AE373" s="112"/>
      <c r="AF373" s="112"/>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c r="BK373" s="124"/>
      <c r="BL373" s="124"/>
      <c r="BM373" s="124"/>
      <c r="BN373" s="124"/>
      <c r="BO373" s="124"/>
      <c r="BP373" s="124"/>
      <c r="BQ373" s="124"/>
      <c r="BR373" s="124"/>
      <c r="BS373" s="124"/>
      <c r="BT373" s="124"/>
      <c r="BU373" s="124"/>
      <c r="BV373" s="124"/>
      <c r="BW373" s="124"/>
      <c r="BX373" s="124"/>
      <c r="BY373" s="124"/>
      <c r="BZ373" s="124"/>
      <c r="CA373" s="124"/>
    </row>
    <row r="374">
      <c r="D374" s="143"/>
      <c r="E374" s="168"/>
      <c r="F374" s="112"/>
      <c r="G374" s="112"/>
      <c r="H374" s="112"/>
      <c r="I374" s="112"/>
      <c r="J374" s="112"/>
      <c r="K374" s="112"/>
      <c r="L374" s="112"/>
      <c r="M374" s="112"/>
      <c r="N374" s="112"/>
      <c r="O374" s="112"/>
      <c r="P374" s="112"/>
      <c r="Q374" s="112"/>
      <c r="R374" s="112"/>
      <c r="S374" s="112"/>
      <c r="T374" s="112"/>
      <c r="U374" s="107"/>
      <c r="V374" s="107"/>
      <c r="W374" s="107"/>
      <c r="X374" s="107"/>
      <c r="Y374" s="107"/>
      <c r="Z374" s="112"/>
      <c r="AA374" s="112"/>
      <c r="AB374" s="112"/>
      <c r="AC374" s="112"/>
      <c r="AD374" s="112"/>
      <c r="AE374" s="112"/>
      <c r="AF374" s="112"/>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row>
    <row r="375">
      <c r="D375" s="143"/>
      <c r="E375" s="168"/>
      <c r="F375" s="112"/>
      <c r="G375" s="112"/>
      <c r="H375" s="112"/>
      <c r="I375" s="112"/>
      <c r="J375" s="112"/>
      <c r="K375" s="112"/>
      <c r="L375" s="112"/>
      <c r="M375" s="112"/>
      <c r="N375" s="112"/>
      <c r="O375" s="112"/>
      <c r="P375" s="112"/>
      <c r="Q375" s="112"/>
      <c r="R375" s="112"/>
      <c r="S375" s="112"/>
      <c r="T375" s="112"/>
      <c r="U375" s="107"/>
      <c r="V375" s="107"/>
      <c r="W375" s="107"/>
      <c r="X375" s="107"/>
      <c r="Y375" s="107"/>
      <c r="Z375" s="112"/>
      <c r="AA375" s="112"/>
      <c r="AB375" s="112"/>
      <c r="AC375" s="112"/>
      <c r="AD375" s="112"/>
      <c r="AE375" s="112"/>
      <c r="AF375" s="112"/>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c r="BK375" s="124"/>
      <c r="BL375" s="124"/>
      <c r="BM375" s="124"/>
      <c r="BN375" s="124"/>
      <c r="BO375" s="124"/>
      <c r="BP375" s="124"/>
      <c r="BQ375" s="124"/>
      <c r="BR375" s="124"/>
      <c r="BS375" s="124"/>
      <c r="BT375" s="124"/>
      <c r="BU375" s="124"/>
      <c r="BV375" s="124"/>
      <c r="BW375" s="124"/>
      <c r="BX375" s="124"/>
      <c r="BY375" s="124"/>
      <c r="BZ375" s="124"/>
      <c r="CA375" s="124"/>
    </row>
    <row r="376">
      <c r="D376" s="143"/>
      <c r="E376" s="168"/>
      <c r="F376" s="112"/>
      <c r="G376" s="112"/>
      <c r="H376" s="112"/>
      <c r="I376" s="112"/>
      <c r="J376" s="112"/>
      <c r="K376" s="112"/>
      <c r="L376" s="112"/>
      <c r="M376" s="112"/>
      <c r="N376" s="112"/>
      <c r="O376" s="112"/>
      <c r="P376" s="112"/>
      <c r="Q376" s="112"/>
      <c r="R376" s="112"/>
      <c r="S376" s="112"/>
      <c r="T376" s="112"/>
      <c r="U376" s="107"/>
      <c r="V376" s="107"/>
      <c r="W376" s="107"/>
      <c r="X376" s="107"/>
      <c r="Y376" s="107"/>
      <c r="Z376" s="112"/>
      <c r="AA376" s="112"/>
      <c r="AB376" s="112"/>
      <c r="AC376" s="112"/>
      <c r="AD376" s="112"/>
      <c r="AE376" s="112"/>
      <c r="AF376" s="112"/>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c r="BK376" s="124"/>
      <c r="BL376" s="124"/>
      <c r="BM376" s="124"/>
      <c r="BN376" s="124"/>
      <c r="BO376" s="124"/>
      <c r="BP376" s="124"/>
      <c r="BQ376" s="124"/>
      <c r="BR376" s="124"/>
      <c r="BS376" s="124"/>
      <c r="BT376" s="124"/>
      <c r="BU376" s="124"/>
      <c r="BV376" s="124"/>
      <c r="BW376" s="124"/>
      <c r="BX376" s="124"/>
      <c r="BY376" s="124"/>
      <c r="BZ376" s="124"/>
      <c r="CA376" s="124"/>
    </row>
    <row r="377">
      <c r="D377" s="143"/>
      <c r="E377" s="168"/>
      <c r="F377" s="112"/>
      <c r="G377" s="112"/>
      <c r="H377" s="112"/>
      <c r="I377" s="112"/>
      <c r="J377" s="112"/>
      <c r="K377" s="112"/>
      <c r="L377" s="112"/>
      <c r="M377" s="112"/>
      <c r="N377" s="112"/>
      <c r="O377" s="112"/>
      <c r="P377" s="112"/>
      <c r="Q377" s="112"/>
      <c r="R377" s="112"/>
      <c r="S377" s="112"/>
      <c r="T377" s="112"/>
      <c r="U377" s="107"/>
      <c r="V377" s="107"/>
      <c r="W377" s="107"/>
      <c r="X377" s="107"/>
      <c r="Y377" s="107"/>
      <c r="Z377" s="112"/>
      <c r="AA377" s="112"/>
      <c r="AB377" s="112"/>
      <c r="AC377" s="112"/>
      <c r="AD377" s="112"/>
      <c r="AE377" s="112"/>
      <c r="AF377" s="112"/>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c r="BK377" s="124"/>
      <c r="BL377" s="124"/>
      <c r="BM377" s="124"/>
      <c r="BN377" s="124"/>
      <c r="BO377" s="124"/>
      <c r="BP377" s="124"/>
      <c r="BQ377" s="124"/>
      <c r="BR377" s="124"/>
      <c r="BS377" s="124"/>
      <c r="BT377" s="124"/>
      <c r="BU377" s="124"/>
      <c r="BV377" s="124"/>
      <c r="BW377" s="124"/>
      <c r="BX377" s="124"/>
      <c r="BY377" s="124"/>
      <c r="BZ377" s="124"/>
      <c r="CA377" s="124"/>
    </row>
    <row r="378">
      <c r="D378" s="143"/>
      <c r="E378" s="168"/>
      <c r="F378" s="112"/>
      <c r="G378" s="112"/>
      <c r="H378" s="112"/>
      <c r="I378" s="112"/>
      <c r="J378" s="112"/>
      <c r="K378" s="112"/>
      <c r="L378" s="112"/>
      <c r="M378" s="112"/>
      <c r="N378" s="112"/>
      <c r="O378" s="112"/>
      <c r="P378" s="112"/>
      <c r="Q378" s="112"/>
      <c r="R378" s="112"/>
      <c r="S378" s="112"/>
      <c r="T378" s="112"/>
      <c r="U378" s="107"/>
      <c r="V378" s="107"/>
      <c r="W378" s="107"/>
      <c r="X378" s="107"/>
      <c r="Y378" s="107"/>
      <c r="Z378" s="112"/>
      <c r="AA378" s="112"/>
      <c r="AB378" s="112"/>
      <c r="AC378" s="112"/>
      <c r="AD378" s="112"/>
      <c r="AE378" s="112"/>
      <c r="AF378" s="112"/>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row>
    <row r="379">
      <c r="D379" s="143"/>
      <c r="E379" s="168"/>
      <c r="F379" s="112"/>
      <c r="G379" s="112"/>
      <c r="H379" s="112"/>
      <c r="I379" s="112"/>
      <c r="J379" s="112"/>
      <c r="K379" s="112"/>
      <c r="L379" s="112"/>
      <c r="M379" s="112"/>
      <c r="N379" s="112"/>
      <c r="O379" s="112"/>
      <c r="P379" s="112"/>
      <c r="Q379" s="112"/>
      <c r="R379" s="112"/>
      <c r="S379" s="112"/>
      <c r="T379" s="112"/>
      <c r="U379" s="107"/>
      <c r="V379" s="107"/>
      <c r="W379" s="107"/>
      <c r="X379" s="107"/>
      <c r="Y379" s="107"/>
      <c r="Z379" s="112"/>
      <c r="AA379" s="112"/>
      <c r="AB379" s="112"/>
      <c r="AC379" s="112"/>
      <c r="AD379" s="112"/>
      <c r="AE379" s="112"/>
      <c r="AF379" s="112"/>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c r="BK379" s="124"/>
      <c r="BL379" s="124"/>
      <c r="BM379" s="124"/>
      <c r="BN379" s="124"/>
      <c r="BO379" s="124"/>
      <c r="BP379" s="124"/>
      <c r="BQ379" s="124"/>
      <c r="BR379" s="124"/>
      <c r="BS379" s="124"/>
      <c r="BT379" s="124"/>
      <c r="BU379" s="124"/>
      <c r="BV379" s="124"/>
      <c r="BW379" s="124"/>
      <c r="BX379" s="124"/>
      <c r="BY379" s="124"/>
      <c r="BZ379" s="124"/>
      <c r="CA379" s="124"/>
    </row>
    <row r="380">
      <c r="D380" s="143"/>
      <c r="E380" s="168"/>
      <c r="F380" s="112"/>
      <c r="G380" s="112"/>
      <c r="H380" s="112"/>
      <c r="I380" s="112"/>
      <c r="J380" s="112"/>
      <c r="K380" s="112"/>
      <c r="L380" s="112"/>
      <c r="M380" s="112"/>
      <c r="N380" s="112"/>
      <c r="O380" s="112"/>
      <c r="P380" s="112"/>
      <c r="Q380" s="112"/>
      <c r="R380" s="112"/>
      <c r="S380" s="112"/>
      <c r="T380" s="112"/>
      <c r="U380" s="107"/>
      <c r="V380" s="107"/>
      <c r="W380" s="107"/>
      <c r="X380" s="107"/>
      <c r="Y380" s="107"/>
      <c r="Z380" s="112"/>
      <c r="AA380" s="112"/>
      <c r="AB380" s="112"/>
      <c r="AC380" s="112"/>
      <c r="AD380" s="112"/>
      <c r="AE380" s="112"/>
      <c r="AF380" s="112"/>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c r="BK380" s="124"/>
      <c r="BL380" s="124"/>
      <c r="BM380" s="124"/>
      <c r="BN380" s="124"/>
      <c r="BO380" s="124"/>
      <c r="BP380" s="124"/>
      <c r="BQ380" s="124"/>
      <c r="BR380" s="124"/>
      <c r="BS380" s="124"/>
      <c r="BT380" s="124"/>
      <c r="BU380" s="124"/>
      <c r="BV380" s="124"/>
      <c r="BW380" s="124"/>
      <c r="BX380" s="124"/>
      <c r="BY380" s="124"/>
      <c r="BZ380" s="124"/>
      <c r="CA380" s="124"/>
    </row>
    <row r="381">
      <c r="D381" s="143"/>
      <c r="E381" s="168"/>
      <c r="F381" s="112"/>
      <c r="G381" s="112"/>
      <c r="H381" s="112"/>
      <c r="I381" s="112"/>
      <c r="J381" s="112"/>
      <c r="K381" s="112"/>
      <c r="L381" s="112"/>
      <c r="M381" s="112"/>
      <c r="N381" s="112"/>
      <c r="O381" s="112"/>
      <c r="P381" s="112"/>
      <c r="Q381" s="112"/>
      <c r="R381" s="112"/>
      <c r="S381" s="112"/>
      <c r="T381" s="112"/>
      <c r="U381" s="107"/>
      <c r="V381" s="107"/>
      <c r="W381" s="107"/>
      <c r="X381" s="107"/>
      <c r="Y381" s="107"/>
      <c r="Z381" s="112"/>
      <c r="AA381" s="112"/>
      <c r="AB381" s="112"/>
      <c r="AC381" s="112"/>
      <c r="AD381" s="112"/>
      <c r="AE381" s="112"/>
      <c r="AF381" s="112"/>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c r="BK381" s="124"/>
      <c r="BL381" s="124"/>
      <c r="BM381" s="124"/>
      <c r="BN381" s="124"/>
      <c r="BO381" s="124"/>
      <c r="BP381" s="124"/>
      <c r="BQ381" s="124"/>
      <c r="BR381" s="124"/>
      <c r="BS381" s="124"/>
      <c r="BT381" s="124"/>
      <c r="BU381" s="124"/>
      <c r="BV381" s="124"/>
      <c r="BW381" s="124"/>
      <c r="BX381" s="124"/>
      <c r="BY381" s="124"/>
      <c r="BZ381" s="124"/>
      <c r="CA381" s="124"/>
    </row>
    <row r="382">
      <c r="D382" s="143"/>
      <c r="E382" s="168"/>
      <c r="F382" s="112"/>
      <c r="G382" s="112"/>
      <c r="H382" s="112"/>
      <c r="I382" s="112"/>
      <c r="J382" s="112"/>
      <c r="K382" s="112"/>
      <c r="L382" s="112"/>
      <c r="M382" s="112"/>
      <c r="N382" s="112"/>
      <c r="O382" s="112"/>
      <c r="P382" s="112"/>
      <c r="Q382" s="112"/>
      <c r="R382" s="112"/>
      <c r="S382" s="112"/>
      <c r="T382" s="112"/>
      <c r="U382" s="107"/>
      <c r="V382" s="107"/>
      <c r="W382" s="107"/>
      <c r="X382" s="107"/>
      <c r="Y382" s="107"/>
      <c r="Z382" s="112"/>
      <c r="AA382" s="112"/>
      <c r="AB382" s="112"/>
      <c r="AC382" s="112"/>
      <c r="AD382" s="112"/>
      <c r="AE382" s="112"/>
      <c r="AF382" s="112"/>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row>
    <row r="383">
      <c r="D383" s="143"/>
      <c r="E383" s="168"/>
      <c r="F383" s="112"/>
      <c r="G383" s="112"/>
      <c r="H383" s="112"/>
      <c r="I383" s="112"/>
      <c r="J383" s="112"/>
      <c r="K383" s="112"/>
      <c r="L383" s="112"/>
      <c r="M383" s="112"/>
      <c r="N383" s="112"/>
      <c r="O383" s="112"/>
      <c r="P383" s="112"/>
      <c r="Q383" s="112"/>
      <c r="R383" s="112"/>
      <c r="S383" s="112"/>
      <c r="T383" s="112"/>
      <c r="U383" s="107"/>
      <c r="V383" s="107"/>
      <c r="W383" s="107"/>
      <c r="X383" s="107"/>
      <c r="Y383" s="107"/>
      <c r="Z383" s="112"/>
      <c r="AA383" s="112"/>
      <c r="AB383" s="112"/>
      <c r="AC383" s="112"/>
      <c r="AD383" s="112"/>
      <c r="AE383" s="112"/>
      <c r="AF383" s="112"/>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c r="BK383" s="124"/>
      <c r="BL383" s="124"/>
      <c r="BM383" s="124"/>
      <c r="BN383" s="124"/>
      <c r="BO383" s="124"/>
      <c r="BP383" s="124"/>
      <c r="BQ383" s="124"/>
      <c r="BR383" s="124"/>
      <c r="BS383" s="124"/>
      <c r="BT383" s="124"/>
      <c r="BU383" s="124"/>
      <c r="BV383" s="124"/>
      <c r="BW383" s="124"/>
      <c r="BX383" s="124"/>
      <c r="BY383" s="124"/>
      <c r="BZ383" s="124"/>
      <c r="CA383" s="124"/>
    </row>
    <row r="384">
      <c r="D384" s="143"/>
      <c r="E384" s="168"/>
      <c r="F384" s="112"/>
      <c r="G384" s="112"/>
      <c r="H384" s="112"/>
      <c r="I384" s="112"/>
      <c r="J384" s="112"/>
      <c r="K384" s="112"/>
      <c r="L384" s="112"/>
      <c r="M384" s="112"/>
      <c r="N384" s="112"/>
      <c r="O384" s="112"/>
      <c r="P384" s="112"/>
      <c r="Q384" s="112"/>
      <c r="R384" s="112"/>
      <c r="S384" s="112"/>
      <c r="T384" s="112"/>
      <c r="U384" s="107"/>
      <c r="V384" s="107"/>
      <c r="W384" s="107"/>
      <c r="X384" s="107"/>
      <c r="Y384" s="107"/>
      <c r="Z384" s="112"/>
      <c r="AA384" s="112"/>
      <c r="AB384" s="112"/>
      <c r="AC384" s="112"/>
      <c r="AD384" s="112"/>
      <c r="AE384" s="112"/>
      <c r="AF384" s="112"/>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row>
    <row r="385">
      <c r="D385" s="143"/>
      <c r="E385" s="168"/>
      <c r="F385" s="112"/>
      <c r="G385" s="112"/>
      <c r="H385" s="112"/>
      <c r="I385" s="112"/>
      <c r="J385" s="112"/>
      <c r="K385" s="112"/>
      <c r="L385" s="112"/>
      <c r="M385" s="112"/>
      <c r="N385" s="112"/>
      <c r="O385" s="112"/>
      <c r="P385" s="112"/>
      <c r="Q385" s="112"/>
      <c r="R385" s="112"/>
      <c r="S385" s="112"/>
      <c r="T385" s="112"/>
      <c r="U385" s="107"/>
      <c r="V385" s="107"/>
      <c r="W385" s="107"/>
      <c r="X385" s="107"/>
      <c r="Y385" s="107"/>
      <c r="Z385" s="112"/>
      <c r="AA385" s="112"/>
      <c r="AB385" s="112"/>
      <c r="AC385" s="112"/>
      <c r="AD385" s="112"/>
      <c r="AE385" s="112"/>
      <c r="AF385" s="112"/>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c r="BK385" s="124"/>
      <c r="BL385" s="124"/>
      <c r="BM385" s="124"/>
      <c r="BN385" s="124"/>
      <c r="BO385" s="124"/>
      <c r="BP385" s="124"/>
      <c r="BQ385" s="124"/>
      <c r="BR385" s="124"/>
      <c r="BS385" s="124"/>
      <c r="BT385" s="124"/>
      <c r="BU385" s="124"/>
      <c r="BV385" s="124"/>
      <c r="BW385" s="124"/>
      <c r="BX385" s="124"/>
      <c r="BY385" s="124"/>
      <c r="BZ385" s="124"/>
      <c r="CA385" s="124"/>
    </row>
    <row r="386">
      <c r="D386" s="143"/>
      <c r="E386" s="168"/>
      <c r="F386" s="112"/>
      <c r="G386" s="112"/>
      <c r="H386" s="112"/>
      <c r="I386" s="112"/>
      <c r="J386" s="112"/>
      <c r="K386" s="112"/>
      <c r="L386" s="112"/>
      <c r="M386" s="112"/>
      <c r="N386" s="112"/>
      <c r="O386" s="112"/>
      <c r="P386" s="112"/>
      <c r="Q386" s="112"/>
      <c r="R386" s="112"/>
      <c r="S386" s="112"/>
      <c r="T386" s="112"/>
      <c r="U386" s="107"/>
      <c r="V386" s="107"/>
      <c r="W386" s="107"/>
      <c r="X386" s="107"/>
      <c r="Y386" s="107"/>
      <c r="Z386" s="112"/>
      <c r="AA386" s="112"/>
      <c r="AB386" s="112"/>
      <c r="AC386" s="112"/>
      <c r="AD386" s="112"/>
      <c r="AE386" s="112"/>
      <c r="AF386" s="112"/>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c r="BK386" s="124"/>
      <c r="BL386" s="124"/>
      <c r="BM386" s="124"/>
      <c r="BN386" s="124"/>
      <c r="BO386" s="124"/>
      <c r="BP386" s="124"/>
      <c r="BQ386" s="124"/>
      <c r="BR386" s="124"/>
      <c r="BS386" s="124"/>
      <c r="BT386" s="124"/>
      <c r="BU386" s="124"/>
      <c r="BV386" s="124"/>
      <c r="BW386" s="124"/>
      <c r="BX386" s="124"/>
      <c r="BY386" s="124"/>
      <c r="BZ386" s="124"/>
      <c r="CA386" s="124"/>
    </row>
    <row r="387">
      <c r="D387" s="143"/>
      <c r="E387" s="168"/>
      <c r="F387" s="112"/>
      <c r="G387" s="112"/>
      <c r="H387" s="112"/>
      <c r="I387" s="112"/>
      <c r="J387" s="112"/>
      <c r="K387" s="112"/>
      <c r="L387" s="112"/>
      <c r="M387" s="112"/>
      <c r="N387" s="112"/>
      <c r="O387" s="112"/>
      <c r="P387" s="112"/>
      <c r="Q387" s="112"/>
      <c r="R387" s="112"/>
      <c r="S387" s="112"/>
      <c r="T387" s="112"/>
      <c r="U387" s="107"/>
      <c r="V387" s="107"/>
      <c r="W387" s="107"/>
      <c r="X387" s="107"/>
      <c r="Y387" s="107"/>
      <c r="Z387" s="112"/>
      <c r="AA387" s="112"/>
      <c r="AB387" s="112"/>
      <c r="AC387" s="112"/>
      <c r="AD387" s="112"/>
      <c r="AE387" s="112"/>
      <c r="AF387" s="112"/>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c r="BK387" s="124"/>
      <c r="BL387" s="124"/>
      <c r="BM387" s="124"/>
      <c r="BN387" s="124"/>
      <c r="BO387" s="124"/>
      <c r="BP387" s="124"/>
      <c r="BQ387" s="124"/>
      <c r="BR387" s="124"/>
      <c r="BS387" s="124"/>
      <c r="BT387" s="124"/>
      <c r="BU387" s="124"/>
      <c r="BV387" s="124"/>
      <c r="BW387" s="124"/>
      <c r="BX387" s="124"/>
      <c r="BY387" s="124"/>
      <c r="BZ387" s="124"/>
      <c r="CA387" s="124"/>
    </row>
    <row r="388">
      <c r="D388" s="143"/>
      <c r="E388" s="168"/>
      <c r="F388" s="112"/>
      <c r="G388" s="112"/>
      <c r="H388" s="112"/>
      <c r="I388" s="112"/>
      <c r="J388" s="112"/>
      <c r="K388" s="112"/>
      <c r="L388" s="112"/>
      <c r="M388" s="112"/>
      <c r="N388" s="112"/>
      <c r="O388" s="112"/>
      <c r="P388" s="112"/>
      <c r="Q388" s="112"/>
      <c r="R388" s="112"/>
      <c r="S388" s="112"/>
      <c r="T388" s="112"/>
      <c r="U388" s="107"/>
      <c r="V388" s="107"/>
      <c r="W388" s="107"/>
      <c r="X388" s="107"/>
      <c r="Y388" s="107"/>
      <c r="Z388" s="112"/>
      <c r="AA388" s="112"/>
      <c r="AB388" s="112"/>
      <c r="AC388" s="112"/>
      <c r="AD388" s="112"/>
      <c r="AE388" s="112"/>
      <c r="AF388" s="112"/>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c r="BK388" s="124"/>
      <c r="BL388" s="124"/>
      <c r="BM388" s="124"/>
      <c r="BN388" s="124"/>
      <c r="BO388" s="124"/>
      <c r="BP388" s="124"/>
      <c r="BQ388" s="124"/>
      <c r="BR388" s="124"/>
      <c r="BS388" s="124"/>
      <c r="BT388" s="124"/>
      <c r="BU388" s="124"/>
      <c r="BV388" s="124"/>
      <c r="BW388" s="124"/>
      <c r="BX388" s="124"/>
      <c r="BY388" s="124"/>
      <c r="BZ388" s="124"/>
      <c r="CA388" s="124"/>
    </row>
    <row r="389">
      <c r="D389" s="143"/>
      <c r="E389" s="168"/>
      <c r="F389" s="112"/>
      <c r="G389" s="112"/>
      <c r="H389" s="112"/>
      <c r="I389" s="112"/>
      <c r="J389" s="112"/>
      <c r="K389" s="112"/>
      <c r="L389" s="112"/>
      <c r="M389" s="112"/>
      <c r="N389" s="112"/>
      <c r="O389" s="112"/>
      <c r="P389" s="112"/>
      <c r="Q389" s="112"/>
      <c r="R389" s="112"/>
      <c r="S389" s="112"/>
      <c r="T389" s="112"/>
      <c r="U389" s="107"/>
      <c r="V389" s="107"/>
      <c r="W389" s="107"/>
      <c r="X389" s="107"/>
      <c r="Y389" s="107"/>
      <c r="Z389" s="112"/>
      <c r="AA389" s="112"/>
      <c r="AB389" s="112"/>
      <c r="AC389" s="112"/>
      <c r="AD389" s="112"/>
      <c r="AE389" s="112"/>
      <c r="AF389" s="112"/>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c r="BK389" s="124"/>
      <c r="BL389" s="124"/>
      <c r="BM389" s="124"/>
      <c r="BN389" s="124"/>
      <c r="BO389" s="124"/>
      <c r="BP389" s="124"/>
      <c r="BQ389" s="124"/>
      <c r="BR389" s="124"/>
      <c r="BS389" s="124"/>
      <c r="BT389" s="124"/>
      <c r="BU389" s="124"/>
      <c r="BV389" s="124"/>
      <c r="BW389" s="124"/>
      <c r="BX389" s="124"/>
      <c r="BY389" s="124"/>
      <c r="BZ389" s="124"/>
      <c r="CA389" s="124"/>
    </row>
    <row r="390">
      <c r="D390" s="143"/>
      <c r="E390" s="168"/>
      <c r="F390" s="112"/>
      <c r="G390" s="112"/>
      <c r="H390" s="112"/>
      <c r="I390" s="112"/>
      <c r="J390" s="112"/>
      <c r="K390" s="112"/>
      <c r="L390" s="112"/>
      <c r="M390" s="112"/>
      <c r="N390" s="112"/>
      <c r="O390" s="112"/>
      <c r="P390" s="112"/>
      <c r="Q390" s="112"/>
      <c r="R390" s="112"/>
      <c r="S390" s="112"/>
      <c r="T390" s="112"/>
      <c r="U390" s="107"/>
      <c r="V390" s="107"/>
      <c r="W390" s="107"/>
      <c r="X390" s="107"/>
      <c r="Y390" s="107"/>
      <c r="Z390" s="112"/>
      <c r="AA390" s="112"/>
      <c r="AB390" s="112"/>
      <c r="AC390" s="112"/>
      <c r="AD390" s="112"/>
      <c r="AE390" s="112"/>
      <c r="AF390" s="112"/>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row>
    <row r="391">
      <c r="D391" s="143"/>
      <c r="E391" s="168"/>
      <c r="F391" s="112"/>
      <c r="G391" s="112"/>
      <c r="H391" s="112"/>
      <c r="I391" s="112"/>
      <c r="J391" s="112"/>
      <c r="K391" s="112"/>
      <c r="L391" s="112"/>
      <c r="M391" s="112"/>
      <c r="N391" s="112"/>
      <c r="O391" s="112"/>
      <c r="P391" s="112"/>
      <c r="Q391" s="112"/>
      <c r="R391" s="112"/>
      <c r="S391" s="112"/>
      <c r="T391" s="112"/>
      <c r="U391" s="107"/>
      <c r="V391" s="107"/>
      <c r="W391" s="107"/>
      <c r="X391" s="107"/>
      <c r="Y391" s="107"/>
      <c r="Z391" s="112"/>
      <c r="AA391" s="112"/>
      <c r="AB391" s="112"/>
      <c r="AC391" s="112"/>
      <c r="AD391" s="112"/>
      <c r="AE391" s="112"/>
      <c r="AF391" s="112"/>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c r="BK391" s="124"/>
      <c r="BL391" s="124"/>
      <c r="BM391" s="124"/>
      <c r="BN391" s="124"/>
      <c r="BO391" s="124"/>
      <c r="BP391" s="124"/>
      <c r="BQ391" s="124"/>
      <c r="BR391" s="124"/>
      <c r="BS391" s="124"/>
      <c r="BT391" s="124"/>
      <c r="BU391" s="124"/>
      <c r="BV391" s="124"/>
      <c r="BW391" s="124"/>
      <c r="BX391" s="124"/>
      <c r="BY391" s="124"/>
      <c r="BZ391" s="124"/>
      <c r="CA391" s="124"/>
    </row>
    <row r="392">
      <c r="D392" s="143"/>
      <c r="E392" s="168"/>
      <c r="F392" s="112"/>
      <c r="G392" s="112"/>
      <c r="H392" s="112"/>
      <c r="I392" s="112"/>
      <c r="J392" s="112"/>
      <c r="K392" s="112"/>
      <c r="L392" s="112"/>
      <c r="M392" s="112"/>
      <c r="N392" s="112"/>
      <c r="O392" s="112"/>
      <c r="P392" s="112"/>
      <c r="Q392" s="112"/>
      <c r="R392" s="112"/>
      <c r="S392" s="112"/>
      <c r="T392" s="112"/>
      <c r="U392" s="107"/>
      <c r="V392" s="107"/>
      <c r="W392" s="107"/>
      <c r="X392" s="107"/>
      <c r="Y392" s="107"/>
      <c r="Z392" s="112"/>
      <c r="AA392" s="112"/>
      <c r="AB392" s="112"/>
      <c r="AC392" s="112"/>
      <c r="AD392" s="112"/>
      <c r="AE392" s="112"/>
      <c r="AF392" s="112"/>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c r="BK392" s="124"/>
      <c r="BL392" s="124"/>
      <c r="BM392" s="124"/>
      <c r="BN392" s="124"/>
      <c r="BO392" s="124"/>
      <c r="BP392" s="124"/>
      <c r="BQ392" s="124"/>
      <c r="BR392" s="124"/>
      <c r="BS392" s="124"/>
      <c r="BT392" s="124"/>
      <c r="BU392" s="124"/>
      <c r="BV392" s="124"/>
      <c r="BW392" s="124"/>
      <c r="BX392" s="124"/>
      <c r="BY392" s="124"/>
      <c r="BZ392" s="124"/>
      <c r="CA392" s="124"/>
    </row>
    <row r="393">
      <c r="D393" s="143"/>
      <c r="E393" s="168"/>
      <c r="F393" s="112"/>
      <c r="G393" s="112"/>
      <c r="H393" s="112"/>
      <c r="I393" s="112"/>
      <c r="J393" s="112"/>
      <c r="K393" s="112"/>
      <c r="L393" s="112"/>
      <c r="M393" s="112"/>
      <c r="N393" s="112"/>
      <c r="O393" s="112"/>
      <c r="P393" s="112"/>
      <c r="Q393" s="112"/>
      <c r="R393" s="112"/>
      <c r="S393" s="112"/>
      <c r="T393" s="112"/>
      <c r="U393" s="107"/>
      <c r="V393" s="107"/>
      <c r="W393" s="107"/>
      <c r="X393" s="107"/>
      <c r="Y393" s="107"/>
      <c r="Z393" s="112"/>
      <c r="AA393" s="112"/>
      <c r="AB393" s="112"/>
      <c r="AC393" s="112"/>
      <c r="AD393" s="112"/>
      <c r="AE393" s="112"/>
      <c r="AF393" s="112"/>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row>
    <row r="394">
      <c r="D394" s="143"/>
      <c r="E394" s="168"/>
      <c r="F394" s="112"/>
      <c r="G394" s="112"/>
      <c r="H394" s="112"/>
      <c r="I394" s="112"/>
      <c r="J394" s="112"/>
      <c r="K394" s="112"/>
      <c r="L394" s="112"/>
      <c r="M394" s="112"/>
      <c r="N394" s="112"/>
      <c r="O394" s="112"/>
      <c r="P394" s="112"/>
      <c r="Q394" s="112"/>
      <c r="R394" s="112"/>
      <c r="S394" s="112"/>
      <c r="T394" s="112"/>
      <c r="U394" s="107"/>
      <c r="V394" s="107"/>
      <c r="W394" s="107"/>
      <c r="X394" s="107"/>
      <c r="Y394" s="107"/>
      <c r="Z394" s="112"/>
      <c r="AA394" s="112"/>
      <c r="AB394" s="112"/>
      <c r="AC394" s="112"/>
      <c r="AD394" s="112"/>
      <c r="AE394" s="112"/>
      <c r="AF394" s="112"/>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row>
    <row r="395">
      <c r="D395" s="143"/>
      <c r="E395" s="168"/>
      <c r="F395" s="112"/>
      <c r="G395" s="112"/>
      <c r="H395" s="112"/>
      <c r="I395" s="112"/>
      <c r="J395" s="112"/>
      <c r="K395" s="112"/>
      <c r="L395" s="112"/>
      <c r="M395" s="112"/>
      <c r="N395" s="112"/>
      <c r="O395" s="112"/>
      <c r="P395" s="112"/>
      <c r="Q395" s="112"/>
      <c r="R395" s="112"/>
      <c r="S395" s="112"/>
      <c r="T395" s="112"/>
      <c r="U395" s="107"/>
      <c r="V395" s="107"/>
      <c r="W395" s="107"/>
      <c r="X395" s="107"/>
      <c r="Y395" s="107"/>
      <c r="Z395" s="112"/>
      <c r="AA395" s="112"/>
      <c r="AB395" s="112"/>
      <c r="AC395" s="112"/>
      <c r="AD395" s="112"/>
      <c r="AE395" s="112"/>
      <c r="AF395" s="112"/>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c r="BK395" s="124"/>
      <c r="BL395" s="124"/>
      <c r="BM395" s="124"/>
      <c r="BN395" s="124"/>
      <c r="BO395" s="124"/>
      <c r="BP395" s="124"/>
      <c r="BQ395" s="124"/>
      <c r="BR395" s="124"/>
      <c r="BS395" s="124"/>
      <c r="BT395" s="124"/>
      <c r="BU395" s="124"/>
      <c r="BV395" s="124"/>
      <c r="BW395" s="124"/>
      <c r="BX395" s="124"/>
      <c r="BY395" s="124"/>
      <c r="BZ395" s="124"/>
      <c r="CA395" s="124"/>
    </row>
    <row r="396">
      <c r="D396" s="143"/>
      <c r="E396" s="168"/>
      <c r="F396" s="112"/>
      <c r="G396" s="112"/>
      <c r="H396" s="112"/>
      <c r="I396" s="112"/>
      <c r="J396" s="112"/>
      <c r="K396" s="112"/>
      <c r="L396" s="112"/>
      <c r="M396" s="112"/>
      <c r="N396" s="112"/>
      <c r="O396" s="112"/>
      <c r="P396" s="112"/>
      <c r="Q396" s="112"/>
      <c r="R396" s="112"/>
      <c r="S396" s="112"/>
      <c r="T396" s="112"/>
      <c r="U396" s="107"/>
      <c r="V396" s="107"/>
      <c r="W396" s="107"/>
      <c r="X396" s="107"/>
      <c r="Y396" s="107"/>
      <c r="Z396" s="112"/>
      <c r="AA396" s="112"/>
      <c r="AB396" s="112"/>
      <c r="AC396" s="112"/>
      <c r="AD396" s="112"/>
      <c r="AE396" s="112"/>
      <c r="AF396" s="112"/>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row>
    <row r="397">
      <c r="D397" s="143"/>
      <c r="E397" s="168"/>
      <c r="F397" s="112"/>
      <c r="G397" s="112"/>
      <c r="H397" s="112"/>
      <c r="I397" s="112"/>
      <c r="J397" s="112"/>
      <c r="K397" s="112"/>
      <c r="L397" s="112"/>
      <c r="M397" s="112"/>
      <c r="N397" s="112"/>
      <c r="O397" s="112"/>
      <c r="P397" s="112"/>
      <c r="Q397" s="112"/>
      <c r="R397" s="112"/>
      <c r="S397" s="112"/>
      <c r="T397" s="112"/>
      <c r="U397" s="107"/>
      <c r="V397" s="107"/>
      <c r="W397" s="107"/>
      <c r="X397" s="107"/>
      <c r="Y397" s="107"/>
      <c r="Z397" s="112"/>
      <c r="AA397" s="112"/>
      <c r="AB397" s="112"/>
      <c r="AC397" s="112"/>
      <c r="AD397" s="112"/>
      <c r="AE397" s="112"/>
      <c r="AF397" s="112"/>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row>
    <row r="398">
      <c r="D398" s="143"/>
      <c r="E398" s="168"/>
      <c r="F398" s="112"/>
      <c r="G398" s="112"/>
      <c r="H398" s="112"/>
      <c r="I398" s="112"/>
      <c r="J398" s="112"/>
      <c r="K398" s="112"/>
      <c r="L398" s="112"/>
      <c r="M398" s="112"/>
      <c r="N398" s="112"/>
      <c r="O398" s="112"/>
      <c r="P398" s="112"/>
      <c r="Q398" s="112"/>
      <c r="R398" s="112"/>
      <c r="S398" s="112"/>
      <c r="T398" s="112"/>
      <c r="U398" s="107"/>
      <c r="V398" s="107"/>
      <c r="W398" s="107"/>
      <c r="X398" s="107"/>
      <c r="Y398" s="107"/>
      <c r="Z398" s="112"/>
      <c r="AA398" s="112"/>
      <c r="AB398" s="112"/>
      <c r="AC398" s="112"/>
      <c r="AD398" s="112"/>
      <c r="AE398" s="112"/>
      <c r="AF398" s="112"/>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row>
    <row r="399">
      <c r="D399" s="143"/>
      <c r="E399" s="168"/>
      <c r="F399" s="112"/>
      <c r="G399" s="112"/>
      <c r="H399" s="112"/>
      <c r="I399" s="112"/>
      <c r="J399" s="112"/>
      <c r="K399" s="112"/>
      <c r="L399" s="112"/>
      <c r="M399" s="112"/>
      <c r="N399" s="112"/>
      <c r="O399" s="112"/>
      <c r="P399" s="112"/>
      <c r="Q399" s="112"/>
      <c r="R399" s="112"/>
      <c r="S399" s="112"/>
      <c r="T399" s="112"/>
      <c r="U399" s="107"/>
      <c r="V399" s="107"/>
      <c r="W399" s="107"/>
      <c r="X399" s="107"/>
      <c r="Y399" s="107"/>
      <c r="Z399" s="112"/>
      <c r="AA399" s="112"/>
      <c r="AB399" s="112"/>
      <c r="AC399" s="112"/>
      <c r="AD399" s="112"/>
      <c r="AE399" s="112"/>
      <c r="AF399" s="112"/>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c r="BK399" s="124"/>
      <c r="BL399" s="124"/>
      <c r="BM399" s="124"/>
      <c r="BN399" s="124"/>
      <c r="BO399" s="124"/>
      <c r="BP399" s="124"/>
      <c r="BQ399" s="124"/>
      <c r="BR399" s="124"/>
      <c r="BS399" s="124"/>
      <c r="BT399" s="124"/>
      <c r="BU399" s="124"/>
      <c r="BV399" s="124"/>
      <c r="BW399" s="124"/>
      <c r="BX399" s="124"/>
      <c r="BY399" s="124"/>
      <c r="BZ399" s="124"/>
      <c r="CA399" s="124"/>
    </row>
    <row r="400">
      <c r="D400" s="143"/>
      <c r="E400" s="168"/>
      <c r="F400" s="112"/>
      <c r="G400" s="112"/>
      <c r="H400" s="112"/>
      <c r="I400" s="112"/>
      <c r="J400" s="112"/>
      <c r="K400" s="112"/>
      <c r="L400" s="112"/>
      <c r="M400" s="112"/>
      <c r="N400" s="112"/>
      <c r="O400" s="112"/>
      <c r="P400" s="112"/>
      <c r="Q400" s="112"/>
      <c r="R400" s="112"/>
      <c r="S400" s="112"/>
      <c r="T400" s="112"/>
      <c r="U400" s="107"/>
      <c r="V400" s="107"/>
      <c r="W400" s="107"/>
      <c r="X400" s="107"/>
      <c r="Y400" s="107"/>
      <c r="Z400" s="112"/>
      <c r="AA400" s="112"/>
      <c r="AB400" s="112"/>
      <c r="AC400" s="112"/>
      <c r="AD400" s="112"/>
      <c r="AE400" s="112"/>
      <c r="AF400" s="112"/>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row>
    <row r="401">
      <c r="D401" s="143"/>
      <c r="E401" s="168"/>
      <c r="F401" s="112"/>
      <c r="G401" s="112"/>
      <c r="H401" s="112"/>
      <c r="I401" s="112"/>
      <c r="J401" s="112"/>
      <c r="K401" s="112"/>
      <c r="L401" s="112"/>
      <c r="M401" s="112"/>
      <c r="N401" s="112"/>
      <c r="O401" s="112"/>
      <c r="P401" s="112"/>
      <c r="Q401" s="112"/>
      <c r="R401" s="112"/>
      <c r="S401" s="112"/>
      <c r="T401" s="112"/>
      <c r="U401" s="107"/>
      <c r="V401" s="107"/>
      <c r="W401" s="107"/>
      <c r="X401" s="107"/>
      <c r="Y401" s="107"/>
      <c r="Z401" s="112"/>
      <c r="AA401" s="112"/>
      <c r="AB401" s="112"/>
      <c r="AC401" s="112"/>
      <c r="AD401" s="112"/>
      <c r="AE401" s="112"/>
      <c r="AF401" s="112"/>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row>
    <row r="402">
      <c r="D402" s="143"/>
      <c r="E402" s="168"/>
      <c r="F402" s="112"/>
      <c r="G402" s="112"/>
      <c r="H402" s="112"/>
      <c r="I402" s="112"/>
      <c r="J402" s="112"/>
      <c r="K402" s="112"/>
      <c r="L402" s="112"/>
      <c r="M402" s="112"/>
      <c r="N402" s="112"/>
      <c r="O402" s="112"/>
      <c r="P402" s="112"/>
      <c r="Q402" s="112"/>
      <c r="R402" s="112"/>
      <c r="S402" s="112"/>
      <c r="T402" s="112"/>
      <c r="U402" s="107"/>
      <c r="V402" s="107"/>
      <c r="W402" s="107"/>
      <c r="X402" s="107"/>
      <c r="Y402" s="107"/>
      <c r="Z402" s="112"/>
      <c r="AA402" s="112"/>
      <c r="AB402" s="112"/>
      <c r="AC402" s="112"/>
      <c r="AD402" s="112"/>
      <c r="AE402" s="112"/>
      <c r="AF402" s="112"/>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row>
    <row r="403">
      <c r="D403" s="143"/>
      <c r="E403" s="168"/>
      <c r="F403" s="112"/>
      <c r="G403" s="112"/>
      <c r="H403" s="112"/>
      <c r="I403" s="112"/>
      <c r="J403" s="112"/>
      <c r="K403" s="112"/>
      <c r="L403" s="112"/>
      <c r="M403" s="112"/>
      <c r="N403" s="112"/>
      <c r="O403" s="112"/>
      <c r="P403" s="112"/>
      <c r="Q403" s="112"/>
      <c r="R403" s="112"/>
      <c r="S403" s="112"/>
      <c r="T403" s="112"/>
      <c r="U403" s="107"/>
      <c r="V403" s="107"/>
      <c r="W403" s="107"/>
      <c r="X403" s="107"/>
      <c r="Y403" s="107"/>
      <c r="Z403" s="112"/>
      <c r="AA403" s="112"/>
      <c r="AB403" s="112"/>
      <c r="AC403" s="112"/>
      <c r="AD403" s="112"/>
      <c r="AE403" s="112"/>
      <c r="AF403" s="112"/>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c r="BK403" s="124"/>
      <c r="BL403" s="124"/>
      <c r="BM403" s="124"/>
      <c r="BN403" s="124"/>
      <c r="BO403" s="124"/>
      <c r="BP403" s="124"/>
      <c r="BQ403" s="124"/>
      <c r="BR403" s="124"/>
      <c r="BS403" s="124"/>
      <c r="BT403" s="124"/>
      <c r="BU403" s="124"/>
      <c r="BV403" s="124"/>
      <c r="BW403" s="124"/>
      <c r="BX403" s="124"/>
      <c r="BY403" s="124"/>
      <c r="BZ403" s="124"/>
      <c r="CA403" s="124"/>
    </row>
    <row r="404">
      <c r="D404" s="143"/>
      <c r="E404" s="168"/>
      <c r="F404" s="112"/>
      <c r="G404" s="112"/>
      <c r="H404" s="112"/>
      <c r="I404" s="112"/>
      <c r="J404" s="112"/>
      <c r="K404" s="112"/>
      <c r="L404" s="112"/>
      <c r="M404" s="112"/>
      <c r="N404" s="112"/>
      <c r="O404" s="112"/>
      <c r="P404" s="112"/>
      <c r="Q404" s="112"/>
      <c r="R404" s="112"/>
      <c r="S404" s="112"/>
      <c r="T404" s="112"/>
      <c r="U404" s="107"/>
      <c r="V404" s="107"/>
      <c r="W404" s="107"/>
      <c r="X404" s="107"/>
      <c r="Y404" s="107"/>
      <c r="Z404" s="112"/>
      <c r="AA404" s="112"/>
      <c r="AB404" s="112"/>
      <c r="AC404" s="112"/>
      <c r="AD404" s="112"/>
      <c r="AE404" s="112"/>
      <c r="AF404" s="112"/>
      <c r="AG404" s="117"/>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row>
    <row r="405">
      <c r="D405" s="143"/>
      <c r="E405" s="168"/>
      <c r="F405" s="112"/>
      <c r="G405" s="112"/>
      <c r="H405" s="112"/>
      <c r="I405" s="112"/>
      <c r="J405" s="112"/>
      <c r="K405" s="112"/>
      <c r="L405" s="112"/>
      <c r="M405" s="112"/>
      <c r="N405" s="112"/>
      <c r="O405" s="112"/>
      <c r="P405" s="112"/>
      <c r="Q405" s="112"/>
      <c r="R405" s="112"/>
      <c r="S405" s="112"/>
      <c r="T405" s="112"/>
      <c r="U405" s="107"/>
      <c r="V405" s="107"/>
      <c r="W405" s="107"/>
      <c r="X405" s="107"/>
      <c r="Y405" s="107"/>
      <c r="Z405" s="112"/>
      <c r="AA405" s="112"/>
      <c r="AB405" s="112"/>
      <c r="AC405" s="112"/>
      <c r="AD405" s="112"/>
      <c r="AE405" s="112"/>
      <c r="AF405" s="112"/>
      <c r="AG405" s="117"/>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row>
    <row r="406">
      <c r="D406" s="143"/>
      <c r="E406" s="168"/>
      <c r="F406" s="112"/>
      <c r="G406" s="112"/>
      <c r="H406" s="112"/>
      <c r="I406" s="112"/>
      <c r="J406" s="112"/>
      <c r="K406" s="112"/>
      <c r="L406" s="112"/>
      <c r="M406" s="112"/>
      <c r="N406" s="112"/>
      <c r="O406" s="112"/>
      <c r="P406" s="112"/>
      <c r="Q406" s="112"/>
      <c r="R406" s="112"/>
      <c r="S406" s="112"/>
      <c r="T406" s="112"/>
      <c r="U406" s="107"/>
      <c r="V406" s="107"/>
      <c r="W406" s="107"/>
      <c r="X406" s="107"/>
      <c r="Y406" s="107"/>
      <c r="Z406" s="112"/>
      <c r="AA406" s="112"/>
      <c r="AB406" s="112"/>
      <c r="AC406" s="112"/>
      <c r="AD406" s="112"/>
      <c r="AE406" s="112"/>
      <c r="AF406" s="112"/>
      <c r="AG406" s="117"/>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row>
    <row r="407">
      <c r="D407" s="143"/>
      <c r="E407" s="168"/>
      <c r="F407" s="112"/>
      <c r="G407" s="112"/>
      <c r="H407" s="112"/>
      <c r="I407" s="112"/>
      <c r="J407" s="112"/>
      <c r="K407" s="112"/>
      <c r="L407" s="112"/>
      <c r="M407" s="112"/>
      <c r="N407" s="112"/>
      <c r="O407" s="112"/>
      <c r="P407" s="112"/>
      <c r="Q407" s="112"/>
      <c r="R407" s="112"/>
      <c r="S407" s="112"/>
      <c r="T407" s="112"/>
      <c r="U407" s="107"/>
      <c r="V407" s="107"/>
      <c r="W407" s="107"/>
      <c r="X407" s="107"/>
      <c r="Y407" s="107"/>
      <c r="Z407" s="112"/>
      <c r="AA407" s="112"/>
      <c r="AB407" s="112"/>
      <c r="AC407" s="112"/>
      <c r="AD407" s="112"/>
      <c r="AE407" s="112"/>
      <c r="AF407" s="112"/>
      <c r="AG407" s="117"/>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row>
    <row r="408">
      <c r="D408" s="143"/>
      <c r="E408" s="168"/>
      <c r="F408" s="112"/>
      <c r="G408" s="112"/>
      <c r="H408" s="112"/>
      <c r="I408" s="112"/>
      <c r="J408" s="112"/>
      <c r="K408" s="112"/>
      <c r="L408" s="112"/>
      <c r="M408" s="112"/>
      <c r="N408" s="112"/>
      <c r="O408" s="112"/>
      <c r="P408" s="112"/>
      <c r="Q408" s="112"/>
      <c r="R408" s="112"/>
      <c r="S408" s="112"/>
      <c r="T408" s="112"/>
      <c r="U408" s="107"/>
      <c r="V408" s="107"/>
      <c r="W408" s="107"/>
      <c r="X408" s="107"/>
      <c r="Y408" s="107"/>
      <c r="Z408" s="112"/>
      <c r="AA408" s="112"/>
      <c r="AB408" s="112"/>
      <c r="AC408" s="112"/>
      <c r="AD408" s="112"/>
      <c r="AE408" s="112"/>
      <c r="AF408" s="112"/>
      <c r="AG408" s="117"/>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24"/>
      <c r="BP408" s="124"/>
      <c r="BQ408" s="124"/>
      <c r="BR408" s="124"/>
      <c r="BS408" s="124"/>
      <c r="BT408" s="124"/>
      <c r="BU408" s="124"/>
      <c r="BV408" s="124"/>
      <c r="BW408" s="124"/>
      <c r="BX408" s="124"/>
      <c r="BY408" s="124"/>
      <c r="BZ408" s="124"/>
      <c r="CA408" s="124"/>
    </row>
    <row r="409">
      <c r="D409" s="143"/>
      <c r="E409" s="168"/>
      <c r="F409" s="112"/>
      <c r="G409" s="112"/>
      <c r="H409" s="112"/>
      <c r="I409" s="112"/>
      <c r="J409" s="112"/>
      <c r="K409" s="112"/>
      <c r="L409" s="112"/>
      <c r="M409" s="112"/>
      <c r="N409" s="112"/>
      <c r="O409" s="112"/>
      <c r="P409" s="112"/>
      <c r="Q409" s="112"/>
      <c r="R409" s="112"/>
      <c r="S409" s="112"/>
      <c r="T409" s="112"/>
      <c r="U409" s="107"/>
      <c r="V409" s="107"/>
      <c r="W409" s="107"/>
      <c r="X409" s="107"/>
      <c r="Y409" s="107"/>
      <c r="Z409" s="112"/>
      <c r="AA409" s="112"/>
      <c r="AB409" s="112"/>
      <c r="AC409" s="112"/>
      <c r="AD409" s="112"/>
      <c r="AE409" s="112"/>
      <c r="AF409" s="112"/>
      <c r="AG409" s="117"/>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row>
    <row r="410">
      <c r="D410" s="143"/>
      <c r="E410" s="168"/>
      <c r="F410" s="112"/>
      <c r="G410" s="112"/>
      <c r="H410" s="112"/>
      <c r="I410" s="112"/>
      <c r="J410" s="112"/>
      <c r="K410" s="112"/>
      <c r="L410" s="112"/>
      <c r="M410" s="112"/>
      <c r="N410" s="112"/>
      <c r="O410" s="112"/>
      <c r="P410" s="112"/>
      <c r="Q410" s="112"/>
      <c r="R410" s="112"/>
      <c r="S410" s="112"/>
      <c r="T410" s="112"/>
      <c r="U410" s="107"/>
      <c r="V410" s="107"/>
      <c r="W410" s="107"/>
      <c r="X410" s="107"/>
      <c r="Y410" s="107"/>
      <c r="Z410" s="112"/>
      <c r="AA410" s="112"/>
      <c r="AB410" s="112"/>
      <c r="AC410" s="112"/>
      <c r="AD410" s="112"/>
      <c r="AE410" s="112"/>
      <c r="AF410" s="112"/>
      <c r="AG410" s="117"/>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row>
    <row r="411">
      <c r="D411" s="143"/>
      <c r="E411" s="168"/>
      <c r="F411" s="112"/>
      <c r="G411" s="112"/>
      <c r="H411" s="112"/>
      <c r="I411" s="112"/>
      <c r="J411" s="112"/>
      <c r="K411" s="112"/>
      <c r="L411" s="112"/>
      <c r="M411" s="112"/>
      <c r="N411" s="112"/>
      <c r="O411" s="112"/>
      <c r="P411" s="112"/>
      <c r="Q411" s="112"/>
      <c r="R411" s="112"/>
      <c r="S411" s="112"/>
      <c r="T411" s="112"/>
      <c r="U411" s="107"/>
      <c r="V411" s="107"/>
      <c r="W411" s="107"/>
      <c r="X411" s="107"/>
      <c r="Y411" s="107"/>
      <c r="Z411" s="112"/>
      <c r="AA411" s="112"/>
      <c r="AB411" s="112"/>
      <c r="AC411" s="112"/>
      <c r="AD411" s="112"/>
      <c r="AE411" s="112"/>
      <c r="AF411" s="112"/>
      <c r="AG411" s="117"/>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c r="BK411" s="124"/>
      <c r="BL411" s="124"/>
      <c r="BM411" s="124"/>
      <c r="BN411" s="124"/>
      <c r="BO411" s="124"/>
      <c r="BP411" s="124"/>
      <c r="BQ411" s="124"/>
      <c r="BR411" s="124"/>
      <c r="BS411" s="124"/>
      <c r="BT411" s="124"/>
      <c r="BU411" s="124"/>
      <c r="BV411" s="124"/>
      <c r="BW411" s="124"/>
      <c r="BX411" s="124"/>
      <c r="BY411" s="124"/>
      <c r="BZ411" s="124"/>
      <c r="CA411" s="124"/>
    </row>
    <row r="412">
      <c r="D412" s="143"/>
      <c r="E412" s="168"/>
      <c r="F412" s="112"/>
      <c r="G412" s="112"/>
      <c r="H412" s="112"/>
      <c r="I412" s="112"/>
      <c r="J412" s="112"/>
      <c r="K412" s="112"/>
      <c r="L412" s="112"/>
      <c r="M412" s="112"/>
      <c r="N412" s="112"/>
      <c r="O412" s="112"/>
      <c r="P412" s="112"/>
      <c r="Q412" s="112"/>
      <c r="R412" s="112"/>
      <c r="S412" s="112"/>
      <c r="T412" s="112"/>
      <c r="U412" s="107"/>
      <c r="V412" s="107"/>
      <c r="W412" s="107"/>
      <c r="X412" s="107"/>
      <c r="Y412" s="107"/>
      <c r="Z412" s="112"/>
      <c r="AA412" s="112"/>
      <c r="AB412" s="112"/>
      <c r="AC412" s="112"/>
      <c r="AD412" s="112"/>
      <c r="AE412" s="112"/>
      <c r="AF412" s="112"/>
      <c r="AG412" s="117"/>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row>
    <row r="413">
      <c r="D413" s="143"/>
      <c r="E413" s="168"/>
      <c r="F413" s="112"/>
      <c r="G413" s="112"/>
      <c r="H413" s="112"/>
      <c r="I413" s="112"/>
      <c r="J413" s="112"/>
      <c r="K413" s="112"/>
      <c r="L413" s="112"/>
      <c r="M413" s="112"/>
      <c r="N413" s="112"/>
      <c r="O413" s="112"/>
      <c r="P413" s="112"/>
      <c r="Q413" s="112"/>
      <c r="R413" s="112"/>
      <c r="S413" s="112"/>
      <c r="T413" s="112"/>
      <c r="U413" s="107"/>
      <c r="V413" s="107"/>
      <c r="W413" s="107"/>
      <c r="X413" s="107"/>
      <c r="Y413" s="107"/>
      <c r="Z413" s="112"/>
      <c r="AA413" s="112"/>
      <c r="AB413" s="112"/>
      <c r="AC413" s="112"/>
      <c r="AD413" s="112"/>
      <c r="AE413" s="112"/>
      <c r="AF413" s="112"/>
      <c r="AG413" s="117"/>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c r="BK413" s="124"/>
      <c r="BL413" s="124"/>
      <c r="BM413" s="124"/>
      <c r="BN413" s="124"/>
      <c r="BO413" s="124"/>
      <c r="BP413" s="124"/>
      <c r="BQ413" s="124"/>
      <c r="BR413" s="124"/>
      <c r="BS413" s="124"/>
      <c r="BT413" s="124"/>
      <c r="BU413" s="124"/>
      <c r="BV413" s="124"/>
      <c r="BW413" s="124"/>
      <c r="BX413" s="124"/>
      <c r="BY413" s="124"/>
      <c r="BZ413" s="124"/>
      <c r="CA413" s="124"/>
    </row>
    <row r="414">
      <c r="D414" s="143"/>
      <c r="E414" s="168"/>
      <c r="F414" s="112"/>
      <c r="G414" s="112"/>
      <c r="H414" s="112"/>
      <c r="I414" s="112"/>
      <c r="J414" s="112"/>
      <c r="K414" s="112"/>
      <c r="L414" s="112"/>
      <c r="M414" s="112"/>
      <c r="N414" s="112"/>
      <c r="O414" s="112"/>
      <c r="P414" s="112"/>
      <c r="Q414" s="112"/>
      <c r="R414" s="112"/>
      <c r="S414" s="112"/>
      <c r="T414" s="112"/>
      <c r="U414" s="107"/>
      <c r="V414" s="107"/>
      <c r="W414" s="107"/>
      <c r="X414" s="107"/>
      <c r="Y414" s="107"/>
      <c r="Z414" s="112"/>
      <c r="AA414" s="112"/>
      <c r="AB414" s="112"/>
      <c r="AC414" s="112"/>
      <c r="AD414" s="112"/>
      <c r="AE414" s="112"/>
      <c r="AF414" s="112"/>
      <c r="AG414" s="117"/>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c r="BK414" s="124"/>
      <c r="BL414" s="124"/>
      <c r="BM414" s="124"/>
      <c r="BN414" s="124"/>
      <c r="BO414" s="124"/>
      <c r="BP414" s="124"/>
      <c r="BQ414" s="124"/>
      <c r="BR414" s="124"/>
      <c r="BS414" s="124"/>
      <c r="BT414" s="124"/>
      <c r="BU414" s="124"/>
      <c r="BV414" s="124"/>
      <c r="BW414" s="124"/>
      <c r="BX414" s="124"/>
      <c r="BY414" s="124"/>
      <c r="BZ414" s="124"/>
      <c r="CA414" s="124"/>
    </row>
    <row r="415">
      <c r="D415" s="143"/>
      <c r="E415" s="168"/>
      <c r="F415" s="112"/>
      <c r="G415" s="112"/>
      <c r="H415" s="112"/>
      <c r="I415" s="112"/>
      <c r="J415" s="112"/>
      <c r="K415" s="112"/>
      <c r="L415" s="112"/>
      <c r="M415" s="112"/>
      <c r="N415" s="112"/>
      <c r="O415" s="112"/>
      <c r="P415" s="112"/>
      <c r="Q415" s="112"/>
      <c r="R415" s="112"/>
      <c r="S415" s="112"/>
      <c r="T415" s="112"/>
      <c r="U415" s="107"/>
      <c r="V415" s="107"/>
      <c r="W415" s="107"/>
      <c r="X415" s="107"/>
      <c r="Y415" s="107"/>
      <c r="Z415" s="112"/>
      <c r="AA415" s="112"/>
      <c r="AB415" s="112"/>
      <c r="AC415" s="112"/>
      <c r="AD415" s="112"/>
      <c r="AE415" s="112"/>
      <c r="AF415" s="112"/>
      <c r="AG415" s="117"/>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row>
    <row r="416">
      <c r="D416" s="143"/>
      <c r="E416" s="168"/>
      <c r="F416" s="112"/>
      <c r="G416" s="112"/>
      <c r="H416" s="112"/>
      <c r="I416" s="112"/>
      <c r="J416" s="112"/>
      <c r="K416" s="112"/>
      <c r="L416" s="112"/>
      <c r="M416" s="112"/>
      <c r="N416" s="112"/>
      <c r="O416" s="112"/>
      <c r="P416" s="112"/>
      <c r="Q416" s="112"/>
      <c r="R416" s="112"/>
      <c r="S416" s="112"/>
      <c r="T416" s="112"/>
      <c r="U416" s="107"/>
      <c r="V416" s="107"/>
      <c r="W416" s="107"/>
      <c r="X416" s="107"/>
      <c r="Y416" s="107"/>
      <c r="Z416" s="112"/>
      <c r="AA416" s="112"/>
      <c r="AB416" s="112"/>
      <c r="AC416" s="112"/>
      <c r="AD416" s="112"/>
      <c r="AE416" s="112"/>
      <c r="AF416" s="112"/>
      <c r="AG416" s="117"/>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c r="BK416" s="124"/>
      <c r="BL416" s="124"/>
      <c r="BM416" s="124"/>
      <c r="BN416" s="124"/>
      <c r="BO416" s="124"/>
      <c r="BP416" s="124"/>
      <c r="BQ416" s="124"/>
      <c r="BR416" s="124"/>
      <c r="BS416" s="124"/>
      <c r="BT416" s="124"/>
      <c r="BU416" s="124"/>
      <c r="BV416" s="124"/>
      <c r="BW416" s="124"/>
      <c r="BX416" s="124"/>
      <c r="BY416" s="124"/>
      <c r="BZ416" s="124"/>
      <c r="CA416" s="124"/>
    </row>
    <row r="417">
      <c r="D417" s="143"/>
      <c r="E417" s="168"/>
      <c r="F417" s="112"/>
      <c r="G417" s="112"/>
      <c r="H417" s="112"/>
      <c r="I417" s="112"/>
      <c r="J417" s="112"/>
      <c r="K417" s="112"/>
      <c r="L417" s="112"/>
      <c r="M417" s="112"/>
      <c r="N417" s="112"/>
      <c r="O417" s="112"/>
      <c r="P417" s="112"/>
      <c r="Q417" s="112"/>
      <c r="R417" s="112"/>
      <c r="S417" s="112"/>
      <c r="T417" s="112"/>
      <c r="U417" s="107"/>
      <c r="V417" s="107"/>
      <c r="W417" s="107"/>
      <c r="X417" s="107"/>
      <c r="Y417" s="107"/>
      <c r="Z417" s="112"/>
      <c r="AA417" s="112"/>
      <c r="AB417" s="112"/>
      <c r="AC417" s="112"/>
      <c r="AD417" s="112"/>
      <c r="AE417" s="112"/>
      <c r="AF417" s="112"/>
      <c r="AG417" s="117"/>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4"/>
      <c r="BR417" s="124"/>
      <c r="BS417" s="124"/>
      <c r="BT417" s="124"/>
      <c r="BU417" s="124"/>
      <c r="BV417" s="124"/>
      <c r="BW417" s="124"/>
      <c r="BX417" s="124"/>
      <c r="BY417" s="124"/>
      <c r="BZ417" s="124"/>
      <c r="CA417" s="124"/>
    </row>
    <row r="418">
      <c r="D418" s="143"/>
      <c r="E418" s="168"/>
      <c r="F418" s="112"/>
      <c r="G418" s="112"/>
      <c r="H418" s="112"/>
      <c r="I418" s="112"/>
      <c r="J418" s="112"/>
      <c r="K418" s="112"/>
      <c r="L418" s="112"/>
      <c r="M418" s="112"/>
      <c r="N418" s="112"/>
      <c r="O418" s="112"/>
      <c r="P418" s="112"/>
      <c r="Q418" s="112"/>
      <c r="R418" s="112"/>
      <c r="S418" s="112"/>
      <c r="T418" s="112"/>
      <c r="U418" s="107"/>
      <c r="V418" s="107"/>
      <c r="W418" s="107"/>
      <c r="X418" s="107"/>
      <c r="Y418" s="107"/>
      <c r="Z418" s="112"/>
      <c r="AA418" s="112"/>
      <c r="AB418" s="112"/>
      <c r="AC418" s="112"/>
      <c r="AD418" s="112"/>
      <c r="AE418" s="112"/>
      <c r="AF418" s="112"/>
      <c r="AG418" s="117"/>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c r="BK418" s="124"/>
      <c r="BL418" s="124"/>
      <c r="BM418" s="124"/>
      <c r="BN418" s="124"/>
      <c r="BO418" s="124"/>
      <c r="BP418" s="124"/>
      <c r="BQ418" s="124"/>
      <c r="BR418" s="124"/>
      <c r="BS418" s="124"/>
      <c r="BT418" s="124"/>
      <c r="BU418" s="124"/>
      <c r="BV418" s="124"/>
      <c r="BW418" s="124"/>
      <c r="BX418" s="124"/>
      <c r="BY418" s="124"/>
      <c r="BZ418" s="124"/>
      <c r="CA418" s="124"/>
    </row>
    <row r="419">
      <c r="D419" s="143"/>
      <c r="E419" s="168"/>
      <c r="F419" s="112"/>
      <c r="G419" s="112"/>
      <c r="H419" s="112"/>
      <c r="I419" s="112"/>
      <c r="J419" s="112"/>
      <c r="K419" s="112"/>
      <c r="L419" s="112"/>
      <c r="M419" s="112"/>
      <c r="N419" s="112"/>
      <c r="O419" s="112"/>
      <c r="P419" s="112"/>
      <c r="Q419" s="112"/>
      <c r="R419" s="112"/>
      <c r="S419" s="112"/>
      <c r="T419" s="112"/>
      <c r="U419" s="107"/>
      <c r="V419" s="107"/>
      <c r="W419" s="107"/>
      <c r="X419" s="107"/>
      <c r="Y419" s="107"/>
      <c r="Z419" s="112"/>
      <c r="AA419" s="112"/>
      <c r="AB419" s="112"/>
      <c r="AC419" s="112"/>
      <c r="AD419" s="112"/>
      <c r="AE419" s="112"/>
      <c r="AF419" s="112"/>
      <c r="AG419" s="117"/>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c r="BK419" s="124"/>
      <c r="BL419" s="124"/>
      <c r="BM419" s="124"/>
      <c r="BN419" s="124"/>
      <c r="BO419" s="124"/>
      <c r="BP419" s="124"/>
      <c r="BQ419" s="124"/>
      <c r="BR419" s="124"/>
      <c r="BS419" s="124"/>
      <c r="BT419" s="124"/>
      <c r="BU419" s="124"/>
      <c r="BV419" s="124"/>
      <c r="BW419" s="124"/>
      <c r="BX419" s="124"/>
      <c r="BY419" s="124"/>
      <c r="BZ419" s="124"/>
      <c r="CA419" s="124"/>
    </row>
    <row r="420">
      <c r="D420" s="143"/>
      <c r="E420" s="168"/>
      <c r="F420" s="112"/>
      <c r="G420" s="112"/>
      <c r="H420" s="112"/>
      <c r="I420" s="112"/>
      <c r="J420" s="112"/>
      <c r="K420" s="112"/>
      <c r="L420" s="112"/>
      <c r="M420" s="112"/>
      <c r="N420" s="112"/>
      <c r="O420" s="112"/>
      <c r="P420" s="112"/>
      <c r="Q420" s="112"/>
      <c r="R420" s="112"/>
      <c r="S420" s="112"/>
      <c r="T420" s="112"/>
      <c r="U420" s="107"/>
      <c r="V420" s="107"/>
      <c r="W420" s="107"/>
      <c r="X420" s="107"/>
      <c r="Y420" s="107"/>
      <c r="Z420" s="112"/>
      <c r="AA420" s="112"/>
      <c r="AB420" s="112"/>
      <c r="AC420" s="112"/>
      <c r="AD420" s="112"/>
      <c r="AE420" s="112"/>
      <c r="AF420" s="112"/>
      <c r="AG420" s="117"/>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row>
    <row r="421">
      <c r="D421" s="143"/>
      <c r="E421" s="168"/>
      <c r="F421" s="112"/>
      <c r="G421" s="112"/>
      <c r="H421" s="112"/>
      <c r="I421" s="112"/>
      <c r="J421" s="112"/>
      <c r="K421" s="112"/>
      <c r="L421" s="112"/>
      <c r="M421" s="112"/>
      <c r="N421" s="112"/>
      <c r="O421" s="112"/>
      <c r="P421" s="112"/>
      <c r="Q421" s="112"/>
      <c r="R421" s="112"/>
      <c r="S421" s="112"/>
      <c r="T421" s="112"/>
      <c r="U421" s="107"/>
      <c r="V421" s="107"/>
      <c r="W421" s="107"/>
      <c r="X421" s="107"/>
      <c r="Y421" s="107"/>
      <c r="Z421" s="112"/>
      <c r="AA421" s="112"/>
      <c r="AB421" s="112"/>
      <c r="AC421" s="112"/>
      <c r="AD421" s="112"/>
      <c r="AE421" s="112"/>
      <c r="AF421" s="112"/>
      <c r="AG421" s="117"/>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row>
    <row r="422">
      <c r="D422" s="143"/>
      <c r="E422" s="168"/>
      <c r="F422" s="112"/>
      <c r="G422" s="112"/>
      <c r="H422" s="112"/>
      <c r="I422" s="112"/>
      <c r="J422" s="112"/>
      <c r="K422" s="112"/>
      <c r="L422" s="112"/>
      <c r="M422" s="112"/>
      <c r="N422" s="112"/>
      <c r="O422" s="112"/>
      <c r="P422" s="112"/>
      <c r="Q422" s="112"/>
      <c r="R422" s="112"/>
      <c r="S422" s="112"/>
      <c r="T422" s="112"/>
      <c r="U422" s="107"/>
      <c r="V422" s="107"/>
      <c r="W422" s="107"/>
      <c r="X422" s="107"/>
      <c r="Y422" s="107"/>
      <c r="Z422" s="112"/>
      <c r="AA422" s="112"/>
      <c r="AB422" s="112"/>
      <c r="AC422" s="112"/>
      <c r="AD422" s="112"/>
      <c r="AE422" s="112"/>
      <c r="AF422" s="112"/>
      <c r="AG422" s="117"/>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c r="BK422" s="124"/>
      <c r="BL422" s="124"/>
      <c r="BM422" s="124"/>
      <c r="BN422" s="124"/>
      <c r="BO422" s="124"/>
      <c r="BP422" s="124"/>
      <c r="BQ422" s="124"/>
      <c r="BR422" s="124"/>
      <c r="BS422" s="124"/>
      <c r="BT422" s="124"/>
      <c r="BU422" s="124"/>
      <c r="BV422" s="124"/>
      <c r="BW422" s="124"/>
      <c r="BX422" s="124"/>
      <c r="BY422" s="124"/>
      <c r="BZ422" s="124"/>
      <c r="CA422" s="124"/>
    </row>
    <row r="423">
      <c r="D423" s="143"/>
      <c r="E423" s="168"/>
      <c r="F423" s="112"/>
      <c r="G423" s="112"/>
      <c r="H423" s="112"/>
      <c r="I423" s="112"/>
      <c r="J423" s="112"/>
      <c r="K423" s="112"/>
      <c r="L423" s="112"/>
      <c r="M423" s="112"/>
      <c r="N423" s="112"/>
      <c r="O423" s="112"/>
      <c r="P423" s="112"/>
      <c r="Q423" s="112"/>
      <c r="R423" s="112"/>
      <c r="S423" s="112"/>
      <c r="T423" s="112"/>
      <c r="U423" s="107"/>
      <c r="V423" s="107"/>
      <c r="W423" s="107"/>
      <c r="X423" s="107"/>
      <c r="Y423" s="107"/>
      <c r="Z423" s="112"/>
      <c r="AA423" s="112"/>
      <c r="AB423" s="112"/>
      <c r="AC423" s="112"/>
      <c r="AD423" s="112"/>
      <c r="AE423" s="112"/>
      <c r="AF423" s="112"/>
      <c r="AG423" s="117"/>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4"/>
      <c r="BV423" s="124"/>
      <c r="BW423" s="124"/>
      <c r="BX423" s="124"/>
      <c r="BY423" s="124"/>
      <c r="BZ423" s="124"/>
      <c r="CA423" s="124"/>
    </row>
    <row r="424">
      <c r="D424" s="143"/>
      <c r="E424" s="168"/>
      <c r="F424" s="112"/>
      <c r="G424" s="112"/>
      <c r="H424" s="112"/>
      <c r="I424" s="112"/>
      <c r="J424" s="112"/>
      <c r="K424" s="112"/>
      <c r="L424" s="112"/>
      <c r="M424" s="112"/>
      <c r="N424" s="112"/>
      <c r="O424" s="112"/>
      <c r="P424" s="112"/>
      <c r="Q424" s="112"/>
      <c r="R424" s="112"/>
      <c r="S424" s="112"/>
      <c r="T424" s="112"/>
      <c r="U424" s="107"/>
      <c r="V424" s="107"/>
      <c r="W424" s="107"/>
      <c r="X424" s="107"/>
      <c r="Y424" s="107"/>
      <c r="Z424" s="112"/>
      <c r="AA424" s="112"/>
      <c r="AB424" s="112"/>
      <c r="AC424" s="112"/>
      <c r="AD424" s="112"/>
      <c r="AE424" s="112"/>
      <c r="AF424" s="112"/>
      <c r="AG424" s="117"/>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c r="BK424" s="124"/>
      <c r="BL424" s="124"/>
      <c r="BM424" s="124"/>
      <c r="BN424" s="124"/>
      <c r="BO424" s="124"/>
      <c r="BP424" s="124"/>
      <c r="BQ424" s="124"/>
      <c r="BR424" s="124"/>
      <c r="BS424" s="124"/>
      <c r="BT424" s="124"/>
      <c r="BU424" s="124"/>
      <c r="BV424" s="124"/>
      <c r="BW424" s="124"/>
      <c r="BX424" s="124"/>
      <c r="BY424" s="124"/>
      <c r="BZ424" s="124"/>
      <c r="CA424" s="124"/>
    </row>
    <row r="425">
      <c r="D425" s="143"/>
      <c r="E425" s="168"/>
      <c r="F425" s="112"/>
      <c r="G425" s="112"/>
      <c r="H425" s="112"/>
      <c r="I425" s="112"/>
      <c r="J425" s="112"/>
      <c r="K425" s="112"/>
      <c r="L425" s="112"/>
      <c r="M425" s="112"/>
      <c r="N425" s="112"/>
      <c r="O425" s="112"/>
      <c r="P425" s="112"/>
      <c r="Q425" s="112"/>
      <c r="R425" s="112"/>
      <c r="S425" s="112"/>
      <c r="T425" s="112"/>
      <c r="U425" s="107"/>
      <c r="V425" s="107"/>
      <c r="W425" s="107"/>
      <c r="X425" s="107"/>
      <c r="Y425" s="107"/>
      <c r="Z425" s="112"/>
      <c r="AA425" s="112"/>
      <c r="AB425" s="112"/>
      <c r="AC425" s="112"/>
      <c r="AD425" s="112"/>
      <c r="AE425" s="112"/>
      <c r="AF425" s="112"/>
      <c r="AG425" s="117"/>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c r="BK425" s="124"/>
      <c r="BL425" s="124"/>
      <c r="BM425" s="124"/>
      <c r="BN425" s="124"/>
      <c r="BO425" s="124"/>
      <c r="BP425" s="124"/>
      <c r="BQ425" s="124"/>
      <c r="BR425" s="124"/>
      <c r="BS425" s="124"/>
      <c r="BT425" s="124"/>
      <c r="BU425" s="124"/>
      <c r="BV425" s="124"/>
      <c r="BW425" s="124"/>
      <c r="BX425" s="124"/>
      <c r="BY425" s="124"/>
      <c r="BZ425" s="124"/>
      <c r="CA425" s="124"/>
    </row>
    <row r="426">
      <c r="D426" s="143"/>
      <c r="E426" s="168"/>
      <c r="F426" s="112"/>
      <c r="G426" s="112"/>
      <c r="H426" s="112"/>
      <c r="I426" s="112"/>
      <c r="J426" s="112"/>
      <c r="K426" s="112"/>
      <c r="L426" s="112"/>
      <c r="M426" s="112"/>
      <c r="N426" s="112"/>
      <c r="O426" s="112"/>
      <c r="P426" s="112"/>
      <c r="Q426" s="112"/>
      <c r="R426" s="112"/>
      <c r="S426" s="112"/>
      <c r="T426" s="112"/>
      <c r="U426" s="107"/>
      <c r="V426" s="107"/>
      <c r="W426" s="107"/>
      <c r="X426" s="107"/>
      <c r="Y426" s="107"/>
      <c r="Z426" s="112"/>
      <c r="AA426" s="112"/>
      <c r="AB426" s="112"/>
      <c r="AC426" s="112"/>
      <c r="AD426" s="112"/>
      <c r="AE426" s="112"/>
      <c r="AF426" s="112"/>
      <c r="AG426" s="117"/>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c r="BK426" s="124"/>
      <c r="BL426" s="124"/>
      <c r="BM426" s="124"/>
      <c r="BN426" s="124"/>
      <c r="BO426" s="124"/>
      <c r="BP426" s="124"/>
      <c r="BQ426" s="124"/>
      <c r="BR426" s="124"/>
      <c r="BS426" s="124"/>
      <c r="BT426" s="124"/>
      <c r="BU426" s="124"/>
      <c r="BV426" s="124"/>
      <c r="BW426" s="124"/>
      <c r="BX426" s="124"/>
      <c r="BY426" s="124"/>
      <c r="BZ426" s="124"/>
      <c r="CA426" s="124"/>
    </row>
    <row r="427">
      <c r="D427" s="143"/>
      <c r="E427" s="168"/>
      <c r="F427" s="112"/>
      <c r="G427" s="112"/>
      <c r="H427" s="112"/>
      <c r="I427" s="112"/>
      <c r="J427" s="112"/>
      <c r="K427" s="112"/>
      <c r="L427" s="112"/>
      <c r="M427" s="112"/>
      <c r="N427" s="112"/>
      <c r="O427" s="112"/>
      <c r="P427" s="112"/>
      <c r="Q427" s="112"/>
      <c r="R427" s="112"/>
      <c r="S427" s="112"/>
      <c r="T427" s="112"/>
      <c r="U427" s="107"/>
      <c r="V427" s="107"/>
      <c r="W427" s="107"/>
      <c r="X427" s="107"/>
      <c r="Y427" s="107"/>
      <c r="Z427" s="112"/>
      <c r="AA427" s="112"/>
      <c r="AB427" s="112"/>
      <c r="AC427" s="112"/>
      <c r="AD427" s="112"/>
      <c r="AE427" s="112"/>
      <c r="AF427" s="112"/>
      <c r="AG427" s="117"/>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row>
    <row r="428">
      <c r="D428" s="143"/>
      <c r="E428" s="168"/>
      <c r="F428" s="112"/>
      <c r="G428" s="112"/>
      <c r="H428" s="112"/>
      <c r="I428" s="112"/>
      <c r="J428" s="112"/>
      <c r="K428" s="112"/>
      <c r="L428" s="112"/>
      <c r="M428" s="112"/>
      <c r="N428" s="112"/>
      <c r="O428" s="112"/>
      <c r="P428" s="112"/>
      <c r="Q428" s="112"/>
      <c r="R428" s="112"/>
      <c r="S428" s="112"/>
      <c r="T428" s="112"/>
      <c r="U428" s="107"/>
      <c r="V428" s="107"/>
      <c r="W428" s="107"/>
      <c r="X428" s="107"/>
      <c r="Y428" s="107"/>
      <c r="Z428" s="112"/>
      <c r="AA428" s="112"/>
      <c r="AB428" s="112"/>
      <c r="AC428" s="112"/>
      <c r="AD428" s="112"/>
      <c r="AE428" s="112"/>
      <c r="AF428" s="112"/>
      <c r="AG428" s="117"/>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c r="BK428" s="124"/>
      <c r="BL428" s="124"/>
      <c r="BM428" s="124"/>
      <c r="BN428" s="124"/>
      <c r="BO428" s="124"/>
      <c r="BP428" s="124"/>
      <c r="BQ428" s="124"/>
      <c r="BR428" s="124"/>
      <c r="BS428" s="124"/>
      <c r="BT428" s="124"/>
      <c r="BU428" s="124"/>
      <c r="BV428" s="124"/>
      <c r="BW428" s="124"/>
      <c r="BX428" s="124"/>
      <c r="BY428" s="124"/>
      <c r="BZ428" s="124"/>
      <c r="CA428" s="124"/>
    </row>
    <row r="429">
      <c r="D429" s="143"/>
      <c r="E429" s="168"/>
      <c r="F429" s="112"/>
      <c r="G429" s="112"/>
      <c r="H429" s="112"/>
      <c r="I429" s="112"/>
      <c r="J429" s="112"/>
      <c r="K429" s="112"/>
      <c r="L429" s="112"/>
      <c r="M429" s="112"/>
      <c r="N429" s="112"/>
      <c r="O429" s="112"/>
      <c r="P429" s="112"/>
      <c r="Q429" s="112"/>
      <c r="R429" s="112"/>
      <c r="S429" s="112"/>
      <c r="T429" s="112"/>
      <c r="U429" s="107"/>
      <c r="V429" s="107"/>
      <c r="W429" s="107"/>
      <c r="X429" s="107"/>
      <c r="Y429" s="107"/>
      <c r="Z429" s="112"/>
      <c r="AA429" s="112"/>
      <c r="AB429" s="112"/>
      <c r="AC429" s="112"/>
      <c r="AD429" s="112"/>
      <c r="AE429" s="112"/>
      <c r="AF429" s="112"/>
      <c r="AG429" s="117"/>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c r="BK429" s="124"/>
      <c r="BL429" s="124"/>
      <c r="BM429" s="124"/>
      <c r="BN429" s="124"/>
      <c r="BO429" s="124"/>
      <c r="BP429" s="124"/>
      <c r="BQ429" s="124"/>
      <c r="BR429" s="124"/>
      <c r="BS429" s="124"/>
      <c r="BT429" s="124"/>
      <c r="BU429" s="124"/>
      <c r="BV429" s="124"/>
      <c r="BW429" s="124"/>
      <c r="BX429" s="124"/>
      <c r="BY429" s="124"/>
      <c r="BZ429" s="124"/>
      <c r="CA429" s="124"/>
    </row>
    <row r="430">
      <c r="D430" s="143"/>
      <c r="E430" s="168"/>
      <c r="F430" s="112"/>
      <c r="G430" s="112"/>
      <c r="H430" s="112"/>
      <c r="I430" s="112"/>
      <c r="J430" s="112"/>
      <c r="K430" s="112"/>
      <c r="L430" s="112"/>
      <c r="M430" s="112"/>
      <c r="N430" s="112"/>
      <c r="O430" s="112"/>
      <c r="P430" s="112"/>
      <c r="Q430" s="112"/>
      <c r="R430" s="112"/>
      <c r="S430" s="112"/>
      <c r="T430" s="112"/>
      <c r="U430" s="107"/>
      <c r="V430" s="107"/>
      <c r="W430" s="107"/>
      <c r="X430" s="107"/>
      <c r="Y430" s="107"/>
      <c r="Z430" s="112"/>
      <c r="AA430" s="112"/>
      <c r="AB430" s="112"/>
      <c r="AC430" s="112"/>
      <c r="AD430" s="112"/>
      <c r="AE430" s="112"/>
      <c r="AF430" s="112"/>
      <c r="AG430" s="117"/>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c r="BK430" s="124"/>
      <c r="BL430" s="124"/>
      <c r="BM430" s="124"/>
      <c r="BN430" s="124"/>
      <c r="BO430" s="124"/>
      <c r="BP430" s="124"/>
      <c r="BQ430" s="124"/>
      <c r="BR430" s="124"/>
      <c r="BS430" s="124"/>
      <c r="BT430" s="124"/>
      <c r="BU430" s="124"/>
      <c r="BV430" s="124"/>
      <c r="BW430" s="124"/>
      <c r="BX430" s="124"/>
      <c r="BY430" s="124"/>
      <c r="BZ430" s="124"/>
      <c r="CA430" s="124"/>
    </row>
    <row r="431">
      <c r="D431" s="143"/>
      <c r="E431" s="168"/>
      <c r="F431" s="112"/>
      <c r="G431" s="112"/>
      <c r="H431" s="112"/>
      <c r="I431" s="112"/>
      <c r="J431" s="112"/>
      <c r="K431" s="112"/>
      <c r="L431" s="112"/>
      <c r="M431" s="112"/>
      <c r="N431" s="112"/>
      <c r="O431" s="112"/>
      <c r="P431" s="112"/>
      <c r="Q431" s="112"/>
      <c r="R431" s="112"/>
      <c r="S431" s="112"/>
      <c r="T431" s="112"/>
      <c r="U431" s="107"/>
      <c r="V431" s="107"/>
      <c r="W431" s="107"/>
      <c r="X431" s="107"/>
      <c r="Y431" s="107"/>
      <c r="Z431" s="112"/>
      <c r="AA431" s="112"/>
      <c r="AB431" s="112"/>
      <c r="AC431" s="112"/>
      <c r="AD431" s="112"/>
      <c r="AE431" s="112"/>
      <c r="AF431" s="112"/>
      <c r="AG431" s="117"/>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4"/>
      <c r="BR431" s="124"/>
      <c r="BS431" s="124"/>
      <c r="BT431" s="124"/>
      <c r="BU431" s="124"/>
      <c r="BV431" s="124"/>
      <c r="BW431" s="124"/>
      <c r="BX431" s="124"/>
      <c r="BY431" s="124"/>
      <c r="BZ431" s="124"/>
      <c r="CA431" s="124"/>
    </row>
    <row r="432">
      <c r="D432" s="143"/>
      <c r="E432" s="168"/>
      <c r="F432" s="112"/>
      <c r="G432" s="112"/>
      <c r="H432" s="112"/>
      <c r="I432" s="112"/>
      <c r="J432" s="112"/>
      <c r="K432" s="112"/>
      <c r="L432" s="112"/>
      <c r="M432" s="112"/>
      <c r="N432" s="112"/>
      <c r="O432" s="112"/>
      <c r="P432" s="112"/>
      <c r="Q432" s="112"/>
      <c r="R432" s="112"/>
      <c r="S432" s="112"/>
      <c r="T432" s="112"/>
      <c r="U432" s="107"/>
      <c r="V432" s="107"/>
      <c r="W432" s="107"/>
      <c r="X432" s="107"/>
      <c r="Y432" s="107"/>
      <c r="Z432" s="112"/>
      <c r="AA432" s="112"/>
      <c r="AB432" s="112"/>
      <c r="AC432" s="112"/>
      <c r="AD432" s="112"/>
      <c r="AE432" s="112"/>
      <c r="AF432" s="112"/>
      <c r="AG432" s="117"/>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c r="BK432" s="124"/>
      <c r="BL432" s="124"/>
      <c r="BM432" s="124"/>
      <c r="BN432" s="124"/>
      <c r="BO432" s="124"/>
      <c r="BP432" s="124"/>
      <c r="BQ432" s="124"/>
      <c r="BR432" s="124"/>
      <c r="BS432" s="124"/>
      <c r="BT432" s="124"/>
      <c r="BU432" s="124"/>
      <c r="BV432" s="124"/>
      <c r="BW432" s="124"/>
      <c r="BX432" s="124"/>
      <c r="BY432" s="124"/>
      <c r="BZ432" s="124"/>
      <c r="CA432" s="124"/>
    </row>
    <row r="433">
      <c r="D433" s="143"/>
      <c r="E433" s="168"/>
      <c r="F433" s="112"/>
      <c r="G433" s="112"/>
      <c r="H433" s="112"/>
      <c r="I433" s="112"/>
      <c r="J433" s="112"/>
      <c r="K433" s="112"/>
      <c r="L433" s="112"/>
      <c r="M433" s="112"/>
      <c r="N433" s="112"/>
      <c r="O433" s="112"/>
      <c r="P433" s="112"/>
      <c r="Q433" s="112"/>
      <c r="R433" s="112"/>
      <c r="S433" s="112"/>
      <c r="T433" s="112"/>
      <c r="U433" s="107"/>
      <c r="V433" s="107"/>
      <c r="W433" s="107"/>
      <c r="X433" s="107"/>
      <c r="Y433" s="107"/>
      <c r="Z433" s="112"/>
      <c r="AA433" s="112"/>
      <c r="AB433" s="112"/>
      <c r="AC433" s="112"/>
      <c r="AD433" s="112"/>
      <c r="AE433" s="112"/>
      <c r="AF433" s="112"/>
      <c r="AG433" s="117"/>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c r="BK433" s="124"/>
      <c r="BL433" s="124"/>
      <c r="BM433" s="124"/>
      <c r="BN433" s="124"/>
      <c r="BO433" s="124"/>
      <c r="BP433" s="124"/>
      <c r="BQ433" s="124"/>
      <c r="BR433" s="124"/>
      <c r="BS433" s="124"/>
      <c r="BT433" s="124"/>
      <c r="BU433" s="124"/>
      <c r="BV433" s="124"/>
      <c r="BW433" s="124"/>
      <c r="BX433" s="124"/>
      <c r="BY433" s="124"/>
      <c r="BZ433" s="124"/>
      <c r="CA433" s="124"/>
    </row>
    <row r="434">
      <c r="D434" s="143"/>
      <c r="E434" s="168"/>
      <c r="F434" s="112"/>
      <c r="G434" s="112"/>
      <c r="H434" s="112"/>
      <c r="I434" s="112"/>
      <c r="J434" s="112"/>
      <c r="K434" s="112"/>
      <c r="L434" s="112"/>
      <c r="M434" s="112"/>
      <c r="N434" s="112"/>
      <c r="O434" s="112"/>
      <c r="P434" s="112"/>
      <c r="Q434" s="112"/>
      <c r="R434" s="112"/>
      <c r="S434" s="112"/>
      <c r="T434" s="112"/>
      <c r="U434" s="107"/>
      <c r="V434" s="107"/>
      <c r="W434" s="107"/>
      <c r="X434" s="107"/>
      <c r="Y434" s="107"/>
      <c r="Z434" s="112"/>
      <c r="AA434" s="112"/>
      <c r="AB434" s="112"/>
      <c r="AC434" s="112"/>
      <c r="AD434" s="112"/>
      <c r="AE434" s="112"/>
      <c r="AF434" s="112"/>
      <c r="AG434" s="117"/>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c r="BK434" s="124"/>
      <c r="BL434" s="124"/>
      <c r="BM434" s="124"/>
      <c r="BN434" s="124"/>
      <c r="BO434" s="124"/>
      <c r="BP434" s="124"/>
      <c r="BQ434" s="124"/>
      <c r="BR434" s="124"/>
      <c r="BS434" s="124"/>
      <c r="BT434" s="124"/>
      <c r="BU434" s="124"/>
      <c r="BV434" s="124"/>
      <c r="BW434" s="124"/>
      <c r="BX434" s="124"/>
      <c r="BY434" s="124"/>
      <c r="BZ434" s="124"/>
      <c r="CA434" s="124"/>
    </row>
    <row r="435">
      <c r="D435" s="143"/>
      <c r="E435" s="168"/>
      <c r="F435" s="112"/>
      <c r="G435" s="112"/>
      <c r="H435" s="112"/>
      <c r="I435" s="112"/>
      <c r="J435" s="112"/>
      <c r="K435" s="112"/>
      <c r="L435" s="112"/>
      <c r="M435" s="112"/>
      <c r="N435" s="112"/>
      <c r="O435" s="112"/>
      <c r="P435" s="112"/>
      <c r="Q435" s="112"/>
      <c r="R435" s="112"/>
      <c r="S435" s="112"/>
      <c r="T435" s="112"/>
      <c r="U435" s="107"/>
      <c r="V435" s="107"/>
      <c r="W435" s="107"/>
      <c r="X435" s="107"/>
      <c r="Y435" s="107"/>
      <c r="Z435" s="112"/>
      <c r="AA435" s="112"/>
      <c r="AB435" s="112"/>
      <c r="AC435" s="112"/>
      <c r="AD435" s="112"/>
      <c r="AE435" s="112"/>
      <c r="AF435" s="112"/>
      <c r="AG435" s="117"/>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row>
    <row r="436">
      <c r="D436" s="143"/>
      <c r="E436" s="168"/>
      <c r="F436" s="112"/>
      <c r="G436" s="112"/>
      <c r="H436" s="112"/>
      <c r="I436" s="112"/>
      <c r="J436" s="112"/>
      <c r="K436" s="112"/>
      <c r="L436" s="112"/>
      <c r="M436" s="112"/>
      <c r="N436" s="112"/>
      <c r="O436" s="112"/>
      <c r="P436" s="112"/>
      <c r="Q436" s="112"/>
      <c r="R436" s="112"/>
      <c r="S436" s="112"/>
      <c r="T436" s="112"/>
      <c r="U436" s="107"/>
      <c r="V436" s="107"/>
      <c r="W436" s="107"/>
      <c r="X436" s="107"/>
      <c r="Y436" s="107"/>
      <c r="Z436" s="112"/>
      <c r="AA436" s="112"/>
      <c r="AB436" s="112"/>
      <c r="AC436" s="112"/>
      <c r="AD436" s="112"/>
      <c r="AE436" s="112"/>
      <c r="AF436" s="112"/>
      <c r="AG436" s="117"/>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c r="BK436" s="124"/>
      <c r="BL436" s="124"/>
      <c r="BM436" s="124"/>
      <c r="BN436" s="124"/>
      <c r="BO436" s="124"/>
      <c r="BP436" s="124"/>
      <c r="BQ436" s="124"/>
      <c r="BR436" s="124"/>
      <c r="BS436" s="124"/>
      <c r="BT436" s="124"/>
      <c r="BU436" s="124"/>
      <c r="BV436" s="124"/>
      <c r="BW436" s="124"/>
      <c r="BX436" s="124"/>
      <c r="BY436" s="124"/>
      <c r="BZ436" s="124"/>
      <c r="CA436" s="124"/>
    </row>
    <row r="437">
      <c r="D437" s="143"/>
      <c r="E437" s="168"/>
      <c r="F437" s="112"/>
      <c r="G437" s="112"/>
      <c r="H437" s="112"/>
      <c r="I437" s="112"/>
      <c r="J437" s="112"/>
      <c r="K437" s="112"/>
      <c r="L437" s="112"/>
      <c r="M437" s="112"/>
      <c r="N437" s="112"/>
      <c r="O437" s="112"/>
      <c r="P437" s="112"/>
      <c r="Q437" s="112"/>
      <c r="R437" s="112"/>
      <c r="S437" s="112"/>
      <c r="T437" s="112"/>
      <c r="U437" s="107"/>
      <c r="V437" s="107"/>
      <c r="W437" s="107"/>
      <c r="X437" s="107"/>
      <c r="Y437" s="107"/>
      <c r="Z437" s="112"/>
      <c r="AA437" s="112"/>
      <c r="AB437" s="112"/>
      <c r="AC437" s="112"/>
      <c r="AD437" s="112"/>
      <c r="AE437" s="112"/>
      <c r="AF437" s="112"/>
      <c r="AG437" s="117"/>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c r="BK437" s="124"/>
      <c r="BL437" s="124"/>
      <c r="BM437" s="124"/>
      <c r="BN437" s="124"/>
      <c r="BO437" s="124"/>
      <c r="BP437" s="124"/>
      <c r="BQ437" s="124"/>
      <c r="BR437" s="124"/>
      <c r="BS437" s="124"/>
      <c r="BT437" s="124"/>
      <c r="BU437" s="124"/>
      <c r="BV437" s="124"/>
      <c r="BW437" s="124"/>
      <c r="BX437" s="124"/>
      <c r="BY437" s="124"/>
      <c r="BZ437" s="124"/>
      <c r="CA437" s="124"/>
    </row>
    <row r="438">
      <c r="D438" s="143"/>
      <c r="E438" s="168"/>
      <c r="F438" s="112"/>
      <c r="G438" s="112"/>
      <c r="H438" s="112"/>
      <c r="I438" s="112"/>
      <c r="J438" s="112"/>
      <c r="K438" s="112"/>
      <c r="L438" s="112"/>
      <c r="M438" s="112"/>
      <c r="N438" s="112"/>
      <c r="O438" s="112"/>
      <c r="P438" s="112"/>
      <c r="Q438" s="112"/>
      <c r="R438" s="112"/>
      <c r="S438" s="112"/>
      <c r="T438" s="112"/>
      <c r="U438" s="107"/>
      <c r="V438" s="107"/>
      <c r="W438" s="107"/>
      <c r="X438" s="107"/>
      <c r="Y438" s="107"/>
      <c r="Z438" s="112"/>
      <c r="AA438" s="112"/>
      <c r="AB438" s="112"/>
      <c r="AC438" s="112"/>
      <c r="AD438" s="112"/>
      <c r="AE438" s="112"/>
      <c r="AF438" s="112"/>
      <c r="AG438" s="117"/>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c r="BK438" s="124"/>
      <c r="BL438" s="124"/>
      <c r="BM438" s="124"/>
      <c r="BN438" s="124"/>
      <c r="BO438" s="124"/>
      <c r="BP438" s="124"/>
      <c r="BQ438" s="124"/>
      <c r="BR438" s="124"/>
      <c r="BS438" s="124"/>
      <c r="BT438" s="124"/>
      <c r="BU438" s="124"/>
      <c r="BV438" s="124"/>
      <c r="BW438" s="124"/>
      <c r="BX438" s="124"/>
      <c r="BY438" s="124"/>
      <c r="BZ438" s="124"/>
      <c r="CA438" s="124"/>
    </row>
    <row r="439">
      <c r="D439" s="143"/>
      <c r="E439" s="168"/>
      <c r="F439" s="112"/>
      <c r="G439" s="112"/>
      <c r="H439" s="112"/>
      <c r="I439" s="112"/>
      <c r="J439" s="112"/>
      <c r="K439" s="112"/>
      <c r="L439" s="112"/>
      <c r="M439" s="112"/>
      <c r="N439" s="112"/>
      <c r="O439" s="112"/>
      <c r="P439" s="112"/>
      <c r="Q439" s="112"/>
      <c r="R439" s="112"/>
      <c r="S439" s="112"/>
      <c r="T439" s="112"/>
      <c r="U439" s="107"/>
      <c r="V439" s="107"/>
      <c r="W439" s="107"/>
      <c r="X439" s="107"/>
      <c r="Y439" s="107"/>
      <c r="Z439" s="112"/>
      <c r="AA439" s="112"/>
      <c r="AB439" s="112"/>
      <c r="AC439" s="112"/>
      <c r="AD439" s="112"/>
      <c r="AE439" s="112"/>
      <c r="AF439" s="112"/>
      <c r="AG439" s="117"/>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c r="BK439" s="124"/>
      <c r="BL439" s="124"/>
      <c r="BM439" s="124"/>
      <c r="BN439" s="124"/>
      <c r="BO439" s="124"/>
      <c r="BP439" s="124"/>
      <c r="BQ439" s="124"/>
      <c r="BR439" s="124"/>
      <c r="BS439" s="124"/>
      <c r="BT439" s="124"/>
      <c r="BU439" s="124"/>
      <c r="BV439" s="124"/>
      <c r="BW439" s="124"/>
      <c r="BX439" s="124"/>
      <c r="BY439" s="124"/>
      <c r="BZ439" s="124"/>
      <c r="CA439" s="124"/>
    </row>
    <row r="440">
      <c r="D440" s="143"/>
      <c r="E440" s="168"/>
      <c r="F440" s="112"/>
      <c r="G440" s="112"/>
      <c r="H440" s="112"/>
      <c r="I440" s="112"/>
      <c r="J440" s="112"/>
      <c r="K440" s="112"/>
      <c r="L440" s="112"/>
      <c r="M440" s="112"/>
      <c r="N440" s="112"/>
      <c r="O440" s="112"/>
      <c r="P440" s="112"/>
      <c r="Q440" s="112"/>
      <c r="R440" s="112"/>
      <c r="S440" s="112"/>
      <c r="T440" s="112"/>
      <c r="U440" s="107"/>
      <c r="V440" s="107"/>
      <c r="W440" s="107"/>
      <c r="X440" s="107"/>
      <c r="Y440" s="107"/>
      <c r="Z440" s="112"/>
      <c r="AA440" s="112"/>
      <c r="AB440" s="112"/>
      <c r="AC440" s="112"/>
      <c r="AD440" s="112"/>
      <c r="AE440" s="112"/>
      <c r="AF440" s="112"/>
      <c r="AG440" s="117"/>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c r="BK440" s="124"/>
      <c r="BL440" s="124"/>
      <c r="BM440" s="124"/>
      <c r="BN440" s="124"/>
      <c r="BO440" s="124"/>
      <c r="BP440" s="124"/>
      <c r="BQ440" s="124"/>
      <c r="BR440" s="124"/>
      <c r="BS440" s="124"/>
      <c r="BT440" s="124"/>
      <c r="BU440" s="124"/>
      <c r="BV440" s="124"/>
      <c r="BW440" s="124"/>
      <c r="BX440" s="124"/>
      <c r="BY440" s="124"/>
      <c r="BZ440" s="124"/>
      <c r="CA440" s="124"/>
    </row>
    <row r="441">
      <c r="D441" s="143"/>
      <c r="E441" s="168"/>
      <c r="F441" s="112"/>
      <c r="G441" s="112"/>
      <c r="H441" s="112"/>
      <c r="I441" s="112"/>
      <c r="J441" s="112"/>
      <c r="K441" s="112"/>
      <c r="L441" s="112"/>
      <c r="M441" s="112"/>
      <c r="N441" s="112"/>
      <c r="O441" s="112"/>
      <c r="P441" s="112"/>
      <c r="Q441" s="112"/>
      <c r="R441" s="112"/>
      <c r="S441" s="112"/>
      <c r="T441" s="112"/>
      <c r="U441" s="107"/>
      <c r="V441" s="107"/>
      <c r="W441" s="107"/>
      <c r="X441" s="107"/>
      <c r="Y441" s="107"/>
      <c r="Z441" s="112"/>
      <c r="AA441" s="112"/>
      <c r="AB441" s="112"/>
      <c r="AC441" s="112"/>
      <c r="AD441" s="112"/>
      <c r="AE441" s="112"/>
      <c r="AF441" s="112"/>
      <c r="AG441" s="117"/>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row>
    <row r="442">
      <c r="D442" s="143"/>
      <c r="E442" s="168"/>
      <c r="F442" s="112"/>
      <c r="G442" s="112"/>
      <c r="H442" s="112"/>
      <c r="I442" s="112"/>
      <c r="J442" s="112"/>
      <c r="K442" s="112"/>
      <c r="L442" s="112"/>
      <c r="M442" s="112"/>
      <c r="N442" s="112"/>
      <c r="O442" s="112"/>
      <c r="P442" s="112"/>
      <c r="Q442" s="112"/>
      <c r="R442" s="112"/>
      <c r="S442" s="112"/>
      <c r="T442" s="112"/>
      <c r="U442" s="107"/>
      <c r="V442" s="107"/>
      <c r="W442" s="107"/>
      <c r="X442" s="107"/>
      <c r="Y442" s="107"/>
      <c r="Z442" s="112"/>
      <c r="AA442" s="112"/>
      <c r="AB442" s="112"/>
      <c r="AC442" s="112"/>
      <c r="AD442" s="112"/>
      <c r="AE442" s="112"/>
      <c r="AF442" s="112"/>
      <c r="AG442" s="117"/>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c r="BK442" s="124"/>
      <c r="BL442" s="124"/>
      <c r="BM442" s="124"/>
      <c r="BN442" s="124"/>
      <c r="BO442" s="124"/>
      <c r="BP442" s="124"/>
      <c r="BQ442" s="124"/>
      <c r="BR442" s="124"/>
      <c r="BS442" s="124"/>
      <c r="BT442" s="124"/>
      <c r="BU442" s="124"/>
      <c r="BV442" s="124"/>
      <c r="BW442" s="124"/>
      <c r="BX442" s="124"/>
      <c r="BY442" s="124"/>
      <c r="BZ442" s="124"/>
      <c r="CA442" s="124"/>
    </row>
    <row r="443">
      <c r="D443" s="143"/>
      <c r="E443" s="168"/>
      <c r="F443" s="112"/>
      <c r="G443" s="112"/>
      <c r="H443" s="112"/>
      <c r="I443" s="112"/>
      <c r="J443" s="112"/>
      <c r="K443" s="112"/>
      <c r="L443" s="112"/>
      <c r="M443" s="112"/>
      <c r="N443" s="112"/>
      <c r="O443" s="112"/>
      <c r="P443" s="112"/>
      <c r="Q443" s="112"/>
      <c r="R443" s="112"/>
      <c r="S443" s="112"/>
      <c r="T443" s="112"/>
      <c r="U443" s="107"/>
      <c r="V443" s="107"/>
      <c r="W443" s="107"/>
      <c r="X443" s="107"/>
      <c r="Y443" s="107"/>
      <c r="Z443" s="112"/>
      <c r="AA443" s="112"/>
      <c r="AB443" s="112"/>
      <c r="AC443" s="112"/>
      <c r="AD443" s="112"/>
      <c r="AE443" s="112"/>
      <c r="AF443" s="112"/>
      <c r="AG443" s="117"/>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c r="BK443" s="124"/>
      <c r="BL443" s="124"/>
      <c r="BM443" s="124"/>
      <c r="BN443" s="124"/>
      <c r="BO443" s="124"/>
      <c r="BP443" s="124"/>
      <c r="BQ443" s="124"/>
      <c r="BR443" s="124"/>
      <c r="BS443" s="124"/>
      <c r="BT443" s="124"/>
      <c r="BU443" s="124"/>
      <c r="BV443" s="124"/>
      <c r="BW443" s="124"/>
      <c r="BX443" s="124"/>
      <c r="BY443" s="124"/>
      <c r="BZ443" s="124"/>
      <c r="CA443" s="124"/>
    </row>
    <row r="444">
      <c r="D444" s="143"/>
      <c r="E444" s="168"/>
      <c r="F444" s="112"/>
      <c r="G444" s="112"/>
      <c r="H444" s="112"/>
      <c r="I444" s="112"/>
      <c r="J444" s="112"/>
      <c r="K444" s="112"/>
      <c r="L444" s="112"/>
      <c r="M444" s="112"/>
      <c r="N444" s="112"/>
      <c r="O444" s="112"/>
      <c r="P444" s="112"/>
      <c r="Q444" s="112"/>
      <c r="R444" s="112"/>
      <c r="S444" s="112"/>
      <c r="T444" s="112"/>
      <c r="U444" s="107"/>
      <c r="V444" s="107"/>
      <c r="W444" s="107"/>
      <c r="X444" s="107"/>
      <c r="Y444" s="107"/>
      <c r="Z444" s="112"/>
      <c r="AA444" s="112"/>
      <c r="AB444" s="112"/>
      <c r="AC444" s="112"/>
      <c r="AD444" s="112"/>
      <c r="AE444" s="112"/>
      <c r="AF444" s="112"/>
      <c r="AG444" s="117"/>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c r="BK444" s="124"/>
      <c r="BL444" s="124"/>
      <c r="BM444" s="124"/>
      <c r="BN444" s="124"/>
      <c r="BO444" s="124"/>
      <c r="BP444" s="124"/>
      <c r="BQ444" s="124"/>
      <c r="BR444" s="124"/>
      <c r="BS444" s="124"/>
      <c r="BT444" s="124"/>
      <c r="BU444" s="124"/>
      <c r="BV444" s="124"/>
      <c r="BW444" s="124"/>
      <c r="BX444" s="124"/>
      <c r="BY444" s="124"/>
      <c r="BZ444" s="124"/>
      <c r="CA444" s="124"/>
    </row>
    <row r="445">
      <c r="D445" s="143"/>
      <c r="E445" s="168"/>
      <c r="F445" s="112"/>
      <c r="G445" s="112"/>
      <c r="H445" s="112"/>
      <c r="I445" s="112"/>
      <c r="J445" s="112"/>
      <c r="K445" s="112"/>
      <c r="L445" s="112"/>
      <c r="M445" s="112"/>
      <c r="N445" s="112"/>
      <c r="O445" s="112"/>
      <c r="P445" s="112"/>
      <c r="Q445" s="112"/>
      <c r="R445" s="112"/>
      <c r="S445" s="112"/>
      <c r="T445" s="112"/>
      <c r="U445" s="107"/>
      <c r="V445" s="107"/>
      <c r="W445" s="107"/>
      <c r="X445" s="107"/>
      <c r="Y445" s="107"/>
      <c r="Z445" s="112"/>
      <c r="AA445" s="112"/>
      <c r="AB445" s="112"/>
      <c r="AC445" s="112"/>
      <c r="AD445" s="112"/>
      <c r="AE445" s="112"/>
      <c r="AF445" s="112"/>
      <c r="AG445" s="117"/>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c r="BK445" s="124"/>
      <c r="BL445" s="124"/>
      <c r="BM445" s="124"/>
      <c r="BN445" s="124"/>
      <c r="BO445" s="124"/>
      <c r="BP445" s="124"/>
      <c r="BQ445" s="124"/>
      <c r="BR445" s="124"/>
      <c r="BS445" s="124"/>
      <c r="BT445" s="124"/>
      <c r="BU445" s="124"/>
      <c r="BV445" s="124"/>
      <c r="BW445" s="124"/>
      <c r="BX445" s="124"/>
      <c r="BY445" s="124"/>
      <c r="BZ445" s="124"/>
      <c r="CA445" s="124"/>
    </row>
    <row r="446">
      <c r="D446" s="143"/>
      <c r="E446" s="168"/>
      <c r="F446" s="112"/>
      <c r="G446" s="112"/>
      <c r="H446" s="112"/>
      <c r="I446" s="112"/>
      <c r="J446" s="112"/>
      <c r="K446" s="112"/>
      <c r="L446" s="112"/>
      <c r="M446" s="112"/>
      <c r="N446" s="112"/>
      <c r="O446" s="112"/>
      <c r="P446" s="112"/>
      <c r="Q446" s="112"/>
      <c r="R446" s="112"/>
      <c r="S446" s="112"/>
      <c r="T446" s="112"/>
      <c r="U446" s="107"/>
      <c r="V446" s="107"/>
      <c r="W446" s="107"/>
      <c r="X446" s="107"/>
      <c r="Y446" s="107"/>
      <c r="Z446" s="112"/>
      <c r="AA446" s="112"/>
      <c r="AB446" s="112"/>
      <c r="AC446" s="112"/>
      <c r="AD446" s="112"/>
      <c r="AE446" s="112"/>
      <c r="AF446" s="112"/>
      <c r="AG446" s="117"/>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c r="BK446" s="124"/>
      <c r="BL446" s="124"/>
      <c r="BM446" s="124"/>
      <c r="BN446" s="124"/>
      <c r="BO446" s="124"/>
      <c r="BP446" s="124"/>
      <c r="BQ446" s="124"/>
      <c r="BR446" s="124"/>
      <c r="BS446" s="124"/>
      <c r="BT446" s="124"/>
      <c r="BU446" s="124"/>
      <c r="BV446" s="124"/>
      <c r="BW446" s="124"/>
      <c r="BX446" s="124"/>
      <c r="BY446" s="124"/>
      <c r="BZ446" s="124"/>
      <c r="CA446" s="124"/>
    </row>
    <row r="447">
      <c r="D447" s="143"/>
      <c r="E447" s="168"/>
      <c r="F447" s="112"/>
      <c r="G447" s="112"/>
      <c r="H447" s="112"/>
      <c r="I447" s="112"/>
      <c r="J447" s="112"/>
      <c r="K447" s="112"/>
      <c r="L447" s="112"/>
      <c r="M447" s="112"/>
      <c r="N447" s="112"/>
      <c r="O447" s="112"/>
      <c r="P447" s="112"/>
      <c r="Q447" s="112"/>
      <c r="R447" s="112"/>
      <c r="S447" s="112"/>
      <c r="T447" s="112"/>
      <c r="U447" s="107"/>
      <c r="V447" s="107"/>
      <c r="W447" s="107"/>
      <c r="X447" s="107"/>
      <c r="Y447" s="107"/>
      <c r="Z447" s="112"/>
      <c r="AA447" s="112"/>
      <c r="AB447" s="112"/>
      <c r="AC447" s="112"/>
      <c r="AD447" s="112"/>
      <c r="AE447" s="112"/>
      <c r="AF447" s="112"/>
      <c r="AG447" s="117"/>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row>
    <row r="448">
      <c r="D448" s="143"/>
      <c r="E448" s="168"/>
      <c r="F448" s="112"/>
      <c r="G448" s="112"/>
      <c r="H448" s="112"/>
      <c r="I448" s="112"/>
      <c r="J448" s="112"/>
      <c r="K448" s="112"/>
      <c r="L448" s="112"/>
      <c r="M448" s="112"/>
      <c r="N448" s="112"/>
      <c r="O448" s="112"/>
      <c r="P448" s="112"/>
      <c r="Q448" s="112"/>
      <c r="R448" s="112"/>
      <c r="S448" s="112"/>
      <c r="T448" s="112"/>
      <c r="U448" s="107"/>
      <c r="V448" s="107"/>
      <c r="W448" s="107"/>
      <c r="X448" s="107"/>
      <c r="Y448" s="107"/>
      <c r="Z448" s="112"/>
      <c r="AA448" s="112"/>
      <c r="AB448" s="112"/>
      <c r="AC448" s="112"/>
      <c r="AD448" s="112"/>
      <c r="AE448" s="112"/>
      <c r="AF448" s="112"/>
      <c r="AG448" s="117"/>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c r="BK448" s="124"/>
      <c r="BL448" s="124"/>
      <c r="BM448" s="124"/>
      <c r="BN448" s="124"/>
      <c r="BO448" s="124"/>
      <c r="BP448" s="124"/>
      <c r="BQ448" s="124"/>
      <c r="BR448" s="124"/>
      <c r="BS448" s="124"/>
      <c r="BT448" s="124"/>
      <c r="BU448" s="124"/>
      <c r="BV448" s="124"/>
      <c r="BW448" s="124"/>
      <c r="BX448" s="124"/>
      <c r="BY448" s="124"/>
      <c r="BZ448" s="124"/>
      <c r="CA448" s="124"/>
    </row>
    <row r="449">
      <c r="D449" s="143"/>
      <c r="E449" s="168"/>
      <c r="F449" s="112"/>
      <c r="G449" s="112"/>
      <c r="H449" s="112"/>
      <c r="I449" s="112"/>
      <c r="J449" s="112"/>
      <c r="K449" s="112"/>
      <c r="L449" s="112"/>
      <c r="M449" s="112"/>
      <c r="N449" s="112"/>
      <c r="O449" s="112"/>
      <c r="P449" s="112"/>
      <c r="Q449" s="112"/>
      <c r="R449" s="112"/>
      <c r="S449" s="112"/>
      <c r="T449" s="112"/>
      <c r="U449" s="107"/>
      <c r="V449" s="107"/>
      <c r="W449" s="107"/>
      <c r="X449" s="107"/>
      <c r="Y449" s="107"/>
      <c r="Z449" s="112"/>
      <c r="AA449" s="112"/>
      <c r="AB449" s="112"/>
      <c r="AC449" s="112"/>
      <c r="AD449" s="112"/>
      <c r="AE449" s="112"/>
      <c r="AF449" s="112"/>
      <c r="AG449" s="117"/>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c r="BK449" s="124"/>
      <c r="BL449" s="124"/>
      <c r="BM449" s="124"/>
      <c r="BN449" s="124"/>
      <c r="BO449" s="124"/>
      <c r="BP449" s="124"/>
      <c r="BQ449" s="124"/>
      <c r="BR449" s="124"/>
      <c r="BS449" s="124"/>
      <c r="BT449" s="124"/>
      <c r="BU449" s="124"/>
      <c r="BV449" s="124"/>
      <c r="BW449" s="124"/>
      <c r="BX449" s="124"/>
      <c r="BY449" s="124"/>
      <c r="BZ449" s="124"/>
      <c r="CA449" s="124"/>
    </row>
    <row r="450">
      <c r="D450" s="143"/>
      <c r="E450" s="168"/>
      <c r="F450" s="112"/>
      <c r="G450" s="112"/>
      <c r="H450" s="112"/>
      <c r="I450" s="112"/>
      <c r="J450" s="112"/>
      <c r="K450" s="112"/>
      <c r="L450" s="112"/>
      <c r="M450" s="112"/>
      <c r="N450" s="112"/>
      <c r="O450" s="112"/>
      <c r="P450" s="112"/>
      <c r="Q450" s="112"/>
      <c r="R450" s="112"/>
      <c r="S450" s="112"/>
      <c r="T450" s="112"/>
      <c r="U450" s="107"/>
      <c r="V450" s="107"/>
      <c r="W450" s="107"/>
      <c r="X450" s="107"/>
      <c r="Y450" s="107"/>
      <c r="Z450" s="112"/>
      <c r="AA450" s="112"/>
      <c r="AB450" s="112"/>
      <c r="AC450" s="112"/>
      <c r="AD450" s="112"/>
      <c r="AE450" s="112"/>
      <c r="AF450" s="112"/>
      <c r="AG450" s="117"/>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c r="BK450" s="124"/>
      <c r="BL450" s="124"/>
      <c r="BM450" s="124"/>
      <c r="BN450" s="124"/>
      <c r="BO450" s="124"/>
      <c r="BP450" s="124"/>
      <c r="BQ450" s="124"/>
      <c r="BR450" s="124"/>
      <c r="BS450" s="124"/>
      <c r="BT450" s="124"/>
      <c r="BU450" s="124"/>
      <c r="BV450" s="124"/>
      <c r="BW450" s="124"/>
      <c r="BX450" s="124"/>
      <c r="BY450" s="124"/>
      <c r="BZ450" s="124"/>
      <c r="CA450" s="124"/>
    </row>
    <row r="451">
      <c r="D451" s="143"/>
      <c r="E451" s="168"/>
      <c r="F451" s="112"/>
      <c r="G451" s="112"/>
      <c r="H451" s="112"/>
      <c r="I451" s="112"/>
      <c r="J451" s="112"/>
      <c r="K451" s="112"/>
      <c r="L451" s="112"/>
      <c r="M451" s="112"/>
      <c r="N451" s="112"/>
      <c r="O451" s="112"/>
      <c r="P451" s="112"/>
      <c r="Q451" s="112"/>
      <c r="R451" s="112"/>
      <c r="S451" s="112"/>
      <c r="T451" s="112"/>
      <c r="U451" s="107"/>
      <c r="V451" s="107"/>
      <c r="W451" s="107"/>
      <c r="X451" s="107"/>
      <c r="Y451" s="107"/>
      <c r="Z451" s="112"/>
      <c r="AA451" s="112"/>
      <c r="AB451" s="112"/>
      <c r="AC451" s="112"/>
      <c r="AD451" s="112"/>
      <c r="AE451" s="112"/>
      <c r="AF451" s="112"/>
      <c r="AG451" s="117"/>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c r="BK451" s="124"/>
      <c r="BL451" s="124"/>
      <c r="BM451" s="124"/>
      <c r="BN451" s="124"/>
      <c r="BO451" s="124"/>
      <c r="BP451" s="124"/>
      <c r="BQ451" s="124"/>
      <c r="BR451" s="124"/>
      <c r="BS451" s="124"/>
      <c r="BT451" s="124"/>
      <c r="BU451" s="124"/>
      <c r="BV451" s="124"/>
      <c r="BW451" s="124"/>
      <c r="BX451" s="124"/>
      <c r="BY451" s="124"/>
      <c r="BZ451" s="124"/>
      <c r="CA451" s="124"/>
    </row>
    <row r="452">
      <c r="D452" s="143"/>
      <c r="E452" s="168"/>
      <c r="F452" s="112"/>
      <c r="G452" s="112"/>
      <c r="H452" s="112"/>
      <c r="I452" s="112"/>
      <c r="J452" s="112"/>
      <c r="K452" s="112"/>
      <c r="L452" s="112"/>
      <c r="M452" s="112"/>
      <c r="N452" s="112"/>
      <c r="O452" s="112"/>
      <c r="P452" s="112"/>
      <c r="Q452" s="112"/>
      <c r="R452" s="112"/>
      <c r="S452" s="112"/>
      <c r="T452" s="112"/>
      <c r="U452" s="107"/>
      <c r="V452" s="107"/>
      <c r="W452" s="107"/>
      <c r="X452" s="107"/>
      <c r="Y452" s="107"/>
      <c r="Z452" s="112"/>
      <c r="AA452" s="112"/>
      <c r="AB452" s="112"/>
      <c r="AC452" s="112"/>
      <c r="AD452" s="112"/>
      <c r="AE452" s="112"/>
      <c r="AF452" s="112"/>
      <c r="AG452" s="117"/>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c r="BK452" s="124"/>
      <c r="BL452" s="124"/>
      <c r="BM452" s="124"/>
      <c r="BN452" s="124"/>
      <c r="BO452" s="124"/>
      <c r="BP452" s="124"/>
      <c r="BQ452" s="124"/>
      <c r="BR452" s="124"/>
      <c r="BS452" s="124"/>
      <c r="BT452" s="124"/>
      <c r="BU452" s="124"/>
      <c r="BV452" s="124"/>
      <c r="BW452" s="124"/>
      <c r="BX452" s="124"/>
      <c r="BY452" s="124"/>
      <c r="BZ452" s="124"/>
      <c r="CA452" s="124"/>
    </row>
    <row r="453">
      <c r="D453" s="143"/>
      <c r="E453" s="168"/>
      <c r="F453" s="112"/>
      <c r="G453" s="112"/>
      <c r="H453" s="112"/>
      <c r="I453" s="112"/>
      <c r="J453" s="112"/>
      <c r="K453" s="112"/>
      <c r="L453" s="112"/>
      <c r="M453" s="112"/>
      <c r="N453" s="112"/>
      <c r="O453" s="112"/>
      <c r="P453" s="112"/>
      <c r="Q453" s="112"/>
      <c r="R453" s="112"/>
      <c r="S453" s="112"/>
      <c r="T453" s="112"/>
      <c r="U453" s="107"/>
      <c r="V453" s="107"/>
      <c r="W453" s="107"/>
      <c r="X453" s="107"/>
      <c r="Y453" s="107"/>
      <c r="Z453" s="112"/>
      <c r="AA453" s="112"/>
      <c r="AB453" s="112"/>
      <c r="AC453" s="112"/>
      <c r="AD453" s="112"/>
      <c r="AE453" s="112"/>
      <c r="AF453" s="112"/>
      <c r="AG453" s="117"/>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row>
    <row r="454">
      <c r="D454" s="143"/>
      <c r="E454" s="168"/>
      <c r="F454" s="112"/>
      <c r="G454" s="112"/>
      <c r="H454" s="112"/>
      <c r="I454" s="112"/>
      <c r="J454" s="112"/>
      <c r="K454" s="112"/>
      <c r="L454" s="112"/>
      <c r="M454" s="112"/>
      <c r="N454" s="112"/>
      <c r="O454" s="112"/>
      <c r="P454" s="112"/>
      <c r="Q454" s="112"/>
      <c r="R454" s="112"/>
      <c r="S454" s="112"/>
      <c r="T454" s="112"/>
      <c r="U454" s="107"/>
      <c r="V454" s="107"/>
      <c r="W454" s="107"/>
      <c r="X454" s="107"/>
      <c r="Y454" s="107"/>
      <c r="Z454" s="112"/>
      <c r="AA454" s="112"/>
      <c r="AB454" s="112"/>
      <c r="AC454" s="112"/>
      <c r="AD454" s="112"/>
      <c r="AE454" s="112"/>
      <c r="AF454" s="112"/>
      <c r="AG454" s="117"/>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c r="BK454" s="124"/>
      <c r="BL454" s="124"/>
      <c r="BM454" s="124"/>
      <c r="BN454" s="124"/>
      <c r="BO454" s="124"/>
      <c r="BP454" s="124"/>
      <c r="BQ454" s="124"/>
      <c r="BR454" s="124"/>
      <c r="BS454" s="124"/>
      <c r="BT454" s="124"/>
      <c r="BU454" s="124"/>
      <c r="BV454" s="124"/>
      <c r="BW454" s="124"/>
      <c r="BX454" s="124"/>
      <c r="BY454" s="124"/>
      <c r="BZ454" s="124"/>
      <c r="CA454" s="124"/>
    </row>
    <row r="455">
      <c r="D455" s="143"/>
      <c r="E455" s="168"/>
      <c r="F455" s="112"/>
      <c r="G455" s="112"/>
      <c r="H455" s="112"/>
      <c r="I455" s="112"/>
      <c r="J455" s="112"/>
      <c r="K455" s="112"/>
      <c r="L455" s="112"/>
      <c r="M455" s="112"/>
      <c r="N455" s="112"/>
      <c r="O455" s="112"/>
      <c r="P455" s="112"/>
      <c r="Q455" s="112"/>
      <c r="R455" s="112"/>
      <c r="S455" s="112"/>
      <c r="T455" s="112"/>
      <c r="U455" s="107"/>
      <c r="V455" s="107"/>
      <c r="W455" s="107"/>
      <c r="X455" s="107"/>
      <c r="Y455" s="107"/>
      <c r="Z455" s="112"/>
      <c r="AA455" s="112"/>
      <c r="AB455" s="112"/>
      <c r="AC455" s="112"/>
      <c r="AD455" s="112"/>
      <c r="AE455" s="112"/>
      <c r="AF455" s="112"/>
      <c r="AG455" s="117"/>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c r="BK455" s="124"/>
      <c r="BL455" s="124"/>
      <c r="BM455" s="124"/>
      <c r="BN455" s="124"/>
      <c r="BO455" s="124"/>
      <c r="BP455" s="124"/>
      <c r="BQ455" s="124"/>
      <c r="BR455" s="124"/>
      <c r="BS455" s="124"/>
      <c r="BT455" s="124"/>
      <c r="BU455" s="124"/>
      <c r="BV455" s="124"/>
      <c r="BW455" s="124"/>
      <c r="BX455" s="124"/>
      <c r="BY455" s="124"/>
      <c r="BZ455" s="124"/>
      <c r="CA455" s="124"/>
    </row>
    <row r="456">
      <c r="D456" s="143"/>
      <c r="E456" s="168"/>
      <c r="F456" s="112"/>
      <c r="G456" s="112"/>
      <c r="H456" s="112"/>
      <c r="I456" s="112"/>
      <c r="J456" s="112"/>
      <c r="K456" s="112"/>
      <c r="L456" s="112"/>
      <c r="M456" s="112"/>
      <c r="N456" s="112"/>
      <c r="O456" s="112"/>
      <c r="P456" s="112"/>
      <c r="Q456" s="112"/>
      <c r="R456" s="112"/>
      <c r="S456" s="112"/>
      <c r="T456" s="112"/>
      <c r="U456" s="107"/>
      <c r="V456" s="107"/>
      <c r="W456" s="107"/>
      <c r="X456" s="107"/>
      <c r="Y456" s="107"/>
      <c r="Z456" s="112"/>
      <c r="AA456" s="112"/>
      <c r="AB456" s="112"/>
      <c r="AC456" s="112"/>
      <c r="AD456" s="112"/>
      <c r="AE456" s="112"/>
      <c r="AF456" s="112"/>
      <c r="AG456" s="117"/>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c r="BK456" s="124"/>
      <c r="BL456" s="124"/>
      <c r="BM456" s="124"/>
      <c r="BN456" s="124"/>
      <c r="BO456" s="124"/>
      <c r="BP456" s="124"/>
      <c r="BQ456" s="124"/>
      <c r="BR456" s="124"/>
      <c r="BS456" s="124"/>
      <c r="BT456" s="124"/>
      <c r="BU456" s="124"/>
      <c r="BV456" s="124"/>
      <c r="BW456" s="124"/>
      <c r="BX456" s="124"/>
      <c r="BY456" s="124"/>
      <c r="BZ456" s="124"/>
      <c r="CA456" s="124"/>
    </row>
    <row r="457">
      <c r="D457" s="143"/>
      <c r="E457" s="168"/>
      <c r="F457" s="112"/>
      <c r="G457" s="112"/>
      <c r="H457" s="112"/>
      <c r="I457" s="112"/>
      <c r="J457" s="112"/>
      <c r="K457" s="112"/>
      <c r="L457" s="112"/>
      <c r="M457" s="112"/>
      <c r="N457" s="112"/>
      <c r="O457" s="112"/>
      <c r="P457" s="112"/>
      <c r="Q457" s="112"/>
      <c r="R457" s="112"/>
      <c r="S457" s="112"/>
      <c r="T457" s="112"/>
      <c r="U457" s="107"/>
      <c r="V457" s="107"/>
      <c r="W457" s="107"/>
      <c r="X457" s="107"/>
      <c r="Y457" s="107"/>
      <c r="Z457" s="112"/>
      <c r="AA457" s="112"/>
      <c r="AB457" s="112"/>
      <c r="AC457" s="112"/>
      <c r="AD457" s="112"/>
      <c r="AE457" s="112"/>
      <c r="AF457" s="112"/>
      <c r="AG457" s="117"/>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c r="BK457" s="124"/>
      <c r="BL457" s="124"/>
      <c r="BM457" s="124"/>
      <c r="BN457" s="124"/>
      <c r="BO457" s="124"/>
      <c r="BP457" s="124"/>
      <c r="BQ457" s="124"/>
      <c r="BR457" s="124"/>
      <c r="BS457" s="124"/>
      <c r="BT457" s="124"/>
      <c r="BU457" s="124"/>
      <c r="BV457" s="124"/>
      <c r="BW457" s="124"/>
      <c r="BX457" s="124"/>
      <c r="BY457" s="124"/>
      <c r="BZ457" s="124"/>
      <c r="CA457" s="124"/>
    </row>
    <row r="458">
      <c r="D458" s="143"/>
      <c r="E458" s="168"/>
      <c r="F458" s="112"/>
      <c r="G458" s="112"/>
      <c r="H458" s="112"/>
      <c r="I458" s="112"/>
      <c r="J458" s="112"/>
      <c r="K458" s="112"/>
      <c r="L458" s="112"/>
      <c r="M458" s="112"/>
      <c r="N458" s="112"/>
      <c r="O458" s="112"/>
      <c r="P458" s="112"/>
      <c r="Q458" s="112"/>
      <c r="R458" s="112"/>
      <c r="S458" s="112"/>
      <c r="T458" s="112"/>
      <c r="U458" s="107"/>
      <c r="V458" s="107"/>
      <c r="W458" s="107"/>
      <c r="X458" s="107"/>
      <c r="Y458" s="107"/>
      <c r="Z458" s="112"/>
      <c r="AA458" s="112"/>
      <c r="AB458" s="112"/>
      <c r="AC458" s="112"/>
      <c r="AD458" s="112"/>
      <c r="AE458" s="112"/>
      <c r="AF458" s="112"/>
      <c r="AG458" s="117"/>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c r="BK458" s="124"/>
      <c r="BL458" s="124"/>
      <c r="BM458" s="124"/>
      <c r="BN458" s="124"/>
      <c r="BO458" s="124"/>
      <c r="BP458" s="124"/>
      <c r="BQ458" s="124"/>
      <c r="BR458" s="124"/>
      <c r="BS458" s="124"/>
      <c r="BT458" s="124"/>
      <c r="BU458" s="124"/>
      <c r="BV458" s="124"/>
      <c r="BW458" s="124"/>
      <c r="BX458" s="124"/>
      <c r="BY458" s="124"/>
      <c r="BZ458" s="124"/>
      <c r="CA458" s="124"/>
    </row>
    <row r="459">
      <c r="D459" s="143"/>
      <c r="E459" s="168"/>
      <c r="F459" s="112"/>
      <c r="G459" s="112"/>
      <c r="H459" s="112"/>
      <c r="I459" s="112"/>
      <c r="J459" s="112"/>
      <c r="K459" s="112"/>
      <c r="L459" s="112"/>
      <c r="M459" s="112"/>
      <c r="N459" s="112"/>
      <c r="O459" s="112"/>
      <c r="P459" s="112"/>
      <c r="Q459" s="112"/>
      <c r="R459" s="112"/>
      <c r="S459" s="112"/>
      <c r="T459" s="112"/>
      <c r="U459" s="107"/>
      <c r="V459" s="107"/>
      <c r="W459" s="107"/>
      <c r="X459" s="107"/>
      <c r="Y459" s="107"/>
      <c r="Z459" s="112"/>
      <c r="AA459" s="112"/>
      <c r="AB459" s="112"/>
      <c r="AC459" s="112"/>
      <c r="AD459" s="112"/>
      <c r="AE459" s="112"/>
      <c r="AF459" s="112"/>
      <c r="AG459" s="117"/>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row>
    <row r="460">
      <c r="D460" s="143"/>
      <c r="E460" s="168"/>
      <c r="F460" s="112"/>
      <c r="G460" s="112"/>
      <c r="H460" s="112"/>
      <c r="I460" s="112"/>
      <c r="J460" s="112"/>
      <c r="K460" s="112"/>
      <c r="L460" s="112"/>
      <c r="M460" s="112"/>
      <c r="N460" s="112"/>
      <c r="O460" s="112"/>
      <c r="P460" s="112"/>
      <c r="Q460" s="112"/>
      <c r="R460" s="112"/>
      <c r="S460" s="112"/>
      <c r="T460" s="112"/>
      <c r="U460" s="107"/>
      <c r="V460" s="107"/>
      <c r="W460" s="107"/>
      <c r="X460" s="107"/>
      <c r="Y460" s="107"/>
      <c r="Z460" s="112"/>
      <c r="AA460" s="112"/>
      <c r="AB460" s="112"/>
      <c r="AC460" s="112"/>
      <c r="AD460" s="112"/>
      <c r="AE460" s="112"/>
      <c r="AF460" s="112"/>
      <c r="AG460" s="117"/>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c r="BK460" s="124"/>
      <c r="BL460" s="124"/>
      <c r="BM460" s="124"/>
      <c r="BN460" s="124"/>
      <c r="BO460" s="124"/>
      <c r="BP460" s="124"/>
      <c r="BQ460" s="124"/>
      <c r="BR460" s="124"/>
      <c r="BS460" s="124"/>
      <c r="BT460" s="124"/>
      <c r="BU460" s="124"/>
      <c r="BV460" s="124"/>
      <c r="BW460" s="124"/>
      <c r="BX460" s="124"/>
      <c r="BY460" s="124"/>
      <c r="BZ460" s="124"/>
      <c r="CA460" s="124"/>
    </row>
    <row r="461">
      <c r="D461" s="143"/>
      <c r="E461" s="168"/>
      <c r="F461" s="112"/>
      <c r="G461" s="112"/>
      <c r="H461" s="112"/>
      <c r="I461" s="112"/>
      <c r="J461" s="112"/>
      <c r="K461" s="112"/>
      <c r="L461" s="112"/>
      <c r="M461" s="112"/>
      <c r="N461" s="112"/>
      <c r="O461" s="112"/>
      <c r="P461" s="112"/>
      <c r="Q461" s="112"/>
      <c r="R461" s="112"/>
      <c r="S461" s="112"/>
      <c r="T461" s="112"/>
      <c r="U461" s="107"/>
      <c r="V461" s="107"/>
      <c r="W461" s="107"/>
      <c r="X461" s="107"/>
      <c r="Y461" s="107"/>
      <c r="Z461" s="112"/>
      <c r="AA461" s="112"/>
      <c r="AB461" s="112"/>
      <c r="AC461" s="112"/>
      <c r="AD461" s="112"/>
      <c r="AE461" s="112"/>
      <c r="AF461" s="112"/>
      <c r="AG461" s="117"/>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c r="BK461" s="124"/>
      <c r="BL461" s="124"/>
      <c r="BM461" s="124"/>
      <c r="BN461" s="124"/>
      <c r="BO461" s="124"/>
      <c r="BP461" s="124"/>
      <c r="BQ461" s="124"/>
      <c r="BR461" s="124"/>
      <c r="BS461" s="124"/>
      <c r="BT461" s="124"/>
      <c r="BU461" s="124"/>
      <c r="BV461" s="124"/>
      <c r="BW461" s="124"/>
      <c r="BX461" s="124"/>
      <c r="BY461" s="124"/>
      <c r="BZ461" s="124"/>
      <c r="CA461" s="124"/>
    </row>
    <row r="462">
      <c r="D462" s="143"/>
      <c r="E462" s="168"/>
      <c r="F462" s="112"/>
      <c r="G462" s="112"/>
      <c r="H462" s="112"/>
      <c r="I462" s="112"/>
      <c r="J462" s="112"/>
      <c r="K462" s="112"/>
      <c r="L462" s="112"/>
      <c r="M462" s="112"/>
      <c r="N462" s="112"/>
      <c r="O462" s="112"/>
      <c r="P462" s="112"/>
      <c r="Q462" s="112"/>
      <c r="R462" s="112"/>
      <c r="S462" s="112"/>
      <c r="T462" s="112"/>
      <c r="U462" s="107"/>
      <c r="V462" s="107"/>
      <c r="W462" s="107"/>
      <c r="X462" s="107"/>
      <c r="Y462" s="107"/>
      <c r="Z462" s="112"/>
      <c r="AA462" s="112"/>
      <c r="AB462" s="112"/>
      <c r="AC462" s="112"/>
      <c r="AD462" s="112"/>
      <c r="AE462" s="112"/>
      <c r="AF462" s="112"/>
      <c r="AG462" s="117"/>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c r="BK462" s="124"/>
      <c r="BL462" s="124"/>
      <c r="BM462" s="124"/>
      <c r="BN462" s="124"/>
      <c r="BO462" s="124"/>
      <c r="BP462" s="124"/>
      <c r="BQ462" s="124"/>
      <c r="BR462" s="124"/>
      <c r="BS462" s="124"/>
      <c r="BT462" s="124"/>
      <c r="BU462" s="124"/>
      <c r="BV462" s="124"/>
      <c r="BW462" s="124"/>
      <c r="BX462" s="124"/>
      <c r="BY462" s="124"/>
      <c r="BZ462" s="124"/>
      <c r="CA462" s="124"/>
    </row>
    <row r="463">
      <c r="D463" s="143"/>
      <c r="E463" s="168"/>
      <c r="F463" s="112"/>
      <c r="G463" s="112"/>
      <c r="H463" s="112"/>
      <c r="I463" s="112"/>
      <c r="J463" s="112"/>
      <c r="K463" s="112"/>
      <c r="L463" s="112"/>
      <c r="M463" s="112"/>
      <c r="N463" s="112"/>
      <c r="O463" s="112"/>
      <c r="P463" s="112"/>
      <c r="Q463" s="112"/>
      <c r="R463" s="112"/>
      <c r="S463" s="112"/>
      <c r="T463" s="112"/>
      <c r="U463" s="107"/>
      <c r="V463" s="107"/>
      <c r="W463" s="107"/>
      <c r="X463" s="107"/>
      <c r="Y463" s="107"/>
      <c r="Z463" s="112"/>
      <c r="AA463" s="112"/>
      <c r="AB463" s="112"/>
      <c r="AC463" s="112"/>
      <c r="AD463" s="112"/>
      <c r="AE463" s="112"/>
      <c r="AF463" s="112"/>
      <c r="AG463" s="117"/>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c r="BK463" s="124"/>
      <c r="BL463" s="124"/>
      <c r="BM463" s="124"/>
      <c r="BN463" s="124"/>
      <c r="BO463" s="124"/>
      <c r="BP463" s="124"/>
      <c r="BQ463" s="124"/>
      <c r="BR463" s="124"/>
      <c r="BS463" s="124"/>
      <c r="BT463" s="124"/>
      <c r="BU463" s="124"/>
      <c r="BV463" s="124"/>
      <c r="BW463" s="124"/>
      <c r="BX463" s="124"/>
      <c r="BY463" s="124"/>
      <c r="BZ463" s="124"/>
      <c r="CA463" s="124"/>
    </row>
    <row r="464">
      <c r="D464" s="143"/>
      <c r="E464" s="168"/>
      <c r="F464" s="112"/>
      <c r="G464" s="112"/>
      <c r="H464" s="112"/>
      <c r="I464" s="112"/>
      <c r="J464" s="112"/>
      <c r="K464" s="112"/>
      <c r="L464" s="112"/>
      <c r="M464" s="112"/>
      <c r="N464" s="112"/>
      <c r="O464" s="112"/>
      <c r="P464" s="112"/>
      <c r="Q464" s="112"/>
      <c r="R464" s="112"/>
      <c r="S464" s="112"/>
      <c r="T464" s="112"/>
      <c r="U464" s="107"/>
      <c r="V464" s="107"/>
      <c r="W464" s="107"/>
      <c r="X464" s="107"/>
      <c r="Y464" s="107"/>
      <c r="Z464" s="112"/>
      <c r="AA464" s="112"/>
      <c r="AB464" s="112"/>
      <c r="AC464" s="112"/>
      <c r="AD464" s="112"/>
      <c r="AE464" s="112"/>
      <c r="AF464" s="112"/>
      <c r="AG464" s="117"/>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c r="BK464" s="124"/>
      <c r="BL464" s="124"/>
      <c r="BM464" s="124"/>
      <c r="BN464" s="124"/>
      <c r="BO464" s="124"/>
      <c r="BP464" s="124"/>
      <c r="BQ464" s="124"/>
      <c r="BR464" s="124"/>
      <c r="BS464" s="124"/>
      <c r="BT464" s="124"/>
      <c r="BU464" s="124"/>
      <c r="BV464" s="124"/>
      <c r="BW464" s="124"/>
      <c r="BX464" s="124"/>
      <c r="BY464" s="124"/>
      <c r="BZ464" s="124"/>
      <c r="CA464" s="124"/>
    </row>
    <row r="465">
      <c r="D465" s="143"/>
      <c r="E465" s="168"/>
      <c r="F465" s="112"/>
      <c r="G465" s="112"/>
      <c r="H465" s="112"/>
      <c r="I465" s="112"/>
      <c r="J465" s="112"/>
      <c r="K465" s="112"/>
      <c r="L465" s="112"/>
      <c r="M465" s="112"/>
      <c r="N465" s="112"/>
      <c r="O465" s="112"/>
      <c r="P465" s="112"/>
      <c r="Q465" s="112"/>
      <c r="R465" s="112"/>
      <c r="S465" s="112"/>
      <c r="T465" s="112"/>
      <c r="U465" s="107"/>
      <c r="V465" s="107"/>
      <c r="W465" s="107"/>
      <c r="X465" s="107"/>
      <c r="Y465" s="107"/>
      <c r="Z465" s="112"/>
      <c r="AA465" s="112"/>
      <c r="AB465" s="112"/>
      <c r="AC465" s="112"/>
      <c r="AD465" s="112"/>
      <c r="AE465" s="112"/>
      <c r="AF465" s="112"/>
      <c r="AG465" s="117"/>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row>
    <row r="466">
      <c r="D466" s="143"/>
      <c r="E466" s="168"/>
      <c r="F466" s="112"/>
      <c r="G466" s="112"/>
      <c r="H466" s="112"/>
      <c r="I466" s="112"/>
      <c r="J466" s="112"/>
      <c r="K466" s="112"/>
      <c r="L466" s="112"/>
      <c r="M466" s="112"/>
      <c r="N466" s="112"/>
      <c r="O466" s="112"/>
      <c r="P466" s="112"/>
      <c r="Q466" s="112"/>
      <c r="R466" s="112"/>
      <c r="S466" s="112"/>
      <c r="T466" s="112"/>
      <c r="U466" s="107"/>
      <c r="V466" s="107"/>
      <c r="W466" s="107"/>
      <c r="X466" s="107"/>
      <c r="Y466" s="107"/>
      <c r="Z466" s="112"/>
      <c r="AA466" s="112"/>
      <c r="AB466" s="112"/>
      <c r="AC466" s="112"/>
      <c r="AD466" s="112"/>
      <c r="AE466" s="112"/>
      <c r="AF466" s="112"/>
      <c r="AG466" s="117"/>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c r="BK466" s="124"/>
      <c r="BL466" s="124"/>
      <c r="BM466" s="124"/>
      <c r="BN466" s="124"/>
      <c r="BO466" s="124"/>
      <c r="BP466" s="124"/>
      <c r="BQ466" s="124"/>
      <c r="BR466" s="124"/>
      <c r="BS466" s="124"/>
      <c r="BT466" s="124"/>
      <c r="BU466" s="124"/>
      <c r="BV466" s="124"/>
      <c r="BW466" s="124"/>
      <c r="BX466" s="124"/>
      <c r="BY466" s="124"/>
      <c r="BZ466" s="124"/>
      <c r="CA466" s="124"/>
    </row>
    <row r="467">
      <c r="D467" s="143"/>
      <c r="E467" s="168"/>
      <c r="F467" s="112"/>
      <c r="G467" s="112"/>
      <c r="H467" s="112"/>
      <c r="I467" s="112"/>
      <c r="J467" s="112"/>
      <c r="K467" s="112"/>
      <c r="L467" s="112"/>
      <c r="M467" s="112"/>
      <c r="N467" s="112"/>
      <c r="O467" s="112"/>
      <c r="P467" s="112"/>
      <c r="Q467" s="112"/>
      <c r="R467" s="112"/>
      <c r="S467" s="112"/>
      <c r="T467" s="112"/>
      <c r="U467" s="107"/>
      <c r="V467" s="107"/>
      <c r="W467" s="107"/>
      <c r="X467" s="107"/>
      <c r="Y467" s="107"/>
      <c r="Z467" s="112"/>
      <c r="AA467" s="112"/>
      <c r="AB467" s="112"/>
      <c r="AC467" s="112"/>
      <c r="AD467" s="112"/>
      <c r="AE467" s="112"/>
      <c r="AF467" s="112"/>
      <c r="AG467" s="117"/>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c r="BK467" s="124"/>
      <c r="BL467" s="124"/>
      <c r="BM467" s="124"/>
      <c r="BN467" s="124"/>
      <c r="BO467" s="124"/>
      <c r="BP467" s="124"/>
      <c r="BQ467" s="124"/>
      <c r="BR467" s="124"/>
      <c r="BS467" s="124"/>
      <c r="BT467" s="124"/>
      <c r="BU467" s="124"/>
      <c r="BV467" s="124"/>
      <c r="BW467" s="124"/>
      <c r="BX467" s="124"/>
      <c r="BY467" s="124"/>
      <c r="BZ467" s="124"/>
      <c r="CA467" s="124"/>
    </row>
    <row r="468">
      <c r="D468" s="143"/>
      <c r="E468" s="168"/>
      <c r="F468" s="112"/>
      <c r="G468" s="112"/>
      <c r="H468" s="112"/>
      <c r="I468" s="112"/>
      <c r="J468" s="112"/>
      <c r="K468" s="112"/>
      <c r="L468" s="112"/>
      <c r="M468" s="112"/>
      <c r="N468" s="112"/>
      <c r="O468" s="112"/>
      <c r="P468" s="112"/>
      <c r="Q468" s="112"/>
      <c r="R468" s="112"/>
      <c r="S468" s="112"/>
      <c r="T468" s="112"/>
      <c r="U468" s="107"/>
      <c r="V468" s="107"/>
      <c r="W468" s="107"/>
      <c r="X468" s="107"/>
      <c r="Y468" s="107"/>
      <c r="Z468" s="112"/>
      <c r="AA468" s="112"/>
      <c r="AB468" s="112"/>
      <c r="AC468" s="112"/>
      <c r="AD468" s="112"/>
      <c r="AE468" s="112"/>
      <c r="AF468" s="112"/>
      <c r="AG468" s="117"/>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c r="BK468" s="124"/>
      <c r="BL468" s="124"/>
      <c r="BM468" s="124"/>
      <c r="BN468" s="124"/>
      <c r="BO468" s="124"/>
      <c r="BP468" s="124"/>
      <c r="BQ468" s="124"/>
      <c r="BR468" s="124"/>
      <c r="BS468" s="124"/>
      <c r="BT468" s="124"/>
      <c r="BU468" s="124"/>
      <c r="BV468" s="124"/>
      <c r="BW468" s="124"/>
      <c r="BX468" s="124"/>
      <c r="BY468" s="124"/>
      <c r="BZ468" s="124"/>
      <c r="CA468" s="124"/>
    </row>
    <row r="469">
      <c r="D469" s="143"/>
      <c r="E469" s="168"/>
      <c r="F469" s="112"/>
      <c r="G469" s="112"/>
      <c r="H469" s="112"/>
      <c r="I469" s="112"/>
      <c r="J469" s="112"/>
      <c r="K469" s="112"/>
      <c r="L469" s="112"/>
      <c r="M469" s="112"/>
      <c r="N469" s="112"/>
      <c r="O469" s="112"/>
      <c r="P469" s="112"/>
      <c r="Q469" s="112"/>
      <c r="R469" s="112"/>
      <c r="S469" s="112"/>
      <c r="T469" s="112"/>
      <c r="U469" s="107"/>
      <c r="V469" s="107"/>
      <c r="W469" s="107"/>
      <c r="X469" s="107"/>
      <c r="Y469" s="107"/>
      <c r="Z469" s="112"/>
      <c r="AA469" s="112"/>
      <c r="AB469" s="112"/>
      <c r="AC469" s="112"/>
      <c r="AD469" s="112"/>
      <c r="AE469" s="112"/>
      <c r="AF469" s="112"/>
      <c r="AG469" s="117"/>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4"/>
      <c r="BS469" s="124"/>
      <c r="BT469" s="124"/>
      <c r="BU469" s="124"/>
      <c r="BV469" s="124"/>
      <c r="BW469" s="124"/>
      <c r="BX469" s="124"/>
      <c r="BY469" s="124"/>
      <c r="BZ469" s="124"/>
      <c r="CA469" s="124"/>
    </row>
    <row r="470">
      <c r="D470" s="143"/>
      <c r="E470" s="168"/>
      <c r="F470" s="112"/>
      <c r="G470" s="112"/>
      <c r="H470" s="112"/>
      <c r="I470" s="112"/>
      <c r="J470" s="112"/>
      <c r="K470" s="112"/>
      <c r="L470" s="112"/>
      <c r="M470" s="112"/>
      <c r="N470" s="112"/>
      <c r="O470" s="112"/>
      <c r="P470" s="112"/>
      <c r="Q470" s="112"/>
      <c r="R470" s="112"/>
      <c r="S470" s="112"/>
      <c r="T470" s="112"/>
      <c r="U470" s="107"/>
      <c r="V470" s="107"/>
      <c r="W470" s="107"/>
      <c r="X470" s="107"/>
      <c r="Y470" s="107"/>
      <c r="Z470" s="112"/>
      <c r="AA470" s="112"/>
      <c r="AB470" s="112"/>
      <c r="AC470" s="112"/>
      <c r="AD470" s="112"/>
      <c r="AE470" s="112"/>
      <c r="AF470" s="112"/>
      <c r="AG470" s="117"/>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c r="BK470" s="124"/>
      <c r="BL470" s="124"/>
      <c r="BM470" s="124"/>
      <c r="BN470" s="124"/>
      <c r="BO470" s="124"/>
      <c r="BP470" s="124"/>
      <c r="BQ470" s="124"/>
      <c r="BR470" s="124"/>
      <c r="BS470" s="124"/>
      <c r="BT470" s="124"/>
      <c r="BU470" s="124"/>
      <c r="BV470" s="124"/>
      <c r="BW470" s="124"/>
      <c r="BX470" s="124"/>
      <c r="BY470" s="124"/>
      <c r="BZ470" s="124"/>
      <c r="CA470" s="124"/>
    </row>
    <row r="471">
      <c r="D471" s="143"/>
      <c r="E471" s="168"/>
      <c r="F471" s="112"/>
      <c r="G471" s="112"/>
      <c r="H471" s="112"/>
      <c r="I471" s="112"/>
      <c r="J471" s="112"/>
      <c r="K471" s="112"/>
      <c r="L471" s="112"/>
      <c r="M471" s="112"/>
      <c r="N471" s="112"/>
      <c r="O471" s="112"/>
      <c r="P471" s="112"/>
      <c r="Q471" s="112"/>
      <c r="R471" s="112"/>
      <c r="S471" s="112"/>
      <c r="T471" s="112"/>
      <c r="U471" s="107"/>
      <c r="V471" s="107"/>
      <c r="W471" s="107"/>
      <c r="X471" s="107"/>
      <c r="Y471" s="107"/>
      <c r="Z471" s="112"/>
      <c r="AA471" s="112"/>
      <c r="AB471" s="112"/>
      <c r="AC471" s="112"/>
      <c r="AD471" s="112"/>
      <c r="AE471" s="112"/>
      <c r="AF471" s="112"/>
      <c r="AG471" s="117"/>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row>
    <row r="472">
      <c r="D472" s="143"/>
      <c r="E472" s="168"/>
      <c r="F472" s="112"/>
      <c r="G472" s="112"/>
      <c r="H472" s="112"/>
      <c r="I472" s="112"/>
      <c r="J472" s="112"/>
      <c r="K472" s="112"/>
      <c r="L472" s="112"/>
      <c r="M472" s="112"/>
      <c r="N472" s="112"/>
      <c r="O472" s="112"/>
      <c r="P472" s="112"/>
      <c r="Q472" s="112"/>
      <c r="R472" s="112"/>
      <c r="S472" s="112"/>
      <c r="T472" s="112"/>
      <c r="U472" s="107"/>
      <c r="V472" s="107"/>
      <c r="W472" s="107"/>
      <c r="X472" s="107"/>
      <c r="Y472" s="107"/>
      <c r="Z472" s="112"/>
      <c r="AA472" s="112"/>
      <c r="AB472" s="112"/>
      <c r="AC472" s="112"/>
      <c r="AD472" s="112"/>
      <c r="AE472" s="112"/>
      <c r="AF472" s="112"/>
      <c r="AG472" s="117"/>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c r="BK472" s="124"/>
      <c r="BL472" s="124"/>
      <c r="BM472" s="124"/>
      <c r="BN472" s="124"/>
      <c r="BO472" s="124"/>
      <c r="BP472" s="124"/>
      <c r="BQ472" s="124"/>
      <c r="BR472" s="124"/>
      <c r="BS472" s="124"/>
      <c r="BT472" s="124"/>
      <c r="BU472" s="124"/>
      <c r="BV472" s="124"/>
      <c r="BW472" s="124"/>
      <c r="BX472" s="124"/>
      <c r="BY472" s="124"/>
      <c r="BZ472" s="124"/>
      <c r="CA472" s="124"/>
    </row>
    <row r="473">
      <c r="D473" s="143"/>
      <c r="E473" s="168"/>
      <c r="F473" s="112"/>
      <c r="G473" s="112"/>
      <c r="H473" s="112"/>
      <c r="I473" s="112"/>
      <c r="J473" s="112"/>
      <c r="K473" s="112"/>
      <c r="L473" s="112"/>
      <c r="M473" s="112"/>
      <c r="N473" s="112"/>
      <c r="O473" s="112"/>
      <c r="P473" s="112"/>
      <c r="Q473" s="112"/>
      <c r="R473" s="112"/>
      <c r="S473" s="112"/>
      <c r="T473" s="112"/>
      <c r="U473" s="107"/>
      <c r="V473" s="107"/>
      <c r="W473" s="107"/>
      <c r="X473" s="107"/>
      <c r="Y473" s="107"/>
      <c r="Z473" s="112"/>
      <c r="AA473" s="112"/>
      <c r="AB473" s="112"/>
      <c r="AC473" s="112"/>
      <c r="AD473" s="112"/>
      <c r="AE473" s="112"/>
      <c r="AF473" s="112"/>
      <c r="AG473" s="117"/>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4"/>
      <c r="BR473" s="124"/>
      <c r="BS473" s="124"/>
      <c r="BT473" s="124"/>
      <c r="BU473" s="124"/>
      <c r="BV473" s="124"/>
      <c r="BW473" s="124"/>
      <c r="BX473" s="124"/>
      <c r="BY473" s="124"/>
      <c r="BZ473" s="124"/>
      <c r="CA473" s="124"/>
    </row>
    <row r="474">
      <c r="D474" s="143"/>
      <c r="E474" s="168"/>
      <c r="F474" s="112"/>
      <c r="G474" s="112"/>
      <c r="H474" s="112"/>
      <c r="I474" s="112"/>
      <c r="J474" s="112"/>
      <c r="K474" s="112"/>
      <c r="L474" s="112"/>
      <c r="M474" s="112"/>
      <c r="N474" s="112"/>
      <c r="O474" s="112"/>
      <c r="P474" s="112"/>
      <c r="Q474" s="112"/>
      <c r="R474" s="112"/>
      <c r="S474" s="112"/>
      <c r="T474" s="112"/>
      <c r="U474" s="107"/>
      <c r="V474" s="107"/>
      <c r="W474" s="107"/>
      <c r="X474" s="107"/>
      <c r="Y474" s="107"/>
      <c r="Z474" s="112"/>
      <c r="AA474" s="112"/>
      <c r="AB474" s="112"/>
      <c r="AC474" s="112"/>
      <c r="AD474" s="112"/>
      <c r="AE474" s="112"/>
      <c r="AF474" s="112"/>
      <c r="AG474" s="117"/>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c r="BK474" s="124"/>
      <c r="BL474" s="124"/>
      <c r="BM474" s="124"/>
      <c r="BN474" s="124"/>
      <c r="BO474" s="124"/>
      <c r="BP474" s="124"/>
      <c r="BQ474" s="124"/>
      <c r="BR474" s="124"/>
      <c r="BS474" s="124"/>
      <c r="BT474" s="124"/>
      <c r="BU474" s="124"/>
      <c r="BV474" s="124"/>
      <c r="BW474" s="124"/>
      <c r="BX474" s="124"/>
      <c r="BY474" s="124"/>
      <c r="BZ474" s="124"/>
      <c r="CA474" s="124"/>
    </row>
    <row r="475">
      <c r="D475" s="143"/>
      <c r="E475" s="168"/>
      <c r="F475" s="112"/>
      <c r="G475" s="112"/>
      <c r="H475" s="112"/>
      <c r="I475" s="112"/>
      <c r="J475" s="112"/>
      <c r="K475" s="112"/>
      <c r="L475" s="112"/>
      <c r="M475" s="112"/>
      <c r="N475" s="112"/>
      <c r="O475" s="112"/>
      <c r="P475" s="112"/>
      <c r="Q475" s="112"/>
      <c r="R475" s="112"/>
      <c r="S475" s="112"/>
      <c r="T475" s="112"/>
      <c r="U475" s="107"/>
      <c r="V475" s="107"/>
      <c r="W475" s="107"/>
      <c r="X475" s="107"/>
      <c r="Y475" s="107"/>
      <c r="Z475" s="112"/>
      <c r="AA475" s="112"/>
      <c r="AB475" s="112"/>
      <c r="AC475" s="112"/>
      <c r="AD475" s="112"/>
      <c r="AE475" s="112"/>
      <c r="AF475" s="112"/>
      <c r="AG475" s="117"/>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c r="BK475" s="124"/>
      <c r="BL475" s="124"/>
      <c r="BM475" s="124"/>
      <c r="BN475" s="124"/>
      <c r="BO475" s="124"/>
      <c r="BP475" s="124"/>
      <c r="BQ475" s="124"/>
      <c r="BR475" s="124"/>
      <c r="BS475" s="124"/>
      <c r="BT475" s="124"/>
      <c r="BU475" s="124"/>
      <c r="BV475" s="124"/>
      <c r="BW475" s="124"/>
      <c r="BX475" s="124"/>
      <c r="BY475" s="124"/>
      <c r="BZ475" s="124"/>
      <c r="CA475" s="124"/>
    </row>
    <row r="476">
      <c r="D476" s="143"/>
      <c r="E476" s="168"/>
      <c r="F476" s="112"/>
      <c r="G476" s="112"/>
      <c r="H476" s="112"/>
      <c r="I476" s="112"/>
      <c r="J476" s="112"/>
      <c r="K476" s="112"/>
      <c r="L476" s="112"/>
      <c r="M476" s="112"/>
      <c r="N476" s="112"/>
      <c r="O476" s="112"/>
      <c r="P476" s="112"/>
      <c r="Q476" s="112"/>
      <c r="R476" s="112"/>
      <c r="S476" s="112"/>
      <c r="T476" s="112"/>
      <c r="U476" s="107"/>
      <c r="V476" s="107"/>
      <c r="W476" s="107"/>
      <c r="X476" s="107"/>
      <c r="Y476" s="107"/>
      <c r="Z476" s="112"/>
      <c r="AA476" s="112"/>
      <c r="AB476" s="112"/>
      <c r="AC476" s="112"/>
      <c r="AD476" s="112"/>
      <c r="AE476" s="112"/>
      <c r="AF476" s="112"/>
      <c r="AG476" s="117"/>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c r="BK476" s="124"/>
      <c r="BL476" s="124"/>
      <c r="BM476" s="124"/>
      <c r="BN476" s="124"/>
      <c r="BO476" s="124"/>
      <c r="BP476" s="124"/>
      <c r="BQ476" s="124"/>
      <c r="BR476" s="124"/>
      <c r="BS476" s="124"/>
      <c r="BT476" s="124"/>
      <c r="BU476" s="124"/>
      <c r="BV476" s="124"/>
      <c r="BW476" s="124"/>
      <c r="BX476" s="124"/>
      <c r="BY476" s="124"/>
      <c r="BZ476" s="124"/>
      <c r="CA476" s="124"/>
    </row>
    <row r="477">
      <c r="D477" s="143"/>
      <c r="E477" s="168"/>
      <c r="F477" s="112"/>
      <c r="G477" s="112"/>
      <c r="H477" s="112"/>
      <c r="I477" s="112"/>
      <c r="J477" s="112"/>
      <c r="K477" s="112"/>
      <c r="L477" s="112"/>
      <c r="M477" s="112"/>
      <c r="N477" s="112"/>
      <c r="O477" s="112"/>
      <c r="P477" s="112"/>
      <c r="Q477" s="112"/>
      <c r="R477" s="112"/>
      <c r="S477" s="112"/>
      <c r="T477" s="112"/>
      <c r="U477" s="107"/>
      <c r="V477" s="107"/>
      <c r="W477" s="107"/>
      <c r="X477" s="107"/>
      <c r="Y477" s="107"/>
      <c r="Z477" s="112"/>
      <c r="AA477" s="112"/>
      <c r="AB477" s="112"/>
      <c r="AC477" s="112"/>
      <c r="AD477" s="112"/>
      <c r="AE477" s="112"/>
      <c r="AF477" s="112"/>
      <c r="AG477" s="117"/>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row>
    <row r="478">
      <c r="D478" s="143"/>
      <c r="E478" s="168"/>
      <c r="F478" s="112"/>
      <c r="G478" s="112"/>
      <c r="H478" s="112"/>
      <c r="I478" s="112"/>
      <c r="J478" s="112"/>
      <c r="K478" s="112"/>
      <c r="L478" s="112"/>
      <c r="M478" s="112"/>
      <c r="N478" s="112"/>
      <c r="O478" s="112"/>
      <c r="P478" s="112"/>
      <c r="Q478" s="112"/>
      <c r="R478" s="112"/>
      <c r="S478" s="112"/>
      <c r="T478" s="112"/>
      <c r="U478" s="107"/>
      <c r="V478" s="107"/>
      <c r="W478" s="107"/>
      <c r="X478" s="107"/>
      <c r="Y478" s="107"/>
      <c r="Z478" s="112"/>
      <c r="AA478" s="112"/>
      <c r="AB478" s="112"/>
      <c r="AC478" s="112"/>
      <c r="AD478" s="112"/>
      <c r="AE478" s="112"/>
      <c r="AF478" s="112"/>
      <c r="AG478" s="117"/>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c r="BK478" s="124"/>
      <c r="BL478" s="124"/>
      <c r="BM478" s="124"/>
      <c r="BN478" s="124"/>
      <c r="BO478" s="124"/>
      <c r="BP478" s="124"/>
      <c r="BQ478" s="124"/>
      <c r="BR478" s="124"/>
      <c r="BS478" s="124"/>
      <c r="BT478" s="124"/>
      <c r="BU478" s="124"/>
      <c r="BV478" s="124"/>
      <c r="BW478" s="124"/>
      <c r="BX478" s="124"/>
      <c r="BY478" s="124"/>
      <c r="BZ478" s="124"/>
      <c r="CA478" s="124"/>
    </row>
    <row r="479">
      <c r="D479" s="143"/>
      <c r="E479" s="168"/>
      <c r="F479" s="112"/>
      <c r="G479" s="112"/>
      <c r="H479" s="112"/>
      <c r="I479" s="112"/>
      <c r="J479" s="112"/>
      <c r="K479" s="112"/>
      <c r="L479" s="112"/>
      <c r="M479" s="112"/>
      <c r="N479" s="112"/>
      <c r="O479" s="112"/>
      <c r="P479" s="112"/>
      <c r="Q479" s="112"/>
      <c r="R479" s="112"/>
      <c r="S479" s="112"/>
      <c r="T479" s="112"/>
      <c r="U479" s="107"/>
      <c r="V479" s="107"/>
      <c r="W479" s="107"/>
      <c r="X479" s="107"/>
      <c r="Y479" s="107"/>
      <c r="Z479" s="112"/>
      <c r="AA479" s="112"/>
      <c r="AB479" s="112"/>
      <c r="AC479" s="112"/>
      <c r="AD479" s="112"/>
      <c r="AE479" s="112"/>
      <c r="AF479" s="112"/>
      <c r="AG479" s="117"/>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c r="BK479" s="124"/>
      <c r="BL479" s="124"/>
      <c r="BM479" s="124"/>
      <c r="BN479" s="124"/>
      <c r="BO479" s="124"/>
      <c r="BP479" s="124"/>
      <c r="BQ479" s="124"/>
      <c r="BR479" s="124"/>
      <c r="BS479" s="124"/>
      <c r="BT479" s="124"/>
      <c r="BU479" s="124"/>
      <c r="BV479" s="124"/>
      <c r="BW479" s="124"/>
      <c r="BX479" s="124"/>
      <c r="BY479" s="124"/>
      <c r="BZ479" s="124"/>
      <c r="CA479" s="124"/>
    </row>
    <row r="480">
      <c r="D480" s="143"/>
      <c r="E480" s="168"/>
      <c r="F480" s="112"/>
      <c r="G480" s="112"/>
      <c r="H480" s="112"/>
      <c r="I480" s="112"/>
      <c r="J480" s="112"/>
      <c r="K480" s="112"/>
      <c r="L480" s="112"/>
      <c r="M480" s="112"/>
      <c r="N480" s="112"/>
      <c r="O480" s="112"/>
      <c r="P480" s="112"/>
      <c r="Q480" s="112"/>
      <c r="R480" s="112"/>
      <c r="S480" s="112"/>
      <c r="T480" s="112"/>
      <c r="U480" s="107"/>
      <c r="V480" s="107"/>
      <c r="W480" s="107"/>
      <c r="X480" s="107"/>
      <c r="Y480" s="107"/>
      <c r="Z480" s="112"/>
      <c r="AA480" s="112"/>
      <c r="AB480" s="112"/>
      <c r="AC480" s="112"/>
      <c r="AD480" s="112"/>
      <c r="AE480" s="112"/>
      <c r="AF480" s="112"/>
      <c r="AG480" s="117"/>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c r="BK480" s="124"/>
      <c r="BL480" s="124"/>
      <c r="BM480" s="124"/>
      <c r="BN480" s="124"/>
      <c r="BO480" s="124"/>
      <c r="BP480" s="124"/>
      <c r="BQ480" s="124"/>
      <c r="BR480" s="124"/>
      <c r="BS480" s="124"/>
      <c r="BT480" s="124"/>
      <c r="BU480" s="124"/>
      <c r="BV480" s="124"/>
      <c r="BW480" s="124"/>
      <c r="BX480" s="124"/>
      <c r="BY480" s="124"/>
      <c r="BZ480" s="124"/>
      <c r="CA480" s="124"/>
    </row>
    <row r="481">
      <c r="D481" s="143"/>
      <c r="E481" s="168"/>
      <c r="F481" s="112"/>
      <c r="G481" s="112"/>
      <c r="H481" s="112"/>
      <c r="I481" s="112"/>
      <c r="J481" s="112"/>
      <c r="K481" s="112"/>
      <c r="L481" s="112"/>
      <c r="M481" s="112"/>
      <c r="N481" s="112"/>
      <c r="O481" s="112"/>
      <c r="P481" s="112"/>
      <c r="Q481" s="112"/>
      <c r="R481" s="112"/>
      <c r="S481" s="112"/>
      <c r="T481" s="112"/>
      <c r="U481" s="107"/>
      <c r="V481" s="107"/>
      <c r="W481" s="107"/>
      <c r="X481" s="107"/>
      <c r="Y481" s="107"/>
      <c r="Z481" s="112"/>
      <c r="AA481" s="112"/>
      <c r="AB481" s="112"/>
      <c r="AC481" s="112"/>
      <c r="AD481" s="112"/>
      <c r="AE481" s="112"/>
      <c r="AF481" s="112"/>
      <c r="AG481" s="117"/>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c r="BK481" s="124"/>
      <c r="BL481" s="124"/>
      <c r="BM481" s="124"/>
      <c r="BN481" s="124"/>
      <c r="BO481" s="124"/>
      <c r="BP481" s="124"/>
      <c r="BQ481" s="124"/>
      <c r="BR481" s="124"/>
      <c r="BS481" s="124"/>
      <c r="BT481" s="124"/>
      <c r="BU481" s="124"/>
      <c r="BV481" s="124"/>
      <c r="BW481" s="124"/>
      <c r="BX481" s="124"/>
      <c r="BY481" s="124"/>
      <c r="BZ481" s="124"/>
      <c r="CA481" s="124"/>
    </row>
    <row r="482">
      <c r="D482" s="143"/>
      <c r="E482" s="168"/>
      <c r="F482" s="112"/>
      <c r="G482" s="112"/>
      <c r="H482" s="112"/>
      <c r="I482" s="112"/>
      <c r="J482" s="112"/>
      <c r="K482" s="112"/>
      <c r="L482" s="112"/>
      <c r="M482" s="112"/>
      <c r="N482" s="112"/>
      <c r="O482" s="112"/>
      <c r="P482" s="112"/>
      <c r="Q482" s="112"/>
      <c r="R482" s="112"/>
      <c r="S482" s="112"/>
      <c r="T482" s="112"/>
      <c r="U482" s="107"/>
      <c r="V482" s="107"/>
      <c r="W482" s="107"/>
      <c r="X482" s="107"/>
      <c r="Y482" s="107"/>
      <c r="Z482" s="112"/>
      <c r="AA482" s="112"/>
      <c r="AB482" s="112"/>
      <c r="AC482" s="112"/>
      <c r="AD482" s="112"/>
      <c r="AE482" s="112"/>
      <c r="AF482" s="112"/>
      <c r="AG482" s="117"/>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c r="BK482" s="124"/>
      <c r="BL482" s="124"/>
      <c r="BM482" s="124"/>
      <c r="BN482" s="124"/>
      <c r="BO482" s="124"/>
      <c r="BP482" s="124"/>
      <c r="BQ482" s="124"/>
      <c r="BR482" s="124"/>
      <c r="BS482" s="124"/>
      <c r="BT482" s="124"/>
      <c r="BU482" s="124"/>
      <c r="BV482" s="124"/>
      <c r="BW482" s="124"/>
      <c r="BX482" s="124"/>
      <c r="BY482" s="124"/>
      <c r="BZ482" s="124"/>
      <c r="CA482" s="124"/>
    </row>
    <row r="483">
      <c r="D483" s="143"/>
      <c r="E483" s="168"/>
      <c r="F483" s="112"/>
      <c r="G483" s="112"/>
      <c r="H483" s="112"/>
      <c r="I483" s="112"/>
      <c r="J483" s="112"/>
      <c r="K483" s="112"/>
      <c r="L483" s="112"/>
      <c r="M483" s="112"/>
      <c r="N483" s="112"/>
      <c r="O483" s="112"/>
      <c r="P483" s="112"/>
      <c r="Q483" s="112"/>
      <c r="R483" s="112"/>
      <c r="S483" s="112"/>
      <c r="T483" s="112"/>
      <c r="U483" s="107"/>
      <c r="V483" s="107"/>
      <c r="W483" s="107"/>
      <c r="X483" s="107"/>
      <c r="Y483" s="107"/>
      <c r="Z483" s="112"/>
      <c r="AA483" s="112"/>
      <c r="AB483" s="112"/>
      <c r="AC483" s="112"/>
      <c r="AD483" s="112"/>
      <c r="AE483" s="112"/>
      <c r="AF483" s="112"/>
      <c r="AG483" s="117"/>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row>
    <row r="484">
      <c r="D484" s="143"/>
      <c r="E484" s="168"/>
      <c r="F484" s="112"/>
      <c r="G484" s="112"/>
      <c r="H484" s="112"/>
      <c r="I484" s="112"/>
      <c r="J484" s="112"/>
      <c r="K484" s="112"/>
      <c r="L484" s="112"/>
      <c r="M484" s="112"/>
      <c r="N484" s="112"/>
      <c r="O484" s="112"/>
      <c r="P484" s="112"/>
      <c r="Q484" s="112"/>
      <c r="R484" s="112"/>
      <c r="S484" s="112"/>
      <c r="T484" s="112"/>
      <c r="U484" s="107"/>
      <c r="V484" s="107"/>
      <c r="W484" s="107"/>
      <c r="X484" s="107"/>
      <c r="Y484" s="107"/>
      <c r="Z484" s="112"/>
      <c r="AA484" s="112"/>
      <c r="AB484" s="112"/>
      <c r="AC484" s="112"/>
      <c r="AD484" s="112"/>
      <c r="AE484" s="112"/>
      <c r="AF484" s="112"/>
      <c r="AG484" s="117"/>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c r="BK484" s="124"/>
      <c r="BL484" s="124"/>
      <c r="BM484" s="124"/>
      <c r="BN484" s="124"/>
      <c r="BO484" s="124"/>
      <c r="BP484" s="124"/>
      <c r="BQ484" s="124"/>
      <c r="BR484" s="124"/>
      <c r="BS484" s="124"/>
      <c r="BT484" s="124"/>
      <c r="BU484" s="124"/>
      <c r="BV484" s="124"/>
      <c r="BW484" s="124"/>
      <c r="BX484" s="124"/>
      <c r="BY484" s="124"/>
      <c r="BZ484" s="124"/>
      <c r="CA484" s="124"/>
    </row>
    <row r="485">
      <c r="D485" s="143"/>
      <c r="E485" s="168"/>
      <c r="F485" s="112"/>
      <c r="G485" s="112"/>
      <c r="H485" s="112"/>
      <c r="I485" s="112"/>
      <c r="J485" s="112"/>
      <c r="K485" s="112"/>
      <c r="L485" s="112"/>
      <c r="M485" s="112"/>
      <c r="N485" s="112"/>
      <c r="O485" s="112"/>
      <c r="P485" s="112"/>
      <c r="Q485" s="112"/>
      <c r="R485" s="112"/>
      <c r="S485" s="112"/>
      <c r="T485" s="112"/>
      <c r="U485" s="107"/>
      <c r="V485" s="107"/>
      <c r="W485" s="107"/>
      <c r="X485" s="107"/>
      <c r="Y485" s="107"/>
      <c r="Z485" s="112"/>
      <c r="AA485" s="112"/>
      <c r="AB485" s="112"/>
      <c r="AC485" s="112"/>
      <c r="AD485" s="112"/>
      <c r="AE485" s="112"/>
      <c r="AF485" s="112"/>
      <c r="AG485" s="117"/>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c r="BK485" s="124"/>
      <c r="BL485" s="124"/>
      <c r="BM485" s="124"/>
      <c r="BN485" s="124"/>
      <c r="BO485" s="124"/>
      <c r="BP485" s="124"/>
      <c r="BQ485" s="124"/>
      <c r="BR485" s="124"/>
      <c r="BS485" s="124"/>
      <c r="BT485" s="124"/>
      <c r="BU485" s="124"/>
      <c r="BV485" s="124"/>
      <c r="BW485" s="124"/>
      <c r="BX485" s="124"/>
      <c r="BY485" s="124"/>
      <c r="BZ485" s="124"/>
      <c r="CA485" s="124"/>
    </row>
    <row r="486">
      <c r="D486" s="143"/>
      <c r="E486" s="168"/>
      <c r="F486" s="112"/>
      <c r="G486" s="112"/>
      <c r="H486" s="112"/>
      <c r="I486" s="112"/>
      <c r="J486" s="112"/>
      <c r="K486" s="112"/>
      <c r="L486" s="112"/>
      <c r="M486" s="112"/>
      <c r="N486" s="112"/>
      <c r="O486" s="112"/>
      <c r="P486" s="112"/>
      <c r="Q486" s="112"/>
      <c r="R486" s="112"/>
      <c r="S486" s="112"/>
      <c r="T486" s="112"/>
      <c r="U486" s="107"/>
      <c r="V486" s="107"/>
      <c r="W486" s="107"/>
      <c r="X486" s="107"/>
      <c r="Y486" s="107"/>
      <c r="Z486" s="112"/>
      <c r="AA486" s="112"/>
      <c r="AB486" s="112"/>
      <c r="AC486" s="112"/>
      <c r="AD486" s="112"/>
      <c r="AE486" s="112"/>
      <c r="AF486" s="112"/>
      <c r="AG486" s="117"/>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c r="BK486" s="124"/>
      <c r="BL486" s="124"/>
      <c r="BM486" s="124"/>
      <c r="BN486" s="124"/>
      <c r="BO486" s="124"/>
      <c r="BP486" s="124"/>
      <c r="BQ486" s="124"/>
      <c r="BR486" s="124"/>
      <c r="BS486" s="124"/>
      <c r="BT486" s="124"/>
      <c r="BU486" s="124"/>
      <c r="BV486" s="124"/>
      <c r="BW486" s="124"/>
      <c r="BX486" s="124"/>
      <c r="BY486" s="124"/>
      <c r="BZ486" s="124"/>
      <c r="CA486" s="124"/>
    </row>
    <row r="487">
      <c r="D487" s="143"/>
      <c r="E487" s="168"/>
      <c r="F487" s="112"/>
      <c r="G487" s="112"/>
      <c r="H487" s="112"/>
      <c r="I487" s="112"/>
      <c r="J487" s="112"/>
      <c r="K487" s="112"/>
      <c r="L487" s="112"/>
      <c r="M487" s="112"/>
      <c r="N487" s="112"/>
      <c r="O487" s="112"/>
      <c r="P487" s="112"/>
      <c r="Q487" s="112"/>
      <c r="R487" s="112"/>
      <c r="S487" s="112"/>
      <c r="T487" s="112"/>
      <c r="U487" s="107"/>
      <c r="V487" s="107"/>
      <c r="W487" s="107"/>
      <c r="X487" s="107"/>
      <c r="Y487" s="107"/>
      <c r="Z487" s="112"/>
      <c r="AA487" s="112"/>
      <c r="AB487" s="112"/>
      <c r="AC487" s="112"/>
      <c r="AD487" s="112"/>
      <c r="AE487" s="112"/>
      <c r="AF487" s="112"/>
      <c r="AG487" s="117"/>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c r="BK487" s="124"/>
      <c r="BL487" s="124"/>
      <c r="BM487" s="124"/>
      <c r="BN487" s="124"/>
      <c r="BO487" s="124"/>
      <c r="BP487" s="124"/>
      <c r="BQ487" s="124"/>
      <c r="BR487" s="124"/>
      <c r="BS487" s="124"/>
      <c r="BT487" s="124"/>
      <c r="BU487" s="124"/>
      <c r="BV487" s="124"/>
      <c r="BW487" s="124"/>
      <c r="BX487" s="124"/>
      <c r="BY487" s="124"/>
      <c r="BZ487" s="124"/>
      <c r="CA487" s="124"/>
    </row>
    <row r="488">
      <c r="D488" s="143"/>
      <c r="E488" s="168"/>
      <c r="F488" s="112"/>
      <c r="G488" s="112"/>
      <c r="H488" s="112"/>
      <c r="I488" s="112"/>
      <c r="J488" s="112"/>
      <c r="K488" s="112"/>
      <c r="L488" s="112"/>
      <c r="M488" s="112"/>
      <c r="N488" s="112"/>
      <c r="O488" s="112"/>
      <c r="P488" s="112"/>
      <c r="Q488" s="112"/>
      <c r="R488" s="112"/>
      <c r="S488" s="112"/>
      <c r="T488" s="112"/>
      <c r="U488" s="107"/>
      <c r="V488" s="107"/>
      <c r="W488" s="107"/>
      <c r="X488" s="107"/>
      <c r="Y488" s="107"/>
      <c r="Z488" s="112"/>
      <c r="AA488" s="112"/>
      <c r="AB488" s="112"/>
      <c r="AC488" s="112"/>
      <c r="AD488" s="112"/>
      <c r="AE488" s="112"/>
      <c r="AF488" s="112"/>
      <c r="AG488" s="117"/>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c r="BK488" s="124"/>
      <c r="BL488" s="124"/>
      <c r="BM488" s="124"/>
      <c r="BN488" s="124"/>
      <c r="BO488" s="124"/>
      <c r="BP488" s="124"/>
      <c r="BQ488" s="124"/>
      <c r="BR488" s="124"/>
      <c r="BS488" s="124"/>
      <c r="BT488" s="124"/>
      <c r="BU488" s="124"/>
      <c r="BV488" s="124"/>
      <c r="BW488" s="124"/>
      <c r="BX488" s="124"/>
      <c r="BY488" s="124"/>
      <c r="BZ488" s="124"/>
      <c r="CA488" s="124"/>
    </row>
    <row r="489">
      <c r="D489" s="143"/>
      <c r="E489" s="168"/>
      <c r="F489" s="112"/>
      <c r="G489" s="112"/>
      <c r="H489" s="112"/>
      <c r="I489" s="112"/>
      <c r="J489" s="112"/>
      <c r="K489" s="112"/>
      <c r="L489" s="112"/>
      <c r="M489" s="112"/>
      <c r="N489" s="112"/>
      <c r="O489" s="112"/>
      <c r="P489" s="112"/>
      <c r="Q489" s="112"/>
      <c r="R489" s="112"/>
      <c r="S489" s="112"/>
      <c r="T489" s="112"/>
      <c r="U489" s="107"/>
      <c r="V489" s="107"/>
      <c r="W489" s="107"/>
      <c r="X489" s="107"/>
      <c r="Y489" s="107"/>
      <c r="Z489" s="112"/>
      <c r="AA489" s="112"/>
      <c r="AB489" s="112"/>
      <c r="AC489" s="112"/>
      <c r="AD489" s="112"/>
      <c r="AE489" s="112"/>
      <c r="AF489" s="112"/>
      <c r="AG489" s="117"/>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row>
    <row r="490">
      <c r="D490" s="143"/>
      <c r="E490" s="168"/>
      <c r="F490" s="112"/>
      <c r="G490" s="112"/>
      <c r="H490" s="112"/>
      <c r="I490" s="112"/>
      <c r="J490" s="112"/>
      <c r="K490" s="112"/>
      <c r="L490" s="112"/>
      <c r="M490" s="112"/>
      <c r="N490" s="112"/>
      <c r="O490" s="112"/>
      <c r="P490" s="112"/>
      <c r="Q490" s="112"/>
      <c r="R490" s="112"/>
      <c r="S490" s="112"/>
      <c r="T490" s="112"/>
      <c r="U490" s="107"/>
      <c r="V490" s="107"/>
      <c r="W490" s="107"/>
      <c r="X490" s="107"/>
      <c r="Y490" s="107"/>
      <c r="Z490" s="112"/>
      <c r="AA490" s="112"/>
      <c r="AB490" s="112"/>
      <c r="AC490" s="112"/>
      <c r="AD490" s="112"/>
      <c r="AE490" s="112"/>
      <c r="AF490" s="112"/>
      <c r="AG490" s="117"/>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c r="BK490" s="124"/>
      <c r="BL490" s="124"/>
      <c r="BM490" s="124"/>
      <c r="BN490" s="124"/>
      <c r="BO490" s="124"/>
      <c r="BP490" s="124"/>
      <c r="BQ490" s="124"/>
      <c r="BR490" s="124"/>
      <c r="BS490" s="124"/>
      <c r="BT490" s="124"/>
      <c r="BU490" s="124"/>
      <c r="BV490" s="124"/>
      <c r="BW490" s="124"/>
      <c r="BX490" s="124"/>
      <c r="BY490" s="124"/>
      <c r="BZ490" s="124"/>
      <c r="CA490" s="124"/>
    </row>
    <row r="491">
      <c r="D491" s="143"/>
      <c r="E491" s="168"/>
      <c r="F491" s="112"/>
      <c r="G491" s="112"/>
      <c r="H491" s="112"/>
      <c r="I491" s="112"/>
      <c r="J491" s="112"/>
      <c r="K491" s="112"/>
      <c r="L491" s="112"/>
      <c r="M491" s="112"/>
      <c r="N491" s="112"/>
      <c r="O491" s="112"/>
      <c r="P491" s="112"/>
      <c r="Q491" s="112"/>
      <c r="R491" s="112"/>
      <c r="S491" s="112"/>
      <c r="T491" s="112"/>
      <c r="U491" s="107"/>
      <c r="V491" s="107"/>
      <c r="W491" s="107"/>
      <c r="X491" s="107"/>
      <c r="Y491" s="107"/>
      <c r="Z491" s="112"/>
      <c r="AA491" s="112"/>
      <c r="AB491" s="112"/>
      <c r="AC491" s="112"/>
      <c r="AD491" s="112"/>
      <c r="AE491" s="112"/>
      <c r="AF491" s="112"/>
      <c r="AG491" s="117"/>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c r="BK491" s="124"/>
      <c r="BL491" s="124"/>
      <c r="BM491" s="124"/>
      <c r="BN491" s="124"/>
      <c r="BO491" s="124"/>
      <c r="BP491" s="124"/>
      <c r="BQ491" s="124"/>
      <c r="BR491" s="124"/>
      <c r="BS491" s="124"/>
      <c r="BT491" s="124"/>
      <c r="BU491" s="124"/>
      <c r="BV491" s="124"/>
      <c r="BW491" s="124"/>
      <c r="BX491" s="124"/>
      <c r="BY491" s="124"/>
      <c r="BZ491" s="124"/>
      <c r="CA491" s="124"/>
    </row>
    <row r="492">
      <c r="D492" s="143"/>
      <c r="E492" s="168"/>
      <c r="F492" s="112"/>
      <c r="G492" s="112"/>
      <c r="H492" s="112"/>
      <c r="I492" s="112"/>
      <c r="J492" s="112"/>
      <c r="K492" s="112"/>
      <c r="L492" s="112"/>
      <c r="M492" s="112"/>
      <c r="N492" s="112"/>
      <c r="O492" s="112"/>
      <c r="P492" s="112"/>
      <c r="Q492" s="112"/>
      <c r="R492" s="112"/>
      <c r="S492" s="112"/>
      <c r="T492" s="112"/>
      <c r="U492" s="107"/>
      <c r="V492" s="107"/>
      <c r="W492" s="107"/>
      <c r="X492" s="107"/>
      <c r="Y492" s="107"/>
      <c r="Z492" s="112"/>
      <c r="AA492" s="112"/>
      <c r="AB492" s="112"/>
      <c r="AC492" s="112"/>
      <c r="AD492" s="112"/>
      <c r="AE492" s="112"/>
      <c r="AF492" s="112"/>
      <c r="AG492" s="117"/>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c r="BK492" s="124"/>
      <c r="BL492" s="124"/>
      <c r="BM492" s="124"/>
      <c r="BN492" s="124"/>
      <c r="BO492" s="124"/>
      <c r="BP492" s="124"/>
      <c r="BQ492" s="124"/>
      <c r="BR492" s="124"/>
      <c r="BS492" s="124"/>
      <c r="BT492" s="124"/>
      <c r="BU492" s="124"/>
      <c r="BV492" s="124"/>
      <c r="BW492" s="124"/>
      <c r="BX492" s="124"/>
      <c r="BY492" s="124"/>
      <c r="BZ492" s="124"/>
      <c r="CA492" s="124"/>
    </row>
    <row r="493">
      <c r="D493" s="143"/>
      <c r="E493" s="168"/>
      <c r="F493" s="112"/>
      <c r="G493" s="112"/>
      <c r="H493" s="112"/>
      <c r="I493" s="112"/>
      <c r="J493" s="112"/>
      <c r="K493" s="112"/>
      <c r="L493" s="112"/>
      <c r="M493" s="112"/>
      <c r="N493" s="112"/>
      <c r="O493" s="112"/>
      <c r="P493" s="112"/>
      <c r="Q493" s="112"/>
      <c r="R493" s="112"/>
      <c r="S493" s="112"/>
      <c r="T493" s="112"/>
      <c r="U493" s="107"/>
      <c r="V493" s="107"/>
      <c r="W493" s="107"/>
      <c r="X493" s="107"/>
      <c r="Y493" s="107"/>
      <c r="Z493" s="112"/>
      <c r="AA493" s="112"/>
      <c r="AB493" s="112"/>
      <c r="AC493" s="112"/>
      <c r="AD493" s="112"/>
      <c r="AE493" s="112"/>
      <c r="AF493" s="112"/>
      <c r="AG493" s="117"/>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c r="BK493" s="124"/>
      <c r="BL493" s="124"/>
      <c r="BM493" s="124"/>
      <c r="BN493" s="124"/>
      <c r="BO493" s="124"/>
      <c r="BP493" s="124"/>
      <c r="BQ493" s="124"/>
      <c r="BR493" s="124"/>
      <c r="BS493" s="124"/>
      <c r="BT493" s="124"/>
      <c r="BU493" s="124"/>
      <c r="BV493" s="124"/>
      <c r="BW493" s="124"/>
      <c r="BX493" s="124"/>
      <c r="BY493" s="124"/>
      <c r="BZ493" s="124"/>
      <c r="CA493" s="124"/>
    </row>
    <row r="494">
      <c r="D494" s="143"/>
      <c r="E494" s="168"/>
      <c r="F494" s="112"/>
      <c r="G494" s="112"/>
      <c r="H494" s="112"/>
      <c r="I494" s="112"/>
      <c r="J494" s="112"/>
      <c r="K494" s="112"/>
      <c r="L494" s="112"/>
      <c r="M494" s="112"/>
      <c r="N494" s="112"/>
      <c r="O494" s="112"/>
      <c r="P494" s="112"/>
      <c r="Q494" s="112"/>
      <c r="R494" s="112"/>
      <c r="S494" s="112"/>
      <c r="T494" s="112"/>
      <c r="U494" s="107"/>
      <c r="V494" s="107"/>
      <c r="W494" s="107"/>
      <c r="X494" s="107"/>
      <c r="Y494" s="107"/>
      <c r="Z494" s="112"/>
      <c r="AA494" s="112"/>
      <c r="AB494" s="112"/>
      <c r="AC494" s="112"/>
      <c r="AD494" s="112"/>
      <c r="AE494" s="112"/>
      <c r="AF494" s="112"/>
      <c r="AG494" s="117"/>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c r="BK494" s="124"/>
      <c r="BL494" s="124"/>
      <c r="BM494" s="124"/>
      <c r="BN494" s="124"/>
      <c r="BO494" s="124"/>
      <c r="BP494" s="124"/>
      <c r="BQ494" s="124"/>
      <c r="BR494" s="124"/>
      <c r="BS494" s="124"/>
      <c r="BT494" s="124"/>
      <c r="BU494" s="124"/>
      <c r="BV494" s="124"/>
      <c r="BW494" s="124"/>
      <c r="BX494" s="124"/>
      <c r="BY494" s="124"/>
      <c r="BZ494" s="124"/>
      <c r="CA494" s="124"/>
    </row>
    <row r="495">
      <c r="D495" s="143"/>
      <c r="E495" s="168"/>
      <c r="F495" s="112"/>
      <c r="G495" s="112"/>
      <c r="H495" s="112"/>
      <c r="I495" s="112"/>
      <c r="J495" s="112"/>
      <c r="K495" s="112"/>
      <c r="L495" s="112"/>
      <c r="M495" s="112"/>
      <c r="N495" s="112"/>
      <c r="O495" s="112"/>
      <c r="P495" s="112"/>
      <c r="Q495" s="112"/>
      <c r="R495" s="112"/>
      <c r="S495" s="112"/>
      <c r="T495" s="112"/>
      <c r="U495" s="107"/>
      <c r="V495" s="107"/>
      <c r="W495" s="107"/>
      <c r="X495" s="107"/>
      <c r="Y495" s="107"/>
      <c r="Z495" s="112"/>
      <c r="AA495" s="112"/>
      <c r="AB495" s="112"/>
      <c r="AC495" s="112"/>
      <c r="AD495" s="112"/>
      <c r="AE495" s="112"/>
      <c r="AF495" s="112"/>
      <c r="AG495" s="117"/>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row>
    <row r="496">
      <c r="D496" s="143"/>
      <c r="E496" s="168"/>
      <c r="F496" s="112"/>
      <c r="G496" s="112"/>
      <c r="H496" s="112"/>
      <c r="I496" s="112"/>
      <c r="J496" s="112"/>
      <c r="K496" s="112"/>
      <c r="L496" s="112"/>
      <c r="M496" s="112"/>
      <c r="N496" s="112"/>
      <c r="O496" s="112"/>
      <c r="P496" s="112"/>
      <c r="Q496" s="112"/>
      <c r="R496" s="112"/>
      <c r="S496" s="112"/>
      <c r="T496" s="112"/>
      <c r="U496" s="107"/>
      <c r="V496" s="107"/>
      <c r="W496" s="107"/>
      <c r="X496" s="107"/>
      <c r="Y496" s="107"/>
      <c r="Z496" s="112"/>
      <c r="AA496" s="112"/>
      <c r="AB496" s="112"/>
      <c r="AC496" s="112"/>
      <c r="AD496" s="112"/>
      <c r="AE496" s="112"/>
      <c r="AF496" s="112"/>
      <c r="AG496" s="117"/>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c r="BK496" s="124"/>
      <c r="BL496" s="124"/>
      <c r="BM496" s="124"/>
      <c r="BN496" s="124"/>
      <c r="BO496" s="124"/>
      <c r="BP496" s="124"/>
      <c r="BQ496" s="124"/>
      <c r="BR496" s="124"/>
      <c r="BS496" s="124"/>
      <c r="BT496" s="124"/>
      <c r="BU496" s="124"/>
      <c r="BV496" s="124"/>
      <c r="BW496" s="124"/>
      <c r="BX496" s="124"/>
      <c r="BY496" s="124"/>
      <c r="BZ496" s="124"/>
      <c r="CA496" s="124"/>
    </row>
    <row r="497">
      <c r="D497" s="143"/>
      <c r="E497" s="168"/>
      <c r="F497" s="112"/>
      <c r="G497" s="112"/>
      <c r="H497" s="112"/>
      <c r="I497" s="112"/>
      <c r="J497" s="112"/>
      <c r="K497" s="112"/>
      <c r="L497" s="112"/>
      <c r="M497" s="112"/>
      <c r="N497" s="112"/>
      <c r="O497" s="112"/>
      <c r="P497" s="112"/>
      <c r="Q497" s="112"/>
      <c r="R497" s="112"/>
      <c r="S497" s="112"/>
      <c r="T497" s="112"/>
      <c r="U497" s="107"/>
      <c r="V497" s="107"/>
      <c r="W497" s="107"/>
      <c r="X497" s="107"/>
      <c r="Y497" s="107"/>
      <c r="Z497" s="112"/>
      <c r="AA497" s="112"/>
      <c r="AB497" s="112"/>
      <c r="AC497" s="112"/>
      <c r="AD497" s="112"/>
      <c r="AE497" s="112"/>
      <c r="AF497" s="112"/>
      <c r="AG497" s="117"/>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c r="BK497" s="124"/>
      <c r="BL497" s="124"/>
      <c r="BM497" s="124"/>
      <c r="BN497" s="124"/>
      <c r="BO497" s="124"/>
      <c r="BP497" s="124"/>
      <c r="BQ497" s="124"/>
      <c r="BR497" s="124"/>
      <c r="BS497" s="124"/>
      <c r="BT497" s="124"/>
      <c r="BU497" s="124"/>
      <c r="BV497" s="124"/>
      <c r="BW497" s="124"/>
      <c r="BX497" s="124"/>
      <c r="BY497" s="124"/>
      <c r="BZ497" s="124"/>
      <c r="CA497" s="124"/>
    </row>
    <row r="498">
      <c r="D498" s="143"/>
      <c r="E498" s="168"/>
      <c r="F498" s="112"/>
      <c r="G498" s="112"/>
      <c r="H498" s="112"/>
      <c r="I498" s="112"/>
      <c r="J498" s="112"/>
      <c r="K498" s="112"/>
      <c r="L498" s="112"/>
      <c r="M498" s="112"/>
      <c r="N498" s="112"/>
      <c r="O498" s="112"/>
      <c r="P498" s="112"/>
      <c r="Q498" s="112"/>
      <c r="R498" s="112"/>
      <c r="S498" s="112"/>
      <c r="T498" s="112"/>
      <c r="U498" s="107"/>
      <c r="V498" s="107"/>
      <c r="W498" s="107"/>
      <c r="X498" s="107"/>
      <c r="Y498" s="107"/>
      <c r="Z498" s="112"/>
      <c r="AA498" s="112"/>
      <c r="AB498" s="112"/>
      <c r="AC498" s="112"/>
      <c r="AD498" s="112"/>
      <c r="AE498" s="112"/>
      <c r="AF498" s="112"/>
      <c r="AG498" s="117"/>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c r="BK498" s="124"/>
      <c r="BL498" s="124"/>
      <c r="BM498" s="124"/>
      <c r="BN498" s="124"/>
      <c r="BO498" s="124"/>
      <c r="BP498" s="124"/>
      <c r="BQ498" s="124"/>
      <c r="BR498" s="124"/>
      <c r="BS498" s="124"/>
      <c r="BT498" s="124"/>
      <c r="BU498" s="124"/>
      <c r="BV498" s="124"/>
      <c r="BW498" s="124"/>
      <c r="BX498" s="124"/>
      <c r="BY498" s="124"/>
      <c r="BZ498" s="124"/>
      <c r="CA498" s="124"/>
    </row>
    <row r="499">
      <c r="D499" s="143"/>
      <c r="E499" s="168"/>
      <c r="F499" s="112"/>
      <c r="G499" s="112"/>
      <c r="H499" s="112"/>
      <c r="I499" s="112"/>
      <c r="J499" s="112"/>
      <c r="K499" s="112"/>
      <c r="L499" s="112"/>
      <c r="M499" s="112"/>
      <c r="N499" s="112"/>
      <c r="O499" s="112"/>
      <c r="P499" s="112"/>
      <c r="Q499" s="112"/>
      <c r="R499" s="112"/>
      <c r="S499" s="112"/>
      <c r="T499" s="112"/>
      <c r="U499" s="107"/>
      <c r="V499" s="107"/>
      <c r="W499" s="107"/>
      <c r="X499" s="107"/>
      <c r="Y499" s="107"/>
      <c r="Z499" s="112"/>
      <c r="AA499" s="112"/>
      <c r="AB499" s="112"/>
      <c r="AC499" s="112"/>
      <c r="AD499" s="112"/>
      <c r="AE499" s="112"/>
      <c r="AF499" s="112"/>
      <c r="AG499" s="117"/>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c r="BK499" s="124"/>
      <c r="BL499" s="124"/>
      <c r="BM499" s="124"/>
      <c r="BN499" s="124"/>
      <c r="BO499" s="124"/>
      <c r="BP499" s="124"/>
      <c r="BQ499" s="124"/>
      <c r="BR499" s="124"/>
      <c r="BS499" s="124"/>
      <c r="BT499" s="124"/>
      <c r="BU499" s="124"/>
      <c r="BV499" s="124"/>
      <c r="BW499" s="124"/>
      <c r="BX499" s="124"/>
      <c r="BY499" s="124"/>
      <c r="BZ499" s="124"/>
      <c r="CA499" s="124"/>
    </row>
    <row r="500">
      <c r="D500" s="143"/>
      <c r="E500" s="168"/>
      <c r="F500" s="112"/>
      <c r="G500" s="112"/>
      <c r="H500" s="112"/>
      <c r="I500" s="112"/>
      <c r="J500" s="112"/>
      <c r="K500" s="112"/>
      <c r="L500" s="112"/>
      <c r="M500" s="112"/>
      <c r="N500" s="112"/>
      <c r="O500" s="112"/>
      <c r="P500" s="112"/>
      <c r="Q500" s="112"/>
      <c r="R500" s="112"/>
      <c r="S500" s="112"/>
      <c r="T500" s="112"/>
      <c r="U500" s="107"/>
      <c r="V500" s="107"/>
      <c r="W500" s="107"/>
      <c r="X500" s="107"/>
      <c r="Y500" s="107"/>
      <c r="Z500" s="112"/>
      <c r="AA500" s="112"/>
      <c r="AB500" s="112"/>
      <c r="AC500" s="112"/>
      <c r="AD500" s="112"/>
      <c r="AE500" s="112"/>
      <c r="AF500" s="112"/>
      <c r="AG500" s="117"/>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c r="BK500" s="124"/>
      <c r="BL500" s="124"/>
      <c r="BM500" s="124"/>
      <c r="BN500" s="124"/>
      <c r="BO500" s="124"/>
      <c r="BP500" s="124"/>
      <c r="BQ500" s="124"/>
      <c r="BR500" s="124"/>
      <c r="BS500" s="124"/>
      <c r="BT500" s="124"/>
      <c r="BU500" s="124"/>
      <c r="BV500" s="124"/>
      <c r="BW500" s="124"/>
      <c r="BX500" s="124"/>
      <c r="BY500" s="124"/>
      <c r="BZ500" s="124"/>
      <c r="CA500" s="124"/>
    </row>
    <row r="501">
      <c r="D501" s="143"/>
      <c r="E501" s="168"/>
      <c r="F501" s="112"/>
      <c r="G501" s="112"/>
      <c r="H501" s="112"/>
      <c r="I501" s="112"/>
      <c r="J501" s="112"/>
      <c r="K501" s="112"/>
      <c r="L501" s="112"/>
      <c r="M501" s="112"/>
      <c r="N501" s="112"/>
      <c r="O501" s="112"/>
      <c r="P501" s="112"/>
      <c r="Q501" s="112"/>
      <c r="R501" s="112"/>
      <c r="S501" s="112"/>
      <c r="T501" s="112"/>
      <c r="U501" s="107"/>
      <c r="V501" s="107"/>
      <c r="W501" s="107"/>
      <c r="X501" s="107"/>
      <c r="Y501" s="107"/>
      <c r="Z501" s="112"/>
      <c r="AA501" s="112"/>
      <c r="AB501" s="112"/>
      <c r="AC501" s="112"/>
      <c r="AD501" s="112"/>
      <c r="AE501" s="112"/>
      <c r="AF501" s="112"/>
      <c r="AG501" s="117"/>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row>
    <row r="502">
      <c r="D502" s="143"/>
      <c r="E502" s="168"/>
      <c r="F502" s="112"/>
      <c r="G502" s="112"/>
      <c r="H502" s="112"/>
      <c r="I502" s="112"/>
      <c r="J502" s="112"/>
      <c r="K502" s="112"/>
      <c r="L502" s="112"/>
      <c r="M502" s="112"/>
      <c r="N502" s="112"/>
      <c r="O502" s="112"/>
      <c r="P502" s="112"/>
      <c r="Q502" s="112"/>
      <c r="R502" s="112"/>
      <c r="S502" s="112"/>
      <c r="T502" s="112"/>
      <c r="U502" s="107"/>
      <c r="V502" s="107"/>
      <c r="W502" s="107"/>
      <c r="X502" s="107"/>
      <c r="Y502" s="107"/>
      <c r="Z502" s="112"/>
      <c r="AA502" s="112"/>
      <c r="AB502" s="112"/>
      <c r="AC502" s="112"/>
      <c r="AD502" s="112"/>
      <c r="AE502" s="112"/>
      <c r="AF502" s="112"/>
      <c r="AG502" s="117"/>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c r="BK502" s="124"/>
      <c r="BL502" s="124"/>
      <c r="BM502" s="124"/>
      <c r="BN502" s="124"/>
      <c r="BO502" s="124"/>
      <c r="BP502" s="124"/>
      <c r="BQ502" s="124"/>
      <c r="BR502" s="124"/>
      <c r="BS502" s="124"/>
      <c r="BT502" s="124"/>
      <c r="BU502" s="124"/>
      <c r="BV502" s="124"/>
      <c r="BW502" s="124"/>
      <c r="BX502" s="124"/>
      <c r="BY502" s="124"/>
      <c r="BZ502" s="124"/>
      <c r="CA502" s="124"/>
    </row>
    <row r="503">
      <c r="D503" s="143"/>
      <c r="E503" s="168"/>
      <c r="F503" s="112"/>
      <c r="G503" s="112"/>
      <c r="H503" s="112"/>
      <c r="I503" s="112"/>
      <c r="J503" s="112"/>
      <c r="K503" s="112"/>
      <c r="L503" s="112"/>
      <c r="M503" s="112"/>
      <c r="N503" s="112"/>
      <c r="O503" s="112"/>
      <c r="P503" s="112"/>
      <c r="Q503" s="112"/>
      <c r="R503" s="112"/>
      <c r="S503" s="112"/>
      <c r="T503" s="112"/>
      <c r="U503" s="107"/>
      <c r="V503" s="107"/>
      <c r="W503" s="107"/>
      <c r="X503" s="107"/>
      <c r="Y503" s="107"/>
      <c r="Z503" s="112"/>
      <c r="AA503" s="112"/>
      <c r="AB503" s="112"/>
      <c r="AC503" s="112"/>
      <c r="AD503" s="112"/>
      <c r="AE503" s="112"/>
      <c r="AF503" s="112"/>
      <c r="AG503" s="117"/>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4"/>
      <c r="BR503" s="124"/>
      <c r="BS503" s="124"/>
      <c r="BT503" s="124"/>
      <c r="BU503" s="124"/>
      <c r="BV503" s="124"/>
      <c r="BW503" s="124"/>
      <c r="BX503" s="124"/>
      <c r="BY503" s="124"/>
      <c r="BZ503" s="124"/>
      <c r="CA503" s="124"/>
    </row>
    <row r="504">
      <c r="D504" s="143"/>
      <c r="E504" s="168"/>
      <c r="F504" s="112"/>
      <c r="G504" s="112"/>
      <c r="H504" s="112"/>
      <c r="I504" s="112"/>
      <c r="J504" s="112"/>
      <c r="K504" s="112"/>
      <c r="L504" s="112"/>
      <c r="M504" s="112"/>
      <c r="N504" s="112"/>
      <c r="O504" s="112"/>
      <c r="P504" s="112"/>
      <c r="Q504" s="112"/>
      <c r="R504" s="112"/>
      <c r="S504" s="112"/>
      <c r="T504" s="112"/>
      <c r="U504" s="107"/>
      <c r="V504" s="107"/>
      <c r="W504" s="107"/>
      <c r="X504" s="107"/>
      <c r="Y504" s="107"/>
      <c r="Z504" s="112"/>
      <c r="AA504" s="112"/>
      <c r="AB504" s="112"/>
      <c r="AC504" s="112"/>
      <c r="AD504" s="112"/>
      <c r="AE504" s="112"/>
      <c r="AF504" s="112"/>
      <c r="AG504" s="117"/>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c r="BK504" s="124"/>
      <c r="BL504" s="124"/>
      <c r="BM504" s="124"/>
      <c r="BN504" s="124"/>
      <c r="BO504" s="124"/>
      <c r="BP504" s="124"/>
      <c r="BQ504" s="124"/>
      <c r="BR504" s="124"/>
      <c r="BS504" s="124"/>
      <c r="BT504" s="124"/>
      <c r="BU504" s="124"/>
      <c r="BV504" s="124"/>
      <c r="BW504" s="124"/>
      <c r="BX504" s="124"/>
      <c r="BY504" s="124"/>
      <c r="BZ504" s="124"/>
      <c r="CA504" s="124"/>
    </row>
    <row r="505">
      <c r="D505" s="143"/>
      <c r="E505" s="168"/>
      <c r="F505" s="112"/>
      <c r="G505" s="112"/>
      <c r="H505" s="112"/>
      <c r="I505" s="112"/>
      <c r="J505" s="112"/>
      <c r="K505" s="112"/>
      <c r="L505" s="112"/>
      <c r="M505" s="112"/>
      <c r="N505" s="112"/>
      <c r="O505" s="112"/>
      <c r="P505" s="112"/>
      <c r="Q505" s="112"/>
      <c r="R505" s="112"/>
      <c r="S505" s="112"/>
      <c r="T505" s="112"/>
      <c r="U505" s="107"/>
      <c r="V505" s="107"/>
      <c r="W505" s="107"/>
      <c r="X505" s="107"/>
      <c r="Y505" s="107"/>
      <c r="Z505" s="112"/>
      <c r="AA505" s="112"/>
      <c r="AB505" s="112"/>
      <c r="AC505" s="112"/>
      <c r="AD505" s="112"/>
      <c r="AE505" s="112"/>
      <c r="AF505" s="112"/>
      <c r="AG505" s="117"/>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c r="BK505" s="124"/>
      <c r="BL505" s="124"/>
      <c r="BM505" s="124"/>
      <c r="BN505" s="124"/>
      <c r="BO505" s="124"/>
      <c r="BP505" s="124"/>
      <c r="BQ505" s="124"/>
      <c r="BR505" s="124"/>
      <c r="BS505" s="124"/>
      <c r="BT505" s="124"/>
      <c r="BU505" s="124"/>
      <c r="BV505" s="124"/>
      <c r="BW505" s="124"/>
      <c r="BX505" s="124"/>
      <c r="BY505" s="124"/>
      <c r="BZ505" s="124"/>
      <c r="CA505" s="124"/>
    </row>
    <row r="506">
      <c r="D506" s="143"/>
      <c r="E506" s="168"/>
      <c r="F506" s="112"/>
      <c r="G506" s="112"/>
      <c r="H506" s="112"/>
      <c r="I506" s="112"/>
      <c r="J506" s="112"/>
      <c r="K506" s="112"/>
      <c r="L506" s="112"/>
      <c r="M506" s="112"/>
      <c r="N506" s="112"/>
      <c r="O506" s="112"/>
      <c r="P506" s="112"/>
      <c r="Q506" s="112"/>
      <c r="R506" s="112"/>
      <c r="S506" s="112"/>
      <c r="T506" s="112"/>
      <c r="U506" s="107"/>
      <c r="V506" s="107"/>
      <c r="W506" s="107"/>
      <c r="X506" s="107"/>
      <c r="Y506" s="107"/>
      <c r="Z506" s="112"/>
      <c r="AA506" s="112"/>
      <c r="AB506" s="112"/>
      <c r="AC506" s="112"/>
      <c r="AD506" s="112"/>
      <c r="AE506" s="112"/>
      <c r="AF506" s="112"/>
      <c r="AG506" s="117"/>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c r="BK506" s="124"/>
      <c r="BL506" s="124"/>
      <c r="BM506" s="124"/>
      <c r="BN506" s="124"/>
      <c r="BO506" s="124"/>
      <c r="BP506" s="124"/>
      <c r="BQ506" s="124"/>
      <c r="BR506" s="124"/>
      <c r="BS506" s="124"/>
      <c r="BT506" s="124"/>
      <c r="BU506" s="124"/>
      <c r="BV506" s="124"/>
      <c r="BW506" s="124"/>
      <c r="BX506" s="124"/>
      <c r="BY506" s="124"/>
      <c r="BZ506" s="124"/>
      <c r="CA506" s="124"/>
    </row>
    <row r="507">
      <c r="D507" s="143"/>
      <c r="E507" s="168"/>
      <c r="F507" s="112"/>
      <c r="G507" s="112"/>
      <c r="H507" s="112"/>
      <c r="I507" s="112"/>
      <c r="J507" s="112"/>
      <c r="K507" s="112"/>
      <c r="L507" s="112"/>
      <c r="M507" s="112"/>
      <c r="N507" s="112"/>
      <c r="O507" s="112"/>
      <c r="P507" s="112"/>
      <c r="Q507" s="112"/>
      <c r="R507" s="112"/>
      <c r="S507" s="112"/>
      <c r="T507" s="112"/>
      <c r="U507" s="107"/>
      <c r="V507" s="107"/>
      <c r="W507" s="107"/>
      <c r="X507" s="107"/>
      <c r="Y507" s="107"/>
      <c r="Z507" s="112"/>
      <c r="AA507" s="112"/>
      <c r="AB507" s="112"/>
      <c r="AC507" s="112"/>
      <c r="AD507" s="112"/>
      <c r="AE507" s="112"/>
      <c r="AF507" s="112"/>
      <c r="AG507" s="117"/>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row>
    <row r="508">
      <c r="D508" s="143"/>
      <c r="E508" s="168"/>
      <c r="F508" s="112"/>
      <c r="G508" s="112"/>
      <c r="H508" s="112"/>
      <c r="I508" s="112"/>
      <c r="J508" s="112"/>
      <c r="K508" s="112"/>
      <c r="L508" s="112"/>
      <c r="M508" s="112"/>
      <c r="N508" s="112"/>
      <c r="O508" s="112"/>
      <c r="P508" s="112"/>
      <c r="Q508" s="112"/>
      <c r="R508" s="112"/>
      <c r="S508" s="112"/>
      <c r="T508" s="112"/>
      <c r="U508" s="107"/>
      <c r="V508" s="107"/>
      <c r="W508" s="107"/>
      <c r="X508" s="107"/>
      <c r="Y508" s="107"/>
      <c r="Z508" s="112"/>
      <c r="AA508" s="112"/>
      <c r="AB508" s="112"/>
      <c r="AC508" s="112"/>
      <c r="AD508" s="112"/>
      <c r="AE508" s="112"/>
      <c r="AF508" s="112"/>
      <c r="AG508" s="117"/>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c r="BK508" s="124"/>
      <c r="BL508" s="124"/>
      <c r="BM508" s="124"/>
      <c r="BN508" s="124"/>
      <c r="BO508" s="124"/>
      <c r="BP508" s="124"/>
      <c r="BQ508" s="124"/>
      <c r="BR508" s="124"/>
      <c r="BS508" s="124"/>
      <c r="BT508" s="124"/>
      <c r="BU508" s="124"/>
      <c r="BV508" s="124"/>
      <c r="BW508" s="124"/>
      <c r="BX508" s="124"/>
      <c r="BY508" s="124"/>
      <c r="BZ508" s="124"/>
      <c r="CA508" s="124"/>
    </row>
    <row r="509">
      <c r="D509" s="143"/>
      <c r="E509" s="168"/>
      <c r="F509" s="112"/>
      <c r="G509" s="112"/>
      <c r="H509" s="112"/>
      <c r="I509" s="112"/>
      <c r="J509" s="112"/>
      <c r="K509" s="112"/>
      <c r="L509" s="112"/>
      <c r="M509" s="112"/>
      <c r="N509" s="112"/>
      <c r="O509" s="112"/>
      <c r="P509" s="112"/>
      <c r="Q509" s="112"/>
      <c r="R509" s="112"/>
      <c r="S509" s="112"/>
      <c r="T509" s="112"/>
      <c r="U509" s="107"/>
      <c r="V509" s="107"/>
      <c r="W509" s="107"/>
      <c r="X509" s="107"/>
      <c r="Y509" s="107"/>
      <c r="Z509" s="112"/>
      <c r="AA509" s="112"/>
      <c r="AB509" s="112"/>
      <c r="AC509" s="112"/>
      <c r="AD509" s="112"/>
      <c r="AE509" s="112"/>
      <c r="AF509" s="112"/>
      <c r="AG509" s="117"/>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c r="BK509" s="124"/>
      <c r="BL509" s="124"/>
      <c r="BM509" s="124"/>
      <c r="BN509" s="124"/>
      <c r="BO509" s="124"/>
      <c r="BP509" s="124"/>
      <c r="BQ509" s="124"/>
      <c r="BR509" s="124"/>
      <c r="BS509" s="124"/>
      <c r="BT509" s="124"/>
      <c r="BU509" s="124"/>
      <c r="BV509" s="124"/>
      <c r="BW509" s="124"/>
      <c r="BX509" s="124"/>
      <c r="BY509" s="124"/>
      <c r="BZ509" s="124"/>
      <c r="CA509" s="124"/>
    </row>
    <row r="510">
      <c r="D510" s="143"/>
      <c r="E510" s="168"/>
      <c r="F510" s="112"/>
      <c r="G510" s="112"/>
      <c r="H510" s="112"/>
      <c r="I510" s="112"/>
      <c r="J510" s="112"/>
      <c r="K510" s="112"/>
      <c r="L510" s="112"/>
      <c r="M510" s="112"/>
      <c r="N510" s="112"/>
      <c r="O510" s="112"/>
      <c r="P510" s="112"/>
      <c r="Q510" s="112"/>
      <c r="R510" s="112"/>
      <c r="S510" s="112"/>
      <c r="T510" s="112"/>
      <c r="U510" s="107"/>
      <c r="V510" s="107"/>
      <c r="W510" s="107"/>
      <c r="X510" s="107"/>
      <c r="Y510" s="107"/>
      <c r="Z510" s="112"/>
      <c r="AA510" s="112"/>
      <c r="AB510" s="112"/>
      <c r="AC510" s="112"/>
      <c r="AD510" s="112"/>
      <c r="AE510" s="112"/>
      <c r="AF510" s="112"/>
      <c r="AG510" s="117"/>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c r="BK510" s="124"/>
      <c r="BL510" s="124"/>
      <c r="BM510" s="124"/>
      <c r="BN510" s="124"/>
      <c r="BO510" s="124"/>
      <c r="BP510" s="124"/>
      <c r="BQ510" s="124"/>
      <c r="BR510" s="124"/>
      <c r="BS510" s="124"/>
      <c r="BT510" s="124"/>
      <c r="BU510" s="124"/>
      <c r="BV510" s="124"/>
      <c r="BW510" s="124"/>
      <c r="BX510" s="124"/>
      <c r="BY510" s="124"/>
      <c r="BZ510" s="124"/>
      <c r="CA510" s="124"/>
    </row>
    <row r="511">
      <c r="D511" s="143"/>
      <c r="E511" s="168"/>
      <c r="F511" s="112"/>
      <c r="G511" s="112"/>
      <c r="H511" s="112"/>
      <c r="I511" s="112"/>
      <c r="J511" s="112"/>
      <c r="K511" s="112"/>
      <c r="L511" s="112"/>
      <c r="M511" s="112"/>
      <c r="N511" s="112"/>
      <c r="O511" s="112"/>
      <c r="P511" s="112"/>
      <c r="Q511" s="112"/>
      <c r="R511" s="112"/>
      <c r="S511" s="112"/>
      <c r="T511" s="112"/>
      <c r="U511" s="107"/>
      <c r="V511" s="107"/>
      <c r="W511" s="107"/>
      <c r="X511" s="107"/>
      <c r="Y511" s="107"/>
      <c r="Z511" s="112"/>
      <c r="AA511" s="112"/>
      <c r="AB511" s="112"/>
      <c r="AC511" s="112"/>
      <c r="AD511" s="112"/>
      <c r="AE511" s="112"/>
      <c r="AF511" s="112"/>
      <c r="AG511" s="117"/>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c r="BK511" s="124"/>
      <c r="BL511" s="124"/>
      <c r="BM511" s="124"/>
      <c r="BN511" s="124"/>
      <c r="BO511" s="124"/>
      <c r="BP511" s="124"/>
      <c r="BQ511" s="124"/>
      <c r="BR511" s="124"/>
      <c r="BS511" s="124"/>
      <c r="BT511" s="124"/>
      <c r="BU511" s="124"/>
      <c r="BV511" s="124"/>
      <c r="BW511" s="124"/>
      <c r="BX511" s="124"/>
      <c r="BY511" s="124"/>
      <c r="BZ511" s="124"/>
      <c r="CA511" s="124"/>
    </row>
    <row r="512">
      <c r="D512" s="143"/>
      <c r="E512" s="168"/>
      <c r="F512" s="112"/>
      <c r="G512" s="112"/>
      <c r="H512" s="112"/>
      <c r="I512" s="112"/>
      <c r="J512" s="112"/>
      <c r="K512" s="112"/>
      <c r="L512" s="112"/>
      <c r="M512" s="112"/>
      <c r="N512" s="112"/>
      <c r="O512" s="112"/>
      <c r="P512" s="112"/>
      <c r="Q512" s="112"/>
      <c r="R512" s="112"/>
      <c r="S512" s="112"/>
      <c r="T512" s="112"/>
      <c r="U512" s="107"/>
      <c r="V512" s="107"/>
      <c r="W512" s="107"/>
      <c r="X512" s="107"/>
      <c r="Y512" s="107"/>
      <c r="Z512" s="112"/>
      <c r="AA512" s="112"/>
      <c r="AB512" s="112"/>
      <c r="AC512" s="112"/>
      <c r="AD512" s="112"/>
      <c r="AE512" s="112"/>
      <c r="AF512" s="112"/>
      <c r="AG512" s="117"/>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c r="BK512" s="124"/>
      <c r="BL512" s="124"/>
      <c r="BM512" s="124"/>
      <c r="BN512" s="124"/>
      <c r="BO512" s="124"/>
      <c r="BP512" s="124"/>
      <c r="BQ512" s="124"/>
      <c r="BR512" s="124"/>
      <c r="BS512" s="124"/>
      <c r="BT512" s="124"/>
      <c r="BU512" s="124"/>
      <c r="BV512" s="124"/>
      <c r="BW512" s="124"/>
      <c r="BX512" s="124"/>
      <c r="BY512" s="124"/>
      <c r="BZ512" s="124"/>
      <c r="CA512" s="124"/>
    </row>
    <row r="513">
      <c r="D513" s="143"/>
      <c r="E513" s="168"/>
      <c r="F513" s="112"/>
      <c r="G513" s="112"/>
      <c r="H513" s="112"/>
      <c r="I513" s="112"/>
      <c r="J513" s="112"/>
      <c r="K513" s="112"/>
      <c r="L513" s="112"/>
      <c r="M513" s="112"/>
      <c r="N513" s="112"/>
      <c r="O513" s="112"/>
      <c r="P513" s="112"/>
      <c r="Q513" s="112"/>
      <c r="R513" s="112"/>
      <c r="S513" s="112"/>
      <c r="T513" s="112"/>
      <c r="U513" s="107"/>
      <c r="V513" s="107"/>
      <c r="W513" s="107"/>
      <c r="X513" s="107"/>
      <c r="Y513" s="107"/>
      <c r="Z513" s="112"/>
      <c r="AA513" s="112"/>
      <c r="AB513" s="112"/>
      <c r="AC513" s="112"/>
      <c r="AD513" s="112"/>
      <c r="AE513" s="112"/>
      <c r="AF513" s="112"/>
      <c r="AG513" s="117"/>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c r="BK513" s="124"/>
      <c r="BL513" s="124"/>
      <c r="BM513" s="124"/>
      <c r="BN513" s="124"/>
      <c r="BO513" s="124"/>
      <c r="BP513" s="124"/>
      <c r="BQ513" s="124"/>
      <c r="BR513" s="124"/>
      <c r="BS513" s="124"/>
      <c r="BT513" s="124"/>
      <c r="BU513" s="124"/>
      <c r="BV513" s="124"/>
      <c r="BW513" s="124"/>
      <c r="BX513" s="124"/>
      <c r="BY513" s="124"/>
      <c r="BZ513" s="124"/>
      <c r="CA513" s="124"/>
    </row>
    <row r="514">
      <c r="D514" s="143"/>
      <c r="E514" s="168"/>
      <c r="F514" s="112"/>
      <c r="G514" s="112"/>
      <c r="H514" s="112"/>
      <c r="I514" s="112"/>
      <c r="J514" s="112"/>
      <c r="K514" s="112"/>
      <c r="L514" s="112"/>
      <c r="M514" s="112"/>
      <c r="N514" s="112"/>
      <c r="O514" s="112"/>
      <c r="P514" s="112"/>
      <c r="Q514" s="112"/>
      <c r="R514" s="112"/>
      <c r="S514" s="112"/>
      <c r="T514" s="112"/>
      <c r="U514" s="107"/>
      <c r="V514" s="107"/>
      <c r="W514" s="107"/>
      <c r="X514" s="107"/>
      <c r="Y514" s="107"/>
      <c r="Z514" s="112"/>
      <c r="AA514" s="112"/>
      <c r="AB514" s="112"/>
      <c r="AC514" s="112"/>
      <c r="AD514" s="112"/>
      <c r="AE514" s="112"/>
      <c r="AF514" s="112"/>
      <c r="AG514" s="117"/>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c r="BK514" s="124"/>
      <c r="BL514" s="124"/>
      <c r="BM514" s="124"/>
      <c r="BN514" s="124"/>
      <c r="BO514" s="124"/>
      <c r="BP514" s="124"/>
      <c r="BQ514" s="124"/>
      <c r="BR514" s="124"/>
      <c r="BS514" s="124"/>
      <c r="BT514" s="124"/>
      <c r="BU514" s="124"/>
      <c r="BV514" s="124"/>
      <c r="BW514" s="124"/>
      <c r="BX514" s="124"/>
      <c r="BY514" s="124"/>
      <c r="BZ514" s="124"/>
      <c r="CA514" s="124"/>
    </row>
    <row r="515">
      <c r="D515" s="143"/>
      <c r="E515" s="168"/>
      <c r="F515" s="112"/>
      <c r="G515" s="112"/>
      <c r="H515" s="112"/>
      <c r="I515" s="112"/>
      <c r="J515" s="112"/>
      <c r="K515" s="112"/>
      <c r="L515" s="112"/>
      <c r="M515" s="112"/>
      <c r="N515" s="112"/>
      <c r="O515" s="112"/>
      <c r="P515" s="112"/>
      <c r="Q515" s="112"/>
      <c r="R515" s="112"/>
      <c r="S515" s="112"/>
      <c r="T515" s="112"/>
      <c r="U515" s="107"/>
      <c r="V515" s="107"/>
      <c r="W515" s="107"/>
      <c r="X515" s="107"/>
      <c r="Y515" s="107"/>
      <c r="Z515" s="112"/>
      <c r="AA515" s="112"/>
      <c r="AB515" s="112"/>
      <c r="AC515" s="112"/>
      <c r="AD515" s="112"/>
      <c r="AE515" s="112"/>
      <c r="AF515" s="112"/>
      <c r="AG515" s="117"/>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c r="BK515" s="124"/>
      <c r="BL515" s="124"/>
      <c r="BM515" s="124"/>
      <c r="BN515" s="124"/>
      <c r="BO515" s="124"/>
      <c r="BP515" s="124"/>
      <c r="BQ515" s="124"/>
      <c r="BR515" s="124"/>
      <c r="BS515" s="124"/>
      <c r="BT515" s="124"/>
      <c r="BU515" s="124"/>
      <c r="BV515" s="124"/>
      <c r="BW515" s="124"/>
      <c r="BX515" s="124"/>
      <c r="BY515" s="124"/>
      <c r="BZ515" s="124"/>
      <c r="CA515" s="124"/>
    </row>
    <row r="516">
      <c r="D516" s="143"/>
      <c r="E516" s="168"/>
      <c r="F516" s="112"/>
      <c r="G516" s="112"/>
      <c r="H516" s="112"/>
      <c r="I516" s="112"/>
      <c r="J516" s="112"/>
      <c r="K516" s="112"/>
      <c r="L516" s="112"/>
      <c r="M516" s="112"/>
      <c r="N516" s="112"/>
      <c r="O516" s="112"/>
      <c r="P516" s="112"/>
      <c r="Q516" s="112"/>
      <c r="R516" s="112"/>
      <c r="S516" s="112"/>
      <c r="T516" s="112"/>
      <c r="U516" s="107"/>
      <c r="V516" s="107"/>
      <c r="W516" s="107"/>
      <c r="X516" s="107"/>
      <c r="Y516" s="107"/>
      <c r="Z516" s="112"/>
      <c r="AA516" s="112"/>
      <c r="AB516" s="112"/>
      <c r="AC516" s="112"/>
      <c r="AD516" s="112"/>
      <c r="AE516" s="112"/>
      <c r="AF516" s="112"/>
      <c r="AG516" s="117"/>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c r="BK516" s="124"/>
      <c r="BL516" s="124"/>
      <c r="BM516" s="124"/>
      <c r="BN516" s="124"/>
      <c r="BO516" s="124"/>
      <c r="BP516" s="124"/>
      <c r="BQ516" s="124"/>
      <c r="BR516" s="124"/>
      <c r="BS516" s="124"/>
      <c r="BT516" s="124"/>
      <c r="BU516" s="124"/>
      <c r="BV516" s="124"/>
      <c r="BW516" s="124"/>
      <c r="BX516" s="124"/>
      <c r="BY516" s="124"/>
      <c r="BZ516" s="124"/>
      <c r="CA516" s="124"/>
    </row>
    <row r="517">
      <c r="D517" s="143"/>
      <c r="E517" s="168"/>
      <c r="F517" s="112"/>
      <c r="G517" s="112"/>
      <c r="H517" s="112"/>
      <c r="I517" s="112"/>
      <c r="J517" s="112"/>
      <c r="K517" s="112"/>
      <c r="L517" s="112"/>
      <c r="M517" s="112"/>
      <c r="N517" s="112"/>
      <c r="O517" s="112"/>
      <c r="P517" s="112"/>
      <c r="Q517" s="112"/>
      <c r="R517" s="112"/>
      <c r="S517" s="112"/>
      <c r="T517" s="112"/>
      <c r="U517" s="107"/>
      <c r="V517" s="107"/>
      <c r="W517" s="107"/>
      <c r="X517" s="107"/>
      <c r="Y517" s="107"/>
      <c r="Z517" s="112"/>
      <c r="AA517" s="112"/>
      <c r="AB517" s="112"/>
      <c r="AC517" s="112"/>
      <c r="AD517" s="112"/>
      <c r="AE517" s="112"/>
      <c r="AF517" s="112"/>
      <c r="AG517" s="117"/>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c r="BK517" s="124"/>
      <c r="BL517" s="124"/>
      <c r="BM517" s="124"/>
      <c r="BN517" s="124"/>
      <c r="BO517" s="124"/>
      <c r="BP517" s="124"/>
      <c r="BQ517" s="124"/>
      <c r="BR517" s="124"/>
      <c r="BS517" s="124"/>
      <c r="BT517" s="124"/>
      <c r="BU517" s="124"/>
      <c r="BV517" s="124"/>
      <c r="BW517" s="124"/>
      <c r="BX517" s="124"/>
      <c r="BY517" s="124"/>
      <c r="BZ517" s="124"/>
      <c r="CA517" s="124"/>
    </row>
    <row r="518">
      <c r="D518" s="143"/>
      <c r="E518" s="168"/>
      <c r="F518" s="112"/>
      <c r="G518" s="112"/>
      <c r="H518" s="112"/>
      <c r="I518" s="112"/>
      <c r="J518" s="112"/>
      <c r="K518" s="112"/>
      <c r="L518" s="112"/>
      <c r="M518" s="112"/>
      <c r="N518" s="112"/>
      <c r="O518" s="112"/>
      <c r="P518" s="112"/>
      <c r="Q518" s="112"/>
      <c r="R518" s="112"/>
      <c r="S518" s="112"/>
      <c r="T518" s="112"/>
      <c r="U518" s="107"/>
      <c r="V518" s="107"/>
      <c r="W518" s="107"/>
      <c r="X518" s="107"/>
      <c r="Y518" s="107"/>
      <c r="Z518" s="112"/>
      <c r="AA518" s="112"/>
      <c r="AB518" s="112"/>
      <c r="AC518" s="112"/>
      <c r="AD518" s="112"/>
      <c r="AE518" s="112"/>
      <c r="AF518" s="112"/>
      <c r="AG518" s="117"/>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c r="BK518" s="124"/>
      <c r="BL518" s="124"/>
      <c r="BM518" s="124"/>
      <c r="BN518" s="124"/>
      <c r="BO518" s="124"/>
      <c r="BP518" s="124"/>
      <c r="BQ518" s="124"/>
      <c r="BR518" s="124"/>
      <c r="BS518" s="124"/>
      <c r="BT518" s="124"/>
      <c r="BU518" s="124"/>
      <c r="BV518" s="124"/>
      <c r="BW518" s="124"/>
      <c r="BX518" s="124"/>
      <c r="BY518" s="124"/>
      <c r="BZ518" s="124"/>
      <c r="CA518" s="124"/>
    </row>
    <row r="519">
      <c r="D519" s="143"/>
      <c r="E519" s="168"/>
      <c r="F519" s="112"/>
      <c r="G519" s="112"/>
      <c r="H519" s="112"/>
      <c r="I519" s="112"/>
      <c r="J519" s="112"/>
      <c r="K519" s="112"/>
      <c r="L519" s="112"/>
      <c r="M519" s="112"/>
      <c r="N519" s="112"/>
      <c r="O519" s="112"/>
      <c r="P519" s="112"/>
      <c r="Q519" s="112"/>
      <c r="R519" s="112"/>
      <c r="S519" s="112"/>
      <c r="T519" s="112"/>
      <c r="U519" s="107"/>
      <c r="V519" s="107"/>
      <c r="W519" s="107"/>
      <c r="X519" s="107"/>
      <c r="Y519" s="107"/>
      <c r="Z519" s="112"/>
      <c r="AA519" s="112"/>
      <c r="AB519" s="112"/>
      <c r="AC519" s="112"/>
      <c r="AD519" s="112"/>
      <c r="AE519" s="112"/>
      <c r="AF519" s="112"/>
      <c r="AG519" s="117"/>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c r="BK519" s="124"/>
      <c r="BL519" s="124"/>
      <c r="BM519" s="124"/>
      <c r="BN519" s="124"/>
      <c r="BO519" s="124"/>
      <c r="BP519" s="124"/>
      <c r="BQ519" s="124"/>
      <c r="BR519" s="124"/>
      <c r="BS519" s="124"/>
      <c r="BT519" s="124"/>
      <c r="BU519" s="124"/>
      <c r="BV519" s="124"/>
      <c r="BW519" s="124"/>
      <c r="BX519" s="124"/>
      <c r="BY519" s="124"/>
      <c r="BZ519" s="124"/>
      <c r="CA519" s="124"/>
    </row>
    <row r="520">
      <c r="D520" s="143"/>
      <c r="E520" s="168"/>
      <c r="F520" s="112"/>
      <c r="G520" s="112"/>
      <c r="H520" s="112"/>
      <c r="I520" s="112"/>
      <c r="J520" s="112"/>
      <c r="K520" s="112"/>
      <c r="L520" s="112"/>
      <c r="M520" s="112"/>
      <c r="N520" s="112"/>
      <c r="O520" s="112"/>
      <c r="P520" s="112"/>
      <c r="Q520" s="112"/>
      <c r="R520" s="112"/>
      <c r="S520" s="112"/>
      <c r="T520" s="112"/>
      <c r="U520" s="107"/>
      <c r="V520" s="107"/>
      <c r="W520" s="107"/>
      <c r="X520" s="107"/>
      <c r="Y520" s="107"/>
      <c r="Z520" s="112"/>
      <c r="AA520" s="112"/>
      <c r="AB520" s="112"/>
      <c r="AC520" s="112"/>
      <c r="AD520" s="112"/>
      <c r="AE520" s="112"/>
      <c r="AF520" s="112"/>
      <c r="AG520" s="117"/>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c r="BK520" s="124"/>
      <c r="BL520" s="124"/>
      <c r="BM520" s="124"/>
      <c r="BN520" s="124"/>
      <c r="BO520" s="124"/>
      <c r="BP520" s="124"/>
      <c r="BQ520" s="124"/>
      <c r="BR520" s="124"/>
      <c r="BS520" s="124"/>
      <c r="BT520" s="124"/>
      <c r="BU520" s="124"/>
      <c r="BV520" s="124"/>
      <c r="BW520" s="124"/>
      <c r="BX520" s="124"/>
      <c r="BY520" s="124"/>
      <c r="BZ520" s="124"/>
      <c r="CA520" s="124"/>
    </row>
    <row r="521">
      <c r="D521" s="143"/>
      <c r="E521" s="168"/>
      <c r="F521" s="112"/>
      <c r="G521" s="112"/>
      <c r="H521" s="112"/>
      <c r="I521" s="112"/>
      <c r="J521" s="112"/>
      <c r="K521" s="112"/>
      <c r="L521" s="112"/>
      <c r="M521" s="112"/>
      <c r="N521" s="112"/>
      <c r="O521" s="112"/>
      <c r="P521" s="112"/>
      <c r="Q521" s="112"/>
      <c r="R521" s="112"/>
      <c r="S521" s="112"/>
      <c r="T521" s="112"/>
      <c r="U521" s="107"/>
      <c r="V521" s="107"/>
      <c r="W521" s="107"/>
      <c r="X521" s="107"/>
      <c r="Y521" s="107"/>
      <c r="Z521" s="112"/>
      <c r="AA521" s="112"/>
      <c r="AB521" s="112"/>
      <c r="AC521" s="112"/>
      <c r="AD521" s="112"/>
      <c r="AE521" s="112"/>
      <c r="AF521" s="112"/>
      <c r="AG521" s="117"/>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c r="BK521" s="124"/>
      <c r="BL521" s="124"/>
      <c r="BM521" s="124"/>
      <c r="BN521" s="124"/>
      <c r="BO521" s="124"/>
      <c r="BP521" s="124"/>
      <c r="BQ521" s="124"/>
      <c r="BR521" s="124"/>
      <c r="BS521" s="124"/>
      <c r="BT521" s="124"/>
      <c r="BU521" s="124"/>
      <c r="BV521" s="124"/>
      <c r="BW521" s="124"/>
      <c r="BX521" s="124"/>
      <c r="BY521" s="124"/>
      <c r="BZ521" s="124"/>
      <c r="CA521" s="124"/>
    </row>
    <row r="522">
      <c r="D522" s="143"/>
      <c r="E522" s="168"/>
      <c r="F522" s="112"/>
      <c r="G522" s="112"/>
      <c r="H522" s="112"/>
      <c r="I522" s="112"/>
      <c r="J522" s="112"/>
      <c r="K522" s="112"/>
      <c r="L522" s="112"/>
      <c r="M522" s="112"/>
      <c r="N522" s="112"/>
      <c r="O522" s="112"/>
      <c r="P522" s="112"/>
      <c r="Q522" s="112"/>
      <c r="R522" s="112"/>
      <c r="S522" s="112"/>
      <c r="T522" s="112"/>
      <c r="U522" s="107"/>
      <c r="V522" s="107"/>
      <c r="W522" s="107"/>
      <c r="X522" s="107"/>
      <c r="Y522" s="107"/>
      <c r="Z522" s="112"/>
      <c r="AA522" s="112"/>
      <c r="AB522" s="112"/>
      <c r="AC522" s="112"/>
      <c r="AD522" s="112"/>
      <c r="AE522" s="112"/>
      <c r="AF522" s="112"/>
      <c r="AG522" s="117"/>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c r="BK522" s="124"/>
      <c r="BL522" s="124"/>
      <c r="BM522" s="124"/>
      <c r="BN522" s="124"/>
      <c r="BO522" s="124"/>
      <c r="BP522" s="124"/>
      <c r="BQ522" s="124"/>
      <c r="BR522" s="124"/>
      <c r="BS522" s="124"/>
      <c r="BT522" s="124"/>
      <c r="BU522" s="124"/>
      <c r="BV522" s="124"/>
      <c r="BW522" s="124"/>
      <c r="BX522" s="124"/>
      <c r="BY522" s="124"/>
      <c r="BZ522" s="124"/>
      <c r="CA522" s="124"/>
    </row>
    <row r="523">
      <c r="D523" s="143"/>
      <c r="E523" s="168"/>
      <c r="F523" s="112"/>
      <c r="G523" s="112"/>
      <c r="H523" s="112"/>
      <c r="I523" s="112"/>
      <c r="J523" s="112"/>
      <c r="K523" s="112"/>
      <c r="L523" s="112"/>
      <c r="M523" s="112"/>
      <c r="N523" s="112"/>
      <c r="O523" s="112"/>
      <c r="P523" s="112"/>
      <c r="Q523" s="112"/>
      <c r="R523" s="112"/>
      <c r="S523" s="112"/>
      <c r="T523" s="112"/>
      <c r="U523" s="107"/>
      <c r="V523" s="107"/>
      <c r="W523" s="107"/>
      <c r="X523" s="107"/>
      <c r="Y523" s="107"/>
      <c r="Z523" s="112"/>
      <c r="AA523" s="112"/>
      <c r="AB523" s="112"/>
      <c r="AC523" s="112"/>
      <c r="AD523" s="112"/>
      <c r="AE523" s="112"/>
      <c r="AF523" s="112"/>
      <c r="AG523" s="117"/>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c r="BK523" s="124"/>
      <c r="BL523" s="124"/>
      <c r="BM523" s="124"/>
      <c r="BN523" s="124"/>
      <c r="BO523" s="124"/>
      <c r="BP523" s="124"/>
      <c r="BQ523" s="124"/>
      <c r="BR523" s="124"/>
      <c r="BS523" s="124"/>
      <c r="BT523" s="124"/>
      <c r="BU523" s="124"/>
      <c r="BV523" s="124"/>
      <c r="BW523" s="124"/>
      <c r="BX523" s="124"/>
      <c r="BY523" s="124"/>
      <c r="BZ523" s="124"/>
      <c r="CA523" s="124"/>
    </row>
    <row r="524">
      <c r="D524" s="143"/>
      <c r="E524" s="168"/>
      <c r="F524" s="112"/>
      <c r="G524" s="112"/>
      <c r="H524" s="112"/>
      <c r="I524" s="112"/>
      <c r="J524" s="112"/>
      <c r="K524" s="112"/>
      <c r="L524" s="112"/>
      <c r="M524" s="112"/>
      <c r="N524" s="112"/>
      <c r="O524" s="112"/>
      <c r="P524" s="112"/>
      <c r="Q524" s="112"/>
      <c r="R524" s="112"/>
      <c r="S524" s="112"/>
      <c r="T524" s="112"/>
      <c r="U524" s="107"/>
      <c r="V524" s="107"/>
      <c r="W524" s="107"/>
      <c r="X524" s="107"/>
      <c r="Y524" s="107"/>
      <c r="Z524" s="112"/>
      <c r="AA524" s="112"/>
      <c r="AB524" s="112"/>
      <c r="AC524" s="112"/>
      <c r="AD524" s="112"/>
      <c r="AE524" s="112"/>
      <c r="AF524" s="112"/>
      <c r="AG524" s="117"/>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c r="BK524" s="124"/>
      <c r="BL524" s="124"/>
      <c r="BM524" s="124"/>
      <c r="BN524" s="124"/>
      <c r="BO524" s="124"/>
      <c r="BP524" s="124"/>
      <c r="BQ524" s="124"/>
      <c r="BR524" s="124"/>
      <c r="BS524" s="124"/>
      <c r="BT524" s="124"/>
      <c r="BU524" s="124"/>
      <c r="BV524" s="124"/>
      <c r="BW524" s="124"/>
      <c r="BX524" s="124"/>
      <c r="BY524" s="124"/>
      <c r="BZ524" s="124"/>
      <c r="CA524" s="124"/>
    </row>
    <row r="525">
      <c r="D525" s="143"/>
      <c r="E525" s="168"/>
      <c r="F525" s="112"/>
      <c r="G525" s="112"/>
      <c r="H525" s="112"/>
      <c r="I525" s="112"/>
      <c r="J525" s="112"/>
      <c r="K525" s="112"/>
      <c r="L525" s="112"/>
      <c r="M525" s="112"/>
      <c r="N525" s="112"/>
      <c r="O525" s="112"/>
      <c r="P525" s="112"/>
      <c r="Q525" s="112"/>
      <c r="R525" s="112"/>
      <c r="S525" s="112"/>
      <c r="T525" s="112"/>
      <c r="U525" s="107"/>
      <c r="V525" s="107"/>
      <c r="W525" s="107"/>
      <c r="X525" s="107"/>
      <c r="Y525" s="107"/>
      <c r="Z525" s="112"/>
      <c r="AA525" s="112"/>
      <c r="AB525" s="112"/>
      <c r="AC525" s="112"/>
      <c r="AD525" s="112"/>
      <c r="AE525" s="112"/>
      <c r="AF525" s="112"/>
      <c r="AG525" s="117"/>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c r="BK525" s="124"/>
      <c r="BL525" s="124"/>
      <c r="BM525" s="124"/>
      <c r="BN525" s="124"/>
      <c r="BO525" s="124"/>
      <c r="BP525" s="124"/>
      <c r="BQ525" s="124"/>
      <c r="BR525" s="124"/>
      <c r="BS525" s="124"/>
      <c r="BT525" s="124"/>
      <c r="BU525" s="124"/>
      <c r="BV525" s="124"/>
      <c r="BW525" s="124"/>
      <c r="BX525" s="124"/>
      <c r="BY525" s="124"/>
      <c r="BZ525" s="124"/>
      <c r="CA525" s="124"/>
    </row>
    <row r="526">
      <c r="D526" s="143"/>
      <c r="E526" s="168"/>
      <c r="F526" s="112"/>
      <c r="G526" s="112"/>
      <c r="H526" s="112"/>
      <c r="I526" s="112"/>
      <c r="J526" s="112"/>
      <c r="K526" s="112"/>
      <c r="L526" s="112"/>
      <c r="M526" s="112"/>
      <c r="N526" s="112"/>
      <c r="O526" s="112"/>
      <c r="P526" s="112"/>
      <c r="Q526" s="112"/>
      <c r="R526" s="112"/>
      <c r="S526" s="112"/>
      <c r="T526" s="112"/>
      <c r="U526" s="107"/>
      <c r="V526" s="107"/>
      <c r="W526" s="107"/>
      <c r="X526" s="107"/>
      <c r="Y526" s="107"/>
      <c r="Z526" s="112"/>
      <c r="AA526" s="112"/>
      <c r="AB526" s="112"/>
      <c r="AC526" s="112"/>
      <c r="AD526" s="112"/>
      <c r="AE526" s="112"/>
      <c r="AF526" s="112"/>
      <c r="AG526" s="117"/>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c r="BK526" s="124"/>
      <c r="BL526" s="124"/>
      <c r="BM526" s="124"/>
      <c r="BN526" s="124"/>
      <c r="BO526" s="124"/>
      <c r="BP526" s="124"/>
      <c r="BQ526" s="124"/>
      <c r="BR526" s="124"/>
      <c r="BS526" s="124"/>
      <c r="BT526" s="124"/>
      <c r="BU526" s="124"/>
      <c r="BV526" s="124"/>
      <c r="BW526" s="124"/>
      <c r="BX526" s="124"/>
      <c r="BY526" s="124"/>
      <c r="BZ526" s="124"/>
      <c r="CA526" s="124"/>
    </row>
    <row r="527">
      <c r="D527" s="143"/>
      <c r="E527" s="168"/>
      <c r="F527" s="112"/>
      <c r="G527" s="112"/>
      <c r="H527" s="112"/>
      <c r="I527" s="112"/>
      <c r="J527" s="112"/>
      <c r="K527" s="112"/>
      <c r="L527" s="112"/>
      <c r="M527" s="112"/>
      <c r="N527" s="112"/>
      <c r="O527" s="112"/>
      <c r="P527" s="112"/>
      <c r="Q527" s="112"/>
      <c r="R527" s="112"/>
      <c r="S527" s="112"/>
      <c r="T527" s="112"/>
      <c r="U527" s="107"/>
      <c r="V527" s="107"/>
      <c r="W527" s="107"/>
      <c r="X527" s="107"/>
      <c r="Y527" s="107"/>
      <c r="Z527" s="112"/>
      <c r="AA527" s="112"/>
      <c r="AB527" s="112"/>
      <c r="AC527" s="112"/>
      <c r="AD527" s="112"/>
      <c r="AE527" s="112"/>
      <c r="AF527" s="112"/>
      <c r="AG527" s="117"/>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c r="BK527" s="124"/>
      <c r="BL527" s="124"/>
      <c r="BM527" s="124"/>
      <c r="BN527" s="124"/>
      <c r="BO527" s="124"/>
      <c r="BP527" s="124"/>
      <c r="BQ527" s="124"/>
      <c r="BR527" s="124"/>
      <c r="BS527" s="124"/>
      <c r="BT527" s="124"/>
      <c r="BU527" s="124"/>
      <c r="BV527" s="124"/>
      <c r="BW527" s="124"/>
      <c r="BX527" s="124"/>
      <c r="BY527" s="124"/>
      <c r="BZ527" s="124"/>
      <c r="CA527" s="124"/>
    </row>
    <row r="528">
      <c r="D528" s="143"/>
      <c r="E528" s="168"/>
      <c r="F528" s="112"/>
      <c r="G528" s="112"/>
      <c r="H528" s="112"/>
      <c r="I528" s="112"/>
      <c r="J528" s="112"/>
      <c r="K528" s="112"/>
      <c r="L528" s="112"/>
      <c r="M528" s="112"/>
      <c r="N528" s="112"/>
      <c r="O528" s="112"/>
      <c r="P528" s="112"/>
      <c r="Q528" s="112"/>
      <c r="R528" s="112"/>
      <c r="S528" s="112"/>
      <c r="T528" s="112"/>
      <c r="U528" s="107"/>
      <c r="V528" s="107"/>
      <c r="W528" s="107"/>
      <c r="X528" s="107"/>
      <c r="Y528" s="107"/>
      <c r="Z528" s="112"/>
      <c r="AA528" s="112"/>
      <c r="AB528" s="112"/>
      <c r="AC528" s="112"/>
      <c r="AD528" s="112"/>
      <c r="AE528" s="112"/>
      <c r="AF528" s="112"/>
      <c r="AG528" s="117"/>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c r="BK528" s="124"/>
      <c r="BL528" s="124"/>
      <c r="BM528" s="124"/>
      <c r="BN528" s="124"/>
      <c r="BO528" s="124"/>
      <c r="BP528" s="124"/>
      <c r="BQ528" s="124"/>
      <c r="BR528" s="124"/>
      <c r="BS528" s="124"/>
      <c r="BT528" s="124"/>
      <c r="BU528" s="124"/>
      <c r="BV528" s="124"/>
      <c r="BW528" s="124"/>
      <c r="BX528" s="124"/>
      <c r="BY528" s="124"/>
      <c r="BZ528" s="124"/>
      <c r="CA528" s="124"/>
    </row>
    <row r="529">
      <c r="D529" s="143"/>
      <c r="E529" s="168"/>
      <c r="F529" s="112"/>
      <c r="G529" s="112"/>
      <c r="H529" s="112"/>
      <c r="I529" s="112"/>
      <c r="J529" s="112"/>
      <c r="K529" s="112"/>
      <c r="L529" s="112"/>
      <c r="M529" s="112"/>
      <c r="N529" s="112"/>
      <c r="O529" s="112"/>
      <c r="P529" s="112"/>
      <c r="Q529" s="112"/>
      <c r="R529" s="112"/>
      <c r="S529" s="112"/>
      <c r="T529" s="112"/>
      <c r="U529" s="107"/>
      <c r="V529" s="107"/>
      <c r="W529" s="107"/>
      <c r="X529" s="107"/>
      <c r="Y529" s="107"/>
      <c r="Z529" s="112"/>
      <c r="AA529" s="112"/>
      <c r="AB529" s="112"/>
      <c r="AC529" s="112"/>
      <c r="AD529" s="112"/>
      <c r="AE529" s="112"/>
      <c r="AF529" s="112"/>
      <c r="AG529" s="117"/>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c r="BK529" s="124"/>
      <c r="BL529" s="124"/>
      <c r="BM529" s="124"/>
      <c r="BN529" s="124"/>
      <c r="BO529" s="124"/>
      <c r="BP529" s="124"/>
      <c r="BQ529" s="124"/>
      <c r="BR529" s="124"/>
      <c r="BS529" s="124"/>
      <c r="BT529" s="124"/>
      <c r="BU529" s="124"/>
      <c r="BV529" s="124"/>
      <c r="BW529" s="124"/>
      <c r="BX529" s="124"/>
      <c r="BY529" s="124"/>
      <c r="BZ529" s="124"/>
      <c r="CA529" s="124"/>
    </row>
    <row r="530">
      <c r="D530" s="143"/>
      <c r="E530" s="168"/>
      <c r="F530" s="112"/>
      <c r="G530" s="112"/>
      <c r="H530" s="112"/>
      <c r="I530" s="112"/>
      <c r="J530" s="112"/>
      <c r="K530" s="112"/>
      <c r="L530" s="112"/>
      <c r="M530" s="112"/>
      <c r="N530" s="112"/>
      <c r="O530" s="112"/>
      <c r="P530" s="112"/>
      <c r="Q530" s="112"/>
      <c r="R530" s="112"/>
      <c r="S530" s="112"/>
      <c r="T530" s="112"/>
      <c r="U530" s="107"/>
      <c r="V530" s="107"/>
      <c r="W530" s="107"/>
      <c r="X530" s="107"/>
      <c r="Y530" s="107"/>
      <c r="Z530" s="112"/>
      <c r="AA530" s="112"/>
      <c r="AB530" s="112"/>
      <c r="AC530" s="112"/>
      <c r="AD530" s="112"/>
      <c r="AE530" s="112"/>
      <c r="AF530" s="112"/>
      <c r="AG530" s="117"/>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c r="BK530" s="124"/>
      <c r="BL530" s="124"/>
      <c r="BM530" s="124"/>
      <c r="BN530" s="124"/>
      <c r="BO530" s="124"/>
      <c r="BP530" s="124"/>
      <c r="BQ530" s="124"/>
      <c r="BR530" s="124"/>
      <c r="BS530" s="124"/>
      <c r="BT530" s="124"/>
      <c r="BU530" s="124"/>
      <c r="BV530" s="124"/>
      <c r="BW530" s="124"/>
      <c r="BX530" s="124"/>
      <c r="BY530" s="124"/>
      <c r="BZ530" s="124"/>
      <c r="CA530" s="124"/>
    </row>
    <row r="531">
      <c r="D531" s="143"/>
      <c r="E531" s="168"/>
      <c r="F531" s="112"/>
      <c r="G531" s="112"/>
      <c r="H531" s="112"/>
      <c r="I531" s="112"/>
      <c r="J531" s="112"/>
      <c r="K531" s="112"/>
      <c r="L531" s="112"/>
      <c r="M531" s="112"/>
      <c r="N531" s="112"/>
      <c r="O531" s="112"/>
      <c r="P531" s="112"/>
      <c r="Q531" s="112"/>
      <c r="R531" s="112"/>
      <c r="S531" s="112"/>
      <c r="T531" s="112"/>
      <c r="U531" s="107"/>
      <c r="V531" s="107"/>
      <c r="W531" s="107"/>
      <c r="X531" s="107"/>
      <c r="Y531" s="107"/>
      <c r="Z531" s="112"/>
      <c r="AA531" s="112"/>
      <c r="AB531" s="112"/>
      <c r="AC531" s="112"/>
      <c r="AD531" s="112"/>
      <c r="AE531" s="112"/>
      <c r="AF531" s="112"/>
      <c r="AG531" s="117"/>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c r="BK531" s="124"/>
      <c r="BL531" s="124"/>
      <c r="BM531" s="124"/>
      <c r="BN531" s="124"/>
      <c r="BO531" s="124"/>
      <c r="BP531" s="124"/>
      <c r="BQ531" s="124"/>
      <c r="BR531" s="124"/>
      <c r="BS531" s="124"/>
      <c r="BT531" s="124"/>
      <c r="BU531" s="124"/>
      <c r="BV531" s="124"/>
      <c r="BW531" s="124"/>
      <c r="BX531" s="124"/>
      <c r="BY531" s="124"/>
      <c r="BZ531" s="124"/>
      <c r="CA531" s="124"/>
    </row>
    <row r="532">
      <c r="D532" s="143"/>
      <c r="E532" s="168"/>
      <c r="F532" s="112"/>
      <c r="G532" s="112"/>
      <c r="H532" s="112"/>
      <c r="I532" s="112"/>
      <c r="J532" s="112"/>
      <c r="K532" s="112"/>
      <c r="L532" s="112"/>
      <c r="M532" s="112"/>
      <c r="N532" s="112"/>
      <c r="O532" s="112"/>
      <c r="P532" s="112"/>
      <c r="Q532" s="112"/>
      <c r="R532" s="112"/>
      <c r="S532" s="112"/>
      <c r="T532" s="112"/>
      <c r="U532" s="107"/>
      <c r="V532" s="107"/>
      <c r="W532" s="107"/>
      <c r="X532" s="107"/>
      <c r="Y532" s="107"/>
      <c r="Z532" s="112"/>
      <c r="AA532" s="112"/>
      <c r="AB532" s="112"/>
      <c r="AC532" s="112"/>
      <c r="AD532" s="112"/>
      <c r="AE532" s="112"/>
      <c r="AF532" s="112"/>
      <c r="AG532" s="117"/>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c r="BK532" s="124"/>
      <c r="BL532" s="124"/>
      <c r="BM532" s="124"/>
      <c r="BN532" s="124"/>
      <c r="BO532" s="124"/>
      <c r="BP532" s="124"/>
      <c r="BQ532" s="124"/>
      <c r="BR532" s="124"/>
      <c r="BS532" s="124"/>
      <c r="BT532" s="124"/>
      <c r="BU532" s="124"/>
      <c r="BV532" s="124"/>
      <c r="BW532" s="124"/>
      <c r="BX532" s="124"/>
      <c r="BY532" s="124"/>
      <c r="BZ532" s="124"/>
      <c r="CA532" s="124"/>
    </row>
    <row r="533">
      <c r="D533" s="143"/>
      <c r="E533" s="168"/>
      <c r="F533" s="112"/>
      <c r="G533" s="112"/>
      <c r="H533" s="112"/>
      <c r="I533" s="112"/>
      <c r="J533" s="112"/>
      <c r="K533" s="112"/>
      <c r="L533" s="112"/>
      <c r="M533" s="112"/>
      <c r="N533" s="112"/>
      <c r="O533" s="112"/>
      <c r="P533" s="112"/>
      <c r="Q533" s="112"/>
      <c r="R533" s="112"/>
      <c r="S533" s="112"/>
      <c r="T533" s="112"/>
      <c r="U533" s="107"/>
      <c r="V533" s="107"/>
      <c r="W533" s="107"/>
      <c r="X533" s="107"/>
      <c r="Y533" s="107"/>
      <c r="Z533" s="112"/>
      <c r="AA533" s="112"/>
      <c r="AB533" s="112"/>
      <c r="AC533" s="112"/>
      <c r="AD533" s="112"/>
      <c r="AE533" s="112"/>
      <c r="AF533" s="112"/>
      <c r="AG533" s="117"/>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c r="BK533" s="124"/>
      <c r="BL533" s="124"/>
      <c r="BM533" s="124"/>
      <c r="BN533" s="124"/>
      <c r="BO533" s="124"/>
      <c r="BP533" s="124"/>
      <c r="BQ533" s="124"/>
      <c r="BR533" s="124"/>
      <c r="BS533" s="124"/>
      <c r="BT533" s="124"/>
      <c r="BU533" s="124"/>
      <c r="BV533" s="124"/>
      <c r="BW533" s="124"/>
      <c r="BX533" s="124"/>
      <c r="BY533" s="124"/>
      <c r="BZ533" s="124"/>
      <c r="CA533" s="124"/>
    </row>
    <row r="534">
      <c r="D534" s="143"/>
      <c r="E534" s="168"/>
      <c r="F534" s="112"/>
      <c r="G534" s="112"/>
      <c r="H534" s="112"/>
      <c r="I534" s="112"/>
      <c r="J534" s="112"/>
      <c r="K534" s="112"/>
      <c r="L534" s="112"/>
      <c r="M534" s="112"/>
      <c r="N534" s="112"/>
      <c r="O534" s="112"/>
      <c r="P534" s="112"/>
      <c r="Q534" s="112"/>
      <c r="R534" s="112"/>
      <c r="S534" s="112"/>
      <c r="T534" s="112"/>
      <c r="U534" s="107"/>
      <c r="V534" s="107"/>
      <c r="W534" s="107"/>
      <c r="X534" s="107"/>
      <c r="Y534" s="107"/>
      <c r="Z534" s="112"/>
      <c r="AA534" s="112"/>
      <c r="AB534" s="112"/>
      <c r="AC534" s="112"/>
      <c r="AD534" s="112"/>
      <c r="AE534" s="112"/>
      <c r="AF534" s="112"/>
      <c r="AG534" s="117"/>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c r="BK534" s="124"/>
      <c r="BL534" s="124"/>
      <c r="BM534" s="124"/>
      <c r="BN534" s="124"/>
      <c r="BO534" s="124"/>
      <c r="BP534" s="124"/>
      <c r="BQ534" s="124"/>
      <c r="BR534" s="124"/>
      <c r="BS534" s="124"/>
      <c r="BT534" s="124"/>
      <c r="BU534" s="124"/>
      <c r="BV534" s="124"/>
      <c r="BW534" s="124"/>
      <c r="BX534" s="124"/>
      <c r="BY534" s="124"/>
      <c r="BZ534" s="124"/>
      <c r="CA534" s="124"/>
    </row>
    <row r="535">
      <c r="D535" s="143"/>
      <c r="E535" s="168"/>
      <c r="F535" s="112"/>
      <c r="G535" s="112"/>
      <c r="H535" s="112"/>
      <c r="I535" s="112"/>
      <c r="J535" s="112"/>
      <c r="K535" s="112"/>
      <c r="L535" s="112"/>
      <c r="M535" s="112"/>
      <c r="N535" s="112"/>
      <c r="O535" s="112"/>
      <c r="P535" s="112"/>
      <c r="Q535" s="112"/>
      <c r="R535" s="112"/>
      <c r="S535" s="112"/>
      <c r="T535" s="112"/>
      <c r="U535" s="107"/>
      <c r="V535" s="107"/>
      <c r="W535" s="107"/>
      <c r="X535" s="107"/>
      <c r="Y535" s="107"/>
      <c r="Z535" s="112"/>
      <c r="AA535" s="112"/>
      <c r="AB535" s="112"/>
      <c r="AC535" s="112"/>
      <c r="AD535" s="112"/>
      <c r="AE535" s="112"/>
      <c r="AF535" s="112"/>
      <c r="AG535" s="117"/>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c r="BK535" s="124"/>
      <c r="BL535" s="124"/>
      <c r="BM535" s="124"/>
      <c r="BN535" s="124"/>
      <c r="BO535" s="124"/>
      <c r="BP535" s="124"/>
      <c r="BQ535" s="124"/>
      <c r="BR535" s="124"/>
      <c r="BS535" s="124"/>
      <c r="BT535" s="124"/>
      <c r="BU535" s="124"/>
      <c r="BV535" s="124"/>
      <c r="BW535" s="124"/>
      <c r="BX535" s="124"/>
      <c r="BY535" s="124"/>
      <c r="BZ535" s="124"/>
      <c r="CA535" s="124"/>
    </row>
    <row r="536">
      <c r="D536" s="143"/>
      <c r="E536" s="168"/>
      <c r="F536" s="112"/>
      <c r="G536" s="112"/>
      <c r="H536" s="112"/>
      <c r="I536" s="112"/>
      <c r="J536" s="112"/>
      <c r="K536" s="112"/>
      <c r="L536" s="112"/>
      <c r="M536" s="112"/>
      <c r="N536" s="112"/>
      <c r="O536" s="112"/>
      <c r="P536" s="112"/>
      <c r="Q536" s="112"/>
      <c r="R536" s="112"/>
      <c r="S536" s="112"/>
      <c r="T536" s="112"/>
      <c r="U536" s="107"/>
      <c r="V536" s="107"/>
      <c r="W536" s="107"/>
      <c r="X536" s="107"/>
      <c r="Y536" s="107"/>
      <c r="Z536" s="112"/>
      <c r="AA536" s="112"/>
      <c r="AB536" s="112"/>
      <c r="AC536" s="112"/>
      <c r="AD536" s="112"/>
      <c r="AE536" s="112"/>
      <c r="AF536" s="112"/>
      <c r="AG536" s="117"/>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c r="BK536" s="124"/>
      <c r="BL536" s="124"/>
      <c r="BM536" s="124"/>
      <c r="BN536" s="124"/>
      <c r="BO536" s="124"/>
      <c r="BP536" s="124"/>
      <c r="BQ536" s="124"/>
      <c r="BR536" s="124"/>
      <c r="BS536" s="124"/>
      <c r="BT536" s="124"/>
      <c r="BU536" s="124"/>
      <c r="BV536" s="124"/>
      <c r="BW536" s="124"/>
      <c r="BX536" s="124"/>
      <c r="BY536" s="124"/>
      <c r="BZ536" s="124"/>
      <c r="CA536" s="124"/>
    </row>
    <row r="537">
      <c r="D537" s="143"/>
      <c r="E537" s="168"/>
      <c r="F537" s="112"/>
      <c r="G537" s="112"/>
      <c r="H537" s="112"/>
      <c r="I537" s="112"/>
      <c r="J537" s="112"/>
      <c r="K537" s="112"/>
      <c r="L537" s="112"/>
      <c r="M537" s="112"/>
      <c r="N537" s="112"/>
      <c r="O537" s="112"/>
      <c r="P537" s="112"/>
      <c r="Q537" s="112"/>
      <c r="R537" s="112"/>
      <c r="S537" s="112"/>
      <c r="T537" s="112"/>
      <c r="U537" s="107"/>
      <c r="V537" s="107"/>
      <c r="W537" s="107"/>
      <c r="X537" s="107"/>
      <c r="Y537" s="107"/>
      <c r="Z537" s="112"/>
      <c r="AA537" s="112"/>
      <c r="AB537" s="112"/>
      <c r="AC537" s="112"/>
      <c r="AD537" s="112"/>
      <c r="AE537" s="112"/>
      <c r="AF537" s="112"/>
      <c r="AG537" s="117"/>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c r="BK537" s="124"/>
      <c r="BL537" s="124"/>
      <c r="BM537" s="124"/>
      <c r="BN537" s="124"/>
      <c r="BO537" s="124"/>
      <c r="BP537" s="124"/>
      <c r="BQ537" s="124"/>
      <c r="BR537" s="124"/>
      <c r="BS537" s="124"/>
      <c r="BT537" s="124"/>
      <c r="BU537" s="124"/>
      <c r="BV537" s="124"/>
      <c r="BW537" s="124"/>
      <c r="BX537" s="124"/>
      <c r="BY537" s="124"/>
      <c r="BZ537" s="124"/>
      <c r="CA537" s="124"/>
    </row>
    <row r="538">
      <c r="D538" s="143"/>
      <c r="E538" s="168"/>
      <c r="F538" s="112"/>
      <c r="G538" s="112"/>
      <c r="H538" s="112"/>
      <c r="I538" s="112"/>
      <c r="J538" s="112"/>
      <c r="K538" s="112"/>
      <c r="L538" s="112"/>
      <c r="M538" s="112"/>
      <c r="N538" s="112"/>
      <c r="O538" s="112"/>
      <c r="P538" s="112"/>
      <c r="Q538" s="112"/>
      <c r="R538" s="112"/>
      <c r="S538" s="112"/>
      <c r="T538" s="112"/>
      <c r="U538" s="107"/>
      <c r="V538" s="107"/>
      <c r="W538" s="107"/>
      <c r="X538" s="107"/>
      <c r="Y538" s="107"/>
      <c r="Z538" s="112"/>
      <c r="AA538" s="112"/>
      <c r="AB538" s="112"/>
      <c r="AC538" s="112"/>
      <c r="AD538" s="112"/>
      <c r="AE538" s="112"/>
      <c r="AF538" s="112"/>
      <c r="AG538" s="117"/>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c r="BK538" s="124"/>
      <c r="BL538" s="124"/>
      <c r="BM538" s="124"/>
      <c r="BN538" s="124"/>
      <c r="BO538" s="124"/>
      <c r="BP538" s="124"/>
      <c r="BQ538" s="124"/>
      <c r="BR538" s="124"/>
      <c r="BS538" s="124"/>
      <c r="BT538" s="124"/>
      <c r="BU538" s="124"/>
      <c r="BV538" s="124"/>
      <c r="BW538" s="124"/>
      <c r="BX538" s="124"/>
      <c r="BY538" s="124"/>
      <c r="BZ538" s="124"/>
      <c r="CA538" s="124"/>
    </row>
    <row r="539">
      <c r="D539" s="143"/>
      <c r="E539" s="168"/>
      <c r="F539" s="112"/>
      <c r="G539" s="112"/>
      <c r="H539" s="112"/>
      <c r="I539" s="112"/>
      <c r="J539" s="112"/>
      <c r="K539" s="112"/>
      <c r="L539" s="112"/>
      <c r="M539" s="112"/>
      <c r="N539" s="112"/>
      <c r="O539" s="112"/>
      <c r="P539" s="112"/>
      <c r="Q539" s="112"/>
      <c r="R539" s="112"/>
      <c r="S539" s="112"/>
      <c r="T539" s="112"/>
      <c r="U539" s="107"/>
      <c r="V539" s="107"/>
      <c r="W539" s="107"/>
      <c r="X539" s="107"/>
      <c r="Y539" s="107"/>
      <c r="Z539" s="112"/>
      <c r="AA539" s="112"/>
      <c r="AB539" s="112"/>
      <c r="AC539" s="112"/>
      <c r="AD539" s="112"/>
      <c r="AE539" s="112"/>
      <c r="AF539" s="112"/>
      <c r="AG539" s="117"/>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c r="BK539" s="124"/>
      <c r="BL539" s="124"/>
      <c r="BM539" s="124"/>
      <c r="BN539" s="124"/>
      <c r="BO539" s="124"/>
      <c r="BP539" s="124"/>
      <c r="BQ539" s="124"/>
      <c r="BR539" s="124"/>
      <c r="BS539" s="124"/>
      <c r="BT539" s="124"/>
      <c r="BU539" s="124"/>
      <c r="BV539" s="124"/>
      <c r="BW539" s="124"/>
      <c r="BX539" s="124"/>
      <c r="BY539" s="124"/>
      <c r="BZ539" s="124"/>
      <c r="CA539" s="124"/>
    </row>
    <row r="540">
      <c r="D540" s="143"/>
      <c r="E540" s="168"/>
      <c r="F540" s="112"/>
      <c r="G540" s="112"/>
      <c r="H540" s="112"/>
      <c r="I540" s="112"/>
      <c r="J540" s="112"/>
      <c r="K540" s="112"/>
      <c r="L540" s="112"/>
      <c r="M540" s="112"/>
      <c r="N540" s="112"/>
      <c r="O540" s="112"/>
      <c r="P540" s="112"/>
      <c r="Q540" s="112"/>
      <c r="R540" s="112"/>
      <c r="S540" s="112"/>
      <c r="T540" s="112"/>
      <c r="U540" s="107"/>
      <c r="V540" s="107"/>
      <c r="W540" s="107"/>
      <c r="X540" s="107"/>
      <c r="Y540" s="107"/>
      <c r="Z540" s="112"/>
      <c r="AA540" s="112"/>
      <c r="AB540" s="112"/>
      <c r="AC540" s="112"/>
      <c r="AD540" s="112"/>
      <c r="AE540" s="112"/>
      <c r="AF540" s="112"/>
      <c r="AG540" s="117"/>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c r="BK540" s="124"/>
      <c r="BL540" s="124"/>
      <c r="BM540" s="124"/>
      <c r="BN540" s="124"/>
      <c r="BO540" s="124"/>
      <c r="BP540" s="124"/>
      <c r="BQ540" s="124"/>
      <c r="BR540" s="124"/>
      <c r="BS540" s="124"/>
      <c r="BT540" s="124"/>
      <c r="BU540" s="124"/>
      <c r="BV540" s="124"/>
      <c r="BW540" s="124"/>
      <c r="BX540" s="124"/>
      <c r="BY540" s="124"/>
      <c r="BZ540" s="124"/>
      <c r="CA540" s="124"/>
    </row>
    <row r="541">
      <c r="D541" s="143"/>
      <c r="E541" s="168"/>
      <c r="F541" s="112"/>
      <c r="G541" s="112"/>
      <c r="H541" s="112"/>
      <c r="I541" s="112"/>
      <c r="J541" s="112"/>
      <c r="K541" s="112"/>
      <c r="L541" s="112"/>
      <c r="M541" s="112"/>
      <c r="N541" s="112"/>
      <c r="O541" s="112"/>
      <c r="P541" s="112"/>
      <c r="Q541" s="112"/>
      <c r="R541" s="112"/>
      <c r="S541" s="112"/>
      <c r="T541" s="112"/>
      <c r="U541" s="107"/>
      <c r="V541" s="107"/>
      <c r="W541" s="107"/>
      <c r="X541" s="107"/>
      <c r="Y541" s="107"/>
      <c r="Z541" s="112"/>
      <c r="AA541" s="112"/>
      <c r="AB541" s="112"/>
      <c r="AC541" s="112"/>
      <c r="AD541" s="112"/>
      <c r="AE541" s="112"/>
      <c r="AF541" s="112"/>
      <c r="AG541" s="117"/>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c r="BK541" s="124"/>
      <c r="BL541" s="124"/>
      <c r="BM541" s="124"/>
      <c r="BN541" s="124"/>
      <c r="BO541" s="124"/>
      <c r="BP541" s="124"/>
      <c r="BQ541" s="124"/>
      <c r="BR541" s="124"/>
      <c r="BS541" s="124"/>
      <c r="BT541" s="124"/>
      <c r="BU541" s="124"/>
      <c r="BV541" s="124"/>
      <c r="BW541" s="124"/>
      <c r="BX541" s="124"/>
      <c r="BY541" s="124"/>
      <c r="BZ541" s="124"/>
      <c r="CA541" s="124"/>
    </row>
    <row r="542">
      <c r="D542" s="143"/>
      <c r="E542" s="168"/>
      <c r="F542" s="112"/>
      <c r="G542" s="112"/>
      <c r="H542" s="112"/>
      <c r="I542" s="112"/>
      <c r="J542" s="112"/>
      <c r="K542" s="112"/>
      <c r="L542" s="112"/>
      <c r="M542" s="112"/>
      <c r="N542" s="112"/>
      <c r="O542" s="112"/>
      <c r="P542" s="112"/>
      <c r="Q542" s="112"/>
      <c r="R542" s="112"/>
      <c r="S542" s="112"/>
      <c r="T542" s="112"/>
      <c r="U542" s="107"/>
      <c r="V542" s="107"/>
      <c r="W542" s="107"/>
      <c r="X542" s="107"/>
      <c r="Y542" s="107"/>
      <c r="Z542" s="112"/>
      <c r="AA542" s="112"/>
      <c r="AB542" s="112"/>
      <c r="AC542" s="112"/>
      <c r="AD542" s="112"/>
      <c r="AE542" s="112"/>
      <c r="AF542" s="112"/>
      <c r="AG542" s="117"/>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row>
    <row r="543">
      <c r="D543" s="143"/>
      <c r="E543" s="168"/>
      <c r="F543" s="112"/>
      <c r="G543" s="112"/>
      <c r="H543" s="112"/>
      <c r="I543" s="112"/>
      <c r="J543" s="112"/>
      <c r="K543" s="112"/>
      <c r="L543" s="112"/>
      <c r="M543" s="112"/>
      <c r="N543" s="112"/>
      <c r="O543" s="112"/>
      <c r="P543" s="112"/>
      <c r="Q543" s="112"/>
      <c r="R543" s="112"/>
      <c r="S543" s="112"/>
      <c r="T543" s="112"/>
      <c r="U543" s="107"/>
      <c r="V543" s="107"/>
      <c r="W543" s="107"/>
      <c r="X543" s="107"/>
      <c r="Y543" s="107"/>
      <c r="Z543" s="112"/>
      <c r="AA543" s="112"/>
      <c r="AB543" s="112"/>
      <c r="AC543" s="112"/>
      <c r="AD543" s="112"/>
      <c r="AE543" s="112"/>
      <c r="AF543" s="112"/>
      <c r="AG543" s="117"/>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c r="BK543" s="124"/>
      <c r="BL543" s="124"/>
      <c r="BM543" s="124"/>
      <c r="BN543" s="124"/>
      <c r="BO543" s="124"/>
      <c r="BP543" s="124"/>
      <c r="BQ543" s="124"/>
      <c r="BR543" s="124"/>
      <c r="BS543" s="124"/>
      <c r="BT543" s="124"/>
      <c r="BU543" s="124"/>
      <c r="BV543" s="124"/>
      <c r="BW543" s="124"/>
      <c r="BX543" s="124"/>
      <c r="BY543" s="124"/>
      <c r="BZ543" s="124"/>
      <c r="CA543" s="124"/>
    </row>
    <row r="544">
      <c r="D544" s="143"/>
      <c r="E544" s="168"/>
      <c r="F544" s="112"/>
      <c r="G544" s="112"/>
      <c r="H544" s="112"/>
      <c r="I544" s="112"/>
      <c r="J544" s="112"/>
      <c r="K544" s="112"/>
      <c r="L544" s="112"/>
      <c r="M544" s="112"/>
      <c r="N544" s="112"/>
      <c r="O544" s="112"/>
      <c r="P544" s="112"/>
      <c r="Q544" s="112"/>
      <c r="R544" s="112"/>
      <c r="S544" s="112"/>
      <c r="T544" s="112"/>
      <c r="U544" s="107"/>
      <c r="V544" s="107"/>
      <c r="W544" s="107"/>
      <c r="X544" s="107"/>
      <c r="Y544" s="107"/>
      <c r="Z544" s="112"/>
      <c r="AA544" s="112"/>
      <c r="AB544" s="112"/>
      <c r="AC544" s="112"/>
      <c r="AD544" s="112"/>
      <c r="AE544" s="112"/>
      <c r="AF544" s="112"/>
      <c r="AG544" s="117"/>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c r="BK544" s="124"/>
      <c r="BL544" s="124"/>
      <c r="BM544" s="124"/>
      <c r="BN544" s="124"/>
      <c r="BO544" s="124"/>
      <c r="BP544" s="124"/>
      <c r="BQ544" s="124"/>
      <c r="BR544" s="124"/>
      <c r="BS544" s="124"/>
      <c r="BT544" s="124"/>
      <c r="BU544" s="124"/>
      <c r="BV544" s="124"/>
      <c r="BW544" s="124"/>
      <c r="BX544" s="124"/>
      <c r="BY544" s="124"/>
      <c r="BZ544" s="124"/>
      <c r="CA544" s="124"/>
    </row>
    <row r="545">
      <c r="D545" s="143"/>
      <c r="E545" s="168"/>
      <c r="F545" s="112"/>
      <c r="G545" s="112"/>
      <c r="H545" s="112"/>
      <c r="I545" s="112"/>
      <c r="J545" s="112"/>
      <c r="K545" s="112"/>
      <c r="L545" s="112"/>
      <c r="M545" s="112"/>
      <c r="N545" s="112"/>
      <c r="O545" s="112"/>
      <c r="P545" s="112"/>
      <c r="Q545" s="112"/>
      <c r="R545" s="112"/>
      <c r="S545" s="112"/>
      <c r="T545" s="112"/>
      <c r="U545" s="107"/>
      <c r="V545" s="107"/>
      <c r="W545" s="107"/>
      <c r="X545" s="107"/>
      <c r="Y545" s="107"/>
      <c r="Z545" s="112"/>
      <c r="AA545" s="112"/>
      <c r="AB545" s="112"/>
      <c r="AC545" s="112"/>
      <c r="AD545" s="112"/>
      <c r="AE545" s="112"/>
      <c r="AF545" s="112"/>
      <c r="AG545" s="117"/>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c r="BK545" s="124"/>
      <c r="BL545" s="124"/>
      <c r="BM545" s="124"/>
      <c r="BN545" s="124"/>
      <c r="BO545" s="124"/>
      <c r="BP545" s="124"/>
      <c r="BQ545" s="124"/>
      <c r="BR545" s="124"/>
      <c r="BS545" s="124"/>
      <c r="BT545" s="124"/>
      <c r="BU545" s="124"/>
      <c r="BV545" s="124"/>
      <c r="BW545" s="124"/>
      <c r="BX545" s="124"/>
      <c r="BY545" s="124"/>
      <c r="BZ545" s="124"/>
      <c r="CA545" s="124"/>
    </row>
    <row r="546">
      <c r="D546" s="143"/>
      <c r="E546" s="168"/>
      <c r="F546" s="112"/>
      <c r="G546" s="112"/>
      <c r="H546" s="112"/>
      <c r="I546" s="112"/>
      <c r="J546" s="112"/>
      <c r="K546" s="112"/>
      <c r="L546" s="112"/>
      <c r="M546" s="112"/>
      <c r="N546" s="112"/>
      <c r="O546" s="112"/>
      <c r="P546" s="112"/>
      <c r="Q546" s="112"/>
      <c r="R546" s="112"/>
      <c r="S546" s="112"/>
      <c r="T546" s="112"/>
      <c r="U546" s="107"/>
      <c r="V546" s="107"/>
      <c r="W546" s="107"/>
      <c r="X546" s="107"/>
      <c r="Y546" s="107"/>
      <c r="Z546" s="112"/>
      <c r="AA546" s="112"/>
      <c r="AB546" s="112"/>
      <c r="AC546" s="112"/>
      <c r="AD546" s="112"/>
      <c r="AE546" s="112"/>
      <c r="AF546" s="112"/>
      <c r="AG546" s="117"/>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c r="BK546" s="124"/>
      <c r="BL546" s="124"/>
      <c r="BM546" s="124"/>
      <c r="BN546" s="124"/>
      <c r="BO546" s="124"/>
      <c r="BP546" s="124"/>
      <c r="BQ546" s="124"/>
      <c r="BR546" s="124"/>
      <c r="BS546" s="124"/>
      <c r="BT546" s="124"/>
      <c r="BU546" s="124"/>
      <c r="BV546" s="124"/>
      <c r="BW546" s="124"/>
      <c r="BX546" s="124"/>
      <c r="BY546" s="124"/>
      <c r="BZ546" s="124"/>
      <c r="CA546" s="124"/>
    </row>
    <row r="547">
      <c r="D547" s="143"/>
      <c r="E547" s="168"/>
      <c r="F547" s="112"/>
      <c r="G547" s="112"/>
      <c r="H547" s="112"/>
      <c r="I547" s="112"/>
      <c r="J547" s="112"/>
      <c r="K547" s="112"/>
      <c r="L547" s="112"/>
      <c r="M547" s="112"/>
      <c r="N547" s="112"/>
      <c r="O547" s="112"/>
      <c r="P547" s="112"/>
      <c r="Q547" s="112"/>
      <c r="R547" s="112"/>
      <c r="S547" s="112"/>
      <c r="T547" s="112"/>
      <c r="U547" s="107"/>
      <c r="V547" s="107"/>
      <c r="W547" s="107"/>
      <c r="X547" s="107"/>
      <c r="Y547" s="107"/>
      <c r="Z547" s="112"/>
      <c r="AA547" s="112"/>
      <c r="AB547" s="112"/>
      <c r="AC547" s="112"/>
      <c r="AD547" s="112"/>
      <c r="AE547" s="112"/>
      <c r="AF547" s="112"/>
      <c r="AG547" s="117"/>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c r="BK547" s="124"/>
      <c r="BL547" s="124"/>
      <c r="BM547" s="124"/>
      <c r="BN547" s="124"/>
      <c r="BO547" s="124"/>
      <c r="BP547" s="124"/>
      <c r="BQ547" s="124"/>
      <c r="BR547" s="124"/>
      <c r="BS547" s="124"/>
      <c r="BT547" s="124"/>
      <c r="BU547" s="124"/>
      <c r="BV547" s="124"/>
      <c r="BW547" s="124"/>
      <c r="BX547" s="124"/>
      <c r="BY547" s="124"/>
      <c r="BZ547" s="124"/>
      <c r="CA547" s="124"/>
    </row>
    <row r="548">
      <c r="D548" s="143"/>
      <c r="E548" s="168"/>
      <c r="F548" s="112"/>
      <c r="G548" s="112"/>
      <c r="H548" s="112"/>
      <c r="I548" s="112"/>
      <c r="J548" s="112"/>
      <c r="K548" s="112"/>
      <c r="L548" s="112"/>
      <c r="M548" s="112"/>
      <c r="N548" s="112"/>
      <c r="O548" s="112"/>
      <c r="P548" s="112"/>
      <c r="Q548" s="112"/>
      <c r="R548" s="112"/>
      <c r="S548" s="112"/>
      <c r="T548" s="112"/>
      <c r="U548" s="107"/>
      <c r="V548" s="107"/>
      <c r="W548" s="107"/>
      <c r="X548" s="107"/>
      <c r="Y548" s="107"/>
      <c r="Z548" s="112"/>
      <c r="AA548" s="112"/>
      <c r="AB548" s="112"/>
      <c r="AC548" s="112"/>
      <c r="AD548" s="112"/>
      <c r="AE548" s="112"/>
      <c r="AF548" s="112"/>
      <c r="AG548" s="117"/>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row>
    <row r="549">
      <c r="D549" s="143"/>
      <c r="E549" s="168"/>
      <c r="F549" s="112"/>
      <c r="G549" s="112"/>
      <c r="H549" s="112"/>
      <c r="I549" s="112"/>
      <c r="J549" s="112"/>
      <c r="K549" s="112"/>
      <c r="L549" s="112"/>
      <c r="M549" s="112"/>
      <c r="N549" s="112"/>
      <c r="O549" s="112"/>
      <c r="P549" s="112"/>
      <c r="Q549" s="112"/>
      <c r="R549" s="112"/>
      <c r="S549" s="112"/>
      <c r="T549" s="112"/>
      <c r="U549" s="107"/>
      <c r="V549" s="107"/>
      <c r="W549" s="107"/>
      <c r="X549" s="107"/>
      <c r="Y549" s="107"/>
      <c r="Z549" s="112"/>
      <c r="AA549" s="112"/>
      <c r="AB549" s="112"/>
      <c r="AC549" s="112"/>
      <c r="AD549" s="112"/>
      <c r="AE549" s="112"/>
      <c r="AF549" s="112"/>
      <c r="AG549" s="117"/>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c r="BK549" s="124"/>
      <c r="BL549" s="124"/>
      <c r="BM549" s="124"/>
      <c r="BN549" s="124"/>
      <c r="BO549" s="124"/>
      <c r="BP549" s="124"/>
      <c r="BQ549" s="124"/>
      <c r="BR549" s="124"/>
      <c r="BS549" s="124"/>
      <c r="BT549" s="124"/>
      <c r="BU549" s="124"/>
      <c r="BV549" s="124"/>
      <c r="BW549" s="124"/>
      <c r="BX549" s="124"/>
      <c r="BY549" s="124"/>
      <c r="BZ549" s="124"/>
      <c r="CA549" s="124"/>
    </row>
    <row r="550">
      <c r="D550" s="143"/>
      <c r="E550" s="168"/>
      <c r="F550" s="112"/>
      <c r="G550" s="112"/>
      <c r="H550" s="112"/>
      <c r="I550" s="112"/>
      <c r="J550" s="112"/>
      <c r="K550" s="112"/>
      <c r="L550" s="112"/>
      <c r="M550" s="112"/>
      <c r="N550" s="112"/>
      <c r="O550" s="112"/>
      <c r="P550" s="112"/>
      <c r="Q550" s="112"/>
      <c r="R550" s="112"/>
      <c r="S550" s="112"/>
      <c r="T550" s="112"/>
      <c r="U550" s="107"/>
      <c r="V550" s="107"/>
      <c r="W550" s="107"/>
      <c r="X550" s="107"/>
      <c r="Y550" s="107"/>
      <c r="Z550" s="112"/>
      <c r="AA550" s="112"/>
      <c r="AB550" s="112"/>
      <c r="AC550" s="112"/>
      <c r="AD550" s="112"/>
      <c r="AE550" s="112"/>
      <c r="AF550" s="112"/>
      <c r="AG550" s="117"/>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c r="BK550" s="124"/>
      <c r="BL550" s="124"/>
      <c r="BM550" s="124"/>
      <c r="BN550" s="124"/>
      <c r="BO550" s="124"/>
      <c r="BP550" s="124"/>
      <c r="BQ550" s="124"/>
      <c r="BR550" s="124"/>
      <c r="BS550" s="124"/>
      <c r="BT550" s="124"/>
      <c r="BU550" s="124"/>
      <c r="BV550" s="124"/>
      <c r="BW550" s="124"/>
      <c r="BX550" s="124"/>
      <c r="BY550" s="124"/>
      <c r="BZ550" s="124"/>
      <c r="CA550" s="124"/>
    </row>
    <row r="551">
      <c r="D551" s="143"/>
      <c r="E551" s="168"/>
      <c r="F551" s="112"/>
      <c r="G551" s="112"/>
      <c r="H551" s="112"/>
      <c r="I551" s="112"/>
      <c r="J551" s="112"/>
      <c r="K551" s="112"/>
      <c r="L551" s="112"/>
      <c r="M551" s="112"/>
      <c r="N551" s="112"/>
      <c r="O551" s="112"/>
      <c r="P551" s="112"/>
      <c r="Q551" s="112"/>
      <c r="R551" s="112"/>
      <c r="S551" s="112"/>
      <c r="T551" s="112"/>
      <c r="U551" s="107"/>
      <c r="V551" s="107"/>
      <c r="W551" s="107"/>
      <c r="X551" s="107"/>
      <c r="Y551" s="107"/>
      <c r="Z551" s="112"/>
      <c r="AA551" s="112"/>
      <c r="AB551" s="112"/>
      <c r="AC551" s="112"/>
      <c r="AD551" s="112"/>
      <c r="AE551" s="112"/>
      <c r="AF551" s="112"/>
      <c r="AG551" s="117"/>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c r="BK551" s="124"/>
      <c r="BL551" s="124"/>
      <c r="BM551" s="124"/>
      <c r="BN551" s="124"/>
      <c r="BO551" s="124"/>
      <c r="BP551" s="124"/>
      <c r="BQ551" s="124"/>
      <c r="BR551" s="124"/>
      <c r="BS551" s="124"/>
      <c r="BT551" s="124"/>
      <c r="BU551" s="124"/>
      <c r="BV551" s="124"/>
      <c r="BW551" s="124"/>
      <c r="BX551" s="124"/>
      <c r="BY551" s="124"/>
      <c r="BZ551" s="124"/>
      <c r="CA551" s="124"/>
    </row>
    <row r="552">
      <c r="D552" s="143"/>
      <c r="E552" s="168"/>
      <c r="F552" s="112"/>
      <c r="G552" s="112"/>
      <c r="H552" s="112"/>
      <c r="I552" s="112"/>
      <c r="J552" s="112"/>
      <c r="K552" s="112"/>
      <c r="L552" s="112"/>
      <c r="M552" s="112"/>
      <c r="N552" s="112"/>
      <c r="O552" s="112"/>
      <c r="P552" s="112"/>
      <c r="Q552" s="112"/>
      <c r="R552" s="112"/>
      <c r="S552" s="112"/>
      <c r="T552" s="112"/>
      <c r="U552" s="107"/>
      <c r="V552" s="107"/>
      <c r="W552" s="107"/>
      <c r="X552" s="107"/>
      <c r="Y552" s="107"/>
      <c r="Z552" s="112"/>
      <c r="AA552" s="112"/>
      <c r="AB552" s="112"/>
      <c r="AC552" s="112"/>
      <c r="AD552" s="112"/>
      <c r="AE552" s="112"/>
      <c r="AF552" s="112"/>
      <c r="AG552" s="117"/>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c r="BK552" s="124"/>
      <c r="BL552" s="124"/>
      <c r="BM552" s="124"/>
      <c r="BN552" s="124"/>
      <c r="BO552" s="124"/>
      <c r="BP552" s="124"/>
      <c r="BQ552" s="124"/>
      <c r="BR552" s="124"/>
      <c r="BS552" s="124"/>
      <c r="BT552" s="124"/>
      <c r="BU552" s="124"/>
      <c r="BV552" s="124"/>
      <c r="BW552" s="124"/>
      <c r="BX552" s="124"/>
      <c r="BY552" s="124"/>
      <c r="BZ552" s="124"/>
      <c r="CA552" s="124"/>
    </row>
    <row r="553">
      <c r="D553" s="143"/>
      <c r="E553" s="168"/>
      <c r="F553" s="112"/>
      <c r="G553" s="112"/>
      <c r="H553" s="112"/>
      <c r="I553" s="112"/>
      <c r="J553" s="112"/>
      <c r="K553" s="112"/>
      <c r="L553" s="112"/>
      <c r="M553" s="112"/>
      <c r="N553" s="112"/>
      <c r="O553" s="112"/>
      <c r="P553" s="112"/>
      <c r="Q553" s="112"/>
      <c r="R553" s="112"/>
      <c r="S553" s="112"/>
      <c r="T553" s="112"/>
      <c r="U553" s="107"/>
      <c r="V553" s="107"/>
      <c r="W553" s="107"/>
      <c r="X553" s="107"/>
      <c r="Y553" s="107"/>
      <c r="Z553" s="112"/>
      <c r="AA553" s="112"/>
      <c r="AB553" s="112"/>
      <c r="AC553" s="112"/>
      <c r="AD553" s="112"/>
      <c r="AE553" s="112"/>
      <c r="AF553" s="112"/>
      <c r="AG553" s="117"/>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c r="BK553" s="124"/>
      <c r="BL553" s="124"/>
      <c r="BM553" s="124"/>
      <c r="BN553" s="124"/>
      <c r="BO553" s="124"/>
      <c r="BP553" s="124"/>
      <c r="BQ553" s="124"/>
      <c r="BR553" s="124"/>
      <c r="BS553" s="124"/>
      <c r="BT553" s="124"/>
      <c r="BU553" s="124"/>
      <c r="BV553" s="124"/>
      <c r="BW553" s="124"/>
      <c r="BX553" s="124"/>
      <c r="BY553" s="124"/>
      <c r="BZ553" s="124"/>
      <c r="CA553" s="124"/>
    </row>
    <row r="554">
      <c r="D554" s="143"/>
      <c r="E554" s="168"/>
      <c r="F554" s="112"/>
      <c r="G554" s="112"/>
      <c r="H554" s="112"/>
      <c r="I554" s="112"/>
      <c r="J554" s="112"/>
      <c r="K554" s="112"/>
      <c r="L554" s="112"/>
      <c r="M554" s="112"/>
      <c r="N554" s="112"/>
      <c r="O554" s="112"/>
      <c r="P554" s="112"/>
      <c r="Q554" s="112"/>
      <c r="R554" s="112"/>
      <c r="S554" s="112"/>
      <c r="T554" s="112"/>
      <c r="U554" s="107"/>
      <c r="V554" s="107"/>
      <c r="W554" s="107"/>
      <c r="X554" s="107"/>
      <c r="Y554" s="107"/>
      <c r="Z554" s="112"/>
      <c r="AA554" s="112"/>
      <c r="AB554" s="112"/>
      <c r="AC554" s="112"/>
      <c r="AD554" s="112"/>
      <c r="AE554" s="112"/>
      <c r="AF554" s="112"/>
      <c r="AG554" s="117"/>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row>
    <row r="555">
      <c r="D555" s="143"/>
      <c r="E555" s="168"/>
      <c r="F555" s="112"/>
      <c r="G555" s="112"/>
      <c r="H555" s="112"/>
      <c r="I555" s="112"/>
      <c r="J555" s="112"/>
      <c r="K555" s="112"/>
      <c r="L555" s="112"/>
      <c r="M555" s="112"/>
      <c r="N555" s="112"/>
      <c r="O555" s="112"/>
      <c r="P555" s="112"/>
      <c r="Q555" s="112"/>
      <c r="R555" s="112"/>
      <c r="S555" s="112"/>
      <c r="T555" s="112"/>
      <c r="U555" s="107"/>
      <c r="V555" s="107"/>
      <c r="W555" s="107"/>
      <c r="X555" s="107"/>
      <c r="Y555" s="107"/>
      <c r="Z555" s="112"/>
      <c r="AA555" s="112"/>
      <c r="AB555" s="112"/>
      <c r="AC555" s="112"/>
      <c r="AD555" s="112"/>
      <c r="AE555" s="112"/>
      <c r="AF555" s="112"/>
      <c r="AG555" s="117"/>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c r="BK555" s="124"/>
      <c r="BL555" s="124"/>
      <c r="BM555" s="124"/>
      <c r="BN555" s="124"/>
      <c r="BO555" s="124"/>
      <c r="BP555" s="124"/>
      <c r="BQ555" s="124"/>
      <c r="BR555" s="124"/>
      <c r="BS555" s="124"/>
      <c r="BT555" s="124"/>
      <c r="BU555" s="124"/>
      <c r="BV555" s="124"/>
      <c r="BW555" s="124"/>
      <c r="BX555" s="124"/>
      <c r="BY555" s="124"/>
      <c r="BZ555" s="124"/>
      <c r="CA555" s="124"/>
    </row>
    <row r="556">
      <c r="D556" s="143"/>
      <c r="E556" s="168"/>
      <c r="F556" s="112"/>
      <c r="G556" s="112"/>
      <c r="H556" s="112"/>
      <c r="I556" s="112"/>
      <c r="J556" s="112"/>
      <c r="K556" s="112"/>
      <c r="L556" s="112"/>
      <c r="M556" s="112"/>
      <c r="N556" s="112"/>
      <c r="O556" s="112"/>
      <c r="P556" s="112"/>
      <c r="Q556" s="112"/>
      <c r="R556" s="112"/>
      <c r="S556" s="112"/>
      <c r="T556" s="112"/>
      <c r="U556" s="107"/>
      <c r="V556" s="107"/>
      <c r="W556" s="107"/>
      <c r="X556" s="107"/>
      <c r="Y556" s="107"/>
      <c r="Z556" s="112"/>
      <c r="AA556" s="112"/>
      <c r="AB556" s="112"/>
      <c r="AC556" s="112"/>
      <c r="AD556" s="112"/>
      <c r="AE556" s="112"/>
      <c r="AF556" s="112"/>
      <c r="AG556" s="117"/>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c r="BK556" s="124"/>
      <c r="BL556" s="124"/>
      <c r="BM556" s="124"/>
      <c r="BN556" s="124"/>
      <c r="BO556" s="124"/>
      <c r="BP556" s="124"/>
      <c r="BQ556" s="124"/>
      <c r="BR556" s="124"/>
      <c r="BS556" s="124"/>
      <c r="BT556" s="124"/>
      <c r="BU556" s="124"/>
      <c r="BV556" s="124"/>
      <c r="BW556" s="124"/>
      <c r="BX556" s="124"/>
      <c r="BY556" s="124"/>
      <c r="BZ556" s="124"/>
      <c r="CA556" s="124"/>
    </row>
    <row r="557">
      <c r="D557" s="143"/>
      <c r="E557" s="168"/>
      <c r="F557" s="112"/>
      <c r="G557" s="112"/>
      <c r="H557" s="112"/>
      <c r="I557" s="112"/>
      <c r="J557" s="112"/>
      <c r="K557" s="112"/>
      <c r="L557" s="112"/>
      <c r="M557" s="112"/>
      <c r="N557" s="112"/>
      <c r="O557" s="112"/>
      <c r="P557" s="112"/>
      <c r="Q557" s="112"/>
      <c r="R557" s="112"/>
      <c r="S557" s="112"/>
      <c r="T557" s="112"/>
      <c r="U557" s="107"/>
      <c r="V557" s="107"/>
      <c r="W557" s="107"/>
      <c r="X557" s="107"/>
      <c r="Y557" s="107"/>
      <c r="Z557" s="112"/>
      <c r="AA557" s="112"/>
      <c r="AB557" s="112"/>
      <c r="AC557" s="112"/>
      <c r="AD557" s="112"/>
      <c r="AE557" s="112"/>
      <c r="AF557" s="112"/>
      <c r="AG557" s="117"/>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c r="BK557" s="124"/>
      <c r="BL557" s="124"/>
      <c r="BM557" s="124"/>
      <c r="BN557" s="124"/>
      <c r="BO557" s="124"/>
      <c r="BP557" s="124"/>
      <c r="BQ557" s="124"/>
      <c r="BR557" s="124"/>
      <c r="BS557" s="124"/>
      <c r="BT557" s="124"/>
      <c r="BU557" s="124"/>
      <c r="BV557" s="124"/>
      <c r="BW557" s="124"/>
      <c r="BX557" s="124"/>
      <c r="BY557" s="124"/>
      <c r="BZ557" s="124"/>
      <c r="CA557" s="124"/>
    </row>
    <row r="558">
      <c r="D558" s="143"/>
      <c r="E558" s="168"/>
      <c r="F558" s="112"/>
      <c r="G558" s="112"/>
      <c r="H558" s="112"/>
      <c r="I558" s="112"/>
      <c r="J558" s="112"/>
      <c r="K558" s="112"/>
      <c r="L558" s="112"/>
      <c r="M558" s="112"/>
      <c r="N558" s="112"/>
      <c r="O558" s="112"/>
      <c r="P558" s="112"/>
      <c r="Q558" s="112"/>
      <c r="R558" s="112"/>
      <c r="S558" s="112"/>
      <c r="T558" s="112"/>
      <c r="U558" s="107"/>
      <c r="V558" s="107"/>
      <c r="W558" s="107"/>
      <c r="X558" s="107"/>
      <c r="Y558" s="107"/>
      <c r="Z558" s="112"/>
      <c r="AA558" s="112"/>
      <c r="AB558" s="112"/>
      <c r="AC558" s="112"/>
      <c r="AD558" s="112"/>
      <c r="AE558" s="112"/>
      <c r="AF558" s="112"/>
      <c r="AG558" s="117"/>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c r="BK558" s="124"/>
      <c r="BL558" s="124"/>
      <c r="BM558" s="124"/>
      <c r="BN558" s="124"/>
      <c r="BO558" s="124"/>
      <c r="BP558" s="124"/>
      <c r="BQ558" s="124"/>
      <c r="BR558" s="124"/>
      <c r="BS558" s="124"/>
      <c r="BT558" s="124"/>
      <c r="BU558" s="124"/>
      <c r="BV558" s="124"/>
      <c r="BW558" s="124"/>
      <c r="BX558" s="124"/>
      <c r="BY558" s="124"/>
      <c r="BZ558" s="124"/>
      <c r="CA558" s="124"/>
    </row>
    <row r="559">
      <c r="D559" s="143"/>
      <c r="E559" s="168"/>
      <c r="F559" s="112"/>
      <c r="G559" s="112"/>
      <c r="H559" s="112"/>
      <c r="I559" s="112"/>
      <c r="J559" s="112"/>
      <c r="K559" s="112"/>
      <c r="L559" s="112"/>
      <c r="M559" s="112"/>
      <c r="N559" s="112"/>
      <c r="O559" s="112"/>
      <c r="P559" s="112"/>
      <c r="Q559" s="112"/>
      <c r="R559" s="112"/>
      <c r="S559" s="112"/>
      <c r="T559" s="112"/>
      <c r="U559" s="107"/>
      <c r="V559" s="107"/>
      <c r="W559" s="107"/>
      <c r="X559" s="107"/>
      <c r="Y559" s="107"/>
      <c r="Z559" s="112"/>
      <c r="AA559" s="112"/>
      <c r="AB559" s="112"/>
      <c r="AC559" s="112"/>
      <c r="AD559" s="112"/>
      <c r="AE559" s="112"/>
      <c r="AF559" s="112"/>
      <c r="AG559" s="117"/>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c r="BK559" s="124"/>
      <c r="BL559" s="124"/>
      <c r="BM559" s="124"/>
      <c r="BN559" s="124"/>
      <c r="BO559" s="124"/>
      <c r="BP559" s="124"/>
      <c r="BQ559" s="124"/>
      <c r="BR559" s="124"/>
      <c r="BS559" s="124"/>
      <c r="BT559" s="124"/>
      <c r="BU559" s="124"/>
      <c r="BV559" s="124"/>
      <c r="BW559" s="124"/>
      <c r="BX559" s="124"/>
      <c r="BY559" s="124"/>
      <c r="BZ559" s="124"/>
      <c r="CA559" s="124"/>
    </row>
    <row r="560">
      <c r="D560" s="143"/>
      <c r="E560" s="168"/>
      <c r="F560" s="112"/>
      <c r="G560" s="112"/>
      <c r="H560" s="112"/>
      <c r="I560" s="112"/>
      <c r="J560" s="112"/>
      <c r="K560" s="112"/>
      <c r="L560" s="112"/>
      <c r="M560" s="112"/>
      <c r="N560" s="112"/>
      <c r="O560" s="112"/>
      <c r="P560" s="112"/>
      <c r="Q560" s="112"/>
      <c r="R560" s="112"/>
      <c r="S560" s="112"/>
      <c r="T560" s="112"/>
      <c r="U560" s="107"/>
      <c r="V560" s="107"/>
      <c r="W560" s="107"/>
      <c r="X560" s="107"/>
      <c r="Y560" s="107"/>
      <c r="Z560" s="112"/>
      <c r="AA560" s="112"/>
      <c r="AB560" s="112"/>
      <c r="AC560" s="112"/>
      <c r="AD560" s="112"/>
      <c r="AE560" s="112"/>
      <c r="AF560" s="112"/>
      <c r="AG560" s="117"/>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row>
    <row r="561">
      <c r="D561" s="143"/>
      <c r="E561" s="168"/>
      <c r="F561" s="112"/>
      <c r="G561" s="112"/>
      <c r="H561" s="112"/>
      <c r="I561" s="112"/>
      <c r="J561" s="112"/>
      <c r="K561" s="112"/>
      <c r="L561" s="112"/>
      <c r="M561" s="112"/>
      <c r="N561" s="112"/>
      <c r="O561" s="112"/>
      <c r="P561" s="112"/>
      <c r="Q561" s="112"/>
      <c r="R561" s="112"/>
      <c r="S561" s="112"/>
      <c r="T561" s="112"/>
      <c r="U561" s="107"/>
      <c r="V561" s="107"/>
      <c r="W561" s="107"/>
      <c r="X561" s="107"/>
      <c r="Y561" s="107"/>
      <c r="Z561" s="112"/>
      <c r="AA561" s="112"/>
      <c r="AB561" s="112"/>
      <c r="AC561" s="112"/>
      <c r="AD561" s="112"/>
      <c r="AE561" s="112"/>
      <c r="AF561" s="112"/>
      <c r="AG561" s="117"/>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c r="BK561" s="124"/>
      <c r="BL561" s="124"/>
      <c r="BM561" s="124"/>
      <c r="BN561" s="124"/>
      <c r="BO561" s="124"/>
      <c r="BP561" s="124"/>
      <c r="BQ561" s="124"/>
      <c r="BR561" s="124"/>
      <c r="BS561" s="124"/>
      <c r="BT561" s="124"/>
      <c r="BU561" s="124"/>
      <c r="BV561" s="124"/>
      <c r="BW561" s="124"/>
      <c r="BX561" s="124"/>
      <c r="BY561" s="124"/>
      <c r="BZ561" s="124"/>
      <c r="CA561" s="124"/>
    </row>
    <row r="562">
      <c r="D562" s="143"/>
      <c r="E562" s="168"/>
      <c r="F562" s="112"/>
      <c r="G562" s="112"/>
      <c r="H562" s="112"/>
      <c r="I562" s="112"/>
      <c r="J562" s="112"/>
      <c r="K562" s="112"/>
      <c r="L562" s="112"/>
      <c r="M562" s="112"/>
      <c r="N562" s="112"/>
      <c r="O562" s="112"/>
      <c r="P562" s="112"/>
      <c r="Q562" s="112"/>
      <c r="R562" s="112"/>
      <c r="S562" s="112"/>
      <c r="T562" s="112"/>
      <c r="U562" s="107"/>
      <c r="V562" s="107"/>
      <c r="W562" s="107"/>
      <c r="X562" s="107"/>
      <c r="Y562" s="107"/>
      <c r="Z562" s="112"/>
      <c r="AA562" s="112"/>
      <c r="AB562" s="112"/>
      <c r="AC562" s="112"/>
      <c r="AD562" s="112"/>
      <c r="AE562" s="112"/>
      <c r="AF562" s="112"/>
      <c r="AG562" s="117"/>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c r="BK562" s="124"/>
      <c r="BL562" s="124"/>
      <c r="BM562" s="124"/>
      <c r="BN562" s="124"/>
      <c r="BO562" s="124"/>
      <c r="BP562" s="124"/>
      <c r="BQ562" s="124"/>
      <c r="BR562" s="124"/>
      <c r="BS562" s="124"/>
      <c r="BT562" s="124"/>
      <c r="BU562" s="124"/>
      <c r="BV562" s="124"/>
      <c r="BW562" s="124"/>
      <c r="BX562" s="124"/>
      <c r="BY562" s="124"/>
      <c r="BZ562" s="124"/>
      <c r="CA562" s="124"/>
    </row>
    <row r="563">
      <c r="D563" s="143"/>
      <c r="E563" s="168"/>
      <c r="F563" s="112"/>
      <c r="G563" s="112"/>
      <c r="H563" s="112"/>
      <c r="I563" s="112"/>
      <c r="J563" s="112"/>
      <c r="K563" s="112"/>
      <c r="L563" s="112"/>
      <c r="M563" s="112"/>
      <c r="N563" s="112"/>
      <c r="O563" s="112"/>
      <c r="P563" s="112"/>
      <c r="Q563" s="112"/>
      <c r="R563" s="112"/>
      <c r="S563" s="112"/>
      <c r="T563" s="112"/>
      <c r="U563" s="107"/>
      <c r="V563" s="107"/>
      <c r="W563" s="107"/>
      <c r="X563" s="107"/>
      <c r="Y563" s="107"/>
      <c r="Z563" s="112"/>
      <c r="AA563" s="112"/>
      <c r="AB563" s="112"/>
      <c r="AC563" s="112"/>
      <c r="AD563" s="112"/>
      <c r="AE563" s="112"/>
      <c r="AF563" s="112"/>
      <c r="AG563" s="117"/>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c r="BK563" s="124"/>
      <c r="BL563" s="124"/>
      <c r="BM563" s="124"/>
      <c r="BN563" s="124"/>
      <c r="BO563" s="124"/>
      <c r="BP563" s="124"/>
      <c r="BQ563" s="124"/>
      <c r="BR563" s="124"/>
      <c r="BS563" s="124"/>
      <c r="BT563" s="124"/>
      <c r="BU563" s="124"/>
      <c r="BV563" s="124"/>
      <c r="BW563" s="124"/>
      <c r="BX563" s="124"/>
      <c r="BY563" s="124"/>
      <c r="BZ563" s="124"/>
      <c r="CA563" s="124"/>
    </row>
    <row r="564">
      <c r="D564" s="143"/>
      <c r="E564" s="168"/>
      <c r="F564" s="112"/>
      <c r="G564" s="112"/>
      <c r="H564" s="112"/>
      <c r="I564" s="112"/>
      <c r="J564" s="112"/>
      <c r="K564" s="112"/>
      <c r="L564" s="112"/>
      <c r="M564" s="112"/>
      <c r="N564" s="112"/>
      <c r="O564" s="112"/>
      <c r="P564" s="112"/>
      <c r="Q564" s="112"/>
      <c r="R564" s="112"/>
      <c r="S564" s="112"/>
      <c r="T564" s="112"/>
      <c r="U564" s="107"/>
      <c r="V564" s="107"/>
      <c r="W564" s="107"/>
      <c r="X564" s="107"/>
      <c r="Y564" s="107"/>
      <c r="Z564" s="112"/>
      <c r="AA564" s="112"/>
      <c r="AB564" s="112"/>
      <c r="AC564" s="112"/>
      <c r="AD564" s="112"/>
      <c r="AE564" s="112"/>
      <c r="AF564" s="112"/>
      <c r="AG564" s="117"/>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c r="BK564" s="124"/>
      <c r="BL564" s="124"/>
      <c r="BM564" s="124"/>
      <c r="BN564" s="124"/>
      <c r="BO564" s="124"/>
      <c r="BP564" s="124"/>
      <c r="BQ564" s="124"/>
      <c r="BR564" s="124"/>
      <c r="BS564" s="124"/>
      <c r="BT564" s="124"/>
      <c r="BU564" s="124"/>
      <c r="BV564" s="124"/>
      <c r="BW564" s="124"/>
      <c r="BX564" s="124"/>
      <c r="BY564" s="124"/>
      <c r="BZ564" s="124"/>
      <c r="CA564" s="124"/>
    </row>
    <row r="565">
      <c r="D565" s="143"/>
      <c r="E565" s="168"/>
      <c r="F565" s="112"/>
      <c r="G565" s="112"/>
      <c r="H565" s="112"/>
      <c r="I565" s="112"/>
      <c r="J565" s="112"/>
      <c r="K565" s="112"/>
      <c r="L565" s="112"/>
      <c r="M565" s="112"/>
      <c r="N565" s="112"/>
      <c r="O565" s="112"/>
      <c r="P565" s="112"/>
      <c r="Q565" s="112"/>
      <c r="R565" s="112"/>
      <c r="S565" s="112"/>
      <c r="T565" s="112"/>
      <c r="U565" s="107"/>
      <c r="V565" s="107"/>
      <c r="W565" s="107"/>
      <c r="X565" s="107"/>
      <c r="Y565" s="107"/>
      <c r="Z565" s="112"/>
      <c r="AA565" s="112"/>
      <c r="AB565" s="112"/>
      <c r="AC565" s="112"/>
      <c r="AD565" s="112"/>
      <c r="AE565" s="112"/>
      <c r="AF565" s="112"/>
      <c r="AG565" s="117"/>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c r="BK565" s="124"/>
      <c r="BL565" s="124"/>
      <c r="BM565" s="124"/>
      <c r="BN565" s="124"/>
      <c r="BO565" s="124"/>
      <c r="BP565" s="124"/>
      <c r="BQ565" s="124"/>
      <c r="BR565" s="124"/>
      <c r="BS565" s="124"/>
      <c r="BT565" s="124"/>
      <c r="BU565" s="124"/>
      <c r="BV565" s="124"/>
      <c r="BW565" s="124"/>
      <c r="BX565" s="124"/>
      <c r="BY565" s="124"/>
      <c r="BZ565" s="124"/>
      <c r="CA565" s="124"/>
    </row>
    <row r="566">
      <c r="D566" s="143"/>
      <c r="E566" s="168"/>
      <c r="F566" s="112"/>
      <c r="G566" s="112"/>
      <c r="H566" s="112"/>
      <c r="I566" s="112"/>
      <c r="J566" s="112"/>
      <c r="K566" s="112"/>
      <c r="L566" s="112"/>
      <c r="M566" s="112"/>
      <c r="N566" s="112"/>
      <c r="O566" s="112"/>
      <c r="P566" s="112"/>
      <c r="Q566" s="112"/>
      <c r="R566" s="112"/>
      <c r="S566" s="112"/>
      <c r="T566" s="112"/>
      <c r="U566" s="107"/>
      <c r="V566" s="107"/>
      <c r="W566" s="107"/>
      <c r="X566" s="107"/>
      <c r="Y566" s="107"/>
      <c r="Z566" s="112"/>
      <c r="AA566" s="112"/>
      <c r="AB566" s="112"/>
      <c r="AC566" s="112"/>
      <c r="AD566" s="112"/>
      <c r="AE566" s="112"/>
      <c r="AF566" s="112"/>
      <c r="AG566" s="117"/>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row>
    <row r="567">
      <c r="D567" s="143"/>
      <c r="E567" s="168"/>
      <c r="F567" s="112"/>
      <c r="G567" s="112"/>
      <c r="H567" s="112"/>
      <c r="I567" s="112"/>
      <c r="J567" s="112"/>
      <c r="K567" s="112"/>
      <c r="L567" s="112"/>
      <c r="M567" s="112"/>
      <c r="N567" s="112"/>
      <c r="O567" s="112"/>
      <c r="P567" s="112"/>
      <c r="Q567" s="112"/>
      <c r="R567" s="112"/>
      <c r="S567" s="112"/>
      <c r="T567" s="112"/>
      <c r="U567" s="107"/>
      <c r="V567" s="107"/>
      <c r="W567" s="107"/>
      <c r="X567" s="107"/>
      <c r="Y567" s="107"/>
      <c r="Z567" s="112"/>
      <c r="AA567" s="112"/>
      <c r="AB567" s="112"/>
      <c r="AC567" s="112"/>
      <c r="AD567" s="112"/>
      <c r="AE567" s="112"/>
      <c r="AF567" s="112"/>
      <c r="AG567" s="117"/>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c r="BK567" s="124"/>
      <c r="BL567" s="124"/>
      <c r="BM567" s="124"/>
      <c r="BN567" s="124"/>
      <c r="BO567" s="124"/>
      <c r="BP567" s="124"/>
      <c r="BQ567" s="124"/>
      <c r="BR567" s="124"/>
      <c r="BS567" s="124"/>
      <c r="BT567" s="124"/>
      <c r="BU567" s="124"/>
      <c r="BV567" s="124"/>
      <c r="BW567" s="124"/>
      <c r="BX567" s="124"/>
      <c r="BY567" s="124"/>
      <c r="BZ567" s="124"/>
      <c r="CA567" s="124"/>
    </row>
    <row r="568">
      <c r="D568" s="143"/>
      <c r="E568" s="168"/>
      <c r="F568" s="112"/>
      <c r="G568" s="112"/>
      <c r="H568" s="112"/>
      <c r="I568" s="112"/>
      <c r="J568" s="112"/>
      <c r="K568" s="112"/>
      <c r="L568" s="112"/>
      <c r="M568" s="112"/>
      <c r="N568" s="112"/>
      <c r="O568" s="112"/>
      <c r="P568" s="112"/>
      <c r="Q568" s="112"/>
      <c r="R568" s="112"/>
      <c r="S568" s="112"/>
      <c r="T568" s="112"/>
      <c r="U568" s="107"/>
      <c r="V568" s="107"/>
      <c r="W568" s="107"/>
      <c r="X568" s="107"/>
      <c r="Y568" s="107"/>
      <c r="Z568" s="112"/>
      <c r="AA568" s="112"/>
      <c r="AB568" s="112"/>
      <c r="AC568" s="112"/>
      <c r="AD568" s="112"/>
      <c r="AE568" s="112"/>
      <c r="AF568" s="112"/>
      <c r="AG568" s="117"/>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c r="BK568" s="124"/>
      <c r="BL568" s="124"/>
      <c r="BM568" s="124"/>
      <c r="BN568" s="124"/>
      <c r="BO568" s="124"/>
      <c r="BP568" s="124"/>
      <c r="BQ568" s="124"/>
      <c r="BR568" s="124"/>
      <c r="BS568" s="124"/>
      <c r="BT568" s="124"/>
      <c r="BU568" s="124"/>
      <c r="BV568" s="124"/>
      <c r="BW568" s="124"/>
      <c r="BX568" s="124"/>
      <c r="BY568" s="124"/>
      <c r="BZ568" s="124"/>
      <c r="CA568" s="124"/>
    </row>
    <row r="569">
      <c r="D569" s="143"/>
      <c r="E569" s="168"/>
      <c r="F569" s="112"/>
      <c r="G569" s="112"/>
      <c r="H569" s="112"/>
      <c r="I569" s="112"/>
      <c r="J569" s="112"/>
      <c r="K569" s="112"/>
      <c r="L569" s="112"/>
      <c r="M569" s="112"/>
      <c r="N569" s="112"/>
      <c r="O569" s="112"/>
      <c r="P569" s="112"/>
      <c r="Q569" s="112"/>
      <c r="R569" s="112"/>
      <c r="S569" s="112"/>
      <c r="T569" s="112"/>
      <c r="U569" s="107"/>
      <c r="V569" s="107"/>
      <c r="W569" s="107"/>
      <c r="X569" s="107"/>
      <c r="Y569" s="107"/>
      <c r="Z569" s="112"/>
      <c r="AA569" s="112"/>
      <c r="AB569" s="112"/>
      <c r="AC569" s="112"/>
      <c r="AD569" s="112"/>
      <c r="AE569" s="112"/>
      <c r="AF569" s="112"/>
      <c r="AG569" s="117"/>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c r="BK569" s="124"/>
      <c r="BL569" s="124"/>
      <c r="BM569" s="124"/>
      <c r="BN569" s="124"/>
      <c r="BO569" s="124"/>
      <c r="BP569" s="124"/>
      <c r="BQ569" s="124"/>
      <c r="BR569" s="124"/>
      <c r="BS569" s="124"/>
      <c r="BT569" s="124"/>
      <c r="BU569" s="124"/>
      <c r="BV569" s="124"/>
      <c r="BW569" s="124"/>
      <c r="BX569" s="124"/>
      <c r="BY569" s="124"/>
      <c r="BZ569" s="124"/>
      <c r="CA569" s="124"/>
    </row>
    <row r="570">
      <c r="D570" s="143"/>
      <c r="E570" s="168"/>
      <c r="F570" s="112"/>
      <c r="G570" s="112"/>
      <c r="H570" s="112"/>
      <c r="I570" s="112"/>
      <c r="J570" s="112"/>
      <c r="K570" s="112"/>
      <c r="L570" s="112"/>
      <c r="M570" s="112"/>
      <c r="N570" s="112"/>
      <c r="O570" s="112"/>
      <c r="P570" s="112"/>
      <c r="Q570" s="112"/>
      <c r="R570" s="112"/>
      <c r="S570" s="112"/>
      <c r="T570" s="112"/>
      <c r="U570" s="107"/>
      <c r="V570" s="107"/>
      <c r="W570" s="107"/>
      <c r="X570" s="107"/>
      <c r="Y570" s="107"/>
      <c r="Z570" s="112"/>
      <c r="AA570" s="112"/>
      <c r="AB570" s="112"/>
      <c r="AC570" s="112"/>
      <c r="AD570" s="112"/>
      <c r="AE570" s="112"/>
      <c r="AF570" s="112"/>
      <c r="AG570" s="117"/>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c r="BK570" s="124"/>
      <c r="BL570" s="124"/>
      <c r="BM570" s="124"/>
      <c r="BN570" s="124"/>
      <c r="BO570" s="124"/>
      <c r="BP570" s="124"/>
      <c r="BQ570" s="124"/>
      <c r="BR570" s="124"/>
      <c r="BS570" s="124"/>
      <c r="BT570" s="124"/>
      <c r="BU570" s="124"/>
      <c r="BV570" s="124"/>
      <c r="BW570" s="124"/>
      <c r="BX570" s="124"/>
      <c r="BY570" s="124"/>
      <c r="BZ570" s="124"/>
      <c r="CA570" s="124"/>
    </row>
    <row r="571">
      <c r="D571" s="143"/>
      <c r="E571" s="168"/>
      <c r="F571" s="112"/>
      <c r="G571" s="112"/>
      <c r="H571" s="112"/>
      <c r="I571" s="112"/>
      <c r="J571" s="112"/>
      <c r="K571" s="112"/>
      <c r="L571" s="112"/>
      <c r="M571" s="112"/>
      <c r="N571" s="112"/>
      <c r="O571" s="112"/>
      <c r="P571" s="112"/>
      <c r="Q571" s="112"/>
      <c r="R571" s="112"/>
      <c r="S571" s="112"/>
      <c r="T571" s="112"/>
      <c r="U571" s="107"/>
      <c r="V571" s="107"/>
      <c r="W571" s="107"/>
      <c r="X571" s="107"/>
      <c r="Y571" s="107"/>
      <c r="Z571" s="112"/>
      <c r="AA571" s="112"/>
      <c r="AB571" s="112"/>
      <c r="AC571" s="112"/>
      <c r="AD571" s="112"/>
      <c r="AE571" s="112"/>
      <c r="AF571" s="112"/>
      <c r="AG571" s="117"/>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c r="BK571" s="124"/>
      <c r="BL571" s="124"/>
      <c r="BM571" s="124"/>
      <c r="BN571" s="124"/>
      <c r="BO571" s="124"/>
      <c r="BP571" s="124"/>
      <c r="BQ571" s="124"/>
      <c r="BR571" s="124"/>
      <c r="BS571" s="124"/>
      <c r="BT571" s="124"/>
      <c r="BU571" s="124"/>
      <c r="BV571" s="124"/>
      <c r="BW571" s="124"/>
      <c r="BX571" s="124"/>
      <c r="BY571" s="124"/>
      <c r="BZ571" s="124"/>
      <c r="CA571" s="124"/>
    </row>
    <row r="572">
      <c r="D572" s="143"/>
      <c r="E572" s="168"/>
      <c r="F572" s="112"/>
      <c r="G572" s="112"/>
      <c r="H572" s="112"/>
      <c r="I572" s="112"/>
      <c r="J572" s="112"/>
      <c r="K572" s="112"/>
      <c r="L572" s="112"/>
      <c r="M572" s="112"/>
      <c r="N572" s="112"/>
      <c r="O572" s="112"/>
      <c r="P572" s="112"/>
      <c r="Q572" s="112"/>
      <c r="R572" s="112"/>
      <c r="S572" s="112"/>
      <c r="T572" s="112"/>
      <c r="U572" s="107"/>
      <c r="V572" s="107"/>
      <c r="W572" s="107"/>
      <c r="X572" s="107"/>
      <c r="Y572" s="107"/>
      <c r="Z572" s="112"/>
      <c r="AA572" s="112"/>
      <c r="AB572" s="112"/>
      <c r="AC572" s="112"/>
      <c r="AD572" s="112"/>
      <c r="AE572" s="112"/>
      <c r="AF572" s="112"/>
      <c r="AG572" s="117"/>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row>
    <row r="573">
      <c r="D573" s="143"/>
      <c r="E573" s="168"/>
      <c r="F573" s="112"/>
      <c r="G573" s="112"/>
      <c r="H573" s="112"/>
      <c r="I573" s="112"/>
      <c r="J573" s="112"/>
      <c r="K573" s="112"/>
      <c r="L573" s="112"/>
      <c r="M573" s="112"/>
      <c r="N573" s="112"/>
      <c r="O573" s="112"/>
      <c r="P573" s="112"/>
      <c r="Q573" s="112"/>
      <c r="R573" s="112"/>
      <c r="S573" s="112"/>
      <c r="T573" s="112"/>
      <c r="U573" s="107"/>
      <c r="V573" s="107"/>
      <c r="W573" s="107"/>
      <c r="X573" s="107"/>
      <c r="Y573" s="107"/>
      <c r="Z573" s="112"/>
      <c r="AA573" s="112"/>
      <c r="AB573" s="112"/>
      <c r="AC573" s="112"/>
      <c r="AD573" s="112"/>
      <c r="AE573" s="112"/>
      <c r="AF573" s="112"/>
      <c r="AG573" s="117"/>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c r="BK573" s="124"/>
      <c r="BL573" s="124"/>
      <c r="BM573" s="124"/>
      <c r="BN573" s="124"/>
      <c r="BO573" s="124"/>
      <c r="BP573" s="124"/>
      <c r="BQ573" s="124"/>
      <c r="BR573" s="124"/>
      <c r="BS573" s="124"/>
      <c r="BT573" s="124"/>
      <c r="BU573" s="124"/>
      <c r="BV573" s="124"/>
      <c r="BW573" s="124"/>
      <c r="BX573" s="124"/>
      <c r="BY573" s="124"/>
      <c r="BZ573" s="124"/>
      <c r="CA573" s="124"/>
    </row>
    <row r="574">
      <c r="D574" s="143"/>
      <c r="E574" s="168"/>
      <c r="F574" s="112"/>
      <c r="G574" s="112"/>
      <c r="H574" s="112"/>
      <c r="I574" s="112"/>
      <c r="J574" s="112"/>
      <c r="K574" s="112"/>
      <c r="L574" s="112"/>
      <c r="M574" s="112"/>
      <c r="N574" s="112"/>
      <c r="O574" s="112"/>
      <c r="P574" s="112"/>
      <c r="Q574" s="112"/>
      <c r="R574" s="112"/>
      <c r="S574" s="112"/>
      <c r="T574" s="112"/>
      <c r="U574" s="107"/>
      <c r="V574" s="107"/>
      <c r="W574" s="107"/>
      <c r="X574" s="107"/>
      <c r="Y574" s="107"/>
      <c r="Z574" s="112"/>
      <c r="AA574" s="112"/>
      <c r="AB574" s="112"/>
      <c r="AC574" s="112"/>
      <c r="AD574" s="112"/>
      <c r="AE574" s="112"/>
      <c r="AF574" s="112"/>
      <c r="AG574" s="117"/>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c r="BK574" s="124"/>
      <c r="BL574" s="124"/>
      <c r="BM574" s="124"/>
      <c r="BN574" s="124"/>
      <c r="BO574" s="124"/>
      <c r="BP574" s="124"/>
      <c r="BQ574" s="124"/>
      <c r="BR574" s="124"/>
      <c r="BS574" s="124"/>
      <c r="BT574" s="124"/>
      <c r="BU574" s="124"/>
      <c r="BV574" s="124"/>
      <c r="BW574" s="124"/>
      <c r="BX574" s="124"/>
      <c r="BY574" s="124"/>
      <c r="BZ574" s="124"/>
      <c r="CA574" s="124"/>
    </row>
    <row r="575">
      <c r="D575" s="143"/>
      <c r="E575" s="168"/>
      <c r="F575" s="112"/>
      <c r="G575" s="112"/>
      <c r="H575" s="112"/>
      <c r="I575" s="112"/>
      <c r="J575" s="112"/>
      <c r="K575" s="112"/>
      <c r="L575" s="112"/>
      <c r="M575" s="112"/>
      <c r="N575" s="112"/>
      <c r="O575" s="112"/>
      <c r="P575" s="112"/>
      <c r="Q575" s="112"/>
      <c r="R575" s="112"/>
      <c r="S575" s="112"/>
      <c r="T575" s="112"/>
      <c r="U575" s="107"/>
      <c r="V575" s="107"/>
      <c r="W575" s="107"/>
      <c r="X575" s="107"/>
      <c r="Y575" s="107"/>
      <c r="Z575" s="112"/>
      <c r="AA575" s="112"/>
      <c r="AB575" s="112"/>
      <c r="AC575" s="112"/>
      <c r="AD575" s="112"/>
      <c r="AE575" s="112"/>
      <c r="AF575" s="112"/>
      <c r="AG575" s="117"/>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c r="BK575" s="124"/>
      <c r="BL575" s="124"/>
      <c r="BM575" s="124"/>
      <c r="BN575" s="124"/>
      <c r="BO575" s="124"/>
      <c r="BP575" s="124"/>
      <c r="BQ575" s="124"/>
      <c r="BR575" s="124"/>
      <c r="BS575" s="124"/>
      <c r="BT575" s="124"/>
      <c r="BU575" s="124"/>
      <c r="BV575" s="124"/>
      <c r="BW575" s="124"/>
      <c r="BX575" s="124"/>
      <c r="BY575" s="124"/>
      <c r="BZ575" s="124"/>
      <c r="CA575" s="124"/>
    </row>
    <row r="576">
      <c r="D576" s="143"/>
      <c r="E576" s="168"/>
      <c r="F576" s="112"/>
      <c r="G576" s="112"/>
      <c r="H576" s="112"/>
      <c r="I576" s="112"/>
      <c r="J576" s="112"/>
      <c r="K576" s="112"/>
      <c r="L576" s="112"/>
      <c r="M576" s="112"/>
      <c r="N576" s="112"/>
      <c r="O576" s="112"/>
      <c r="P576" s="112"/>
      <c r="Q576" s="112"/>
      <c r="R576" s="112"/>
      <c r="S576" s="112"/>
      <c r="T576" s="112"/>
      <c r="U576" s="107"/>
      <c r="V576" s="107"/>
      <c r="W576" s="107"/>
      <c r="X576" s="107"/>
      <c r="Y576" s="107"/>
      <c r="Z576" s="112"/>
      <c r="AA576" s="112"/>
      <c r="AB576" s="112"/>
      <c r="AC576" s="112"/>
      <c r="AD576" s="112"/>
      <c r="AE576" s="112"/>
      <c r="AF576" s="112"/>
      <c r="AG576" s="117"/>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c r="BK576" s="124"/>
      <c r="BL576" s="124"/>
      <c r="BM576" s="124"/>
      <c r="BN576" s="124"/>
      <c r="BO576" s="124"/>
      <c r="BP576" s="124"/>
      <c r="BQ576" s="124"/>
      <c r="BR576" s="124"/>
      <c r="BS576" s="124"/>
      <c r="BT576" s="124"/>
      <c r="BU576" s="124"/>
      <c r="BV576" s="124"/>
      <c r="BW576" s="124"/>
      <c r="BX576" s="124"/>
      <c r="BY576" s="124"/>
      <c r="BZ576" s="124"/>
      <c r="CA576" s="124"/>
    </row>
    <row r="577">
      <c r="D577" s="143"/>
      <c r="E577" s="168"/>
      <c r="F577" s="112"/>
      <c r="G577" s="112"/>
      <c r="H577" s="112"/>
      <c r="I577" s="112"/>
      <c r="J577" s="112"/>
      <c r="K577" s="112"/>
      <c r="L577" s="112"/>
      <c r="M577" s="112"/>
      <c r="N577" s="112"/>
      <c r="O577" s="112"/>
      <c r="P577" s="112"/>
      <c r="Q577" s="112"/>
      <c r="R577" s="112"/>
      <c r="S577" s="112"/>
      <c r="T577" s="112"/>
      <c r="U577" s="107"/>
      <c r="V577" s="107"/>
      <c r="W577" s="107"/>
      <c r="X577" s="107"/>
      <c r="Y577" s="107"/>
      <c r="Z577" s="112"/>
      <c r="AA577" s="112"/>
      <c r="AB577" s="112"/>
      <c r="AC577" s="112"/>
      <c r="AD577" s="112"/>
      <c r="AE577" s="112"/>
      <c r="AF577" s="112"/>
      <c r="AG577" s="117"/>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c r="BK577" s="124"/>
      <c r="BL577" s="124"/>
      <c r="BM577" s="124"/>
      <c r="BN577" s="124"/>
      <c r="BO577" s="124"/>
      <c r="BP577" s="124"/>
      <c r="BQ577" s="124"/>
      <c r="BR577" s="124"/>
      <c r="BS577" s="124"/>
      <c r="BT577" s="124"/>
      <c r="BU577" s="124"/>
      <c r="BV577" s="124"/>
      <c r="BW577" s="124"/>
      <c r="BX577" s="124"/>
      <c r="BY577" s="124"/>
      <c r="BZ577" s="124"/>
      <c r="CA577" s="124"/>
    </row>
    <row r="578">
      <c r="D578" s="143"/>
      <c r="E578" s="168"/>
      <c r="F578" s="112"/>
      <c r="G578" s="112"/>
      <c r="H578" s="112"/>
      <c r="I578" s="112"/>
      <c r="J578" s="112"/>
      <c r="K578" s="112"/>
      <c r="L578" s="112"/>
      <c r="M578" s="112"/>
      <c r="N578" s="112"/>
      <c r="O578" s="112"/>
      <c r="P578" s="112"/>
      <c r="Q578" s="112"/>
      <c r="R578" s="112"/>
      <c r="S578" s="112"/>
      <c r="T578" s="112"/>
      <c r="U578" s="107"/>
      <c r="V578" s="107"/>
      <c r="W578" s="107"/>
      <c r="X578" s="107"/>
      <c r="Y578" s="107"/>
      <c r="Z578" s="112"/>
      <c r="AA578" s="112"/>
      <c r="AB578" s="112"/>
      <c r="AC578" s="112"/>
      <c r="AD578" s="112"/>
      <c r="AE578" s="112"/>
      <c r="AF578" s="112"/>
      <c r="AG578" s="117"/>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row>
    <row r="579">
      <c r="D579" s="143"/>
      <c r="E579" s="168"/>
      <c r="F579" s="112"/>
      <c r="G579" s="112"/>
      <c r="H579" s="112"/>
      <c r="I579" s="112"/>
      <c r="J579" s="112"/>
      <c r="K579" s="112"/>
      <c r="L579" s="112"/>
      <c r="M579" s="112"/>
      <c r="N579" s="112"/>
      <c r="O579" s="112"/>
      <c r="P579" s="112"/>
      <c r="Q579" s="112"/>
      <c r="R579" s="112"/>
      <c r="S579" s="112"/>
      <c r="T579" s="112"/>
      <c r="U579" s="107"/>
      <c r="V579" s="107"/>
      <c r="W579" s="107"/>
      <c r="X579" s="107"/>
      <c r="Y579" s="107"/>
      <c r="Z579" s="112"/>
      <c r="AA579" s="112"/>
      <c r="AB579" s="112"/>
      <c r="AC579" s="112"/>
      <c r="AD579" s="112"/>
      <c r="AE579" s="112"/>
      <c r="AF579" s="112"/>
      <c r="AG579" s="117"/>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c r="BK579" s="124"/>
      <c r="BL579" s="124"/>
      <c r="BM579" s="124"/>
      <c r="BN579" s="124"/>
      <c r="BO579" s="124"/>
      <c r="BP579" s="124"/>
      <c r="BQ579" s="124"/>
      <c r="BR579" s="124"/>
      <c r="BS579" s="124"/>
      <c r="BT579" s="124"/>
      <c r="BU579" s="124"/>
      <c r="BV579" s="124"/>
      <c r="BW579" s="124"/>
      <c r="BX579" s="124"/>
      <c r="BY579" s="124"/>
      <c r="BZ579" s="124"/>
      <c r="CA579" s="124"/>
    </row>
    <row r="580">
      <c r="D580" s="143"/>
      <c r="E580" s="168"/>
      <c r="F580" s="112"/>
      <c r="G580" s="112"/>
      <c r="H580" s="112"/>
      <c r="I580" s="112"/>
      <c r="J580" s="112"/>
      <c r="K580" s="112"/>
      <c r="L580" s="112"/>
      <c r="M580" s="112"/>
      <c r="N580" s="112"/>
      <c r="O580" s="112"/>
      <c r="P580" s="112"/>
      <c r="Q580" s="112"/>
      <c r="R580" s="112"/>
      <c r="S580" s="112"/>
      <c r="T580" s="112"/>
      <c r="U580" s="107"/>
      <c r="V580" s="107"/>
      <c r="W580" s="107"/>
      <c r="X580" s="107"/>
      <c r="Y580" s="107"/>
      <c r="Z580" s="112"/>
      <c r="AA580" s="112"/>
      <c r="AB580" s="112"/>
      <c r="AC580" s="112"/>
      <c r="AD580" s="112"/>
      <c r="AE580" s="112"/>
      <c r="AF580" s="112"/>
      <c r="AG580" s="117"/>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c r="BK580" s="124"/>
      <c r="BL580" s="124"/>
      <c r="BM580" s="124"/>
      <c r="BN580" s="124"/>
      <c r="BO580" s="124"/>
      <c r="BP580" s="124"/>
      <c r="BQ580" s="124"/>
      <c r="BR580" s="124"/>
      <c r="BS580" s="124"/>
      <c r="BT580" s="124"/>
      <c r="BU580" s="124"/>
      <c r="BV580" s="124"/>
      <c r="BW580" s="124"/>
      <c r="BX580" s="124"/>
      <c r="BY580" s="124"/>
      <c r="BZ580" s="124"/>
      <c r="CA580" s="124"/>
    </row>
    <row r="581">
      <c r="D581" s="143"/>
      <c r="E581" s="168"/>
      <c r="F581" s="112"/>
      <c r="G581" s="112"/>
      <c r="H581" s="112"/>
      <c r="I581" s="112"/>
      <c r="J581" s="112"/>
      <c r="K581" s="112"/>
      <c r="L581" s="112"/>
      <c r="M581" s="112"/>
      <c r="N581" s="112"/>
      <c r="O581" s="112"/>
      <c r="P581" s="112"/>
      <c r="Q581" s="112"/>
      <c r="R581" s="112"/>
      <c r="S581" s="112"/>
      <c r="T581" s="112"/>
      <c r="U581" s="107"/>
      <c r="V581" s="107"/>
      <c r="W581" s="107"/>
      <c r="X581" s="107"/>
      <c r="Y581" s="107"/>
      <c r="Z581" s="112"/>
      <c r="AA581" s="112"/>
      <c r="AB581" s="112"/>
      <c r="AC581" s="112"/>
      <c r="AD581" s="112"/>
      <c r="AE581" s="112"/>
      <c r="AF581" s="112"/>
      <c r="AG581" s="117"/>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c r="BK581" s="124"/>
      <c r="BL581" s="124"/>
      <c r="BM581" s="124"/>
      <c r="BN581" s="124"/>
      <c r="BO581" s="124"/>
      <c r="BP581" s="124"/>
      <c r="BQ581" s="124"/>
      <c r="BR581" s="124"/>
      <c r="BS581" s="124"/>
      <c r="BT581" s="124"/>
      <c r="BU581" s="124"/>
      <c r="BV581" s="124"/>
      <c r="BW581" s="124"/>
      <c r="BX581" s="124"/>
      <c r="BY581" s="124"/>
      <c r="BZ581" s="124"/>
      <c r="CA581" s="124"/>
    </row>
    <row r="582">
      <c r="D582" s="143"/>
      <c r="E582" s="168"/>
      <c r="F582" s="112"/>
      <c r="G582" s="112"/>
      <c r="H582" s="112"/>
      <c r="I582" s="112"/>
      <c r="J582" s="112"/>
      <c r="K582" s="112"/>
      <c r="L582" s="112"/>
      <c r="M582" s="112"/>
      <c r="N582" s="112"/>
      <c r="O582" s="112"/>
      <c r="P582" s="112"/>
      <c r="Q582" s="112"/>
      <c r="R582" s="112"/>
      <c r="S582" s="112"/>
      <c r="T582" s="112"/>
      <c r="U582" s="107"/>
      <c r="V582" s="107"/>
      <c r="W582" s="107"/>
      <c r="X582" s="107"/>
      <c r="Y582" s="107"/>
      <c r="Z582" s="112"/>
      <c r="AA582" s="112"/>
      <c r="AB582" s="112"/>
      <c r="AC582" s="112"/>
      <c r="AD582" s="112"/>
      <c r="AE582" s="112"/>
      <c r="AF582" s="112"/>
      <c r="AG582" s="117"/>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c r="BK582" s="124"/>
      <c r="BL582" s="124"/>
      <c r="BM582" s="124"/>
      <c r="BN582" s="124"/>
      <c r="BO582" s="124"/>
      <c r="BP582" s="124"/>
      <c r="BQ582" s="124"/>
      <c r="BR582" s="124"/>
      <c r="BS582" s="124"/>
      <c r="BT582" s="124"/>
      <c r="BU582" s="124"/>
      <c r="BV582" s="124"/>
      <c r="BW582" s="124"/>
      <c r="BX582" s="124"/>
      <c r="BY582" s="124"/>
      <c r="BZ582" s="124"/>
      <c r="CA582" s="124"/>
    </row>
    <row r="583">
      <c r="D583" s="143"/>
      <c r="E583" s="168"/>
      <c r="F583" s="112"/>
      <c r="G583" s="112"/>
      <c r="H583" s="112"/>
      <c r="I583" s="112"/>
      <c r="J583" s="112"/>
      <c r="K583" s="112"/>
      <c r="L583" s="112"/>
      <c r="M583" s="112"/>
      <c r="N583" s="112"/>
      <c r="O583" s="112"/>
      <c r="P583" s="112"/>
      <c r="Q583" s="112"/>
      <c r="R583" s="112"/>
      <c r="S583" s="112"/>
      <c r="T583" s="112"/>
      <c r="U583" s="107"/>
      <c r="V583" s="107"/>
      <c r="W583" s="107"/>
      <c r="X583" s="107"/>
      <c r="Y583" s="107"/>
      <c r="Z583" s="112"/>
      <c r="AA583" s="112"/>
      <c r="AB583" s="112"/>
      <c r="AC583" s="112"/>
      <c r="AD583" s="112"/>
      <c r="AE583" s="112"/>
      <c r="AF583" s="112"/>
      <c r="AG583" s="117"/>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c r="BK583" s="124"/>
      <c r="BL583" s="124"/>
      <c r="BM583" s="124"/>
      <c r="BN583" s="124"/>
      <c r="BO583" s="124"/>
      <c r="BP583" s="124"/>
      <c r="BQ583" s="124"/>
      <c r="BR583" s="124"/>
      <c r="BS583" s="124"/>
      <c r="BT583" s="124"/>
      <c r="BU583" s="124"/>
      <c r="BV583" s="124"/>
      <c r="BW583" s="124"/>
      <c r="BX583" s="124"/>
      <c r="BY583" s="124"/>
      <c r="BZ583" s="124"/>
      <c r="CA583" s="124"/>
    </row>
    <row r="584">
      <c r="D584" s="143"/>
      <c r="E584" s="168"/>
      <c r="F584" s="112"/>
      <c r="G584" s="112"/>
      <c r="H584" s="112"/>
      <c r="I584" s="112"/>
      <c r="J584" s="112"/>
      <c r="K584" s="112"/>
      <c r="L584" s="112"/>
      <c r="M584" s="112"/>
      <c r="N584" s="112"/>
      <c r="O584" s="112"/>
      <c r="P584" s="112"/>
      <c r="Q584" s="112"/>
      <c r="R584" s="112"/>
      <c r="S584" s="112"/>
      <c r="T584" s="112"/>
      <c r="U584" s="107"/>
      <c r="V584" s="107"/>
      <c r="W584" s="107"/>
      <c r="X584" s="107"/>
      <c r="Y584" s="107"/>
      <c r="Z584" s="112"/>
      <c r="AA584" s="112"/>
      <c r="AB584" s="112"/>
      <c r="AC584" s="112"/>
      <c r="AD584" s="112"/>
      <c r="AE584" s="112"/>
      <c r="AF584" s="112"/>
      <c r="AG584" s="117"/>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row>
    <row r="585">
      <c r="D585" s="143"/>
      <c r="E585" s="168"/>
      <c r="F585" s="112"/>
      <c r="G585" s="112"/>
      <c r="H585" s="112"/>
      <c r="I585" s="112"/>
      <c r="J585" s="112"/>
      <c r="K585" s="112"/>
      <c r="L585" s="112"/>
      <c r="M585" s="112"/>
      <c r="N585" s="112"/>
      <c r="O585" s="112"/>
      <c r="P585" s="112"/>
      <c r="Q585" s="112"/>
      <c r="R585" s="112"/>
      <c r="S585" s="112"/>
      <c r="T585" s="112"/>
      <c r="U585" s="107"/>
      <c r="V585" s="107"/>
      <c r="W585" s="107"/>
      <c r="X585" s="107"/>
      <c r="Y585" s="107"/>
      <c r="Z585" s="112"/>
      <c r="AA585" s="112"/>
      <c r="AB585" s="112"/>
      <c r="AC585" s="112"/>
      <c r="AD585" s="112"/>
      <c r="AE585" s="112"/>
      <c r="AF585" s="112"/>
      <c r="AG585" s="117"/>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c r="BK585" s="124"/>
      <c r="BL585" s="124"/>
      <c r="BM585" s="124"/>
      <c r="BN585" s="124"/>
      <c r="BO585" s="124"/>
      <c r="BP585" s="124"/>
      <c r="BQ585" s="124"/>
      <c r="BR585" s="124"/>
      <c r="BS585" s="124"/>
      <c r="BT585" s="124"/>
      <c r="BU585" s="124"/>
      <c r="BV585" s="124"/>
      <c r="BW585" s="124"/>
      <c r="BX585" s="124"/>
      <c r="BY585" s="124"/>
      <c r="BZ585" s="124"/>
      <c r="CA585" s="124"/>
    </row>
    <row r="586">
      <c r="D586" s="143"/>
      <c r="E586" s="168"/>
      <c r="F586" s="112"/>
      <c r="G586" s="112"/>
      <c r="H586" s="112"/>
      <c r="I586" s="112"/>
      <c r="J586" s="112"/>
      <c r="K586" s="112"/>
      <c r="L586" s="112"/>
      <c r="M586" s="112"/>
      <c r="N586" s="112"/>
      <c r="O586" s="112"/>
      <c r="P586" s="112"/>
      <c r="Q586" s="112"/>
      <c r="R586" s="112"/>
      <c r="S586" s="112"/>
      <c r="T586" s="112"/>
      <c r="U586" s="107"/>
      <c r="V586" s="107"/>
      <c r="W586" s="107"/>
      <c r="X586" s="107"/>
      <c r="Y586" s="107"/>
      <c r="Z586" s="112"/>
      <c r="AA586" s="112"/>
      <c r="AB586" s="112"/>
      <c r="AC586" s="112"/>
      <c r="AD586" s="112"/>
      <c r="AE586" s="112"/>
      <c r="AF586" s="112"/>
      <c r="AG586" s="117"/>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c r="BK586" s="124"/>
      <c r="BL586" s="124"/>
      <c r="BM586" s="124"/>
      <c r="BN586" s="124"/>
      <c r="BO586" s="124"/>
      <c r="BP586" s="124"/>
      <c r="BQ586" s="124"/>
      <c r="BR586" s="124"/>
      <c r="BS586" s="124"/>
      <c r="BT586" s="124"/>
      <c r="BU586" s="124"/>
      <c r="BV586" s="124"/>
      <c r="BW586" s="124"/>
      <c r="BX586" s="124"/>
      <c r="BY586" s="124"/>
      <c r="BZ586" s="124"/>
      <c r="CA586" s="124"/>
    </row>
    <row r="587">
      <c r="D587" s="143"/>
      <c r="E587" s="168"/>
      <c r="F587" s="112"/>
      <c r="G587" s="112"/>
      <c r="H587" s="112"/>
      <c r="I587" s="112"/>
      <c r="J587" s="112"/>
      <c r="K587" s="112"/>
      <c r="L587" s="112"/>
      <c r="M587" s="112"/>
      <c r="N587" s="112"/>
      <c r="O587" s="112"/>
      <c r="P587" s="112"/>
      <c r="Q587" s="112"/>
      <c r="R587" s="112"/>
      <c r="S587" s="112"/>
      <c r="T587" s="112"/>
      <c r="U587" s="107"/>
      <c r="V587" s="107"/>
      <c r="W587" s="107"/>
      <c r="X587" s="107"/>
      <c r="Y587" s="107"/>
      <c r="Z587" s="112"/>
      <c r="AA587" s="112"/>
      <c r="AB587" s="112"/>
      <c r="AC587" s="112"/>
      <c r="AD587" s="112"/>
      <c r="AE587" s="112"/>
      <c r="AF587" s="112"/>
      <c r="AG587" s="117"/>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c r="BK587" s="124"/>
      <c r="BL587" s="124"/>
      <c r="BM587" s="124"/>
      <c r="BN587" s="124"/>
      <c r="BO587" s="124"/>
      <c r="BP587" s="124"/>
      <c r="BQ587" s="124"/>
      <c r="BR587" s="124"/>
      <c r="BS587" s="124"/>
      <c r="BT587" s="124"/>
      <c r="BU587" s="124"/>
      <c r="BV587" s="124"/>
      <c r="BW587" s="124"/>
      <c r="BX587" s="124"/>
      <c r="BY587" s="124"/>
      <c r="BZ587" s="124"/>
      <c r="CA587" s="124"/>
    </row>
    <row r="588">
      <c r="D588" s="143"/>
      <c r="E588" s="168"/>
      <c r="F588" s="112"/>
      <c r="G588" s="112"/>
      <c r="H588" s="112"/>
      <c r="I588" s="112"/>
      <c r="J588" s="112"/>
      <c r="K588" s="112"/>
      <c r="L588" s="112"/>
      <c r="M588" s="112"/>
      <c r="N588" s="112"/>
      <c r="O588" s="112"/>
      <c r="P588" s="112"/>
      <c r="Q588" s="112"/>
      <c r="R588" s="112"/>
      <c r="S588" s="112"/>
      <c r="T588" s="112"/>
      <c r="U588" s="107"/>
      <c r="V588" s="107"/>
      <c r="W588" s="107"/>
      <c r="X588" s="107"/>
      <c r="Y588" s="107"/>
      <c r="Z588" s="112"/>
      <c r="AA588" s="112"/>
      <c r="AB588" s="112"/>
      <c r="AC588" s="112"/>
      <c r="AD588" s="112"/>
      <c r="AE588" s="112"/>
      <c r="AF588" s="112"/>
      <c r="AG588" s="117"/>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c r="BK588" s="124"/>
      <c r="BL588" s="124"/>
      <c r="BM588" s="124"/>
      <c r="BN588" s="124"/>
      <c r="BO588" s="124"/>
      <c r="BP588" s="124"/>
      <c r="BQ588" s="124"/>
      <c r="BR588" s="124"/>
      <c r="BS588" s="124"/>
      <c r="BT588" s="124"/>
      <c r="BU588" s="124"/>
      <c r="BV588" s="124"/>
      <c r="BW588" s="124"/>
      <c r="BX588" s="124"/>
      <c r="BY588" s="124"/>
      <c r="BZ588" s="124"/>
      <c r="CA588" s="124"/>
    </row>
    <row r="589">
      <c r="D589" s="143"/>
      <c r="E589" s="168"/>
      <c r="F589" s="112"/>
      <c r="G589" s="112"/>
      <c r="H589" s="112"/>
      <c r="I589" s="112"/>
      <c r="J589" s="112"/>
      <c r="K589" s="112"/>
      <c r="L589" s="112"/>
      <c r="M589" s="112"/>
      <c r="N589" s="112"/>
      <c r="O589" s="112"/>
      <c r="P589" s="112"/>
      <c r="Q589" s="112"/>
      <c r="R589" s="112"/>
      <c r="S589" s="112"/>
      <c r="T589" s="112"/>
      <c r="U589" s="107"/>
      <c r="V589" s="107"/>
      <c r="W589" s="107"/>
      <c r="X589" s="107"/>
      <c r="Y589" s="107"/>
      <c r="Z589" s="112"/>
      <c r="AA589" s="112"/>
      <c r="AB589" s="112"/>
      <c r="AC589" s="112"/>
      <c r="AD589" s="112"/>
      <c r="AE589" s="112"/>
      <c r="AF589" s="112"/>
      <c r="AG589" s="117"/>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c r="BK589" s="124"/>
      <c r="BL589" s="124"/>
      <c r="BM589" s="124"/>
      <c r="BN589" s="124"/>
      <c r="BO589" s="124"/>
      <c r="BP589" s="124"/>
      <c r="BQ589" s="124"/>
      <c r="BR589" s="124"/>
      <c r="BS589" s="124"/>
      <c r="BT589" s="124"/>
      <c r="BU589" s="124"/>
      <c r="BV589" s="124"/>
      <c r="BW589" s="124"/>
      <c r="BX589" s="124"/>
      <c r="BY589" s="124"/>
      <c r="BZ589" s="124"/>
      <c r="CA589" s="124"/>
    </row>
    <row r="590">
      <c r="D590" s="143"/>
      <c r="E590" s="168"/>
      <c r="F590" s="112"/>
      <c r="G590" s="112"/>
      <c r="H590" s="112"/>
      <c r="I590" s="112"/>
      <c r="J590" s="112"/>
      <c r="K590" s="112"/>
      <c r="L590" s="112"/>
      <c r="M590" s="112"/>
      <c r="N590" s="112"/>
      <c r="O590" s="112"/>
      <c r="P590" s="112"/>
      <c r="Q590" s="112"/>
      <c r="R590" s="112"/>
      <c r="S590" s="112"/>
      <c r="T590" s="112"/>
      <c r="U590" s="107"/>
      <c r="V590" s="107"/>
      <c r="W590" s="107"/>
      <c r="X590" s="107"/>
      <c r="Y590" s="107"/>
      <c r="Z590" s="112"/>
      <c r="AA590" s="112"/>
      <c r="AB590" s="112"/>
      <c r="AC590" s="112"/>
      <c r="AD590" s="112"/>
      <c r="AE590" s="112"/>
      <c r="AF590" s="112"/>
      <c r="AG590" s="117"/>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row>
    <row r="591">
      <c r="D591" s="143"/>
      <c r="E591" s="168"/>
      <c r="F591" s="112"/>
      <c r="G591" s="112"/>
      <c r="H591" s="112"/>
      <c r="I591" s="112"/>
      <c r="J591" s="112"/>
      <c r="K591" s="112"/>
      <c r="L591" s="112"/>
      <c r="M591" s="112"/>
      <c r="N591" s="112"/>
      <c r="O591" s="112"/>
      <c r="P591" s="112"/>
      <c r="Q591" s="112"/>
      <c r="R591" s="112"/>
      <c r="S591" s="112"/>
      <c r="T591" s="112"/>
      <c r="U591" s="107"/>
      <c r="V591" s="107"/>
      <c r="W591" s="107"/>
      <c r="X591" s="107"/>
      <c r="Y591" s="107"/>
      <c r="Z591" s="112"/>
      <c r="AA591" s="112"/>
      <c r="AB591" s="112"/>
      <c r="AC591" s="112"/>
      <c r="AD591" s="112"/>
      <c r="AE591" s="112"/>
      <c r="AF591" s="112"/>
      <c r="AG591" s="117"/>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c r="BK591" s="124"/>
      <c r="BL591" s="124"/>
      <c r="BM591" s="124"/>
      <c r="BN591" s="124"/>
      <c r="BO591" s="124"/>
      <c r="BP591" s="124"/>
      <c r="BQ591" s="124"/>
      <c r="BR591" s="124"/>
      <c r="BS591" s="124"/>
      <c r="BT591" s="124"/>
      <c r="BU591" s="124"/>
      <c r="BV591" s="124"/>
      <c r="BW591" s="124"/>
      <c r="BX591" s="124"/>
      <c r="BY591" s="124"/>
      <c r="BZ591" s="124"/>
      <c r="CA591" s="124"/>
    </row>
    <row r="592">
      <c r="D592" s="143"/>
      <c r="E592" s="168"/>
      <c r="F592" s="112"/>
      <c r="G592" s="112"/>
      <c r="H592" s="112"/>
      <c r="I592" s="112"/>
      <c r="J592" s="112"/>
      <c r="K592" s="112"/>
      <c r="L592" s="112"/>
      <c r="M592" s="112"/>
      <c r="N592" s="112"/>
      <c r="O592" s="112"/>
      <c r="P592" s="112"/>
      <c r="Q592" s="112"/>
      <c r="R592" s="112"/>
      <c r="S592" s="112"/>
      <c r="T592" s="112"/>
      <c r="U592" s="107"/>
      <c r="V592" s="107"/>
      <c r="W592" s="107"/>
      <c r="X592" s="107"/>
      <c r="Y592" s="107"/>
      <c r="Z592" s="112"/>
      <c r="AA592" s="112"/>
      <c r="AB592" s="112"/>
      <c r="AC592" s="112"/>
      <c r="AD592" s="112"/>
      <c r="AE592" s="112"/>
      <c r="AF592" s="112"/>
      <c r="AG592" s="117"/>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c r="BK592" s="124"/>
      <c r="BL592" s="124"/>
      <c r="BM592" s="124"/>
      <c r="BN592" s="124"/>
      <c r="BO592" s="124"/>
      <c r="BP592" s="124"/>
      <c r="BQ592" s="124"/>
      <c r="BR592" s="124"/>
      <c r="BS592" s="124"/>
      <c r="BT592" s="124"/>
      <c r="BU592" s="124"/>
      <c r="BV592" s="124"/>
      <c r="BW592" s="124"/>
      <c r="BX592" s="124"/>
      <c r="BY592" s="124"/>
      <c r="BZ592" s="124"/>
      <c r="CA592" s="124"/>
    </row>
    <row r="593">
      <c r="D593" s="143"/>
      <c r="E593" s="168"/>
      <c r="F593" s="112"/>
      <c r="G593" s="112"/>
      <c r="H593" s="112"/>
      <c r="I593" s="112"/>
      <c r="J593" s="112"/>
      <c r="K593" s="112"/>
      <c r="L593" s="112"/>
      <c r="M593" s="112"/>
      <c r="N593" s="112"/>
      <c r="O593" s="112"/>
      <c r="P593" s="112"/>
      <c r="Q593" s="112"/>
      <c r="R593" s="112"/>
      <c r="S593" s="112"/>
      <c r="T593" s="112"/>
      <c r="U593" s="107"/>
      <c r="V593" s="107"/>
      <c r="W593" s="107"/>
      <c r="X593" s="107"/>
      <c r="Y593" s="107"/>
      <c r="Z593" s="112"/>
      <c r="AA593" s="112"/>
      <c r="AB593" s="112"/>
      <c r="AC593" s="112"/>
      <c r="AD593" s="112"/>
      <c r="AE593" s="112"/>
      <c r="AF593" s="112"/>
      <c r="AG593" s="117"/>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c r="BK593" s="124"/>
      <c r="BL593" s="124"/>
      <c r="BM593" s="124"/>
      <c r="BN593" s="124"/>
      <c r="BO593" s="124"/>
      <c r="BP593" s="124"/>
      <c r="BQ593" s="124"/>
      <c r="BR593" s="124"/>
      <c r="BS593" s="124"/>
      <c r="BT593" s="124"/>
      <c r="BU593" s="124"/>
      <c r="BV593" s="124"/>
      <c r="BW593" s="124"/>
      <c r="BX593" s="124"/>
      <c r="BY593" s="124"/>
      <c r="BZ593" s="124"/>
      <c r="CA593" s="124"/>
    </row>
    <row r="594">
      <c r="D594" s="143"/>
      <c r="E594" s="168"/>
      <c r="F594" s="112"/>
      <c r="G594" s="112"/>
      <c r="H594" s="112"/>
      <c r="I594" s="112"/>
      <c r="J594" s="112"/>
      <c r="K594" s="112"/>
      <c r="L594" s="112"/>
      <c r="M594" s="112"/>
      <c r="N594" s="112"/>
      <c r="O594" s="112"/>
      <c r="P594" s="112"/>
      <c r="Q594" s="112"/>
      <c r="R594" s="112"/>
      <c r="S594" s="112"/>
      <c r="T594" s="112"/>
      <c r="U594" s="107"/>
      <c r="V594" s="107"/>
      <c r="W594" s="107"/>
      <c r="X594" s="107"/>
      <c r="Y594" s="107"/>
      <c r="Z594" s="112"/>
      <c r="AA594" s="112"/>
      <c r="AB594" s="112"/>
      <c r="AC594" s="112"/>
      <c r="AD594" s="112"/>
      <c r="AE594" s="112"/>
      <c r="AF594" s="112"/>
      <c r="AG594" s="117"/>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c r="BK594" s="124"/>
      <c r="BL594" s="124"/>
      <c r="BM594" s="124"/>
      <c r="BN594" s="124"/>
      <c r="BO594" s="124"/>
      <c r="BP594" s="124"/>
      <c r="BQ594" s="124"/>
      <c r="BR594" s="124"/>
      <c r="BS594" s="124"/>
      <c r="BT594" s="124"/>
      <c r="BU594" s="124"/>
      <c r="BV594" s="124"/>
      <c r="BW594" s="124"/>
      <c r="BX594" s="124"/>
      <c r="BY594" s="124"/>
      <c r="BZ594" s="124"/>
      <c r="CA594" s="124"/>
    </row>
    <row r="595">
      <c r="D595" s="143"/>
      <c r="E595" s="168"/>
      <c r="F595" s="112"/>
      <c r="G595" s="112"/>
      <c r="H595" s="112"/>
      <c r="I595" s="112"/>
      <c r="J595" s="112"/>
      <c r="K595" s="112"/>
      <c r="L595" s="112"/>
      <c r="M595" s="112"/>
      <c r="N595" s="112"/>
      <c r="O595" s="112"/>
      <c r="P595" s="112"/>
      <c r="Q595" s="112"/>
      <c r="R595" s="112"/>
      <c r="S595" s="112"/>
      <c r="T595" s="112"/>
      <c r="U595" s="107"/>
      <c r="V595" s="107"/>
      <c r="W595" s="107"/>
      <c r="X595" s="107"/>
      <c r="Y595" s="107"/>
      <c r="Z595" s="112"/>
      <c r="AA595" s="112"/>
      <c r="AB595" s="112"/>
      <c r="AC595" s="112"/>
      <c r="AD595" s="112"/>
      <c r="AE595" s="112"/>
      <c r="AF595" s="112"/>
      <c r="AG595" s="117"/>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c r="BK595" s="124"/>
      <c r="BL595" s="124"/>
      <c r="BM595" s="124"/>
      <c r="BN595" s="124"/>
      <c r="BO595" s="124"/>
      <c r="BP595" s="124"/>
      <c r="BQ595" s="124"/>
      <c r="BR595" s="124"/>
      <c r="BS595" s="124"/>
      <c r="BT595" s="124"/>
      <c r="BU595" s="124"/>
      <c r="BV595" s="124"/>
      <c r="BW595" s="124"/>
      <c r="BX595" s="124"/>
      <c r="BY595" s="124"/>
      <c r="BZ595" s="124"/>
      <c r="CA595" s="124"/>
    </row>
    <row r="596">
      <c r="D596" s="143"/>
      <c r="E596" s="168"/>
      <c r="F596" s="112"/>
      <c r="G596" s="112"/>
      <c r="H596" s="112"/>
      <c r="I596" s="112"/>
      <c r="J596" s="112"/>
      <c r="K596" s="112"/>
      <c r="L596" s="112"/>
      <c r="M596" s="112"/>
      <c r="N596" s="112"/>
      <c r="O596" s="112"/>
      <c r="P596" s="112"/>
      <c r="Q596" s="112"/>
      <c r="R596" s="112"/>
      <c r="S596" s="112"/>
      <c r="T596" s="112"/>
      <c r="U596" s="107"/>
      <c r="V596" s="107"/>
      <c r="W596" s="107"/>
      <c r="X596" s="107"/>
      <c r="Y596" s="107"/>
      <c r="Z596" s="112"/>
      <c r="AA596" s="112"/>
      <c r="AB596" s="112"/>
      <c r="AC596" s="112"/>
      <c r="AD596" s="112"/>
      <c r="AE596" s="112"/>
      <c r="AF596" s="112"/>
      <c r="AG596" s="117"/>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row>
    <row r="597">
      <c r="D597" s="143"/>
      <c r="E597" s="168"/>
      <c r="F597" s="112"/>
      <c r="G597" s="112"/>
      <c r="H597" s="112"/>
      <c r="I597" s="112"/>
      <c r="J597" s="112"/>
      <c r="K597" s="112"/>
      <c r="L597" s="112"/>
      <c r="M597" s="112"/>
      <c r="N597" s="112"/>
      <c r="O597" s="112"/>
      <c r="P597" s="112"/>
      <c r="Q597" s="112"/>
      <c r="R597" s="112"/>
      <c r="S597" s="112"/>
      <c r="T597" s="112"/>
      <c r="U597" s="107"/>
      <c r="V597" s="107"/>
      <c r="W597" s="107"/>
      <c r="X597" s="107"/>
      <c r="Y597" s="107"/>
      <c r="Z597" s="112"/>
      <c r="AA597" s="112"/>
      <c r="AB597" s="112"/>
      <c r="AC597" s="112"/>
      <c r="AD597" s="112"/>
      <c r="AE597" s="112"/>
      <c r="AF597" s="112"/>
      <c r="AG597" s="117"/>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c r="BK597" s="124"/>
      <c r="BL597" s="124"/>
      <c r="BM597" s="124"/>
      <c r="BN597" s="124"/>
      <c r="BO597" s="124"/>
      <c r="BP597" s="124"/>
      <c r="BQ597" s="124"/>
      <c r="BR597" s="124"/>
      <c r="BS597" s="124"/>
      <c r="BT597" s="124"/>
      <c r="BU597" s="124"/>
      <c r="BV597" s="124"/>
      <c r="BW597" s="124"/>
      <c r="BX597" s="124"/>
      <c r="BY597" s="124"/>
      <c r="BZ597" s="124"/>
      <c r="CA597" s="124"/>
    </row>
    <row r="598">
      <c r="D598" s="143"/>
      <c r="E598" s="168"/>
      <c r="F598" s="112"/>
      <c r="G598" s="112"/>
      <c r="H598" s="112"/>
      <c r="I598" s="112"/>
      <c r="J598" s="112"/>
      <c r="K598" s="112"/>
      <c r="L598" s="112"/>
      <c r="M598" s="112"/>
      <c r="N598" s="112"/>
      <c r="O598" s="112"/>
      <c r="P598" s="112"/>
      <c r="Q598" s="112"/>
      <c r="R598" s="112"/>
      <c r="S598" s="112"/>
      <c r="T598" s="112"/>
      <c r="U598" s="107"/>
      <c r="V598" s="107"/>
      <c r="W598" s="107"/>
      <c r="X598" s="107"/>
      <c r="Y598" s="107"/>
      <c r="Z598" s="112"/>
      <c r="AA598" s="112"/>
      <c r="AB598" s="112"/>
      <c r="AC598" s="112"/>
      <c r="AD598" s="112"/>
      <c r="AE598" s="112"/>
      <c r="AF598" s="112"/>
      <c r="AG598" s="117"/>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c r="BK598" s="124"/>
      <c r="BL598" s="124"/>
      <c r="BM598" s="124"/>
      <c r="BN598" s="124"/>
      <c r="BO598" s="124"/>
      <c r="BP598" s="124"/>
      <c r="BQ598" s="124"/>
      <c r="BR598" s="124"/>
      <c r="BS598" s="124"/>
      <c r="BT598" s="124"/>
      <c r="BU598" s="124"/>
      <c r="BV598" s="124"/>
      <c r="BW598" s="124"/>
      <c r="BX598" s="124"/>
      <c r="BY598" s="124"/>
      <c r="BZ598" s="124"/>
      <c r="CA598" s="124"/>
    </row>
    <row r="599">
      <c r="D599" s="143"/>
      <c r="E599" s="168"/>
      <c r="F599" s="112"/>
      <c r="G599" s="112"/>
      <c r="H599" s="112"/>
      <c r="I599" s="112"/>
      <c r="J599" s="112"/>
      <c r="K599" s="112"/>
      <c r="L599" s="112"/>
      <c r="M599" s="112"/>
      <c r="N599" s="112"/>
      <c r="O599" s="112"/>
      <c r="P599" s="112"/>
      <c r="Q599" s="112"/>
      <c r="R599" s="112"/>
      <c r="S599" s="112"/>
      <c r="T599" s="112"/>
      <c r="U599" s="107"/>
      <c r="V599" s="107"/>
      <c r="W599" s="107"/>
      <c r="X599" s="107"/>
      <c r="Y599" s="107"/>
      <c r="Z599" s="112"/>
      <c r="AA599" s="112"/>
      <c r="AB599" s="112"/>
      <c r="AC599" s="112"/>
      <c r="AD599" s="112"/>
      <c r="AE599" s="112"/>
      <c r="AF599" s="112"/>
      <c r="AG599" s="117"/>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c r="BK599" s="124"/>
      <c r="BL599" s="124"/>
      <c r="BM599" s="124"/>
      <c r="BN599" s="124"/>
      <c r="BO599" s="124"/>
      <c r="BP599" s="124"/>
      <c r="BQ599" s="124"/>
      <c r="BR599" s="124"/>
      <c r="BS599" s="124"/>
      <c r="BT599" s="124"/>
      <c r="BU599" s="124"/>
      <c r="BV599" s="124"/>
      <c r="BW599" s="124"/>
      <c r="BX599" s="124"/>
      <c r="BY599" s="124"/>
      <c r="BZ599" s="124"/>
      <c r="CA599" s="124"/>
    </row>
    <row r="600">
      <c r="D600" s="143"/>
      <c r="E600" s="168"/>
      <c r="F600" s="112"/>
      <c r="G600" s="112"/>
      <c r="H600" s="112"/>
      <c r="I600" s="112"/>
      <c r="J600" s="112"/>
      <c r="K600" s="112"/>
      <c r="L600" s="112"/>
      <c r="M600" s="112"/>
      <c r="N600" s="112"/>
      <c r="O600" s="112"/>
      <c r="P600" s="112"/>
      <c r="Q600" s="112"/>
      <c r="R600" s="112"/>
      <c r="S600" s="112"/>
      <c r="T600" s="112"/>
      <c r="U600" s="107"/>
      <c r="V600" s="107"/>
      <c r="W600" s="107"/>
      <c r="X600" s="107"/>
      <c r="Y600" s="107"/>
      <c r="Z600" s="112"/>
      <c r="AA600" s="112"/>
      <c r="AB600" s="112"/>
      <c r="AC600" s="112"/>
      <c r="AD600" s="112"/>
      <c r="AE600" s="112"/>
      <c r="AF600" s="112"/>
      <c r="AG600" s="117"/>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c r="BK600" s="124"/>
      <c r="BL600" s="124"/>
      <c r="BM600" s="124"/>
      <c r="BN600" s="124"/>
      <c r="BO600" s="124"/>
      <c r="BP600" s="124"/>
      <c r="BQ600" s="124"/>
      <c r="BR600" s="124"/>
      <c r="BS600" s="124"/>
      <c r="BT600" s="124"/>
      <c r="BU600" s="124"/>
      <c r="BV600" s="124"/>
      <c r="BW600" s="124"/>
      <c r="BX600" s="124"/>
      <c r="BY600" s="124"/>
      <c r="BZ600" s="124"/>
      <c r="CA600" s="124"/>
    </row>
    <row r="601">
      <c r="D601" s="143"/>
      <c r="E601" s="168"/>
      <c r="F601" s="112"/>
      <c r="G601" s="112"/>
      <c r="H601" s="112"/>
      <c r="I601" s="112"/>
      <c r="J601" s="112"/>
      <c r="K601" s="112"/>
      <c r="L601" s="112"/>
      <c r="M601" s="112"/>
      <c r="N601" s="112"/>
      <c r="O601" s="112"/>
      <c r="P601" s="112"/>
      <c r="Q601" s="112"/>
      <c r="R601" s="112"/>
      <c r="S601" s="112"/>
      <c r="T601" s="112"/>
      <c r="U601" s="107"/>
      <c r="V601" s="107"/>
      <c r="W601" s="107"/>
      <c r="X601" s="107"/>
      <c r="Y601" s="107"/>
      <c r="Z601" s="112"/>
      <c r="AA601" s="112"/>
      <c r="AB601" s="112"/>
      <c r="AC601" s="112"/>
      <c r="AD601" s="112"/>
      <c r="AE601" s="112"/>
      <c r="AF601" s="112"/>
      <c r="AG601" s="117"/>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c r="BK601" s="124"/>
      <c r="BL601" s="124"/>
      <c r="BM601" s="124"/>
      <c r="BN601" s="124"/>
      <c r="BO601" s="124"/>
      <c r="BP601" s="124"/>
      <c r="BQ601" s="124"/>
      <c r="BR601" s="124"/>
      <c r="BS601" s="124"/>
      <c r="BT601" s="124"/>
      <c r="BU601" s="124"/>
      <c r="BV601" s="124"/>
      <c r="BW601" s="124"/>
      <c r="BX601" s="124"/>
      <c r="BY601" s="124"/>
      <c r="BZ601" s="124"/>
      <c r="CA601" s="124"/>
    </row>
    <row r="602">
      <c r="D602" s="143"/>
      <c r="E602" s="168"/>
      <c r="F602" s="112"/>
      <c r="G602" s="112"/>
      <c r="H602" s="112"/>
      <c r="I602" s="112"/>
      <c r="J602" s="112"/>
      <c r="K602" s="112"/>
      <c r="L602" s="112"/>
      <c r="M602" s="112"/>
      <c r="N602" s="112"/>
      <c r="O602" s="112"/>
      <c r="P602" s="112"/>
      <c r="Q602" s="112"/>
      <c r="R602" s="112"/>
      <c r="S602" s="112"/>
      <c r="T602" s="112"/>
      <c r="U602" s="107"/>
      <c r="V602" s="107"/>
      <c r="W602" s="107"/>
      <c r="X602" s="107"/>
      <c r="Y602" s="107"/>
      <c r="Z602" s="112"/>
      <c r="AA602" s="112"/>
      <c r="AB602" s="112"/>
      <c r="AC602" s="112"/>
      <c r="AD602" s="112"/>
      <c r="AE602" s="112"/>
      <c r="AF602" s="112"/>
      <c r="AG602" s="117"/>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c r="BK602" s="124"/>
      <c r="BL602" s="124"/>
      <c r="BM602" s="124"/>
      <c r="BN602" s="124"/>
      <c r="BO602" s="124"/>
      <c r="BP602" s="124"/>
      <c r="BQ602" s="124"/>
      <c r="BR602" s="124"/>
      <c r="BS602" s="124"/>
      <c r="BT602" s="124"/>
      <c r="BU602" s="124"/>
      <c r="BV602" s="124"/>
      <c r="BW602" s="124"/>
      <c r="BX602" s="124"/>
      <c r="BY602" s="124"/>
      <c r="BZ602" s="124"/>
      <c r="CA602" s="124"/>
    </row>
    <row r="603">
      <c r="D603" s="143"/>
      <c r="E603" s="168"/>
      <c r="F603" s="112"/>
      <c r="G603" s="112"/>
      <c r="H603" s="112"/>
      <c r="I603" s="112"/>
      <c r="J603" s="112"/>
      <c r="K603" s="112"/>
      <c r="L603" s="112"/>
      <c r="M603" s="112"/>
      <c r="N603" s="112"/>
      <c r="O603" s="112"/>
      <c r="P603" s="112"/>
      <c r="Q603" s="112"/>
      <c r="R603" s="112"/>
      <c r="S603" s="112"/>
      <c r="T603" s="112"/>
      <c r="U603" s="107"/>
      <c r="V603" s="107"/>
      <c r="W603" s="107"/>
      <c r="X603" s="107"/>
      <c r="Y603" s="107"/>
      <c r="Z603" s="112"/>
      <c r="AA603" s="112"/>
      <c r="AB603" s="112"/>
      <c r="AC603" s="112"/>
      <c r="AD603" s="112"/>
      <c r="AE603" s="112"/>
      <c r="AF603" s="112"/>
      <c r="AG603" s="117"/>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c r="BK603" s="124"/>
      <c r="BL603" s="124"/>
      <c r="BM603" s="124"/>
      <c r="BN603" s="124"/>
      <c r="BO603" s="124"/>
      <c r="BP603" s="124"/>
      <c r="BQ603" s="124"/>
      <c r="BR603" s="124"/>
      <c r="BS603" s="124"/>
      <c r="BT603" s="124"/>
      <c r="BU603" s="124"/>
      <c r="BV603" s="124"/>
      <c r="BW603" s="124"/>
      <c r="BX603" s="124"/>
      <c r="BY603" s="124"/>
      <c r="BZ603" s="124"/>
      <c r="CA603" s="124"/>
    </row>
    <row r="604">
      <c r="D604" s="143"/>
      <c r="E604" s="168"/>
      <c r="F604" s="112"/>
      <c r="G604" s="112"/>
      <c r="H604" s="112"/>
      <c r="I604" s="112"/>
      <c r="J604" s="112"/>
      <c r="K604" s="112"/>
      <c r="L604" s="112"/>
      <c r="M604" s="112"/>
      <c r="N604" s="112"/>
      <c r="O604" s="112"/>
      <c r="P604" s="112"/>
      <c r="Q604" s="112"/>
      <c r="R604" s="112"/>
      <c r="S604" s="112"/>
      <c r="T604" s="112"/>
      <c r="U604" s="107"/>
      <c r="V604" s="107"/>
      <c r="W604" s="107"/>
      <c r="X604" s="107"/>
      <c r="Y604" s="107"/>
      <c r="Z604" s="112"/>
      <c r="AA604" s="112"/>
      <c r="AB604" s="112"/>
      <c r="AC604" s="112"/>
      <c r="AD604" s="112"/>
      <c r="AE604" s="112"/>
      <c r="AF604" s="112"/>
      <c r="AG604" s="117"/>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c r="BK604" s="124"/>
      <c r="BL604" s="124"/>
      <c r="BM604" s="124"/>
      <c r="BN604" s="124"/>
      <c r="BO604" s="124"/>
      <c r="BP604" s="124"/>
      <c r="BQ604" s="124"/>
      <c r="BR604" s="124"/>
      <c r="BS604" s="124"/>
      <c r="BT604" s="124"/>
      <c r="BU604" s="124"/>
      <c r="BV604" s="124"/>
      <c r="BW604" s="124"/>
      <c r="BX604" s="124"/>
      <c r="BY604" s="124"/>
      <c r="BZ604" s="124"/>
      <c r="CA604" s="124"/>
    </row>
    <row r="605">
      <c r="D605" s="143"/>
      <c r="E605" s="168"/>
      <c r="F605" s="112"/>
      <c r="G605" s="112"/>
      <c r="H605" s="112"/>
      <c r="I605" s="112"/>
      <c r="J605" s="112"/>
      <c r="K605" s="112"/>
      <c r="L605" s="112"/>
      <c r="M605" s="112"/>
      <c r="N605" s="112"/>
      <c r="O605" s="112"/>
      <c r="P605" s="112"/>
      <c r="Q605" s="112"/>
      <c r="R605" s="112"/>
      <c r="S605" s="112"/>
      <c r="T605" s="112"/>
      <c r="U605" s="107"/>
      <c r="V605" s="107"/>
      <c r="W605" s="107"/>
      <c r="X605" s="107"/>
      <c r="Y605" s="107"/>
      <c r="Z605" s="112"/>
      <c r="AA605" s="112"/>
      <c r="AB605" s="112"/>
      <c r="AC605" s="112"/>
      <c r="AD605" s="112"/>
      <c r="AE605" s="112"/>
      <c r="AF605" s="112"/>
      <c r="AG605" s="117"/>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c r="BK605" s="124"/>
      <c r="BL605" s="124"/>
      <c r="BM605" s="124"/>
      <c r="BN605" s="124"/>
      <c r="BO605" s="124"/>
      <c r="BP605" s="124"/>
      <c r="BQ605" s="124"/>
      <c r="BR605" s="124"/>
      <c r="BS605" s="124"/>
      <c r="BT605" s="124"/>
      <c r="BU605" s="124"/>
      <c r="BV605" s="124"/>
      <c r="BW605" s="124"/>
      <c r="BX605" s="124"/>
      <c r="BY605" s="124"/>
      <c r="BZ605" s="124"/>
      <c r="CA605" s="124"/>
    </row>
    <row r="606">
      <c r="D606" s="143"/>
      <c r="E606" s="168"/>
      <c r="F606" s="112"/>
      <c r="G606" s="112"/>
      <c r="H606" s="112"/>
      <c r="I606" s="112"/>
      <c r="J606" s="112"/>
      <c r="K606" s="112"/>
      <c r="L606" s="112"/>
      <c r="M606" s="112"/>
      <c r="N606" s="112"/>
      <c r="O606" s="112"/>
      <c r="P606" s="112"/>
      <c r="Q606" s="112"/>
      <c r="R606" s="112"/>
      <c r="S606" s="112"/>
      <c r="T606" s="112"/>
      <c r="U606" s="107"/>
      <c r="V606" s="107"/>
      <c r="W606" s="107"/>
      <c r="X606" s="107"/>
      <c r="Y606" s="107"/>
      <c r="Z606" s="112"/>
      <c r="AA606" s="112"/>
      <c r="AB606" s="112"/>
      <c r="AC606" s="112"/>
      <c r="AD606" s="112"/>
      <c r="AE606" s="112"/>
      <c r="AF606" s="112"/>
      <c r="AG606" s="117"/>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c r="BK606" s="124"/>
      <c r="BL606" s="124"/>
      <c r="BM606" s="124"/>
      <c r="BN606" s="124"/>
      <c r="BO606" s="124"/>
      <c r="BP606" s="124"/>
      <c r="BQ606" s="124"/>
      <c r="BR606" s="124"/>
      <c r="BS606" s="124"/>
      <c r="BT606" s="124"/>
      <c r="BU606" s="124"/>
      <c r="BV606" s="124"/>
      <c r="BW606" s="124"/>
      <c r="BX606" s="124"/>
      <c r="BY606" s="124"/>
      <c r="BZ606" s="124"/>
      <c r="CA606" s="124"/>
    </row>
    <row r="607">
      <c r="D607" s="143"/>
      <c r="E607" s="168"/>
      <c r="F607" s="112"/>
      <c r="G607" s="112"/>
      <c r="H607" s="112"/>
      <c r="I607" s="112"/>
      <c r="J607" s="112"/>
      <c r="K607" s="112"/>
      <c r="L607" s="112"/>
      <c r="M607" s="112"/>
      <c r="N607" s="112"/>
      <c r="O607" s="112"/>
      <c r="P607" s="112"/>
      <c r="Q607" s="112"/>
      <c r="R607" s="112"/>
      <c r="S607" s="112"/>
      <c r="T607" s="112"/>
      <c r="U607" s="107"/>
      <c r="V607" s="107"/>
      <c r="W607" s="107"/>
      <c r="X607" s="107"/>
      <c r="Y607" s="107"/>
      <c r="Z607" s="112"/>
      <c r="AA607" s="112"/>
      <c r="AB607" s="112"/>
      <c r="AC607" s="112"/>
      <c r="AD607" s="112"/>
      <c r="AE607" s="112"/>
      <c r="AF607" s="112"/>
      <c r="AG607" s="117"/>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c r="BK607" s="124"/>
      <c r="BL607" s="124"/>
      <c r="BM607" s="124"/>
      <c r="BN607" s="124"/>
      <c r="BO607" s="124"/>
      <c r="BP607" s="124"/>
      <c r="BQ607" s="124"/>
      <c r="BR607" s="124"/>
      <c r="BS607" s="124"/>
      <c r="BT607" s="124"/>
      <c r="BU607" s="124"/>
      <c r="BV607" s="124"/>
      <c r="BW607" s="124"/>
      <c r="BX607" s="124"/>
      <c r="BY607" s="124"/>
      <c r="BZ607" s="124"/>
      <c r="CA607" s="124"/>
    </row>
    <row r="608">
      <c r="D608" s="143"/>
      <c r="E608" s="168"/>
      <c r="F608" s="112"/>
      <c r="G608" s="112"/>
      <c r="H608" s="112"/>
      <c r="I608" s="112"/>
      <c r="J608" s="112"/>
      <c r="K608" s="112"/>
      <c r="L608" s="112"/>
      <c r="M608" s="112"/>
      <c r="N608" s="112"/>
      <c r="O608" s="112"/>
      <c r="P608" s="112"/>
      <c r="Q608" s="112"/>
      <c r="R608" s="112"/>
      <c r="S608" s="112"/>
      <c r="T608" s="112"/>
      <c r="U608" s="107"/>
      <c r="V608" s="107"/>
      <c r="W608" s="107"/>
      <c r="X608" s="107"/>
      <c r="Y608" s="107"/>
      <c r="Z608" s="112"/>
      <c r="AA608" s="112"/>
      <c r="AB608" s="112"/>
      <c r="AC608" s="112"/>
      <c r="AD608" s="112"/>
      <c r="AE608" s="112"/>
      <c r="AF608" s="112"/>
      <c r="AG608" s="117"/>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c r="BK608" s="124"/>
      <c r="BL608" s="124"/>
      <c r="BM608" s="124"/>
      <c r="BN608" s="124"/>
      <c r="BO608" s="124"/>
      <c r="BP608" s="124"/>
      <c r="BQ608" s="124"/>
      <c r="BR608" s="124"/>
      <c r="BS608" s="124"/>
      <c r="BT608" s="124"/>
      <c r="BU608" s="124"/>
      <c r="BV608" s="124"/>
      <c r="BW608" s="124"/>
      <c r="BX608" s="124"/>
      <c r="BY608" s="124"/>
      <c r="BZ608" s="124"/>
      <c r="CA608" s="124"/>
    </row>
    <row r="609">
      <c r="D609" s="143"/>
      <c r="E609" s="168"/>
      <c r="F609" s="112"/>
      <c r="G609" s="112"/>
      <c r="H609" s="112"/>
      <c r="I609" s="112"/>
      <c r="J609" s="112"/>
      <c r="K609" s="112"/>
      <c r="L609" s="112"/>
      <c r="M609" s="112"/>
      <c r="N609" s="112"/>
      <c r="O609" s="112"/>
      <c r="P609" s="112"/>
      <c r="Q609" s="112"/>
      <c r="R609" s="112"/>
      <c r="S609" s="112"/>
      <c r="T609" s="112"/>
      <c r="U609" s="107"/>
      <c r="V609" s="107"/>
      <c r="W609" s="107"/>
      <c r="X609" s="107"/>
      <c r="Y609" s="107"/>
      <c r="Z609" s="112"/>
      <c r="AA609" s="112"/>
      <c r="AB609" s="112"/>
      <c r="AC609" s="112"/>
      <c r="AD609" s="112"/>
      <c r="AE609" s="112"/>
      <c r="AF609" s="112"/>
      <c r="AG609" s="117"/>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c r="BK609" s="124"/>
      <c r="BL609" s="124"/>
      <c r="BM609" s="124"/>
      <c r="BN609" s="124"/>
      <c r="BO609" s="124"/>
      <c r="BP609" s="124"/>
      <c r="BQ609" s="124"/>
      <c r="BR609" s="124"/>
      <c r="BS609" s="124"/>
      <c r="BT609" s="124"/>
      <c r="BU609" s="124"/>
      <c r="BV609" s="124"/>
      <c r="BW609" s="124"/>
      <c r="BX609" s="124"/>
      <c r="BY609" s="124"/>
      <c r="BZ609" s="124"/>
      <c r="CA609" s="124"/>
    </row>
    <row r="610">
      <c r="D610" s="143"/>
      <c r="E610" s="168"/>
      <c r="F610" s="112"/>
      <c r="G610" s="112"/>
      <c r="H610" s="112"/>
      <c r="I610" s="112"/>
      <c r="J610" s="112"/>
      <c r="K610" s="112"/>
      <c r="L610" s="112"/>
      <c r="M610" s="112"/>
      <c r="N610" s="112"/>
      <c r="O610" s="112"/>
      <c r="P610" s="112"/>
      <c r="Q610" s="112"/>
      <c r="R610" s="112"/>
      <c r="S610" s="112"/>
      <c r="T610" s="112"/>
      <c r="U610" s="107"/>
      <c r="V610" s="107"/>
      <c r="W610" s="107"/>
      <c r="X610" s="107"/>
      <c r="Y610" s="107"/>
      <c r="Z610" s="112"/>
      <c r="AA610" s="112"/>
      <c r="AB610" s="112"/>
      <c r="AC610" s="112"/>
      <c r="AD610" s="112"/>
      <c r="AE610" s="112"/>
      <c r="AF610" s="112"/>
      <c r="AG610" s="117"/>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c r="BK610" s="124"/>
      <c r="BL610" s="124"/>
      <c r="BM610" s="124"/>
      <c r="BN610" s="124"/>
      <c r="BO610" s="124"/>
      <c r="BP610" s="124"/>
      <c r="BQ610" s="124"/>
      <c r="BR610" s="124"/>
      <c r="BS610" s="124"/>
      <c r="BT610" s="124"/>
      <c r="BU610" s="124"/>
      <c r="BV610" s="124"/>
      <c r="BW610" s="124"/>
      <c r="BX610" s="124"/>
      <c r="BY610" s="124"/>
      <c r="BZ610" s="124"/>
      <c r="CA610" s="124"/>
    </row>
    <row r="611">
      <c r="D611" s="143"/>
      <c r="E611" s="168"/>
      <c r="F611" s="112"/>
      <c r="G611" s="112"/>
      <c r="H611" s="112"/>
      <c r="I611" s="112"/>
      <c r="J611" s="112"/>
      <c r="K611" s="112"/>
      <c r="L611" s="112"/>
      <c r="M611" s="112"/>
      <c r="N611" s="112"/>
      <c r="O611" s="112"/>
      <c r="P611" s="112"/>
      <c r="Q611" s="112"/>
      <c r="R611" s="112"/>
      <c r="S611" s="112"/>
      <c r="T611" s="112"/>
      <c r="U611" s="107"/>
      <c r="V611" s="107"/>
      <c r="W611" s="107"/>
      <c r="X611" s="107"/>
      <c r="Y611" s="107"/>
      <c r="Z611" s="112"/>
      <c r="AA611" s="112"/>
      <c r="AB611" s="112"/>
      <c r="AC611" s="112"/>
      <c r="AD611" s="112"/>
      <c r="AE611" s="112"/>
      <c r="AF611" s="112"/>
      <c r="AG611" s="117"/>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c r="BK611" s="124"/>
      <c r="BL611" s="124"/>
      <c r="BM611" s="124"/>
      <c r="BN611" s="124"/>
      <c r="BO611" s="124"/>
      <c r="BP611" s="124"/>
      <c r="BQ611" s="124"/>
      <c r="BR611" s="124"/>
      <c r="BS611" s="124"/>
      <c r="BT611" s="124"/>
      <c r="BU611" s="124"/>
      <c r="BV611" s="124"/>
      <c r="BW611" s="124"/>
      <c r="BX611" s="124"/>
      <c r="BY611" s="124"/>
      <c r="BZ611" s="124"/>
      <c r="CA611" s="124"/>
    </row>
    <row r="612">
      <c r="D612" s="143"/>
      <c r="E612" s="168"/>
      <c r="F612" s="112"/>
      <c r="G612" s="112"/>
      <c r="H612" s="112"/>
      <c r="I612" s="112"/>
      <c r="J612" s="112"/>
      <c r="K612" s="112"/>
      <c r="L612" s="112"/>
      <c r="M612" s="112"/>
      <c r="N612" s="112"/>
      <c r="O612" s="112"/>
      <c r="P612" s="112"/>
      <c r="Q612" s="112"/>
      <c r="R612" s="112"/>
      <c r="S612" s="112"/>
      <c r="T612" s="112"/>
      <c r="U612" s="107"/>
      <c r="V612" s="107"/>
      <c r="W612" s="107"/>
      <c r="X612" s="107"/>
      <c r="Y612" s="107"/>
      <c r="Z612" s="112"/>
      <c r="AA612" s="112"/>
      <c r="AB612" s="112"/>
      <c r="AC612" s="112"/>
      <c r="AD612" s="112"/>
      <c r="AE612" s="112"/>
      <c r="AF612" s="112"/>
      <c r="AG612" s="117"/>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c r="BK612" s="124"/>
      <c r="BL612" s="124"/>
      <c r="BM612" s="124"/>
      <c r="BN612" s="124"/>
      <c r="BO612" s="124"/>
      <c r="BP612" s="124"/>
      <c r="BQ612" s="124"/>
      <c r="BR612" s="124"/>
      <c r="BS612" s="124"/>
      <c r="BT612" s="124"/>
      <c r="BU612" s="124"/>
      <c r="BV612" s="124"/>
      <c r="BW612" s="124"/>
      <c r="BX612" s="124"/>
      <c r="BY612" s="124"/>
      <c r="BZ612" s="124"/>
      <c r="CA612" s="124"/>
    </row>
    <row r="613">
      <c r="D613" s="143"/>
      <c r="E613" s="168"/>
      <c r="F613" s="112"/>
      <c r="G613" s="112"/>
      <c r="H613" s="112"/>
      <c r="I613" s="112"/>
      <c r="J613" s="112"/>
      <c r="K613" s="112"/>
      <c r="L613" s="112"/>
      <c r="M613" s="112"/>
      <c r="N613" s="112"/>
      <c r="O613" s="112"/>
      <c r="P613" s="112"/>
      <c r="Q613" s="112"/>
      <c r="R613" s="112"/>
      <c r="S613" s="112"/>
      <c r="T613" s="112"/>
      <c r="U613" s="107"/>
      <c r="V613" s="107"/>
      <c r="W613" s="107"/>
      <c r="X613" s="107"/>
      <c r="Y613" s="107"/>
      <c r="Z613" s="112"/>
      <c r="AA613" s="112"/>
      <c r="AB613" s="112"/>
      <c r="AC613" s="112"/>
      <c r="AD613" s="112"/>
      <c r="AE613" s="112"/>
      <c r="AF613" s="112"/>
      <c r="AG613" s="117"/>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c r="BK613" s="124"/>
      <c r="BL613" s="124"/>
      <c r="BM613" s="124"/>
      <c r="BN613" s="124"/>
      <c r="BO613" s="124"/>
      <c r="BP613" s="124"/>
      <c r="BQ613" s="124"/>
      <c r="BR613" s="124"/>
      <c r="BS613" s="124"/>
      <c r="BT613" s="124"/>
      <c r="BU613" s="124"/>
      <c r="BV613" s="124"/>
      <c r="BW613" s="124"/>
      <c r="BX613" s="124"/>
      <c r="BY613" s="124"/>
      <c r="BZ613" s="124"/>
      <c r="CA613" s="124"/>
    </row>
    <row r="614">
      <c r="D614" s="143"/>
      <c r="E614" s="168"/>
      <c r="F614" s="112"/>
      <c r="G614" s="112"/>
      <c r="H614" s="112"/>
      <c r="I614" s="112"/>
      <c r="J614" s="112"/>
      <c r="K614" s="112"/>
      <c r="L614" s="112"/>
      <c r="M614" s="112"/>
      <c r="N614" s="112"/>
      <c r="O614" s="112"/>
      <c r="P614" s="112"/>
      <c r="Q614" s="112"/>
      <c r="R614" s="112"/>
      <c r="S614" s="112"/>
      <c r="T614" s="112"/>
      <c r="U614" s="107"/>
      <c r="V614" s="107"/>
      <c r="W614" s="107"/>
      <c r="X614" s="107"/>
      <c r="Y614" s="107"/>
      <c r="Z614" s="112"/>
      <c r="AA614" s="112"/>
      <c r="AB614" s="112"/>
      <c r="AC614" s="112"/>
      <c r="AD614" s="112"/>
      <c r="AE614" s="112"/>
      <c r="AF614" s="112"/>
      <c r="AG614" s="117"/>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c r="BK614" s="124"/>
      <c r="BL614" s="124"/>
      <c r="BM614" s="124"/>
      <c r="BN614" s="124"/>
      <c r="BO614" s="124"/>
      <c r="BP614" s="124"/>
      <c r="BQ614" s="124"/>
      <c r="BR614" s="124"/>
      <c r="BS614" s="124"/>
      <c r="BT614" s="124"/>
      <c r="BU614" s="124"/>
      <c r="BV614" s="124"/>
      <c r="BW614" s="124"/>
      <c r="BX614" s="124"/>
      <c r="BY614" s="124"/>
      <c r="BZ614" s="124"/>
      <c r="CA614" s="124"/>
    </row>
    <row r="615">
      <c r="D615" s="143"/>
      <c r="E615" s="168"/>
      <c r="F615" s="112"/>
      <c r="G615" s="112"/>
      <c r="H615" s="112"/>
      <c r="I615" s="112"/>
      <c r="J615" s="112"/>
      <c r="K615" s="112"/>
      <c r="L615" s="112"/>
      <c r="M615" s="112"/>
      <c r="N615" s="112"/>
      <c r="O615" s="112"/>
      <c r="P615" s="112"/>
      <c r="Q615" s="112"/>
      <c r="R615" s="112"/>
      <c r="S615" s="112"/>
      <c r="T615" s="112"/>
      <c r="U615" s="107"/>
      <c r="V615" s="107"/>
      <c r="W615" s="107"/>
      <c r="X615" s="107"/>
      <c r="Y615" s="107"/>
      <c r="Z615" s="112"/>
      <c r="AA615" s="112"/>
      <c r="AB615" s="112"/>
      <c r="AC615" s="112"/>
      <c r="AD615" s="112"/>
      <c r="AE615" s="112"/>
      <c r="AF615" s="112"/>
      <c r="AG615" s="117"/>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c r="BK615" s="124"/>
      <c r="BL615" s="124"/>
      <c r="BM615" s="124"/>
      <c r="BN615" s="124"/>
      <c r="BO615" s="124"/>
      <c r="BP615" s="124"/>
      <c r="BQ615" s="124"/>
      <c r="BR615" s="124"/>
      <c r="BS615" s="124"/>
      <c r="BT615" s="124"/>
      <c r="BU615" s="124"/>
      <c r="BV615" s="124"/>
      <c r="BW615" s="124"/>
      <c r="BX615" s="124"/>
      <c r="BY615" s="124"/>
      <c r="BZ615" s="124"/>
      <c r="CA615" s="124"/>
    </row>
    <row r="616">
      <c r="D616" s="143"/>
      <c r="E616" s="168"/>
      <c r="F616" s="112"/>
      <c r="G616" s="112"/>
      <c r="H616" s="112"/>
      <c r="I616" s="112"/>
      <c r="J616" s="112"/>
      <c r="K616" s="112"/>
      <c r="L616" s="112"/>
      <c r="M616" s="112"/>
      <c r="N616" s="112"/>
      <c r="O616" s="112"/>
      <c r="P616" s="112"/>
      <c r="Q616" s="112"/>
      <c r="R616" s="112"/>
      <c r="S616" s="112"/>
      <c r="T616" s="112"/>
      <c r="U616" s="107"/>
      <c r="V616" s="107"/>
      <c r="W616" s="107"/>
      <c r="X616" s="107"/>
      <c r="Y616" s="107"/>
      <c r="Z616" s="112"/>
      <c r="AA616" s="112"/>
      <c r="AB616" s="112"/>
      <c r="AC616" s="112"/>
      <c r="AD616" s="112"/>
      <c r="AE616" s="112"/>
      <c r="AF616" s="112"/>
      <c r="AG616" s="117"/>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c r="BK616" s="124"/>
      <c r="BL616" s="124"/>
      <c r="BM616" s="124"/>
      <c r="BN616" s="124"/>
      <c r="BO616" s="124"/>
      <c r="BP616" s="124"/>
      <c r="BQ616" s="124"/>
      <c r="BR616" s="124"/>
      <c r="BS616" s="124"/>
      <c r="BT616" s="124"/>
      <c r="BU616" s="124"/>
      <c r="BV616" s="124"/>
      <c r="BW616" s="124"/>
      <c r="BX616" s="124"/>
      <c r="BY616" s="124"/>
      <c r="BZ616" s="124"/>
      <c r="CA616" s="124"/>
    </row>
    <row r="617">
      <c r="D617" s="143"/>
      <c r="E617" s="168"/>
      <c r="F617" s="112"/>
      <c r="G617" s="112"/>
      <c r="H617" s="112"/>
      <c r="I617" s="112"/>
      <c r="J617" s="112"/>
      <c r="K617" s="112"/>
      <c r="L617" s="112"/>
      <c r="M617" s="112"/>
      <c r="N617" s="112"/>
      <c r="O617" s="112"/>
      <c r="P617" s="112"/>
      <c r="Q617" s="112"/>
      <c r="R617" s="112"/>
      <c r="S617" s="112"/>
      <c r="T617" s="112"/>
      <c r="U617" s="107"/>
      <c r="V617" s="107"/>
      <c r="W617" s="107"/>
      <c r="X617" s="107"/>
      <c r="Y617" s="107"/>
      <c r="Z617" s="112"/>
      <c r="AA617" s="112"/>
      <c r="AB617" s="112"/>
      <c r="AC617" s="112"/>
      <c r="AD617" s="112"/>
      <c r="AE617" s="112"/>
      <c r="AF617" s="112"/>
      <c r="AG617" s="117"/>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c r="BK617" s="124"/>
      <c r="BL617" s="124"/>
      <c r="BM617" s="124"/>
      <c r="BN617" s="124"/>
      <c r="BO617" s="124"/>
      <c r="BP617" s="124"/>
      <c r="BQ617" s="124"/>
      <c r="BR617" s="124"/>
      <c r="BS617" s="124"/>
      <c r="BT617" s="124"/>
      <c r="BU617" s="124"/>
      <c r="BV617" s="124"/>
      <c r="BW617" s="124"/>
      <c r="BX617" s="124"/>
      <c r="BY617" s="124"/>
      <c r="BZ617" s="124"/>
      <c r="CA617" s="124"/>
    </row>
    <row r="618">
      <c r="D618" s="143"/>
      <c r="E618" s="168"/>
      <c r="F618" s="112"/>
      <c r="G618" s="112"/>
      <c r="H618" s="112"/>
      <c r="I618" s="112"/>
      <c r="J618" s="112"/>
      <c r="K618" s="112"/>
      <c r="L618" s="112"/>
      <c r="M618" s="112"/>
      <c r="N618" s="112"/>
      <c r="O618" s="112"/>
      <c r="P618" s="112"/>
      <c r="Q618" s="112"/>
      <c r="R618" s="112"/>
      <c r="S618" s="112"/>
      <c r="T618" s="112"/>
      <c r="U618" s="107"/>
      <c r="V618" s="107"/>
      <c r="W618" s="107"/>
      <c r="X618" s="107"/>
      <c r="Y618" s="107"/>
      <c r="Z618" s="112"/>
      <c r="AA618" s="112"/>
      <c r="AB618" s="112"/>
      <c r="AC618" s="112"/>
      <c r="AD618" s="112"/>
      <c r="AE618" s="112"/>
      <c r="AF618" s="112"/>
      <c r="AG618" s="117"/>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c r="BK618" s="124"/>
      <c r="BL618" s="124"/>
      <c r="BM618" s="124"/>
      <c r="BN618" s="124"/>
      <c r="BO618" s="124"/>
      <c r="BP618" s="124"/>
      <c r="BQ618" s="124"/>
      <c r="BR618" s="124"/>
      <c r="BS618" s="124"/>
      <c r="BT618" s="124"/>
      <c r="BU618" s="124"/>
      <c r="BV618" s="124"/>
      <c r="BW618" s="124"/>
      <c r="BX618" s="124"/>
      <c r="BY618" s="124"/>
      <c r="BZ618" s="124"/>
      <c r="CA618" s="124"/>
    </row>
    <row r="619">
      <c r="D619" s="143"/>
      <c r="E619" s="168"/>
      <c r="F619" s="112"/>
      <c r="G619" s="112"/>
      <c r="H619" s="112"/>
      <c r="I619" s="112"/>
      <c r="J619" s="112"/>
      <c r="K619" s="112"/>
      <c r="L619" s="112"/>
      <c r="M619" s="112"/>
      <c r="N619" s="112"/>
      <c r="O619" s="112"/>
      <c r="P619" s="112"/>
      <c r="Q619" s="112"/>
      <c r="R619" s="112"/>
      <c r="S619" s="112"/>
      <c r="T619" s="112"/>
      <c r="U619" s="107"/>
      <c r="V619" s="107"/>
      <c r="W619" s="107"/>
      <c r="X619" s="107"/>
      <c r="Y619" s="107"/>
      <c r="Z619" s="112"/>
      <c r="AA619" s="112"/>
      <c r="AB619" s="112"/>
      <c r="AC619" s="112"/>
      <c r="AD619" s="112"/>
      <c r="AE619" s="112"/>
      <c r="AF619" s="112"/>
      <c r="AG619" s="117"/>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c r="BK619" s="124"/>
      <c r="BL619" s="124"/>
      <c r="BM619" s="124"/>
      <c r="BN619" s="124"/>
      <c r="BO619" s="124"/>
      <c r="BP619" s="124"/>
      <c r="BQ619" s="124"/>
      <c r="BR619" s="124"/>
      <c r="BS619" s="124"/>
      <c r="BT619" s="124"/>
      <c r="BU619" s="124"/>
      <c r="BV619" s="124"/>
      <c r="BW619" s="124"/>
      <c r="BX619" s="124"/>
      <c r="BY619" s="124"/>
      <c r="BZ619" s="124"/>
      <c r="CA619" s="124"/>
    </row>
    <row r="620">
      <c r="D620" s="143"/>
      <c r="E620" s="168"/>
      <c r="F620" s="112"/>
      <c r="G620" s="112"/>
      <c r="H620" s="112"/>
      <c r="I620" s="112"/>
      <c r="J620" s="112"/>
      <c r="K620" s="112"/>
      <c r="L620" s="112"/>
      <c r="M620" s="112"/>
      <c r="N620" s="112"/>
      <c r="O620" s="112"/>
      <c r="P620" s="112"/>
      <c r="Q620" s="112"/>
      <c r="R620" s="112"/>
      <c r="S620" s="112"/>
      <c r="T620" s="112"/>
      <c r="U620" s="107"/>
      <c r="V620" s="107"/>
      <c r="W620" s="107"/>
      <c r="X620" s="107"/>
      <c r="Y620" s="107"/>
      <c r="Z620" s="112"/>
      <c r="AA620" s="112"/>
      <c r="AB620" s="112"/>
      <c r="AC620" s="112"/>
      <c r="AD620" s="112"/>
      <c r="AE620" s="112"/>
      <c r="AF620" s="112"/>
      <c r="AG620" s="117"/>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c r="BK620" s="124"/>
      <c r="BL620" s="124"/>
      <c r="BM620" s="124"/>
      <c r="BN620" s="124"/>
      <c r="BO620" s="124"/>
      <c r="BP620" s="124"/>
      <c r="BQ620" s="124"/>
      <c r="BR620" s="124"/>
      <c r="BS620" s="124"/>
      <c r="BT620" s="124"/>
      <c r="BU620" s="124"/>
      <c r="BV620" s="124"/>
      <c r="BW620" s="124"/>
      <c r="BX620" s="124"/>
      <c r="BY620" s="124"/>
      <c r="BZ620" s="124"/>
      <c r="CA620" s="124"/>
    </row>
    <row r="621">
      <c r="D621" s="143"/>
      <c r="E621" s="168"/>
      <c r="F621" s="112"/>
      <c r="G621" s="112"/>
      <c r="H621" s="112"/>
      <c r="I621" s="112"/>
      <c r="J621" s="112"/>
      <c r="K621" s="112"/>
      <c r="L621" s="112"/>
      <c r="M621" s="112"/>
      <c r="N621" s="112"/>
      <c r="O621" s="112"/>
      <c r="P621" s="112"/>
      <c r="Q621" s="112"/>
      <c r="R621" s="112"/>
      <c r="S621" s="112"/>
      <c r="T621" s="112"/>
      <c r="U621" s="107"/>
      <c r="V621" s="107"/>
      <c r="W621" s="107"/>
      <c r="X621" s="107"/>
      <c r="Y621" s="107"/>
      <c r="Z621" s="112"/>
      <c r="AA621" s="112"/>
      <c r="AB621" s="112"/>
      <c r="AC621" s="112"/>
      <c r="AD621" s="112"/>
      <c r="AE621" s="112"/>
      <c r="AF621" s="112"/>
      <c r="AG621" s="117"/>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c r="BK621" s="124"/>
      <c r="BL621" s="124"/>
      <c r="BM621" s="124"/>
      <c r="BN621" s="124"/>
      <c r="BO621" s="124"/>
      <c r="BP621" s="124"/>
      <c r="BQ621" s="124"/>
      <c r="BR621" s="124"/>
      <c r="BS621" s="124"/>
      <c r="BT621" s="124"/>
      <c r="BU621" s="124"/>
      <c r="BV621" s="124"/>
      <c r="BW621" s="124"/>
      <c r="BX621" s="124"/>
      <c r="BY621" s="124"/>
      <c r="BZ621" s="124"/>
      <c r="CA621" s="124"/>
    </row>
    <row r="622">
      <c r="D622" s="143"/>
      <c r="E622" s="168"/>
      <c r="F622" s="112"/>
      <c r="G622" s="112"/>
      <c r="H622" s="112"/>
      <c r="I622" s="112"/>
      <c r="J622" s="112"/>
      <c r="K622" s="112"/>
      <c r="L622" s="112"/>
      <c r="M622" s="112"/>
      <c r="N622" s="112"/>
      <c r="O622" s="112"/>
      <c r="P622" s="112"/>
      <c r="Q622" s="112"/>
      <c r="R622" s="112"/>
      <c r="S622" s="112"/>
      <c r="T622" s="112"/>
      <c r="U622" s="107"/>
      <c r="V622" s="107"/>
      <c r="W622" s="107"/>
      <c r="X622" s="107"/>
      <c r="Y622" s="107"/>
      <c r="Z622" s="112"/>
      <c r="AA622" s="112"/>
      <c r="AB622" s="112"/>
      <c r="AC622" s="112"/>
      <c r="AD622" s="112"/>
      <c r="AE622" s="112"/>
      <c r="AF622" s="112"/>
      <c r="AG622" s="117"/>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c r="BK622" s="124"/>
      <c r="BL622" s="124"/>
      <c r="BM622" s="124"/>
      <c r="BN622" s="124"/>
      <c r="BO622" s="124"/>
      <c r="BP622" s="124"/>
      <c r="BQ622" s="124"/>
      <c r="BR622" s="124"/>
      <c r="BS622" s="124"/>
      <c r="BT622" s="124"/>
      <c r="BU622" s="124"/>
      <c r="BV622" s="124"/>
      <c r="BW622" s="124"/>
      <c r="BX622" s="124"/>
      <c r="BY622" s="124"/>
      <c r="BZ622" s="124"/>
      <c r="CA622" s="124"/>
    </row>
    <row r="623">
      <c r="D623" s="143"/>
      <c r="E623" s="168"/>
      <c r="F623" s="112"/>
      <c r="G623" s="112"/>
      <c r="H623" s="112"/>
      <c r="I623" s="112"/>
      <c r="J623" s="112"/>
      <c r="K623" s="112"/>
      <c r="L623" s="112"/>
      <c r="M623" s="112"/>
      <c r="N623" s="112"/>
      <c r="O623" s="112"/>
      <c r="P623" s="112"/>
      <c r="Q623" s="112"/>
      <c r="R623" s="112"/>
      <c r="S623" s="112"/>
      <c r="T623" s="112"/>
      <c r="U623" s="107"/>
      <c r="V623" s="107"/>
      <c r="W623" s="107"/>
      <c r="X623" s="107"/>
      <c r="Y623" s="107"/>
      <c r="Z623" s="112"/>
      <c r="AA623" s="112"/>
      <c r="AB623" s="112"/>
      <c r="AC623" s="112"/>
      <c r="AD623" s="112"/>
      <c r="AE623" s="112"/>
      <c r="AF623" s="112"/>
      <c r="AG623" s="117"/>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c r="BK623" s="124"/>
      <c r="BL623" s="124"/>
      <c r="BM623" s="124"/>
      <c r="BN623" s="124"/>
      <c r="BO623" s="124"/>
      <c r="BP623" s="124"/>
      <c r="BQ623" s="124"/>
      <c r="BR623" s="124"/>
      <c r="BS623" s="124"/>
      <c r="BT623" s="124"/>
      <c r="BU623" s="124"/>
      <c r="BV623" s="124"/>
      <c r="BW623" s="124"/>
      <c r="BX623" s="124"/>
      <c r="BY623" s="124"/>
      <c r="BZ623" s="124"/>
      <c r="CA623" s="124"/>
    </row>
    <row r="624">
      <c r="D624" s="143"/>
      <c r="E624" s="168"/>
      <c r="F624" s="112"/>
      <c r="G624" s="112"/>
      <c r="H624" s="112"/>
      <c r="I624" s="112"/>
      <c r="J624" s="112"/>
      <c r="K624" s="112"/>
      <c r="L624" s="112"/>
      <c r="M624" s="112"/>
      <c r="N624" s="112"/>
      <c r="O624" s="112"/>
      <c r="P624" s="112"/>
      <c r="Q624" s="112"/>
      <c r="R624" s="112"/>
      <c r="S624" s="112"/>
      <c r="T624" s="112"/>
      <c r="U624" s="107"/>
      <c r="V624" s="107"/>
      <c r="W624" s="107"/>
      <c r="X624" s="107"/>
      <c r="Y624" s="107"/>
      <c r="Z624" s="112"/>
      <c r="AA624" s="112"/>
      <c r="AB624" s="112"/>
      <c r="AC624" s="112"/>
      <c r="AD624" s="112"/>
      <c r="AE624" s="112"/>
      <c r="AF624" s="112"/>
      <c r="AG624" s="117"/>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c r="BK624" s="124"/>
      <c r="BL624" s="124"/>
      <c r="BM624" s="124"/>
      <c r="BN624" s="124"/>
      <c r="BO624" s="124"/>
      <c r="BP624" s="124"/>
      <c r="BQ624" s="124"/>
      <c r="BR624" s="124"/>
      <c r="BS624" s="124"/>
      <c r="BT624" s="124"/>
      <c r="BU624" s="124"/>
      <c r="BV624" s="124"/>
      <c r="BW624" s="124"/>
      <c r="BX624" s="124"/>
      <c r="BY624" s="124"/>
      <c r="BZ624" s="124"/>
      <c r="CA624" s="124"/>
    </row>
    <row r="625">
      <c r="D625" s="143"/>
      <c r="E625" s="168"/>
      <c r="F625" s="112"/>
      <c r="G625" s="112"/>
      <c r="H625" s="112"/>
      <c r="I625" s="112"/>
      <c r="J625" s="112"/>
      <c r="K625" s="112"/>
      <c r="L625" s="112"/>
      <c r="M625" s="112"/>
      <c r="N625" s="112"/>
      <c r="O625" s="112"/>
      <c r="P625" s="112"/>
      <c r="Q625" s="112"/>
      <c r="R625" s="112"/>
      <c r="S625" s="112"/>
      <c r="T625" s="112"/>
      <c r="U625" s="107"/>
      <c r="V625" s="107"/>
      <c r="W625" s="107"/>
      <c r="X625" s="107"/>
      <c r="Y625" s="107"/>
      <c r="Z625" s="112"/>
      <c r="AA625" s="112"/>
      <c r="AB625" s="112"/>
      <c r="AC625" s="112"/>
      <c r="AD625" s="112"/>
      <c r="AE625" s="112"/>
      <c r="AF625" s="112"/>
      <c r="AG625" s="117"/>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c r="BK625" s="124"/>
      <c r="BL625" s="124"/>
      <c r="BM625" s="124"/>
      <c r="BN625" s="124"/>
      <c r="BO625" s="124"/>
      <c r="BP625" s="124"/>
      <c r="BQ625" s="124"/>
      <c r="BR625" s="124"/>
      <c r="BS625" s="124"/>
      <c r="BT625" s="124"/>
      <c r="BU625" s="124"/>
      <c r="BV625" s="124"/>
      <c r="BW625" s="124"/>
      <c r="BX625" s="124"/>
      <c r="BY625" s="124"/>
      <c r="BZ625" s="124"/>
      <c r="CA625" s="124"/>
    </row>
    <row r="626">
      <c r="D626" s="143"/>
      <c r="E626" s="168"/>
      <c r="F626" s="112"/>
      <c r="G626" s="112"/>
      <c r="H626" s="112"/>
      <c r="I626" s="112"/>
      <c r="J626" s="112"/>
      <c r="K626" s="112"/>
      <c r="L626" s="112"/>
      <c r="M626" s="112"/>
      <c r="N626" s="112"/>
      <c r="O626" s="112"/>
      <c r="P626" s="112"/>
      <c r="Q626" s="112"/>
      <c r="R626" s="112"/>
      <c r="S626" s="112"/>
      <c r="T626" s="112"/>
      <c r="U626" s="107"/>
      <c r="V626" s="107"/>
      <c r="W626" s="107"/>
      <c r="X626" s="107"/>
      <c r="Y626" s="107"/>
      <c r="Z626" s="112"/>
      <c r="AA626" s="112"/>
      <c r="AB626" s="112"/>
      <c r="AC626" s="112"/>
      <c r="AD626" s="112"/>
      <c r="AE626" s="112"/>
      <c r="AF626" s="112"/>
      <c r="AG626" s="117"/>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c r="BK626" s="124"/>
      <c r="BL626" s="124"/>
      <c r="BM626" s="124"/>
      <c r="BN626" s="124"/>
      <c r="BO626" s="124"/>
      <c r="BP626" s="124"/>
      <c r="BQ626" s="124"/>
      <c r="BR626" s="124"/>
      <c r="BS626" s="124"/>
      <c r="BT626" s="124"/>
      <c r="BU626" s="124"/>
      <c r="BV626" s="124"/>
      <c r="BW626" s="124"/>
      <c r="BX626" s="124"/>
      <c r="BY626" s="124"/>
      <c r="BZ626" s="124"/>
      <c r="CA626" s="124"/>
    </row>
    <row r="627">
      <c r="D627" s="143"/>
      <c r="E627" s="168"/>
      <c r="F627" s="112"/>
      <c r="G627" s="112"/>
      <c r="H627" s="112"/>
      <c r="I627" s="112"/>
      <c r="J627" s="112"/>
      <c r="K627" s="112"/>
      <c r="L627" s="112"/>
      <c r="M627" s="112"/>
      <c r="N627" s="112"/>
      <c r="O627" s="112"/>
      <c r="P627" s="112"/>
      <c r="Q627" s="112"/>
      <c r="R627" s="112"/>
      <c r="S627" s="112"/>
      <c r="T627" s="112"/>
      <c r="U627" s="107"/>
      <c r="V627" s="107"/>
      <c r="W627" s="107"/>
      <c r="X627" s="107"/>
      <c r="Y627" s="107"/>
      <c r="Z627" s="112"/>
      <c r="AA627" s="112"/>
      <c r="AB627" s="112"/>
      <c r="AC627" s="112"/>
      <c r="AD627" s="112"/>
      <c r="AE627" s="112"/>
      <c r="AF627" s="112"/>
      <c r="AG627" s="117"/>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c r="BK627" s="124"/>
      <c r="BL627" s="124"/>
      <c r="BM627" s="124"/>
      <c r="BN627" s="124"/>
      <c r="BO627" s="124"/>
      <c r="BP627" s="124"/>
      <c r="BQ627" s="124"/>
      <c r="BR627" s="124"/>
      <c r="BS627" s="124"/>
      <c r="BT627" s="124"/>
      <c r="BU627" s="124"/>
      <c r="BV627" s="124"/>
      <c r="BW627" s="124"/>
      <c r="BX627" s="124"/>
      <c r="BY627" s="124"/>
      <c r="BZ627" s="124"/>
      <c r="CA627" s="124"/>
    </row>
    <row r="628">
      <c r="D628" s="143"/>
      <c r="E628" s="168"/>
      <c r="F628" s="112"/>
      <c r="G628" s="112"/>
      <c r="H628" s="112"/>
      <c r="I628" s="112"/>
      <c r="J628" s="112"/>
      <c r="K628" s="112"/>
      <c r="L628" s="112"/>
      <c r="M628" s="112"/>
      <c r="N628" s="112"/>
      <c r="O628" s="112"/>
      <c r="P628" s="112"/>
      <c r="Q628" s="112"/>
      <c r="R628" s="112"/>
      <c r="S628" s="112"/>
      <c r="T628" s="112"/>
      <c r="U628" s="107"/>
      <c r="V628" s="107"/>
      <c r="W628" s="107"/>
      <c r="X628" s="107"/>
      <c r="Y628" s="107"/>
      <c r="Z628" s="112"/>
      <c r="AA628" s="112"/>
      <c r="AB628" s="112"/>
      <c r="AC628" s="112"/>
      <c r="AD628" s="112"/>
      <c r="AE628" s="112"/>
      <c r="AF628" s="112"/>
      <c r="AG628" s="117"/>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c r="BK628" s="124"/>
      <c r="BL628" s="124"/>
      <c r="BM628" s="124"/>
      <c r="BN628" s="124"/>
      <c r="BO628" s="124"/>
      <c r="BP628" s="124"/>
      <c r="BQ628" s="124"/>
      <c r="BR628" s="124"/>
      <c r="BS628" s="124"/>
      <c r="BT628" s="124"/>
      <c r="BU628" s="124"/>
      <c r="BV628" s="124"/>
      <c r="BW628" s="124"/>
      <c r="BX628" s="124"/>
      <c r="BY628" s="124"/>
      <c r="BZ628" s="124"/>
      <c r="CA628" s="124"/>
    </row>
    <row r="629">
      <c r="D629" s="143"/>
      <c r="E629" s="168"/>
      <c r="F629" s="112"/>
      <c r="G629" s="112"/>
      <c r="H629" s="112"/>
      <c r="I629" s="112"/>
      <c r="J629" s="112"/>
      <c r="K629" s="112"/>
      <c r="L629" s="112"/>
      <c r="M629" s="112"/>
      <c r="N629" s="112"/>
      <c r="O629" s="112"/>
      <c r="P629" s="112"/>
      <c r="Q629" s="112"/>
      <c r="R629" s="112"/>
      <c r="S629" s="112"/>
      <c r="T629" s="112"/>
      <c r="U629" s="107"/>
      <c r="V629" s="107"/>
      <c r="W629" s="107"/>
      <c r="X629" s="107"/>
      <c r="Y629" s="107"/>
      <c r="Z629" s="112"/>
      <c r="AA629" s="112"/>
      <c r="AB629" s="112"/>
      <c r="AC629" s="112"/>
      <c r="AD629" s="112"/>
      <c r="AE629" s="112"/>
      <c r="AF629" s="112"/>
      <c r="AG629" s="117"/>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c r="BK629" s="124"/>
      <c r="BL629" s="124"/>
      <c r="BM629" s="124"/>
      <c r="BN629" s="124"/>
      <c r="BO629" s="124"/>
      <c r="BP629" s="124"/>
      <c r="BQ629" s="124"/>
      <c r="BR629" s="124"/>
      <c r="BS629" s="124"/>
      <c r="BT629" s="124"/>
      <c r="BU629" s="124"/>
      <c r="BV629" s="124"/>
      <c r="BW629" s="124"/>
      <c r="BX629" s="124"/>
      <c r="BY629" s="124"/>
      <c r="BZ629" s="124"/>
      <c r="CA629" s="124"/>
    </row>
    <row r="630">
      <c r="D630" s="143"/>
      <c r="E630" s="168"/>
      <c r="F630" s="112"/>
      <c r="G630" s="112"/>
      <c r="H630" s="112"/>
      <c r="I630" s="112"/>
      <c r="J630" s="112"/>
      <c r="K630" s="112"/>
      <c r="L630" s="112"/>
      <c r="M630" s="112"/>
      <c r="N630" s="112"/>
      <c r="O630" s="112"/>
      <c r="P630" s="112"/>
      <c r="Q630" s="112"/>
      <c r="R630" s="112"/>
      <c r="S630" s="112"/>
      <c r="T630" s="112"/>
      <c r="U630" s="107"/>
      <c r="V630" s="107"/>
      <c r="W630" s="107"/>
      <c r="X630" s="107"/>
      <c r="Y630" s="107"/>
      <c r="Z630" s="112"/>
      <c r="AA630" s="112"/>
      <c r="AB630" s="112"/>
      <c r="AC630" s="112"/>
      <c r="AD630" s="112"/>
      <c r="AE630" s="112"/>
      <c r="AF630" s="112"/>
      <c r="AG630" s="117"/>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c r="BK630" s="124"/>
      <c r="BL630" s="124"/>
      <c r="BM630" s="124"/>
      <c r="BN630" s="124"/>
      <c r="BO630" s="124"/>
      <c r="BP630" s="124"/>
      <c r="BQ630" s="124"/>
      <c r="BR630" s="124"/>
      <c r="BS630" s="124"/>
      <c r="BT630" s="124"/>
      <c r="BU630" s="124"/>
      <c r="BV630" s="124"/>
      <c r="BW630" s="124"/>
      <c r="BX630" s="124"/>
      <c r="BY630" s="124"/>
      <c r="BZ630" s="124"/>
      <c r="CA630" s="124"/>
    </row>
    <row r="631">
      <c r="D631" s="143"/>
      <c r="E631" s="168"/>
      <c r="F631" s="112"/>
      <c r="G631" s="112"/>
      <c r="H631" s="112"/>
      <c r="I631" s="112"/>
      <c r="J631" s="112"/>
      <c r="K631" s="112"/>
      <c r="L631" s="112"/>
      <c r="M631" s="112"/>
      <c r="N631" s="112"/>
      <c r="O631" s="112"/>
      <c r="P631" s="112"/>
      <c r="Q631" s="112"/>
      <c r="R631" s="112"/>
      <c r="S631" s="112"/>
      <c r="T631" s="112"/>
      <c r="U631" s="107"/>
      <c r="V631" s="107"/>
      <c r="W631" s="107"/>
      <c r="X631" s="107"/>
      <c r="Y631" s="107"/>
      <c r="Z631" s="112"/>
      <c r="AA631" s="112"/>
      <c r="AB631" s="112"/>
      <c r="AC631" s="112"/>
      <c r="AD631" s="112"/>
      <c r="AE631" s="112"/>
      <c r="AF631" s="112"/>
      <c r="AG631" s="117"/>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c r="BK631" s="124"/>
      <c r="BL631" s="124"/>
      <c r="BM631" s="124"/>
      <c r="BN631" s="124"/>
      <c r="BO631" s="124"/>
      <c r="BP631" s="124"/>
      <c r="BQ631" s="124"/>
      <c r="BR631" s="124"/>
      <c r="BS631" s="124"/>
      <c r="BT631" s="124"/>
      <c r="BU631" s="124"/>
      <c r="BV631" s="124"/>
      <c r="BW631" s="124"/>
      <c r="BX631" s="124"/>
      <c r="BY631" s="124"/>
      <c r="BZ631" s="124"/>
      <c r="CA631" s="124"/>
    </row>
    <row r="632">
      <c r="D632" s="143"/>
      <c r="E632" s="168"/>
      <c r="F632" s="112"/>
      <c r="G632" s="112"/>
      <c r="H632" s="112"/>
      <c r="I632" s="112"/>
      <c r="J632" s="112"/>
      <c r="K632" s="112"/>
      <c r="L632" s="112"/>
      <c r="M632" s="112"/>
      <c r="N632" s="112"/>
      <c r="O632" s="112"/>
      <c r="P632" s="112"/>
      <c r="Q632" s="112"/>
      <c r="R632" s="112"/>
      <c r="S632" s="112"/>
      <c r="T632" s="112"/>
      <c r="U632" s="107"/>
      <c r="V632" s="107"/>
      <c r="W632" s="107"/>
      <c r="X632" s="107"/>
      <c r="Y632" s="107"/>
      <c r="Z632" s="112"/>
      <c r="AA632" s="112"/>
      <c r="AB632" s="112"/>
      <c r="AC632" s="112"/>
      <c r="AD632" s="112"/>
      <c r="AE632" s="112"/>
      <c r="AF632" s="112"/>
      <c r="AG632" s="117"/>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c r="BK632" s="124"/>
      <c r="BL632" s="124"/>
      <c r="BM632" s="124"/>
      <c r="BN632" s="124"/>
      <c r="BO632" s="124"/>
      <c r="BP632" s="124"/>
      <c r="BQ632" s="124"/>
      <c r="BR632" s="124"/>
      <c r="BS632" s="124"/>
      <c r="BT632" s="124"/>
      <c r="BU632" s="124"/>
      <c r="BV632" s="124"/>
      <c r="BW632" s="124"/>
      <c r="BX632" s="124"/>
      <c r="BY632" s="124"/>
      <c r="BZ632" s="124"/>
      <c r="CA632" s="124"/>
    </row>
    <row r="633">
      <c r="D633" s="143"/>
      <c r="E633" s="168"/>
      <c r="F633" s="112"/>
      <c r="G633" s="112"/>
      <c r="H633" s="112"/>
      <c r="I633" s="112"/>
      <c r="J633" s="112"/>
      <c r="K633" s="112"/>
      <c r="L633" s="112"/>
      <c r="M633" s="112"/>
      <c r="N633" s="112"/>
      <c r="O633" s="112"/>
      <c r="P633" s="112"/>
      <c r="Q633" s="112"/>
      <c r="R633" s="112"/>
      <c r="S633" s="112"/>
      <c r="T633" s="112"/>
      <c r="U633" s="107"/>
      <c r="V633" s="107"/>
      <c r="W633" s="107"/>
      <c r="X633" s="107"/>
      <c r="Y633" s="107"/>
      <c r="Z633" s="112"/>
      <c r="AA633" s="112"/>
      <c r="AB633" s="112"/>
      <c r="AC633" s="112"/>
      <c r="AD633" s="112"/>
      <c r="AE633" s="112"/>
      <c r="AF633" s="112"/>
      <c r="AG633" s="117"/>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c r="BK633" s="124"/>
      <c r="BL633" s="124"/>
      <c r="BM633" s="124"/>
      <c r="BN633" s="124"/>
      <c r="BO633" s="124"/>
      <c r="BP633" s="124"/>
      <c r="BQ633" s="124"/>
      <c r="BR633" s="124"/>
      <c r="BS633" s="124"/>
      <c r="BT633" s="124"/>
      <c r="BU633" s="124"/>
      <c r="BV633" s="124"/>
      <c r="BW633" s="124"/>
      <c r="BX633" s="124"/>
      <c r="BY633" s="124"/>
      <c r="BZ633" s="124"/>
      <c r="CA633" s="124"/>
    </row>
    <row r="634">
      <c r="D634" s="143"/>
      <c r="E634" s="168"/>
      <c r="F634" s="112"/>
      <c r="G634" s="112"/>
      <c r="H634" s="112"/>
      <c r="I634" s="112"/>
      <c r="J634" s="112"/>
      <c r="K634" s="112"/>
      <c r="L634" s="112"/>
      <c r="M634" s="112"/>
      <c r="N634" s="112"/>
      <c r="O634" s="112"/>
      <c r="P634" s="112"/>
      <c r="Q634" s="112"/>
      <c r="R634" s="112"/>
      <c r="S634" s="112"/>
      <c r="T634" s="112"/>
      <c r="U634" s="107"/>
      <c r="V634" s="107"/>
      <c r="W634" s="107"/>
      <c r="X634" s="107"/>
      <c r="Y634" s="107"/>
      <c r="Z634" s="112"/>
      <c r="AA634" s="112"/>
      <c r="AB634" s="112"/>
      <c r="AC634" s="112"/>
      <c r="AD634" s="112"/>
      <c r="AE634" s="112"/>
      <c r="AF634" s="112"/>
      <c r="AG634" s="117"/>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c r="BK634" s="124"/>
      <c r="BL634" s="124"/>
      <c r="BM634" s="124"/>
      <c r="BN634" s="124"/>
      <c r="BO634" s="124"/>
      <c r="BP634" s="124"/>
      <c r="BQ634" s="124"/>
      <c r="BR634" s="124"/>
      <c r="BS634" s="124"/>
      <c r="BT634" s="124"/>
      <c r="BU634" s="124"/>
      <c r="BV634" s="124"/>
      <c r="BW634" s="124"/>
      <c r="BX634" s="124"/>
      <c r="BY634" s="124"/>
      <c r="BZ634" s="124"/>
      <c r="CA634" s="124"/>
    </row>
    <row r="635">
      <c r="D635" s="143"/>
      <c r="E635" s="168"/>
      <c r="F635" s="112"/>
      <c r="G635" s="112"/>
      <c r="H635" s="112"/>
      <c r="I635" s="112"/>
      <c r="J635" s="112"/>
      <c r="K635" s="112"/>
      <c r="L635" s="112"/>
      <c r="M635" s="112"/>
      <c r="N635" s="112"/>
      <c r="O635" s="112"/>
      <c r="P635" s="112"/>
      <c r="Q635" s="112"/>
      <c r="R635" s="112"/>
      <c r="S635" s="112"/>
      <c r="T635" s="112"/>
      <c r="U635" s="107"/>
      <c r="V635" s="107"/>
      <c r="W635" s="107"/>
      <c r="X635" s="107"/>
      <c r="Y635" s="107"/>
      <c r="Z635" s="112"/>
      <c r="AA635" s="112"/>
      <c r="AB635" s="112"/>
      <c r="AC635" s="112"/>
      <c r="AD635" s="112"/>
      <c r="AE635" s="112"/>
      <c r="AF635" s="112"/>
      <c r="AG635" s="117"/>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c r="BK635" s="124"/>
      <c r="BL635" s="124"/>
      <c r="BM635" s="124"/>
      <c r="BN635" s="124"/>
      <c r="BO635" s="124"/>
      <c r="BP635" s="124"/>
      <c r="BQ635" s="124"/>
      <c r="BR635" s="124"/>
      <c r="BS635" s="124"/>
      <c r="BT635" s="124"/>
      <c r="BU635" s="124"/>
      <c r="BV635" s="124"/>
      <c r="BW635" s="124"/>
      <c r="BX635" s="124"/>
      <c r="BY635" s="124"/>
      <c r="BZ635" s="124"/>
      <c r="CA635" s="124"/>
    </row>
    <row r="636">
      <c r="D636" s="143"/>
      <c r="E636" s="168"/>
      <c r="F636" s="112"/>
      <c r="G636" s="112"/>
      <c r="H636" s="112"/>
      <c r="I636" s="112"/>
      <c r="J636" s="112"/>
      <c r="K636" s="112"/>
      <c r="L636" s="112"/>
      <c r="M636" s="112"/>
      <c r="N636" s="112"/>
      <c r="O636" s="112"/>
      <c r="P636" s="112"/>
      <c r="Q636" s="112"/>
      <c r="R636" s="112"/>
      <c r="S636" s="112"/>
      <c r="T636" s="112"/>
      <c r="U636" s="107"/>
      <c r="V636" s="107"/>
      <c r="W636" s="107"/>
      <c r="X636" s="107"/>
      <c r="Y636" s="107"/>
      <c r="Z636" s="112"/>
      <c r="AA636" s="112"/>
      <c r="AB636" s="112"/>
      <c r="AC636" s="112"/>
      <c r="AD636" s="112"/>
      <c r="AE636" s="112"/>
      <c r="AF636" s="112"/>
      <c r="AG636" s="117"/>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c r="BK636" s="124"/>
      <c r="BL636" s="124"/>
      <c r="BM636" s="124"/>
      <c r="BN636" s="124"/>
      <c r="BO636" s="124"/>
      <c r="BP636" s="124"/>
      <c r="BQ636" s="124"/>
      <c r="BR636" s="124"/>
      <c r="BS636" s="124"/>
      <c r="BT636" s="124"/>
      <c r="BU636" s="124"/>
      <c r="BV636" s="124"/>
      <c r="BW636" s="124"/>
      <c r="BX636" s="124"/>
      <c r="BY636" s="124"/>
      <c r="BZ636" s="124"/>
      <c r="CA636" s="124"/>
    </row>
    <row r="637">
      <c r="D637" s="143"/>
      <c r="E637" s="168"/>
      <c r="F637" s="112"/>
      <c r="G637" s="112"/>
      <c r="H637" s="112"/>
      <c r="I637" s="112"/>
      <c r="J637" s="112"/>
      <c r="K637" s="112"/>
      <c r="L637" s="112"/>
      <c r="M637" s="112"/>
      <c r="N637" s="112"/>
      <c r="O637" s="112"/>
      <c r="P637" s="112"/>
      <c r="Q637" s="112"/>
      <c r="R637" s="112"/>
      <c r="S637" s="112"/>
      <c r="T637" s="112"/>
      <c r="U637" s="107"/>
      <c r="V637" s="107"/>
      <c r="W637" s="107"/>
      <c r="X637" s="107"/>
      <c r="Y637" s="107"/>
      <c r="Z637" s="112"/>
      <c r="AA637" s="112"/>
      <c r="AB637" s="112"/>
      <c r="AC637" s="112"/>
      <c r="AD637" s="112"/>
      <c r="AE637" s="112"/>
      <c r="AF637" s="112"/>
      <c r="AG637" s="117"/>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c r="BK637" s="124"/>
      <c r="BL637" s="124"/>
      <c r="BM637" s="124"/>
      <c r="BN637" s="124"/>
      <c r="BO637" s="124"/>
      <c r="BP637" s="124"/>
      <c r="BQ637" s="124"/>
      <c r="BR637" s="124"/>
      <c r="BS637" s="124"/>
      <c r="BT637" s="124"/>
      <c r="BU637" s="124"/>
      <c r="BV637" s="124"/>
      <c r="BW637" s="124"/>
      <c r="BX637" s="124"/>
      <c r="BY637" s="124"/>
      <c r="BZ637" s="124"/>
      <c r="CA637" s="124"/>
    </row>
    <row r="638">
      <c r="D638" s="143"/>
      <c r="E638" s="168"/>
      <c r="F638" s="112"/>
      <c r="G638" s="112"/>
      <c r="H638" s="112"/>
      <c r="I638" s="112"/>
      <c r="J638" s="112"/>
      <c r="K638" s="112"/>
      <c r="L638" s="112"/>
      <c r="M638" s="112"/>
      <c r="N638" s="112"/>
      <c r="O638" s="112"/>
      <c r="P638" s="112"/>
      <c r="Q638" s="112"/>
      <c r="R638" s="112"/>
      <c r="S638" s="112"/>
      <c r="T638" s="112"/>
      <c r="U638" s="107"/>
      <c r="V638" s="107"/>
      <c r="W638" s="107"/>
      <c r="X638" s="107"/>
      <c r="Y638" s="107"/>
      <c r="Z638" s="112"/>
      <c r="AA638" s="112"/>
      <c r="AB638" s="112"/>
      <c r="AC638" s="112"/>
      <c r="AD638" s="112"/>
      <c r="AE638" s="112"/>
      <c r="AF638" s="112"/>
      <c r="AG638" s="117"/>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c r="BK638" s="124"/>
      <c r="BL638" s="124"/>
      <c r="BM638" s="124"/>
      <c r="BN638" s="124"/>
      <c r="BO638" s="124"/>
      <c r="BP638" s="124"/>
      <c r="BQ638" s="124"/>
      <c r="BR638" s="124"/>
      <c r="BS638" s="124"/>
      <c r="BT638" s="124"/>
      <c r="BU638" s="124"/>
      <c r="BV638" s="124"/>
      <c r="BW638" s="124"/>
      <c r="BX638" s="124"/>
      <c r="BY638" s="124"/>
      <c r="BZ638" s="124"/>
      <c r="CA638" s="124"/>
    </row>
    <row r="639">
      <c r="D639" s="143"/>
      <c r="E639" s="168"/>
      <c r="F639" s="112"/>
      <c r="G639" s="112"/>
      <c r="H639" s="112"/>
      <c r="I639" s="112"/>
      <c r="J639" s="112"/>
      <c r="K639" s="112"/>
      <c r="L639" s="112"/>
      <c r="M639" s="112"/>
      <c r="N639" s="112"/>
      <c r="O639" s="112"/>
      <c r="P639" s="112"/>
      <c r="Q639" s="112"/>
      <c r="R639" s="112"/>
      <c r="S639" s="112"/>
      <c r="T639" s="112"/>
      <c r="U639" s="107"/>
      <c r="V639" s="107"/>
      <c r="W639" s="107"/>
      <c r="X639" s="107"/>
      <c r="Y639" s="107"/>
      <c r="Z639" s="112"/>
      <c r="AA639" s="112"/>
      <c r="AB639" s="112"/>
      <c r="AC639" s="112"/>
      <c r="AD639" s="112"/>
      <c r="AE639" s="112"/>
      <c r="AF639" s="112"/>
      <c r="AG639" s="117"/>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c r="BK639" s="124"/>
      <c r="BL639" s="124"/>
      <c r="BM639" s="124"/>
      <c r="BN639" s="124"/>
      <c r="BO639" s="124"/>
      <c r="BP639" s="124"/>
      <c r="BQ639" s="124"/>
      <c r="BR639" s="124"/>
      <c r="BS639" s="124"/>
      <c r="BT639" s="124"/>
      <c r="BU639" s="124"/>
      <c r="BV639" s="124"/>
      <c r="BW639" s="124"/>
      <c r="BX639" s="124"/>
      <c r="BY639" s="124"/>
      <c r="BZ639" s="124"/>
      <c r="CA639" s="124"/>
    </row>
    <row r="640">
      <c r="D640" s="143"/>
      <c r="E640" s="168"/>
      <c r="F640" s="112"/>
      <c r="G640" s="112"/>
      <c r="H640" s="112"/>
      <c r="I640" s="112"/>
      <c r="J640" s="112"/>
      <c r="K640" s="112"/>
      <c r="L640" s="112"/>
      <c r="M640" s="112"/>
      <c r="N640" s="112"/>
      <c r="O640" s="112"/>
      <c r="P640" s="112"/>
      <c r="Q640" s="112"/>
      <c r="R640" s="112"/>
      <c r="S640" s="112"/>
      <c r="T640" s="112"/>
      <c r="U640" s="107"/>
      <c r="V640" s="107"/>
      <c r="W640" s="107"/>
      <c r="X640" s="107"/>
      <c r="Y640" s="107"/>
      <c r="Z640" s="112"/>
      <c r="AA640" s="112"/>
      <c r="AB640" s="112"/>
      <c r="AC640" s="112"/>
      <c r="AD640" s="112"/>
      <c r="AE640" s="112"/>
      <c r="AF640" s="112"/>
      <c r="AG640" s="117"/>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c r="BK640" s="124"/>
      <c r="BL640" s="124"/>
      <c r="BM640" s="124"/>
      <c r="BN640" s="124"/>
      <c r="BO640" s="124"/>
      <c r="BP640" s="124"/>
      <c r="BQ640" s="124"/>
      <c r="BR640" s="124"/>
      <c r="BS640" s="124"/>
      <c r="BT640" s="124"/>
      <c r="BU640" s="124"/>
      <c r="BV640" s="124"/>
      <c r="BW640" s="124"/>
      <c r="BX640" s="124"/>
      <c r="BY640" s="124"/>
      <c r="BZ640" s="124"/>
      <c r="CA640" s="124"/>
    </row>
    <row r="641">
      <c r="D641" s="143"/>
      <c r="E641" s="168"/>
      <c r="F641" s="112"/>
      <c r="G641" s="112"/>
      <c r="H641" s="112"/>
      <c r="I641" s="112"/>
      <c r="J641" s="112"/>
      <c r="K641" s="112"/>
      <c r="L641" s="112"/>
      <c r="M641" s="112"/>
      <c r="N641" s="112"/>
      <c r="O641" s="112"/>
      <c r="P641" s="112"/>
      <c r="Q641" s="112"/>
      <c r="R641" s="112"/>
      <c r="S641" s="112"/>
      <c r="T641" s="112"/>
      <c r="U641" s="107"/>
      <c r="V641" s="107"/>
      <c r="W641" s="107"/>
      <c r="X641" s="107"/>
      <c r="Y641" s="107"/>
      <c r="Z641" s="112"/>
      <c r="AA641" s="112"/>
      <c r="AB641" s="112"/>
      <c r="AC641" s="112"/>
      <c r="AD641" s="112"/>
      <c r="AE641" s="112"/>
      <c r="AF641" s="112"/>
      <c r="AG641" s="117"/>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c r="BK641" s="124"/>
      <c r="BL641" s="124"/>
      <c r="BM641" s="124"/>
      <c r="BN641" s="124"/>
      <c r="BO641" s="124"/>
      <c r="BP641" s="124"/>
      <c r="BQ641" s="124"/>
      <c r="BR641" s="124"/>
      <c r="BS641" s="124"/>
      <c r="BT641" s="124"/>
      <c r="BU641" s="124"/>
      <c r="BV641" s="124"/>
      <c r="BW641" s="124"/>
      <c r="BX641" s="124"/>
      <c r="BY641" s="124"/>
      <c r="BZ641" s="124"/>
      <c r="CA641" s="124"/>
    </row>
    <row r="642">
      <c r="D642" s="143"/>
      <c r="E642" s="168"/>
      <c r="F642" s="112"/>
      <c r="G642" s="112"/>
      <c r="H642" s="112"/>
      <c r="I642" s="112"/>
      <c r="J642" s="112"/>
      <c r="K642" s="112"/>
      <c r="L642" s="112"/>
      <c r="M642" s="112"/>
      <c r="N642" s="112"/>
      <c r="O642" s="112"/>
      <c r="P642" s="112"/>
      <c r="Q642" s="112"/>
      <c r="R642" s="112"/>
      <c r="S642" s="112"/>
      <c r="T642" s="112"/>
      <c r="U642" s="107"/>
      <c r="V642" s="107"/>
      <c r="W642" s="107"/>
      <c r="X642" s="107"/>
      <c r="Y642" s="107"/>
      <c r="Z642" s="112"/>
      <c r="AA642" s="112"/>
      <c r="AB642" s="112"/>
      <c r="AC642" s="112"/>
      <c r="AD642" s="112"/>
      <c r="AE642" s="112"/>
      <c r="AF642" s="112"/>
      <c r="AG642" s="117"/>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c r="BK642" s="124"/>
      <c r="BL642" s="124"/>
      <c r="BM642" s="124"/>
      <c r="BN642" s="124"/>
      <c r="BO642" s="124"/>
      <c r="BP642" s="124"/>
      <c r="BQ642" s="124"/>
      <c r="BR642" s="124"/>
      <c r="BS642" s="124"/>
      <c r="BT642" s="124"/>
      <c r="BU642" s="124"/>
      <c r="BV642" s="124"/>
      <c r="BW642" s="124"/>
      <c r="BX642" s="124"/>
      <c r="BY642" s="124"/>
      <c r="BZ642" s="124"/>
      <c r="CA642" s="124"/>
    </row>
    <row r="643">
      <c r="D643" s="143"/>
      <c r="E643" s="168"/>
      <c r="F643" s="112"/>
      <c r="G643" s="112"/>
      <c r="H643" s="112"/>
      <c r="I643" s="112"/>
      <c r="J643" s="112"/>
      <c r="K643" s="112"/>
      <c r="L643" s="112"/>
      <c r="M643" s="112"/>
      <c r="N643" s="112"/>
      <c r="O643" s="112"/>
      <c r="P643" s="112"/>
      <c r="Q643" s="112"/>
      <c r="R643" s="112"/>
      <c r="S643" s="112"/>
      <c r="T643" s="112"/>
      <c r="U643" s="107"/>
      <c r="V643" s="107"/>
      <c r="W643" s="107"/>
      <c r="X643" s="107"/>
      <c r="Y643" s="107"/>
      <c r="Z643" s="112"/>
      <c r="AA643" s="112"/>
      <c r="AB643" s="112"/>
      <c r="AC643" s="112"/>
      <c r="AD643" s="112"/>
      <c r="AE643" s="112"/>
      <c r="AF643" s="112"/>
      <c r="AG643" s="117"/>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c r="BK643" s="124"/>
      <c r="BL643" s="124"/>
      <c r="BM643" s="124"/>
      <c r="BN643" s="124"/>
      <c r="BO643" s="124"/>
      <c r="BP643" s="124"/>
      <c r="BQ643" s="124"/>
      <c r="BR643" s="124"/>
      <c r="BS643" s="124"/>
      <c r="BT643" s="124"/>
      <c r="BU643" s="124"/>
      <c r="BV643" s="124"/>
      <c r="BW643" s="124"/>
      <c r="BX643" s="124"/>
      <c r="BY643" s="124"/>
      <c r="BZ643" s="124"/>
      <c r="CA643" s="124"/>
    </row>
    <row r="644">
      <c r="D644" s="143"/>
      <c r="E644" s="168"/>
      <c r="F644" s="112"/>
      <c r="G644" s="112"/>
      <c r="H644" s="112"/>
      <c r="I644" s="112"/>
      <c r="J644" s="112"/>
      <c r="K644" s="112"/>
      <c r="L644" s="112"/>
      <c r="M644" s="112"/>
      <c r="N644" s="112"/>
      <c r="O644" s="112"/>
      <c r="P644" s="112"/>
      <c r="Q644" s="112"/>
      <c r="R644" s="112"/>
      <c r="S644" s="112"/>
      <c r="T644" s="112"/>
      <c r="U644" s="107"/>
      <c r="V644" s="107"/>
      <c r="W644" s="107"/>
      <c r="X644" s="107"/>
      <c r="Y644" s="107"/>
      <c r="Z644" s="112"/>
      <c r="AA644" s="112"/>
      <c r="AB644" s="112"/>
      <c r="AC644" s="112"/>
      <c r="AD644" s="112"/>
      <c r="AE644" s="112"/>
      <c r="AF644" s="112"/>
      <c r="AG644" s="117"/>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c r="BK644" s="124"/>
      <c r="BL644" s="124"/>
      <c r="BM644" s="124"/>
      <c r="BN644" s="124"/>
      <c r="BO644" s="124"/>
      <c r="BP644" s="124"/>
      <c r="BQ644" s="124"/>
      <c r="BR644" s="124"/>
      <c r="BS644" s="124"/>
      <c r="BT644" s="124"/>
      <c r="BU644" s="124"/>
      <c r="BV644" s="124"/>
      <c r="BW644" s="124"/>
      <c r="BX644" s="124"/>
      <c r="BY644" s="124"/>
      <c r="BZ644" s="124"/>
      <c r="CA644" s="124"/>
    </row>
    <row r="645">
      <c r="D645" s="143"/>
      <c r="E645" s="168"/>
      <c r="F645" s="112"/>
      <c r="G645" s="112"/>
      <c r="H645" s="112"/>
      <c r="I645" s="112"/>
      <c r="J645" s="112"/>
      <c r="K645" s="112"/>
      <c r="L645" s="112"/>
      <c r="M645" s="112"/>
      <c r="N645" s="112"/>
      <c r="O645" s="112"/>
      <c r="P645" s="112"/>
      <c r="Q645" s="112"/>
      <c r="R645" s="112"/>
      <c r="S645" s="112"/>
      <c r="T645" s="112"/>
      <c r="U645" s="107"/>
      <c r="V645" s="107"/>
      <c r="W645" s="107"/>
      <c r="X645" s="107"/>
      <c r="Y645" s="107"/>
      <c r="Z645" s="112"/>
      <c r="AA645" s="112"/>
      <c r="AB645" s="112"/>
      <c r="AC645" s="112"/>
      <c r="AD645" s="112"/>
      <c r="AE645" s="112"/>
      <c r="AF645" s="112"/>
      <c r="AG645" s="117"/>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c r="BK645" s="124"/>
      <c r="BL645" s="124"/>
      <c r="BM645" s="124"/>
      <c r="BN645" s="124"/>
      <c r="BO645" s="124"/>
      <c r="BP645" s="124"/>
      <c r="BQ645" s="124"/>
      <c r="BR645" s="124"/>
      <c r="BS645" s="124"/>
      <c r="BT645" s="124"/>
      <c r="BU645" s="124"/>
      <c r="BV645" s="124"/>
      <c r="BW645" s="124"/>
      <c r="BX645" s="124"/>
      <c r="BY645" s="124"/>
      <c r="BZ645" s="124"/>
      <c r="CA645" s="124"/>
    </row>
    <row r="646">
      <c r="D646" s="143"/>
      <c r="E646" s="168"/>
      <c r="F646" s="112"/>
      <c r="G646" s="112"/>
      <c r="H646" s="112"/>
      <c r="I646" s="112"/>
      <c r="J646" s="112"/>
      <c r="K646" s="112"/>
      <c r="L646" s="112"/>
      <c r="M646" s="112"/>
      <c r="N646" s="112"/>
      <c r="O646" s="112"/>
      <c r="P646" s="112"/>
      <c r="Q646" s="112"/>
      <c r="R646" s="112"/>
      <c r="S646" s="112"/>
      <c r="T646" s="112"/>
      <c r="U646" s="107"/>
      <c r="V646" s="107"/>
      <c r="W646" s="107"/>
      <c r="X646" s="107"/>
      <c r="Y646" s="107"/>
      <c r="Z646" s="112"/>
      <c r="AA646" s="112"/>
      <c r="AB646" s="112"/>
      <c r="AC646" s="112"/>
      <c r="AD646" s="112"/>
      <c r="AE646" s="112"/>
      <c r="AF646" s="112"/>
      <c r="AG646" s="117"/>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c r="BK646" s="124"/>
      <c r="BL646" s="124"/>
      <c r="BM646" s="124"/>
      <c r="BN646" s="124"/>
      <c r="BO646" s="124"/>
      <c r="BP646" s="124"/>
      <c r="BQ646" s="124"/>
      <c r="BR646" s="124"/>
      <c r="BS646" s="124"/>
      <c r="BT646" s="124"/>
      <c r="BU646" s="124"/>
      <c r="BV646" s="124"/>
      <c r="BW646" s="124"/>
      <c r="BX646" s="124"/>
      <c r="BY646" s="124"/>
      <c r="BZ646" s="124"/>
      <c r="CA646" s="124"/>
    </row>
    <row r="647">
      <c r="D647" s="143"/>
      <c r="E647" s="168"/>
      <c r="F647" s="112"/>
      <c r="G647" s="112"/>
      <c r="H647" s="112"/>
      <c r="I647" s="112"/>
      <c r="J647" s="112"/>
      <c r="K647" s="112"/>
      <c r="L647" s="112"/>
      <c r="M647" s="112"/>
      <c r="N647" s="112"/>
      <c r="O647" s="112"/>
      <c r="P647" s="112"/>
      <c r="Q647" s="112"/>
      <c r="R647" s="112"/>
      <c r="S647" s="112"/>
      <c r="T647" s="112"/>
      <c r="U647" s="107"/>
      <c r="V647" s="107"/>
      <c r="W647" s="107"/>
      <c r="X647" s="107"/>
      <c r="Y647" s="107"/>
      <c r="Z647" s="112"/>
      <c r="AA647" s="112"/>
      <c r="AB647" s="112"/>
      <c r="AC647" s="112"/>
      <c r="AD647" s="112"/>
      <c r="AE647" s="112"/>
      <c r="AF647" s="112"/>
      <c r="AG647" s="117"/>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c r="BK647" s="124"/>
      <c r="BL647" s="124"/>
      <c r="BM647" s="124"/>
      <c r="BN647" s="124"/>
      <c r="BO647" s="124"/>
      <c r="BP647" s="124"/>
      <c r="BQ647" s="124"/>
      <c r="BR647" s="124"/>
      <c r="BS647" s="124"/>
      <c r="BT647" s="124"/>
      <c r="BU647" s="124"/>
      <c r="BV647" s="124"/>
      <c r="BW647" s="124"/>
      <c r="BX647" s="124"/>
      <c r="BY647" s="124"/>
      <c r="BZ647" s="124"/>
      <c r="CA647" s="124"/>
    </row>
    <row r="648">
      <c r="D648" s="143"/>
      <c r="E648" s="168"/>
      <c r="F648" s="112"/>
      <c r="G648" s="112"/>
      <c r="H648" s="112"/>
      <c r="I648" s="112"/>
      <c r="J648" s="112"/>
      <c r="K648" s="112"/>
      <c r="L648" s="112"/>
      <c r="M648" s="112"/>
      <c r="N648" s="112"/>
      <c r="O648" s="112"/>
      <c r="P648" s="112"/>
      <c r="Q648" s="112"/>
      <c r="R648" s="112"/>
      <c r="S648" s="112"/>
      <c r="T648" s="112"/>
      <c r="U648" s="107"/>
      <c r="V648" s="107"/>
      <c r="W648" s="107"/>
      <c r="X648" s="107"/>
      <c r="Y648" s="107"/>
      <c r="Z648" s="112"/>
      <c r="AA648" s="112"/>
      <c r="AB648" s="112"/>
      <c r="AC648" s="112"/>
      <c r="AD648" s="112"/>
      <c r="AE648" s="112"/>
      <c r="AF648" s="112"/>
      <c r="AG648" s="117"/>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c r="BK648" s="124"/>
      <c r="BL648" s="124"/>
      <c r="BM648" s="124"/>
      <c r="BN648" s="124"/>
      <c r="BO648" s="124"/>
      <c r="BP648" s="124"/>
      <c r="BQ648" s="124"/>
      <c r="BR648" s="124"/>
      <c r="BS648" s="124"/>
      <c r="BT648" s="124"/>
      <c r="BU648" s="124"/>
      <c r="BV648" s="124"/>
      <c r="BW648" s="124"/>
      <c r="BX648" s="124"/>
      <c r="BY648" s="124"/>
      <c r="BZ648" s="124"/>
      <c r="CA648" s="124"/>
    </row>
    <row r="649">
      <c r="D649" s="143"/>
      <c r="E649" s="112"/>
      <c r="F649" s="112"/>
      <c r="G649" s="112"/>
      <c r="H649" s="112"/>
      <c r="I649" s="112"/>
      <c r="J649" s="112"/>
      <c r="K649" s="112"/>
      <c r="L649" s="112"/>
      <c r="M649" s="112"/>
      <c r="N649" s="112"/>
      <c r="O649" s="112"/>
      <c r="P649" s="112"/>
      <c r="Q649" s="112"/>
      <c r="R649" s="112"/>
      <c r="S649" s="112"/>
      <c r="T649" s="112"/>
      <c r="U649" s="107"/>
      <c r="V649" s="107"/>
      <c r="W649" s="107"/>
      <c r="X649" s="107"/>
      <c r="Y649" s="107"/>
      <c r="Z649" s="112"/>
      <c r="AA649" s="112"/>
      <c r="AB649" s="112"/>
      <c r="AC649" s="112"/>
      <c r="AD649" s="112"/>
      <c r="AE649" s="112"/>
      <c r="AF649" s="112"/>
      <c r="AG649" s="117"/>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c r="BK649" s="124"/>
      <c r="BL649" s="124"/>
      <c r="BM649" s="124"/>
      <c r="BN649" s="124"/>
      <c r="BO649" s="124"/>
      <c r="BP649" s="124"/>
      <c r="BQ649" s="124"/>
      <c r="BR649" s="124"/>
      <c r="BS649" s="124"/>
      <c r="BT649" s="124"/>
      <c r="BU649" s="124"/>
      <c r="BV649" s="124"/>
      <c r="BW649" s="124"/>
      <c r="BX649" s="124"/>
      <c r="BY649" s="124"/>
      <c r="BZ649" s="124"/>
      <c r="CA649" s="124"/>
    </row>
    <row r="650">
      <c r="D650" s="143"/>
      <c r="E650" s="112"/>
      <c r="F650" s="112"/>
      <c r="G650" s="112"/>
      <c r="H650" s="112"/>
      <c r="I650" s="112"/>
      <c r="J650" s="112"/>
      <c r="K650" s="112"/>
      <c r="L650" s="112"/>
      <c r="M650" s="112"/>
      <c r="N650" s="112"/>
      <c r="O650" s="112"/>
      <c r="P650" s="112"/>
      <c r="Q650" s="112"/>
      <c r="R650" s="112"/>
      <c r="S650" s="112"/>
      <c r="T650" s="112"/>
      <c r="U650" s="107"/>
      <c r="V650" s="107"/>
      <c r="W650" s="107"/>
      <c r="X650" s="107"/>
      <c r="Y650" s="107"/>
      <c r="Z650" s="112"/>
      <c r="AA650" s="112"/>
      <c r="AB650" s="112"/>
      <c r="AC650" s="112"/>
      <c r="AD650" s="112"/>
      <c r="AE650" s="112"/>
      <c r="AF650" s="112"/>
      <c r="AG650" s="117"/>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c r="BK650" s="124"/>
      <c r="BL650" s="124"/>
      <c r="BM650" s="124"/>
      <c r="BN650" s="124"/>
      <c r="BO650" s="124"/>
      <c r="BP650" s="124"/>
      <c r="BQ650" s="124"/>
      <c r="BR650" s="124"/>
      <c r="BS650" s="124"/>
      <c r="BT650" s="124"/>
      <c r="BU650" s="124"/>
      <c r="BV650" s="124"/>
      <c r="BW650" s="124"/>
      <c r="BX650" s="124"/>
      <c r="BY650" s="124"/>
      <c r="BZ650" s="124"/>
      <c r="CA650" s="124"/>
    </row>
    <row r="651">
      <c r="D651" s="143"/>
      <c r="E651" s="112"/>
      <c r="F651" s="112"/>
      <c r="G651" s="112"/>
      <c r="H651" s="112"/>
      <c r="I651" s="112"/>
      <c r="J651" s="112"/>
      <c r="K651" s="112"/>
      <c r="L651" s="112"/>
      <c r="M651" s="112"/>
      <c r="N651" s="112"/>
      <c r="O651" s="112"/>
      <c r="P651" s="112"/>
      <c r="Q651" s="112"/>
      <c r="R651" s="112"/>
      <c r="S651" s="112"/>
      <c r="T651" s="112"/>
      <c r="U651" s="107"/>
      <c r="V651" s="107"/>
      <c r="W651" s="107"/>
      <c r="X651" s="107"/>
      <c r="Y651" s="107"/>
      <c r="Z651" s="112"/>
      <c r="AA651" s="112"/>
      <c r="AB651" s="112"/>
      <c r="AC651" s="112"/>
      <c r="AD651" s="112"/>
      <c r="AE651" s="112"/>
      <c r="AF651" s="112"/>
      <c r="AG651" s="117"/>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c r="BK651" s="124"/>
      <c r="BL651" s="124"/>
      <c r="BM651" s="124"/>
      <c r="BN651" s="124"/>
      <c r="BO651" s="124"/>
      <c r="BP651" s="124"/>
      <c r="BQ651" s="124"/>
      <c r="BR651" s="124"/>
      <c r="BS651" s="124"/>
      <c r="BT651" s="124"/>
      <c r="BU651" s="124"/>
      <c r="BV651" s="124"/>
      <c r="BW651" s="124"/>
      <c r="BX651" s="124"/>
      <c r="BY651" s="124"/>
      <c r="BZ651" s="124"/>
      <c r="CA651" s="124"/>
    </row>
    <row r="652">
      <c r="D652" s="143"/>
      <c r="E652" s="112"/>
      <c r="F652" s="112"/>
      <c r="G652" s="112"/>
      <c r="H652" s="112"/>
      <c r="I652" s="112"/>
      <c r="J652" s="112"/>
      <c r="K652" s="112"/>
      <c r="L652" s="112"/>
      <c r="M652" s="112"/>
      <c r="N652" s="112"/>
      <c r="O652" s="112"/>
      <c r="P652" s="112"/>
      <c r="Q652" s="112"/>
      <c r="R652" s="112"/>
      <c r="S652" s="112"/>
      <c r="T652" s="112"/>
      <c r="U652" s="107"/>
      <c r="V652" s="107"/>
      <c r="W652" s="107"/>
      <c r="X652" s="107"/>
      <c r="Y652" s="107"/>
      <c r="Z652" s="112"/>
      <c r="AA652" s="112"/>
      <c r="AB652" s="112"/>
      <c r="AC652" s="112"/>
      <c r="AD652" s="112"/>
      <c r="AE652" s="112"/>
      <c r="AF652" s="112"/>
      <c r="AG652" s="117"/>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c r="BK652" s="124"/>
      <c r="BL652" s="124"/>
      <c r="BM652" s="124"/>
      <c r="BN652" s="124"/>
      <c r="BO652" s="124"/>
      <c r="BP652" s="124"/>
      <c r="BQ652" s="124"/>
      <c r="BR652" s="124"/>
      <c r="BS652" s="124"/>
      <c r="BT652" s="124"/>
      <c r="BU652" s="124"/>
      <c r="BV652" s="124"/>
      <c r="BW652" s="124"/>
      <c r="BX652" s="124"/>
      <c r="BY652" s="124"/>
      <c r="BZ652" s="124"/>
      <c r="CA652" s="124"/>
    </row>
    <row r="653">
      <c r="D653" s="143"/>
      <c r="E653" s="112"/>
      <c r="F653" s="112"/>
      <c r="G653" s="112"/>
      <c r="H653" s="112"/>
      <c r="I653" s="112"/>
      <c r="J653" s="112"/>
      <c r="K653" s="112"/>
      <c r="L653" s="112"/>
      <c r="M653" s="112"/>
      <c r="N653" s="112"/>
      <c r="O653" s="112"/>
      <c r="P653" s="112"/>
      <c r="Q653" s="112"/>
      <c r="R653" s="112"/>
      <c r="S653" s="112"/>
      <c r="T653" s="112"/>
      <c r="U653" s="107"/>
      <c r="V653" s="107"/>
      <c r="W653" s="107"/>
      <c r="X653" s="107"/>
      <c r="Y653" s="107"/>
      <c r="Z653" s="112"/>
      <c r="AA653" s="112"/>
      <c r="AB653" s="112"/>
      <c r="AC653" s="112"/>
      <c r="AD653" s="112"/>
      <c r="AE653" s="112"/>
      <c r="AF653" s="112"/>
      <c r="AG653" s="117"/>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c r="BK653" s="124"/>
      <c r="BL653" s="124"/>
      <c r="BM653" s="124"/>
      <c r="BN653" s="124"/>
      <c r="BO653" s="124"/>
      <c r="BP653" s="124"/>
      <c r="BQ653" s="124"/>
      <c r="BR653" s="124"/>
      <c r="BS653" s="124"/>
      <c r="BT653" s="124"/>
      <c r="BU653" s="124"/>
      <c r="BV653" s="124"/>
      <c r="BW653" s="124"/>
      <c r="BX653" s="124"/>
      <c r="BY653" s="124"/>
      <c r="BZ653" s="124"/>
      <c r="CA653" s="124"/>
    </row>
    <row r="654">
      <c r="D654" s="143"/>
      <c r="E654" s="112"/>
      <c r="F654" s="112"/>
      <c r="G654" s="112"/>
      <c r="H654" s="112"/>
      <c r="I654" s="112"/>
      <c r="J654" s="112"/>
      <c r="K654" s="112"/>
      <c r="L654" s="112"/>
      <c r="M654" s="112"/>
      <c r="N654" s="112"/>
      <c r="O654" s="112"/>
      <c r="P654" s="112"/>
      <c r="Q654" s="112"/>
      <c r="R654" s="112"/>
      <c r="S654" s="112"/>
      <c r="T654" s="112"/>
      <c r="U654" s="107"/>
      <c r="V654" s="107"/>
      <c r="W654" s="107"/>
      <c r="X654" s="107"/>
      <c r="Y654" s="107"/>
      <c r="Z654" s="112"/>
      <c r="AA654" s="112"/>
      <c r="AB654" s="112"/>
      <c r="AC654" s="112"/>
      <c r="AD654" s="112"/>
      <c r="AE654" s="112"/>
      <c r="AF654" s="112"/>
      <c r="AG654" s="117"/>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c r="BK654" s="124"/>
      <c r="BL654" s="124"/>
      <c r="BM654" s="124"/>
      <c r="BN654" s="124"/>
      <c r="BO654" s="124"/>
      <c r="BP654" s="124"/>
      <c r="BQ654" s="124"/>
      <c r="BR654" s="124"/>
      <c r="BS654" s="124"/>
      <c r="BT654" s="124"/>
      <c r="BU654" s="124"/>
      <c r="BV654" s="124"/>
      <c r="BW654" s="124"/>
      <c r="BX654" s="124"/>
      <c r="BY654" s="124"/>
      <c r="BZ654" s="124"/>
      <c r="CA654" s="124"/>
    </row>
    <row r="655">
      <c r="D655" s="143"/>
      <c r="E655" s="112"/>
      <c r="F655" s="112"/>
      <c r="G655" s="112"/>
      <c r="H655" s="112"/>
      <c r="I655" s="112"/>
      <c r="J655" s="112"/>
      <c r="K655" s="112"/>
      <c r="L655" s="112"/>
      <c r="M655" s="112"/>
      <c r="N655" s="112"/>
      <c r="O655" s="112"/>
      <c r="P655" s="112"/>
      <c r="Q655" s="112"/>
      <c r="R655" s="112"/>
      <c r="S655" s="112"/>
      <c r="T655" s="112"/>
      <c r="U655" s="107"/>
      <c r="V655" s="107"/>
      <c r="W655" s="107"/>
      <c r="X655" s="107"/>
      <c r="Y655" s="107"/>
      <c r="Z655" s="112"/>
      <c r="AA655" s="112"/>
      <c r="AB655" s="112"/>
      <c r="AC655" s="112"/>
      <c r="AD655" s="112"/>
      <c r="AE655" s="112"/>
      <c r="AF655" s="112"/>
      <c r="AG655" s="117"/>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c r="BK655" s="124"/>
      <c r="BL655" s="124"/>
      <c r="BM655" s="124"/>
      <c r="BN655" s="124"/>
      <c r="BO655" s="124"/>
      <c r="BP655" s="124"/>
      <c r="BQ655" s="124"/>
      <c r="BR655" s="124"/>
      <c r="BS655" s="124"/>
      <c r="BT655" s="124"/>
      <c r="BU655" s="124"/>
      <c r="BV655" s="124"/>
      <c r="BW655" s="124"/>
      <c r="BX655" s="124"/>
      <c r="BY655" s="124"/>
      <c r="BZ655" s="124"/>
      <c r="CA655" s="124"/>
    </row>
    <row r="656">
      <c r="D656" s="143"/>
      <c r="E656" s="112"/>
      <c r="F656" s="112"/>
      <c r="G656" s="112"/>
      <c r="H656" s="112"/>
      <c r="I656" s="112"/>
      <c r="J656" s="112"/>
      <c r="K656" s="112"/>
      <c r="L656" s="112"/>
      <c r="M656" s="112"/>
      <c r="N656" s="112"/>
      <c r="O656" s="112"/>
      <c r="P656" s="112"/>
      <c r="Q656" s="112"/>
      <c r="R656" s="112"/>
      <c r="S656" s="112"/>
      <c r="T656" s="112"/>
      <c r="U656" s="107"/>
      <c r="V656" s="107"/>
      <c r="W656" s="107"/>
      <c r="X656" s="107"/>
      <c r="Y656" s="107"/>
      <c r="Z656" s="112"/>
      <c r="AA656" s="112"/>
      <c r="AB656" s="112"/>
      <c r="AC656" s="112"/>
      <c r="AD656" s="112"/>
      <c r="AE656" s="112"/>
      <c r="AF656" s="112"/>
      <c r="AG656" s="117"/>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c r="BK656" s="124"/>
      <c r="BL656" s="124"/>
      <c r="BM656" s="124"/>
      <c r="BN656" s="124"/>
      <c r="BO656" s="124"/>
      <c r="BP656" s="124"/>
      <c r="BQ656" s="124"/>
      <c r="BR656" s="124"/>
      <c r="BS656" s="124"/>
      <c r="BT656" s="124"/>
      <c r="BU656" s="124"/>
      <c r="BV656" s="124"/>
      <c r="BW656" s="124"/>
      <c r="BX656" s="124"/>
      <c r="BY656" s="124"/>
      <c r="BZ656" s="124"/>
      <c r="CA656" s="124"/>
    </row>
    <row r="657">
      <c r="D657" s="143"/>
      <c r="E657" s="112"/>
      <c r="F657" s="112"/>
      <c r="G657" s="112"/>
      <c r="H657" s="112"/>
      <c r="I657" s="112"/>
      <c r="J657" s="112"/>
      <c r="K657" s="112"/>
      <c r="L657" s="112"/>
      <c r="M657" s="112"/>
      <c r="N657" s="112"/>
      <c r="O657" s="112"/>
      <c r="P657" s="112"/>
      <c r="Q657" s="112"/>
      <c r="R657" s="112"/>
      <c r="S657" s="112"/>
      <c r="T657" s="112"/>
      <c r="U657" s="107"/>
      <c r="V657" s="107"/>
      <c r="W657" s="107"/>
      <c r="X657" s="107"/>
      <c r="Y657" s="107"/>
      <c r="Z657" s="112"/>
      <c r="AA657" s="112"/>
      <c r="AB657" s="112"/>
      <c r="AC657" s="112"/>
      <c r="AD657" s="112"/>
      <c r="AE657" s="112"/>
      <c r="AF657" s="112"/>
      <c r="AG657" s="117"/>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c r="BK657" s="124"/>
      <c r="BL657" s="124"/>
      <c r="BM657" s="124"/>
      <c r="BN657" s="124"/>
      <c r="BO657" s="124"/>
      <c r="BP657" s="124"/>
      <c r="BQ657" s="124"/>
      <c r="BR657" s="124"/>
      <c r="BS657" s="124"/>
      <c r="BT657" s="124"/>
      <c r="BU657" s="124"/>
      <c r="BV657" s="124"/>
      <c r="BW657" s="124"/>
      <c r="BX657" s="124"/>
      <c r="BY657" s="124"/>
      <c r="BZ657" s="124"/>
      <c r="CA657" s="124"/>
    </row>
    <row r="658">
      <c r="D658" s="143"/>
      <c r="E658" s="112"/>
      <c r="F658" s="112"/>
      <c r="G658" s="112"/>
      <c r="H658" s="112"/>
      <c r="I658" s="112"/>
      <c r="J658" s="112"/>
      <c r="K658" s="112"/>
      <c r="L658" s="112"/>
      <c r="M658" s="112"/>
      <c r="N658" s="112"/>
      <c r="O658" s="112"/>
      <c r="P658" s="112"/>
      <c r="Q658" s="112"/>
      <c r="R658" s="112"/>
      <c r="S658" s="112"/>
      <c r="T658" s="112"/>
      <c r="U658" s="107"/>
      <c r="V658" s="107"/>
      <c r="W658" s="107"/>
      <c r="X658" s="107"/>
      <c r="Y658" s="107"/>
      <c r="Z658" s="112"/>
      <c r="AA658" s="112"/>
      <c r="AB658" s="112"/>
      <c r="AC658" s="112"/>
      <c r="AD658" s="112"/>
      <c r="AE658" s="112"/>
      <c r="AF658" s="112"/>
      <c r="AG658" s="117"/>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c r="BK658" s="124"/>
      <c r="BL658" s="124"/>
      <c r="BM658" s="124"/>
      <c r="BN658" s="124"/>
      <c r="BO658" s="124"/>
      <c r="BP658" s="124"/>
      <c r="BQ658" s="124"/>
      <c r="BR658" s="124"/>
      <c r="BS658" s="124"/>
      <c r="BT658" s="124"/>
      <c r="BU658" s="124"/>
      <c r="BV658" s="124"/>
      <c r="BW658" s="124"/>
      <c r="BX658" s="124"/>
      <c r="BY658" s="124"/>
      <c r="BZ658" s="124"/>
      <c r="CA658" s="124"/>
    </row>
    <row r="659">
      <c r="D659" s="143"/>
      <c r="E659" s="112"/>
      <c r="F659" s="112"/>
      <c r="G659" s="112"/>
      <c r="H659" s="112"/>
      <c r="I659" s="112"/>
      <c r="J659" s="112"/>
      <c r="K659" s="112"/>
      <c r="L659" s="112"/>
      <c r="M659" s="112"/>
      <c r="N659" s="112"/>
      <c r="O659" s="112"/>
      <c r="P659" s="112"/>
      <c r="Q659" s="112"/>
      <c r="R659" s="112"/>
      <c r="S659" s="112"/>
      <c r="T659" s="112"/>
      <c r="U659" s="107"/>
      <c r="V659" s="107"/>
      <c r="W659" s="107"/>
      <c r="X659" s="107"/>
      <c r="Y659" s="107"/>
      <c r="Z659" s="112"/>
      <c r="AA659" s="112"/>
      <c r="AB659" s="112"/>
      <c r="AC659" s="112"/>
      <c r="AD659" s="112"/>
      <c r="AE659" s="112"/>
      <c r="AF659" s="112"/>
      <c r="AG659" s="117"/>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c r="BK659" s="124"/>
      <c r="BL659" s="124"/>
      <c r="BM659" s="124"/>
      <c r="BN659" s="124"/>
      <c r="BO659" s="124"/>
      <c r="BP659" s="124"/>
      <c r="BQ659" s="124"/>
      <c r="BR659" s="124"/>
      <c r="BS659" s="124"/>
      <c r="BT659" s="124"/>
      <c r="BU659" s="124"/>
      <c r="BV659" s="124"/>
      <c r="BW659" s="124"/>
      <c r="BX659" s="124"/>
      <c r="BY659" s="124"/>
      <c r="BZ659" s="124"/>
      <c r="CA659" s="124"/>
    </row>
    <row r="660">
      <c r="D660" s="143"/>
      <c r="E660" s="112"/>
      <c r="F660" s="112"/>
      <c r="G660" s="112"/>
      <c r="H660" s="112"/>
      <c r="I660" s="112"/>
      <c r="J660" s="112"/>
      <c r="K660" s="112"/>
      <c r="L660" s="112"/>
      <c r="M660" s="112"/>
      <c r="N660" s="112"/>
      <c r="O660" s="112"/>
      <c r="P660" s="112"/>
      <c r="Q660" s="112"/>
      <c r="R660" s="112"/>
      <c r="S660" s="112"/>
      <c r="T660" s="112"/>
      <c r="U660" s="107"/>
      <c r="V660" s="107"/>
      <c r="W660" s="107"/>
      <c r="X660" s="107"/>
      <c r="Y660" s="107"/>
      <c r="Z660" s="112"/>
      <c r="AA660" s="112"/>
      <c r="AB660" s="112"/>
      <c r="AC660" s="112"/>
      <c r="AD660" s="112"/>
      <c r="AE660" s="112"/>
      <c r="AF660" s="112"/>
      <c r="AG660" s="117"/>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c r="BK660" s="124"/>
      <c r="BL660" s="124"/>
      <c r="BM660" s="124"/>
      <c r="BN660" s="124"/>
      <c r="BO660" s="124"/>
      <c r="BP660" s="124"/>
      <c r="BQ660" s="124"/>
      <c r="BR660" s="124"/>
      <c r="BS660" s="124"/>
      <c r="BT660" s="124"/>
      <c r="BU660" s="124"/>
      <c r="BV660" s="124"/>
      <c r="BW660" s="124"/>
      <c r="BX660" s="124"/>
      <c r="BY660" s="124"/>
      <c r="BZ660" s="124"/>
      <c r="CA660" s="124"/>
    </row>
    <row r="661">
      <c r="D661" s="143"/>
      <c r="E661" s="112"/>
      <c r="F661" s="112"/>
      <c r="G661" s="112"/>
      <c r="H661" s="112"/>
      <c r="I661" s="112"/>
      <c r="J661" s="112"/>
      <c r="K661" s="112"/>
      <c r="L661" s="112"/>
      <c r="M661" s="112"/>
      <c r="N661" s="112"/>
      <c r="O661" s="112"/>
      <c r="P661" s="112"/>
      <c r="Q661" s="112"/>
      <c r="R661" s="112"/>
      <c r="S661" s="112"/>
      <c r="T661" s="112"/>
      <c r="U661" s="107"/>
      <c r="V661" s="107"/>
      <c r="W661" s="107"/>
      <c r="X661" s="107"/>
      <c r="Y661" s="107"/>
      <c r="Z661" s="112"/>
      <c r="AA661" s="112"/>
      <c r="AB661" s="112"/>
      <c r="AC661" s="112"/>
      <c r="AD661" s="112"/>
      <c r="AE661" s="112"/>
      <c r="AF661" s="112"/>
      <c r="AG661" s="117"/>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c r="BK661" s="124"/>
      <c r="BL661" s="124"/>
      <c r="BM661" s="124"/>
      <c r="BN661" s="124"/>
      <c r="BO661" s="124"/>
      <c r="BP661" s="124"/>
      <c r="BQ661" s="124"/>
      <c r="BR661" s="124"/>
      <c r="BS661" s="124"/>
      <c r="BT661" s="124"/>
      <c r="BU661" s="124"/>
      <c r="BV661" s="124"/>
      <c r="BW661" s="124"/>
      <c r="BX661" s="124"/>
      <c r="BY661" s="124"/>
      <c r="BZ661" s="124"/>
      <c r="CA661" s="124"/>
    </row>
    <row r="662">
      <c r="D662" s="143"/>
      <c r="E662" s="112"/>
      <c r="F662" s="112"/>
      <c r="G662" s="112"/>
      <c r="H662" s="112"/>
      <c r="I662" s="112"/>
      <c r="J662" s="112"/>
      <c r="K662" s="112"/>
      <c r="L662" s="112"/>
      <c r="M662" s="112"/>
      <c r="N662" s="112"/>
      <c r="O662" s="112"/>
      <c r="P662" s="112"/>
      <c r="Q662" s="112"/>
      <c r="R662" s="112"/>
      <c r="S662" s="112"/>
      <c r="T662" s="112"/>
      <c r="U662" s="107"/>
      <c r="V662" s="107"/>
      <c r="W662" s="107"/>
      <c r="X662" s="107"/>
      <c r="Y662" s="107"/>
      <c r="Z662" s="112"/>
      <c r="AA662" s="112"/>
      <c r="AB662" s="112"/>
      <c r="AC662" s="112"/>
      <c r="AD662" s="112"/>
      <c r="AE662" s="112"/>
      <c r="AF662" s="112"/>
      <c r="AG662" s="117"/>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c r="BK662" s="124"/>
      <c r="BL662" s="124"/>
      <c r="BM662" s="124"/>
      <c r="BN662" s="124"/>
      <c r="BO662" s="124"/>
      <c r="BP662" s="124"/>
      <c r="BQ662" s="124"/>
      <c r="BR662" s="124"/>
      <c r="BS662" s="124"/>
      <c r="BT662" s="124"/>
      <c r="BU662" s="124"/>
      <c r="BV662" s="124"/>
      <c r="BW662" s="124"/>
      <c r="BX662" s="124"/>
      <c r="BY662" s="124"/>
      <c r="BZ662" s="124"/>
      <c r="CA662" s="124"/>
    </row>
    <row r="663">
      <c r="D663" s="143"/>
      <c r="E663" s="112"/>
      <c r="F663" s="112"/>
      <c r="G663" s="112"/>
      <c r="H663" s="112"/>
      <c r="I663" s="112"/>
      <c r="J663" s="112"/>
      <c r="K663" s="112"/>
      <c r="L663" s="112"/>
      <c r="M663" s="112"/>
      <c r="N663" s="112"/>
      <c r="O663" s="112"/>
      <c r="P663" s="112"/>
      <c r="Q663" s="112"/>
      <c r="R663" s="112"/>
      <c r="S663" s="112"/>
      <c r="T663" s="112"/>
      <c r="U663" s="107"/>
      <c r="V663" s="107"/>
      <c r="W663" s="107"/>
      <c r="X663" s="107"/>
      <c r="Y663" s="107"/>
      <c r="Z663" s="112"/>
      <c r="AA663" s="112"/>
      <c r="AB663" s="112"/>
      <c r="AC663" s="112"/>
      <c r="AD663" s="112"/>
      <c r="AE663" s="112"/>
      <c r="AF663" s="112"/>
      <c r="AG663" s="117"/>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c r="BK663" s="124"/>
      <c r="BL663" s="124"/>
      <c r="BM663" s="124"/>
      <c r="BN663" s="124"/>
      <c r="BO663" s="124"/>
      <c r="BP663" s="124"/>
      <c r="BQ663" s="124"/>
      <c r="BR663" s="124"/>
      <c r="BS663" s="124"/>
      <c r="BT663" s="124"/>
      <c r="BU663" s="124"/>
      <c r="BV663" s="124"/>
      <c r="BW663" s="124"/>
      <c r="BX663" s="124"/>
      <c r="BY663" s="124"/>
      <c r="BZ663" s="124"/>
      <c r="CA663" s="124"/>
    </row>
    <row r="664">
      <c r="D664" s="143"/>
      <c r="E664" s="112"/>
      <c r="F664" s="112"/>
      <c r="G664" s="112"/>
      <c r="H664" s="112"/>
      <c r="I664" s="112"/>
      <c r="J664" s="112"/>
      <c r="K664" s="112"/>
      <c r="L664" s="112"/>
      <c r="M664" s="112"/>
      <c r="N664" s="112"/>
      <c r="O664" s="112"/>
      <c r="P664" s="112"/>
      <c r="Q664" s="112"/>
      <c r="R664" s="112"/>
      <c r="S664" s="112"/>
      <c r="T664" s="112"/>
      <c r="U664" s="107"/>
      <c r="V664" s="107"/>
      <c r="W664" s="107"/>
      <c r="X664" s="107"/>
      <c r="Y664" s="107"/>
      <c r="Z664" s="112"/>
      <c r="AA664" s="112"/>
      <c r="AB664" s="112"/>
      <c r="AC664" s="112"/>
      <c r="AD664" s="112"/>
      <c r="AE664" s="112"/>
      <c r="AF664" s="112"/>
      <c r="AG664" s="117"/>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c r="BK664" s="124"/>
      <c r="BL664" s="124"/>
      <c r="BM664" s="124"/>
      <c r="BN664" s="124"/>
      <c r="BO664" s="124"/>
      <c r="BP664" s="124"/>
      <c r="BQ664" s="124"/>
      <c r="BR664" s="124"/>
      <c r="BS664" s="124"/>
      <c r="BT664" s="124"/>
      <c r="BU664" s="124"/>
      <c r="BV664" s="124"/>
      <c r="BW664" s="124"/>
      <c r="BX664" s="124"/>
      <c r="BY664" s="124"/>
      <c r="BZ664" s="124"/>
      <c r="CA664" s="124"/>
    </row>
    <row r="665">
      <c r="D665" s="143"/>
      <c r="E665" s="112"/>
      <c r="F665" s="112"/>
      <c r="G665" s="112"/>
      <c r="H665" s="112"/>
      <c r="I665" s="112"/>
      <c r="J665" s="112"/>
      <c r="K665" s="112"/>
      <c r="L665" s="112"/>
      <c r="M665" s="112"/>
      <c r="N665" s="112"/>
      <c r="O665" s="112"/>
      <c r="P665" s="112"/>
      <c r="Q665" s="112"/>
      <c r="R665" s="112"/>
      <c r="S665" s="112"/>
      <c r="T665" s="112"/>
      <c r="U665" s="107"/>
      <c r="V665" s="107"/>
      <c r="W665" s="107"/>
      <c r="X665" s="107"/>
      <c r="Y665" s="107"/>
      <c r="Z665" s="112"/>
      <c r="AA665" s="112"/>
      <c r="AB665" s="112"/>
      <c r="AC665" s="112"/>
      <c r="AD665" s="112"/>
      <c r="AE665" s="112"/>
      <c r="AF665" s="112"/>
      <c r="AG665" s="117"/>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c r="BK665" s="124"/>
      <c r="BL665" s="124"/>
      <c r="BM665" s="124"/>
      <c r="BN665" s="124"/>
      <c r="BO665" s="124"/>
      <c r="BP665" s="124"/>
      <c r="BQ665" s="124"/>
      <c r="BR665" s="124"/>
      <c r="BS665" s="124"/>
      <c r="BT665" s="124"/>
      <c r="BU665" s="124"/>
      <c r="BV665" s="124"/>
      <c r="BW665" s="124"/>
      <c r="BX665" s="124"/>
      <c r="BY665" s="124"/>
      <c r="BZ665" s="124"/>
      <c r="CA665" s="124"/>
    </row>
    <row r="666">
      <c r="D666" s="143"/>
      <c r="E666" s="112"/>
      <c r="F666" s="112"/>
      <c r="G666" s="112"/>
      <c r="H666" s="112"/>
      <c r="I666" s="112"/>
      <c r="J666" s="112"/>
      <c r="K666" s="112"/>
      <c r="L666" s="112"/>
      <c r="M666" s="112"/>
      <c r="N666" s="112"/>
      <c r="O666" s="112"/>
      <c r="P666" s="112"/>
      <c r="Q666" s="112"/>
      <c r="R666" s="112"/>
      <c r="S666" s="112"/>
      <c r="T666" s="112"/>
      <c r="U666" s="107"/>
      <c r="V666" s="107"/>
      <c r="W666" s="107"/>
      <c r="X666" s="107"/>
      <c r="Y666" s="107"/>
      <c r="Z666" s="112"/>
      <c r="AA666" s="112"/>
      <c r="AB666" s="112"/>
      <c r="AC666" s="112"/>
      <c r="AD666" s="112"/>
      <c r="AE666" s="112"/>
      <c r="AF666" s="112"/>
      <c r="AG666" s="117"/>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c r="BK666" s="124"/>
      <c r="BL666" s="124"/>
      <c r="BM666" s="124"/>
      <c r="BN666" s="124"/>
      <c r="BO666" s="124"/>
      <c r="BP666" s="124"/>
      <c r="BQ666" s="124"/>
      <c r="BR666" s="124"/>
      <c r="BS666" s="124"/>
      <c r="BT666" s="124"/>
      <c r="BU666" s="124"/>
      <c r="BV666" s="124"/>
      <c r="BW666" s="124"/>
      <c r="BX666" s="124"/>
      <c r="BY666" s="124"/>
      <c r="BZ666" s="124"/>
      <c r="CA666" s="124"/>
    </row>
    <row r="667">
      <c r="D667" s="143"/>
      <c r="E667" s="112"/>
      <c r="F667" s="112"/>
      <c r="G667" s="112"/>
      <c r="H667" s="112"/>
      <c r="I667" s="112"/>
      <c r="J667" s="112"/>
      <c r="K667" s="112"/>
      <c r="L667" s="112"/>
      <c r="M667" s="112"/>
      <c r="N667" s="112"/>
      <c r="O667" s="112"/>
      <c r="P667" s="112"/>
      <c r="Q667" s="112"/>
      <c r="R667" s="112"/>
      <c r="S667" s="112"/>
      <c r="T667" s="112"/>
      <c r="U667" s="107"/>
      <c r="V667" s="107"/>
      <c r="W667" s="107"/>
      <c r="X667" s="107"/>
      <c r="Y667" s="107"/>
      <c r="Z667" s="112"/>
      <c r="AA667" s="112"/>
      <c r="AB667" s="112"/>
      <c r="AC667" s="112"/>
      <c r="AD667" s="112"/>
      <c r="AE667" s="112"/>
      <c r="AF667" s="112"/>
      <c r="AG667" s="117"/>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c r="BK667" s="124"/>
      <c r="BL667" s="124"/>
      <c r="BM667" s="124"/>
      <c r="BN667" s="124"/>
      <c r="BO667" s="124"/>
      <c r="BP667" s="124"/>
      <c r="BQ667" s="124"/>
      <c r="BR667" s="124"/>
      <c r="BS667" s="124"/>
      <c r="BT667" s="124"/>
      <c r="BU667" s="124"/>
      <c r="BV667" s="124"/>
      <c r="BW667" s="124"/>
      <c r="BX667" s="124"/>
      <c r="BY667" s="124"/>
      <c r="BZ667" s="124"/>
      <c r="CA667" s="124"/>
    </row>
    <row r="668">
      <c r="D668" s="143"/>
      <c r="E668" s="112"/>
      <c r="F668" s="112"/>
      <c r="G668" s="112"/>
      <c r="H668" s="112"/>
      <c r="I668" s="112"/>
      <c r="J668" s="112"/>
      <c r="K668" s="112"/>
      <c r="L668" s="112"/>
      <c r="M668" s="112"/>
      <c r="N668" s="112"/>
      <c r="O668" s="112"/>
      <c r="P668" s="112"/>
      <c r="Q668" s="112"/>
      <c r="R668" s="112"/>
      <c r="S668" s="112"/>
      <c r="T668" s="112"/>
      <c r="U668" s="107"/>
      <c r="V668" s="107"/>
      <c r="W668" s="107"/>
      <c r="X668" s="107"/>
      <c r="Y668" s="107"/>
      <c r="Z668" s="112"/>
      <c r="AA668" s="112"/>
      <c r="AB668" s="112"/>
      <c r="AC668" s="112"/>
      <c r="AD668" s="112"/>
      <c r="AE668" s="112"/>
      <c r="AF668" s="112"/>
      <c r="AG668" s="117"/>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c r="BK668" s="124"/>
      <c r="BL668" s="124"/>
      <c r="BM668" s="124"/>
      <c r="BN668" s="124"/>
      <c r="BO668" s="124"/>
      <c r="BP668" s="124"/>
      <c r="BQ668" s="124"/>
      <c r="BR668" s="124"/>
      <c r="BS668" s="124"/>
      <c r="BT668" s="124"/>
      <c r="BU668" s="124"/>
      <c r="BV668" s="124"/>
      <c r="BW668" s="124"/>
      <c r="BX668" s="124"/>
      <c r="BY668" s="124"/>
      <c r="BZ668" s="124"/>
      <c r="CA668" s="124"/>
    </row>
    <row r="669">
      <c r="D669" s="143"/>
      <c r="E669" s="112"/>
      <c r="F669" s="112"/>
      <c r="G669" s="112"/>
      <c r="H669" s="112"/>
      <c r="I669" s="112"/>
      <c r="J669" s="112"/>
      <c r="K669" s="112"/>
      <c r="L669" s="112"/>
      <c r="M669" s="112"/>
      <c r="N669" s="112"/>
      <c r="O669" s="112"/>
      <c r="P669" s="112"/>
      <c r="Q669" s="112"/>
      <c r="R669" s="112"/>
      <c r="S669" s="112"/>
      <c r="T669" s="112"/>
      <c r="U669" s="107"/>
      <c r="V669" s="107"/>
      <c r="W669" s="107"/>
      <c r="X669" s="107"/>
      <c r="Y669" s="107"/>
      <c r="Z669" s="112"/>
      <c r="AA669" s="112"/>
      <c r="AB669" s="112"/>
      <c r="AC669" s="112"/>
      <c r="AD669" s="112"/>
      <c r="AE669" s="112"/>
      <c r="AF669" s="112"/>
      <c r="AG669" s="117"/>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c r="BK669" s="124"/>
      <c r="BL669" s="124"/>
      <c r="BM669" s="124"/>
      <c r="BN669" s="124"/>
      <c r="BO669" s="124"/>
      <c r="BP669" s="124"/>
      <c r="BQ669" s="124"/>
      <c r="BR669" s="124"/>
      <c r="BS669" s="124"/>
      <c r="BT669" s="124"/>
      <c r="BU669" s="124"/>
      <c r="BV669" s="124"/>
      <c r="BW669" s="124"/>
      <c r="BX669" s="124"/>
      <c r="BY669" s="124"/>
      <c r="BZ669" s="124"/>
      <c r="CA669" s="124"/>
    </row>
    <row r="670">
      <c r="D670" s="143"/>
      <c r="E670" s="112"/>
      <c r="F670" s="112"/>
      <c r="G670" s="112"/>
      <c r="H670" s="112"/>
      <c r="I670" s="112"/>
      <c r="J670" s="112"/>
      <c r="K670" s="112"/>
      <c r="L670" s="112"/>
      <c r="M670" s="112"/>
      <c r="N670" s="112"/>
      <c r="O670" s="112"/>
      <c r="P670" s="112"/>
      <c r="Q670" s="112"/>
      <c r="R670" s="112"/>
      <c r="S670" s="112"/>
      <c r="T670" s="112"/>
      <c r="U670" s="107"/>
      <c r="V670" s="107"/>
      <c r="W670" s="107"/>
      <c r="X670" s="107"/>
      <c r="Y670" s="107"/>
      <c r="Z670" s="112"/>
      <c r="AA670" s="112"/>
      <c r="AB670" s="112"/>
      <c r="AC670" s="112"/>
      <c r="AD670" s="112"/>
      <c r="AE670" s="112"/>
      <c r="AF670" s="112"/>
      <c r="AG670" s="117"/>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c r="BK670" s="124"/>
      <c r="BL670" s="124"/>
      <c r="BM670" s="124"/>
      <c r="BN670" s="124"/>
      <c r="BO670" s="124"/>
      <c r="BP670" s="124"/>
      <c r="BQ670" s="124"/>
      <c r="BR670" s="124"/>
      <c r="BS670" s="124"/>
      <c r="BT670" s="124"/>
      <c r="BU670" s="124"/>
      <c r="BV670" s="124"/>
      <c r="BW670" s="124"/>
      <c r="BX670" s="124"/>
      <c r="BY670" s="124"/>
      <c r="BZ670" s="124"/>
      <c r="CA670" s="124"/>
    </row>
    <row r="671">
      <c r="D671" s="143"/>
      <c r="E671" s="112"/>
      <c r="F671" s="112"/>
      <c r="G671" s="112"/>
      <c r="H671" s="112"/>
      <c r="I671" s="112"/>
      <c r="J671" s="112"/>
      <c r="K671" s="112"/>
      <c r="L671" s="112"/>
      <c r="M671" s="112"/>
      <c r="N671" s="112"/>
      <c r="O671" s="112"/>
      <c r="P671" s="112"/>
      <c r="Q671" s="112"/>
      <c r="R671" s="112"/>
      <c r="S671" s="112"/>
      <c r="T671" s="112"/>
      <c r="U671" s="107"/>
      <c r="V671" s="107"/>
      <c r="W671" s="107"/>
      <c r="X671" s="107"/>
      <c r="Y671" s="107"/>
      <c r="Z671" s="112"/>
      <c r="AA671" s="112"/>
      <c r="AB671" s="112"/>
      <c r="AC671" s="112"/>
      <c r="AD671" s="112"/>
      <c r="AE671" s="112"/>
      <c r="AF671" s="112"/>
      <c r="AG671" s="117"/>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c r="BK671" s="124"/>
      <c r="BL671" s="124"/>
      <c r="BM671" s="124"/>
      <c r="BN671" s="124"/>
      <c r="BO671" s="124"/>
      <c r="BP671" s="124"/>
      <c r="BQ671" s="124"/>
      <c r="BR671" s="124"/>
      <c r="BS671" s="124"/>
      <c r="BT671" s="124"/>
      <c r="BU671" s="124"/>
      <c r="BV671" s="124"/>
      <c r="BW671" s="124"/>
      <c r="BX671" s="124"/>
      <c r="BY671" s="124"/>
      <c r="BZ671" s="124"/>
      <c r="CA671" s="124"/>
    </row>
    <row r="672">
      <c r="D672" s="143"/>
      <c r="E672" s="112"/>
      <c r="F672" s="112"/>
      <c r="G672" s="112"/>
      <c r="H672" s="112"/>
      <c r="I672" s="112"/>
      <c r="J672" s="112"/>
      <c r="K672" s="112"/>
      <c r="L672" s="112"/>
      <c r="M672" s="112"/>
      <c r="N672" s="112"/>
      <c r="O672" s="112"/>
      <c r="P672" s="112"/>
      <c r="Q672" s="112"/>
      <c r="R672" s="112"/>
      <c r="S672" s="112"/>
      <c r="T672" s="112"/>
      <c r="U672" s="107"/>
      <c r="V672" s="107"/>
      <c r="W672" s="107"/>
      <c r="X672" s="107"/>
      <c r="Y672" s="107"/>
      <c r="Z672" s="112"/>
      <c r="AA672" s="112"/>
      <c r="AB672" s="112"/>
      <c r="AC672" s="112"/>
      <c r="AD672" s="112"/>
      <c r="AE672" s="112"/>
      <c r="AF672" s="112"/>
      <c r="AG672" s="117"/>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c r="BK672" s="124"/>
      <c r="BL672" s="124"/>
      <c r="BM672" s="124"/>
      <c r="BN672" s="124"/>
      <c r="BO672" s="124"/>
      <c r="BP672" s="124"/>
      <c r="BQ672" s="124"/>
      <c r="BR672" s="124"/>
      <c r="BS672" s="124"/>
      <c r="BT672" s="124"/>
      <c r="BU672" s="124"/>
      <c r="BV672" s="124"/>
      <c r="BW672" s="124"/>
      <c r="BX672" s="124"/>
      <c r="BY672" s="124"/>
      <c r="BZ672" s="124"/>
      <c r="CA672" s="124"/>
    </row>
    <row r="673">
      <c r="D673" s="143"/>
      <c r="E673" s="112"/>
      <c r="F673" s="112"/>
      <c r="G673" s="112"/>
      <c r="H673" s="112"/>
      <c r="I673" s="112"/>
      <c r="J673" s="112"/>
      <c r="K673" s="112"/>
      <c r="L673" s="112"/>
      <c r="M673" s="112"/>
      <c r="N673" s="112"/>
      <c r="O673" s="112"/>
      <c r="P673" s="112"/>
      <c r="Q673" s="112"/>
      <c r="R673" s="112"/>
      <c r="S673" s="112"/>
      <c r="T673" s="112"/>
      <c r="U673" s="107"/>
      <c r="V673" s="107"/>
      <c r="W673" s="107"/>
      <c r="X673" s="107"/>
      <c r="Y673" s="107"/>
      <c r="Z673" s="112"/>
      <c r="AA673" s="112"/>
      <c r="AB673" s="112"/>
      <c r="AC673" s="112"/>
      <c r="AD673" s="112"/>
      <c r="AE673" s="112"/>
      <c r="AF673" s="112"/>
      <c r="AG673" s="117"/>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c r="BK673" s="124"/>
      <c r="BL673" s="124"/>
      <c r="BM673" s="124"/>
      <c r="BN673" s="124"/>
      <c r="BO673" s="124"/>
      <c r="BP673" s="124"/>
      <c r="BQ673" s="124"/>
      <c r="BR673" s="124"/>
      <c r="BS673" s="124"/>
      <c r="BT673" s="124"/>
      <c r="BU673" s="124"/>
      <c r="BV673" s="124"/>
      <c r="BW673" s="124"/>
      <c r="BX673" s="124"/>
      <c r="BY673" s="124"/>
      <c r="BZ673" s="124"/>
      <c r="CA673" s="124"/>
    </row>
    <row r="674">
      <c r="D674" s="143"/>
      <c r="E674" s="112"/>
      <c r="F674" s="112"/>
      <c r="G674" s="112"/>
      <c r="H674" s="112"/>
      <c r="I674" s="112"/>
      <c r="J674" s="112"/>
      <c r="K674" s="112"/>
      <c r="L674" s="112"/>
      <c r="M674" s="112"/>
      <c r="N674" s="112"/>
      <c r="O674" s="112"/>
      <c r="P674" s="112"/>
      <c r="Q674" s="112"/>
      <c r="R674" s="112"/>
      <c r="S674" s="112"/>
      <c r="T674" s="112"/>
      <c r="U674" s="107"/>
      <c r="V674" s="107"/>
      <c r="W674" s="107"/>
      <c r="X674" s="107"/>
      <c r="Y674" s="107"/>
      <c r="Z674" s="112"/>
      <c r="AA674" s="112"/>
      <c r="AB674" s="112"/>
      <c r="AC674" s="112"/>
      <c r="AD674" s="112"/>
      <c r="AE674" s="112"/>
      <c r="AF674" s="112"/>
      <c r="AG674" s="117"/>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c r="BK674" s="124"/>
      <c r="BL674" s="124"/>
      <c r="BM674" s="124"/>
      <c r="BN674" s="124"/>
      <c r="BO674" s="124"/>
      <c r="BP674" s="124"/>
      <c r="BQ674" s="124"/>
      <c r="BR674" s="124"/>
      <c r="BS674" s="124"/>
      <c r="BT674" s="124"/>
      <c r="BU674" s="124"/>
      <c r="BV674" s="124"/>
      <c r="BW674" s="124"/>
      <c r="BX674" s="124"/>
      <c r="BY674" s="124"/>
      <c r="BZ674" s="124"/>
      <c r="CA674" s="124"/>
    </row>
    <row r="675">
      <c r="D675" s="143"/>
      <c r="E675" s="112"/>
      <c r="F675" s="112"/>
      <c r="G675" s="112"/>
      <c r="H675" s="112"/>
      <c r="I675" s="112"/>
      <c r="J675" s="112"/>
      <c r="K675" s="112"/>
      <c r="L675" s="112"/>
      <c r="M675" s="112"/>
      <c r="N675" s="112"/>
      <c r="O675" s="112"/>
      <c r="P675" s="112"/>
      <c r="Q675" s="112"/>
      <c r="R675" s="112"/>
      <c r="S675" s="112"/>
      <c r="T675" s="112"/>
      <c r="U675" s="107"/>
      <c r="V675" s="107"/>
      <c r="W675" s="107"/>
      <c r="X675" s="107"/>
      <c r="Y675" s="107"/>
      <c r="Z675" s="112"/>
      <c r="AA675" s="112"/>
      <c r="AB675" s="112"/>
      <c r="AC675" s="112"/>
      <c r="AD675" s="112"/>
      <c r="AE675" s="112"/>
      <c r="AF675" s="112"/>
      <c r="AG675" s="117"/>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c r="BK675" s="124"/>
      <c r="BL675" s="124"/>
      <c r="BM675" s="124"/>
      <c r="BN675" s="124"/>
      <c r="BO675" s="124"/>
      <c r="BP675" s="124"/>
      <c r="BQ675" s="124"/>
      <c r="BR675" s="124"/>
      <c r="BS675" s="124"/>
      <c r="BT675" s="124"/>
      <c r="BU675" s="124"/>
      <c r="BV675" s="124"/>
      <c r="BW675" s="124"/>
      <c r="BX675" s="124"/>
      <c r="BY675" s="124"/>
      <c r="BZ675" s="124"/>
      <c r="CA675" s="124"/>
    </row>
    <row r="676">
      <c r="D676" s="143"/>
      <c r="E676" s="112"/>
      <c r="F676" s="112"/>
      <c r="G676" s="112"/>
      <c r="H676" s="112"/>
      <c r="I676" s="112"/>
      <c r="J676" s="112"/>
      <c r="K676" s="112"/>
      <c r="L676" s="112"/>
      <c r="M676" s="112"/>
      <c r="N676" s="112"/>
      <c r="O676" s="112"/>
      <c r="P676" s="112"/>
      <c r="Q676" s="112"/>
      <c r="R676" s="112"/>
      <c r="S676" s="112"/>
      <c r="T676" s="112"/>
      <c r="U676" s="107"/>
      <c r="V676" s="107"/>
      <c r="W676" s="107"/>
      <c r="X676" s="107"/>
      <c r="Y676" s="107"/>
      <c r="Z676" s="112"/>
      <c r="AA676" s="112"/>
      <c r="AB676" s="112"/>
      <c r="AC676" s="112"/>
      <c r="AD676" s="112"/>
      <c r="AE676" s="112"/>
      <c r="AF676" s="112"/>
      <c r="AG676" s="117"/>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c r="BK676" s="124"/>
      <c r="BL676" s="124"/>
      <c r="BM676" s="124"/>
      <c r="BN676" s="124"/>
      <c r="BO676" s="124"/>
      <c r="BP676" s="124"/>
      <c r="BQ676" s="124"/>
      <c r="BR676" s="124"/>
      <c r="BS676" s="124"/>
      <c r="BT676" s="124"/>
      <c r="BU676" s="124"/>
      <c r="BV676" s="124"/>
      <c r="BW676" s="124"/>
      <c r="BX676" s="124"/>
      <c r="BY676" s="124"/>
      <c r="BZ676" s="124"/>
      <c r="CA676" s="124"/>
    </row>
    <row r="677">
      <c r="D677" s="143"/>
      <c r="E677" s="112"/>
      <c r="F677" s="112"/>
      <c r="G677" s="112"/>
      <c r="H677" s="112"/>
      <c r="I677" s="112"/>
      <c r="J677" s="112"/>
      <c r="K677" s="112"/>
      <c r="L677" s="112"/>
      <c r="M677" s="112"/>
      <c r="N677" s="112"/>
      <c r="O677" s="112"/>
      <c r="P677" s="112"/>
      <c r="Q677" s="112"/>
      <c r="R677" s="112"/>
      <c r="S677" s="112"/>
      <c r="T677" s="112"/>
      <c r="U677" s="107"/>
      <c r="V677" s="107"/>
      <c r="W677" s="107"/>
      <c r="X677" s="107"/>
      <c r="Y677" s="107"/>
      <c r="Z677" s="112"/>
      <c r="AA677" s="112"/>
      <c r="AB677" s="112"/>
      <c r="AC677" s="112"/>
      <c r="AD677" s="112"/>
      <c r="AE677" s="112"/>
      <c r="AF677" s="112"/>
      <c r="AG677" s="117"/>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c r="BK677" s="124"/>
      <c r="BL677" s="124"/>
      <c r="BM677" s="124"/>
      <c r="BN677" s="124"/>
      <c r="BO677" s="124"/>
      <c r="BP677" s="124"/>
      <c r="BQ677" s="124"/>
      <c r="BR677" s="124"/>
      <c r="BS677" s="124"/>
      <c r="BT677" s="124"/>
      <c r="BU677" s="124"/>
      <c r="BV677" s="124"/>
      <c r="BW677" s="124"/>
      <c r="BX677" s="124"/>
      <c r="BY677" s="124"/>
      <c r="BZ677" s="124"/>
      <c r="CA677" s="124"/>
    </row>
    <row r="678">
      <c r="D678" s="143"/>
      <c r="E678" s="112"/>
      <c r="F678" s="112"/>
      <c r="G678" s="112"/>
      <c r="H678" s="112"/>
      <c r="I678" s="112"/>
      <c r="J678" s="112"/>
      <c r="K678" s="112"/>
      <c r="L678" s="112"/>
      <c r="M678" s="112"/>
      <c r="N678" s="112"/>
      <c r="O678" s="112"/>
      <c r="P678" s="112"/>
      <c r="Q678" s="112"/>
      <c r="R678" s="112"/>
      <c r="S678" s="112"/>
      <c r="T678" s="112"/>
      <c r="U678" s="107"/>
      <c r="V678" s="107"/>
      <c r="W678" s="107"/>
      <c r="X678" s="107"/>
      <c r="Y678" s="107"/>
      <c r="Z678" s="112"/>
      <c r="AA678" s="112"/>
      <c r="AB678" s="112"/>
      <c r="AC678" s="112"/>
      <c r="AD678" s="112"/>
      <c r="AE678" s="112"/>
      <c r="AF678" s="112"/>
      <c r="AG678" s="117"/>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c r="BK678" s="124"/>
      <c r="BL678" s="124"/>
      <c r="BM678" s="124"/>
      <c r="BN678" s="124"/>
      <c r="BO678" s="124"/>
      <c r="BP678" s="124"/>
      <c r="BQ678" s="124"/>
      <c r="BR678" s="124"/>
      <c r="BS678" s="124"/>
      <c r="BT678" s="124"/>
      <c r="BU678" s="124"/>
      <c r="BV678" s="124"/>
      <c r="BW678" s="124"/>
      <c r="BX678" s="124"/>
      <c r="BY678" s="124"/>
      <c r="BZ678" s="124"/>
      <c r="CA678" s="124"/>
    </row>
    <row r="679">
      <c r="D679" s="143"/>
      <c r="E679" s="112"/>
      <c r="F679" s="112"/>
      <c r="G679" s="112"/>
      <c r="H679" s="112"/>
      <c r="I679" s="112"/>
      <c r="J679" s="112"/>
      <c r="K679" s="112"/>
      <c r="L679" s="112"/>
      <c r="M679" s="112"/>
      <c r="N679" s="112"/>
      <c r="O679" s="112"/>
      <c r="P679" s="112"/>
      <c r="Q679" s="112"/>
      <c r="R679" s="112"/>
      <c r="S679" s="112"/>
      <c r="T679" s="112"/>
      <c r="U679" s="107"/>
      <c r="V679" s="107"/>
      <c r="W679" s="107"/>
      <c r="X679" s="107"/>
      <c r="Y679" s="107"/>
      <c r="Z679" s="112"/>
      <c r="AA679" s="112"/>
      <c r="AB679" s="112"/>
      <c r="AC679" s="112"/>
      <c r="AD679" s="112"/>
      <c r="AE679" s="112"/>
      <c r="AF679" s="112"/>
      <c r="AG679" s="117"/>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c r="BK679" s="124"/>
      <c r="BL679" s="124"/>
      <c r="BM679" s="124"/>
      <c r="BN679" s="124"/>
      <c r="BO679" s="124"/>
      <c r="BP679" s="124"/>
      <c r="BQ679" s="124"/>
      <c r="BR679" s="124"/>
      <c r="BS679" s="124"/>
      <c r="BT679" s="124"/>
      <c r="BU679" s="124"/>
      <c r="BV679" s="124"/>
      <c r="BW679" s="124"/>
      <c r="BX679" s="124"/>
      <c r="BY679" s="124"/>
      <c r="BZ679" s="124"/>
      <c r="CA679" s="124"/>
    </row>
    <row r="680">
      <c r="D680" s="143"/>
      <c r="E680" s="112"/>
      <c r="F680" s="112"/>
      <c r="G680" s="112"/>
      <c r="H680" s="112"/>
      <c r="I680" s="112"/>
      <c r="J680" s="112"/>
      <c r="K680" s="112"/>
      <c r="L680" s="112"/>
      <c r="M680" s="112"/>
      <c r="N680" s="112"/>
      <c r="O680" s="112"/>
      <c r="P680" s="112"/>
      <c r="Q680" s="112"/>
      <c r="R680" s="112"/>
      <c r="S680" s="112"/>
      <c r="T680" s="112"/>
      <c r="U680" s="107"/>
      <c r="V680" s="107"/>
      <c r="W680" s="107"/>
      <c r="X680" s="107"/>
      <c r="Y680" s="107"/>
      <c r="Z680" s="112"/>
      <c r="AA680" s="112"/>
      <c r="AB680" s="112"/>
      <c r="AC680" s="112"/>
      <c r="AD680" s="112"/>
      <c r="AE680" s="112"/>
      <c r="AF680" s="112"/>
      <c r="AG680" s="117"/>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c r="BK680" s="124"/>
      <c r="BL680" s="124"/>
      <c r="BM680" s="124"/>
      <c r="BN680" s="124"/>
      <c r="BO680" s="124"/>
      <c r="BP680" s="124"/>
      <c r="BQ680" s="124"/>
      <c r="BR680" s="124"/>
      <c r="BS680" s="124"/>
      <c r="BT680" s="124"/>
      <c r="BU680" s="124"/>
      <c r="BV680" s="124"/>
      <c r="BW680" s="124"/>
      <c r="BX680" s="124"/>
      <c r="BY680" s="124"/>
      <c r="BZ680" s="124"/>
      <c r="CA680" s="124"/>
    </row>
    <row r="681">
      <c r="D681" s="143"/>
      <c r="E681" s="112"/>
      <c r="F681" s="112"/>
      <c r="G681" s="112"/>
      <c r="H681" s="112"/>
      <c r="I681" s="112"/>
      <c r="J681" s="112"/>
      <c r="K681" s="112"/>
      <c r="L681" s="112"/>
      <c r="M681" s="112"/>
      <c r="N681" s="112"/>
      <c r="O681" s="112"/>
      <c r="P681" s="112"/>
      <c r="Q681" s="112"/>
      <c r="R681" s="112"/>
      <c r="S681" s="112"/>
      <c r="T681" s="112"/>
      <c r="U681" s="107"/>
      <c r="V681" s="107"/>
      <c r="W681" s="107"/>
      <c r="X681" s="107"/>
      <c r="Y681" s="107"/>
      <c r="Z681" s="112"/>
      <c r="AA681" s="112"/>
      <c r="AB681" s="112"/>
      <c r="AC681" s="112"/>
      <c r="AD681" s="112"/>
      <c r="AE681" s="112"/>
      <c r="AF681" s="112"/>
      <c r="AG681" s="117"/>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c r="BK681" s="124"/>
      <c r="BL681" s="124"/>
      <c r="BM681" s="124"/>
      <c r="BN681" s="124"/>
      <c r="BO681" s="124"/>
      <c r="BP681" s="124"/>
      <c r="BQ681" s="124"/>
      <c r="BR681" s="124"/>
      <c r="BS681" s="124"/>
      <c r="BT681" s="124"/>
      <c r="BU681" s="124"/>
      <c r="BV681" s="124"/>
      <c r="BW681" s="124"/>
      <c r="BX681" s="124"/>
      <c r="BY681" s="124"/>
      <c r="BZ681" s="124"/>
      <c r="CA681" s="124"/>
    </row>
    <row r="682">
      <c r="D682" s="143"/>
      <c r="E682" s="112"/>
      <c r="F682" s="112"/>
      <c r="G682" s="112"/>
      <c r="H682" s="112"/>
      <c r="I682" s="112"/>
      <c r="J682" s="112"/>
      <c r="K682" s="112"/>
      <c r="L682" s="112"/>
      <c r="M682" s="112"/>
      <c r="N682" s="112"/>
      <c r="O682" s="112"/>
      <c r="P682" s="112"/>
      <c r="Q682" s="112"/>
      <c r="R682" s="112"/>
      <c r="S682" s="112"/>
      <c r="T682" s="112"/>
      <c r="U682" s="107"/>
      <c r="V682" s="107"/>
      <c r="W682" s="107"/>
      <c r="X682" s="107"/>
      <c r="Y682" s="107"/>
      <c r="Z682" s="112"/>
      <c r="AA682" s="112"/>
      <c r="AB682" s="112"/>
      <c r="AC682" s="112"/>
      <c r="AD682" s="112"/>
      <c r="AE682" s="112"/>
      <c r="AF682" s="112"/>
      <c r="AG682" s="117"/>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c r="BK682" s="124"/>
      <c r="BL682" s="124"/>
      <c r="BM682" s="124"/>
      <c r="BN682" s="124"/>
      <c r="BO682" s="124"/>
      <c r="BP682" s="124"/>
      <c r="BQ682" s="124"/>
      <c r="BR682" s="124"/>
      <c r="BS682" s="124"/>
      <c r="BT682" s="124"/>
      <c r="BU682" s="124"/>
      <c r="BV682" s="124"/>
      <c r="BW682" s="124"/>
      <c r="BX682" s="124"/>
      <c r="BY682" s="124"/>
      <c r="BZ682" s="124"/>
      <c r="CA682" s="124"/>
    </row>
    <row r="683">
      <c r="D683" s="143"/>
      <c r="E683" s="112"/>
      <c r="F683" s="112"/>
      <c r="G683" s="112"/>
      <c r="H683" s="112"/>
      <c r="I683" s="112"/>
      <c r="J683" s="112"/>
      <c r="K683" s="112"/>
      <c r="L683" s="112"/>
      <c r="M683" s="112"/>
      <c r="N683" s="112"/>
      <c r="O683" s="112"/>
      <c r="P683" s="112"/>
      <c r="Q683" s="112"/>
      <c r="R683" s="112"/>
      <c r="S683" s="112"/>
      <c r="T683" s="112"/>
      <c r="U683" s="107"/>
      <c r="V683" s="107"/>
      <c r="W683" s="107"/>
      <c r="X683" s="107"/>
      <c r="Y683" s="107"/>
      <c r="Z683" s="112"/>
      <c r="AA683" s="112"/>
      <c r="AB683" s="112"/>
      <c r="AC683" s="112"/>
      <c r="AD683" s="112"/>
      <c r="AE683" s="112"/>
      <c r="AF683" s="112"/>
      <c r="AG683" s="117"/>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c r="BK683" s="124"/>
      <c r="BL683" s="124"/>
      <c r="BM683" s="124"/>
      <c r="BN683" s="124"/>
      <c r="BO683" s="124"/>
      <c r="BP683" s="124"/>
      <c r="BQ683" s="124"/>
      <c r="BR683" s="124"/>
      <c r="BS683" s="124"/>
      <c r="BT683" s="124"/>
      <c r="BU683" s="124"/>
      <c r="BV683" s="124"/>
      <c r="BW683" s="124"/>
      <c r="BX683" s="124"/>
      <c r="BY683" s="124"/>
      <c r="BZ683" s="124"/>
      <c r="CA683" s="124"/>
    </row>
    <row r="684">
      <c r="D684" s="143"/>
      <c r="E684" s="112"/>
      <c r="F684" s="112"/>
      <c r="G684" s="112"/>
      <c r="H684" s="112"/>
      <c r="I684" s="112"/>
      <c r="J684" s="112"/>
      <c r="K684" s="112"/>
      <c r="L684" s="112"/>
      <c r="M684" s="112"/>
      <c r="N684" s="112"/>
      <c r="O684" s="112"/>
      <c r="P684" s="112"/>
      <c r="Q684" s="112"/>
      <c r="R684" s="112"/>
      <c r="S684" s="112"/>
      <c r="T684" s="112"/>
      <c r="U684" s="107"/>
      <c r="V684" s="107"/>
      <c r="W684" s="107"/>
      <c r="X684" s="107"/>
      <c r="Y684" s="107"/>
      <c r="Z684" s="112"/>
      <c r="AA684" s="112"/>
      <c r="AB684" s="112"/>
      <c r="AC684" s="112"/>
      <c r="AD684" s="112"/>
      <c r="AE684" s="112"/>
      <c r="AF684" s="112"/>
      <c r="AG684" s="117"/>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c r="BK684" s="124"/>
      <c r="BL684" s="124"/>
      <c r="BM684" s="124"/>
      <c r="BN684" s="124"/>
      <c r="BO684" s="124"/>
      <c r="BP684" s="124"/>
      <c r="BQ684" s="124"/>
      <c r="BR684" s="124"/>
      <c r="BS684" s="124"/>
      <c r="BT684" s="124"/>
      <c r="BU684" s="124"/>
      <c r="BV684" s="124"/>
      <c r="BW684" s="124"/>
      <c r="BX684" s="124"/>
      <c r="BY684" s="124"/>
      <c r="BZ684" s="124"/>
      <c r="CA684" s="124"/>
    </row>
    <row r="685">
      <c r="D685" s="143"/>
      <c r="E685" s="112"/>
      <c r="F685" s="112"/>
      <c r="G685" s="112"/>
      <c r="H685" s="112"/>
      <c r="I685" s="112"/>
      <c r="J685" s="112"/>
      <c r="K685" s="112"/>
      <c r="L685" s="112"/>
      <c r="M685" s="112"/>
      <c r="N685" s="112"/>
      <c r="O685" s="112"/>
      <c r="P685" s="112"/>
      <c r="Q685" s="112"/>
      <c r="R685" s="112"/>
      <c r="S685" s="112"/>
      <c r="T685" s="112"/>
      <c r="U685" s="107"/>
      <c r="V685" s="107"/>
      <c r="W685" s="107"/>
      <c r="X685" s="107"/>
      <c r="Y685" s="107"/>
      <c r="Z685" s="112"/>
      <c r="AA685" s="112"/>
      <c r="AB685" s="112"/>
      <c r="AC685" s="112"/>
      <c r="AD685" s="112"/>
      <c r="AE685" s="112"/>
      <c r="AF685" s="112"/>
      <c r="AG685" s="117"/>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c r="BK685" s="124"/>
      <c r="BL685" s="124"/>
      <c r="BM685" s="124"/>
      <c r="BN685" s="124"/>
      <c r="BO685" s="124"/>
      <c r="BP685" s="124"/>
      <c r="BQ685" s="124"/>
      <c r="BR685" s="124"/>
      <c r="BS685" s="124"/>
      <c r="BT685" s="124"/>
      <c r="BU685" s="124"/>
      <c r="BV685" s="124"/>
      <c r="BW685" s="124"/>
      <c r="BX685" s="124"/>
      <c r="BY685" s="124"/>
      <c r="BZ685" s="124"/>
      <c r="CA685" s="124"/>
    </row>
    <row r="686">
      <c r="D686" s="143"/>
      <c r="E686" s="112"/>
      <c r="F686" s="112"/>
      <c r="G686" s="112"/>
      <c r="H686" s="112"/>
      <c r="I686" s="112"/>
      <c r="J686" s="112"/>
      <c r="K686" s="112"/>
      <c r="L686" s="112"/>
      <c r="M686" s="112"/>
      <c r="N686" s="112"/>
      <c r="O686" s="112"/>
      <c r="P686" s="112"/>
      <c r="Q686" s="112"/>
      <c r="R686" s="112"/>
      <c r="S686" s="112"/>
      <c r="T686" s="112"/>
      <c r="U686" s="107"/>
      <c r="V686" s="107"/>
      <c r="W686" s="107"/>
      <c r="X686" s="107"/>
      <c r="Y686" s="107"/>
      <c r="Z686" s="112"/>
      <c r="AA686" s="112"/>
      <c r="AB686" s="112"/>
      <c r="AC686" s="112"/>
      <c r="AD686" s="112"/>
      <c r="AE686" s="112"/>
      <c r="AF686" s="112"/>
      <c r="AG686" s="117"/>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4"/>
      <c r="BR686" s="124"/>
      <c r="BS686" s="124"/>
      <c r="BT686" s="124"/>
      <c r="BU686" s="124"/>
      <c r="BV686" s="124"/>
      <c r="BW686" s="124"/>
      <c r="BX686" s="124"/>
      <c r="BY686" s="124"/>
      <c r="BZ686" s="124"/>
      <c r="CA686" s="124"/>
    </row>
    <row r="687">
      <c r="D687" s="143"/>
      <c r="E687" s="112"/>
      <c r="F687" s="112"/>
      <c r="G687" s="112"/>
      <c r="H687" s="112"/>
      <c r="I687" s="112"/>
      <c r="J687" s="112"/>
      <c r="K687" s="112"/>
      <c r="L687" s="112"/>
      <c r="M687" s="112"/>
      <c r="N687" s="112"/>
      <c r="O687" s="112"/>
      <c r="P687" s="112"/>
      <c r="Q687" s="112"/>
      <c r="R687" s="112"/>
      <c r="S687" s="112"/>
      <c r="T687" s="112"/>
      <c r="U687" s="107"/>
      <c r="V687" s="107"/>
      <c r="W687" s="107"/>
      <c r="X687" s="107"/>
      <c r="Y687" s="107"/>
      <c r="Z687" s="112"/>
      <c r="AA687" s="112"/>
      <c r="AB687" s="112"/>
      <c r="AC687" s="112"/>
      <c r="AD687" s="112"/>
      <c r="AE687" s="112"/>
      <c r="AF687" s="112"/>
      <c r="AG687" s="117"/>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c r="BK687" s="124"/>
      <c r="BL687" s="124"/>
      <c r="BM687" s="124"/>
      <c r="BN687" s="124"/>
      <c r="BO687" s="124"/>
      <c r="BP687" s="124"/>
      <c r="BQ687" s="124"/>
      <c r="BR687" s="124"/>
      <c r="BS687" s="124"/>
      <c r="BT687" s="124"/>
      <c r="BU687" s="124"/>
      <c r="BV687" s="124"/>
      <c r="BW687" s="124"/>
      <c r="BX687" s="124"/>
      <c r="BY687" s="124"/>
      <c r="BZ687" s="124"/>
      <c r="CA687" s="124"/>
    </row>
    <row r="688">
      <c r="D688" s="143"/>
      <c r="E688" s="112"/>
      <c r="F688" s="112"/>
      <c r="G688" s="112"/>
      <c r="H688" s="112"/>
      <c r="I688" s="112"/>
      <c r="J688" s="112"/>
      <c r="K688" s="112"/>
      <c r="L688" s="112"/>
      <c r="M688" s="112"/>
      <c r="N688" s="112"/>
      <c r="O688" s="112"/>
      <c r="P688" s="112"/>
      <c r="Q688" s="112"/>
      <c r="R688" s="112"/>
      <c r="S688" s="112"/>
      <c r="T688" s="112"/>
      <c r="U688" s="107"/>
      <c r="V688" s="107"/>
      <c r="W688" s="107"/>
      <c r="X688" s="107"/>
      <c r="Y688" s="107"/>
      <c r="Z688" s="112"/>
      <c r="AA688" s="112"/>
      <c r="AB688" s="112"/>
      <c r="AC688" s="112"/>
      <c r="AD688" s="112"/>
      <c r="AE688" s="112"/>
      <c r="AF688" s="112"/>
      <c r="AG688" s="117"/>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c r="BK688" s="124"/>
      <c r="BL688" s="124"/>
      <c r="BM688" s="124"/>
      <c r="BN688" s="124"/>
      <c r="BO688" s="124"/>
      <c r="BP688" s="124"/>
      <c r="BQ688" s="124"/>
      <c r="BR688" s="124"/>
      <c r="BS688" s="124"/>
      <c r="BT688" s="124"/>
      <c r="BU688" s="124"/>
      <c r="BV688" s="124"/>
      <c r="BW688" s="124"/>
      <c r="BX688" s="124"/>
      <c r="BY688" s="124"/>
      <c r="BZ688" s="124"/>
      <c r="CA688" s="124"/>
    </row>
    <row r="689">
      <c r="D689" s="143"/>
      <c r="E689" s="112"/>
      <c r="F689" s="112"/>
      <c r="G689" s="112"/>
      <c r="H689" s="112"/>
      <c r="I689" s="112"/>
      <c r="J689" s="112"/>
      <c r="K689" s="112"/>
      <c r="L689" s="112"/>
      <c r="M689" s="112"/>
      <c r="N689" s="112"/>
      <c r="O689" s="112"/>
      <c r="P689" s="112"/>
      <c r="Q689" s="112"/>
      <c r="R689" s="112"/>
      <c r="S689" s="112"/>
      <c r="T689" s="112"/>
      <c r="U689" s="107"/>
      <c r="V689" s="107"/>
      <c r="W689" s="107"/>
      <c r="X689" s="107"/>
      <c r="Y689" s="107"/>
      <c r="Z689" s="112"/>
      <c r="AA689" s="112"/>
      <c r="AB689" s="112"/>
      <c r="AC689" s="112"/>
      <c r="AD689" s="112"/>
      <c r="AE689" s="112"/>
      <c r="AF689" s="112"/>
      <c r="AG689" s="117"/>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c r="BK689" s="124"/>
      <c r="BL689" s="124"/>
      <c r="BM689" s="124"/>
      <c r="BN689" s="124"/>
      <c r="BO689" s="124"/>
      <c r="BP689" s="124"/>
      <c r="BQ689" s="124"/>
      <c r="BR689" s="124"/>
      <c r="BS689" s="124"/>
      <c r="BT689" s="124"/>
      <c r="BU689" s="124"/>
      <c r="BV689" s="124"/>
      <c r="BW689" s="124"/>
      <c r="BX689" s="124"/>
      <c r="BY689" s="124"/>
      <c r="BZ689" s="124"/>
      <c r="CA689" s="124"/>
    </row>
    <row r="690">
      <c r="D690" s="143"/>
      <c r="E690" s="112"/>
      <c r="F690" s="112"/>
      <c r="G690" s="112"/>
      <c r="H690" s="112"/>
      <c r="I690" s="112"/>
      <c r="J690" s="112"/>
      <c r="K690" s="112"/>
      <c r="L690" s="112"/>
      <c r="M690" s="112"/>
      <c r="N690" s="112"/>
      <c r="O690" s="112"/>
      <c r="P690" s="112"/>
      <c r="Q690" s="112"/>
      <c r="R690" s="112"/>
      <c r="S690" s="112"/>
      <c r="T690" s="112"/>
      <c r="U690" s="107"/>
      <c r="V690" s="107"/>
      <c r="W690" s="107"/>
      <c r="X690" s="107"/>
      <c r="Y690" s="107"/>
      <c r="Z690" s="112"/>
      <c r="AA690" s="112"/>
      <c r="AB690" s="112"/>
      <c r="AC690" s="112"/>
      <c r="AD690" s="112"/>
      <c r="AE690" s="112"/>
      <c r="AF690" s="112"/>
      <c r="AG690" s="117"/>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c r="BK690" s="124"/>
      <c r="BL690" s="124"/>
      <c r="BM690" s="124"/>
      <c r="BN690" s="124"/>
      <c r="BO690" s="124"/>
      <c r="BP690" s="124"/>
      <c r="BQ690" s="124"/>
      <c r="BR690" s="124"/>
      <c r="BS690" s="124"/>
      <c r="BT690" s="124"/>
      <c r="BU690" s="124"/>
      <c r="BV690" s="124"/>
      <c r="BW690" s="124"/>
      <c r="BX690" s="124"/>
      <c r="BY690" s="124"/>
      <c r="BZ690" s="124"/>
      <c r="CA690" s="124"/>
    </row>
    <row r="691">
      <c r="D691" s="143"/>
      <c r="E691" s="112"/>
      <c r="F691" s="112"/>
      <c r="G691" s="112"/>
      <c r="H691" s="112"/>
      <c r="I691" s="112"/>
      <c r="J691" s="112"/>
      <c r="K691" s="112"/>
      <c r="L691" s="112"/>
      <c r="M691" s="112"/>
      <c r="N691" s="112"/>
      <c r="O691" s="112"/>
      <c r="P691" s="112"/>
      <c r="Q691" s="112"/>
      <c r="R691" s="112"/>
      <c r="S691" s="112"/>
      <c r="T691" s="112"/>
      <c r="U691" s="107"/>
      <c r="V691" s="107"/>
      <c r="W691" s="107"/>
      <c r="X691" s="107"/>
      <c r="Y691" s="107"/>
      <c r="Z691" s="112"/>
      <c r="AA691" s="112"/>
      <c r="AB691" s="112"/>
      <c r="AC691" s="112"/>
      <c r="AD691" s="112"/>
      <c r="AE691" s="112"/>
      <c r="AF691" s="112"/>
      <c r="AG691" s="117"/>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c r="BK691" s="124"/>
      <c r="BL691" s="124"/>
      <c r="BM691" s="124"/>
      <c r="BN691" s="124"/>
      <c r="BO691" s="124"/>
      <c r="BP691" s="124"/>
      <c r="BQ691" s="124"/>
      <c r="BR691" s="124"/>
      <c r="BS691" s="124"/>
      <c r="BT691" s="124"/>
      <c r="BU691" s="124"/>
      <c r="BV691" s="124"/>
      <c r="BW691" s="124"/>
      <c r="BX691" s="124"/>
      <c r="BY691" s="124"/>
      <c r="BZ691" s="124"/>
      <c r="CA691" s="124"/>
    </row>
    <row r="692">
      <c r="D692" s="143"/>
      <c r="E692" s="112"/>
      <c r="F692" s="112"/>
      <c r="G692" s="112"/>
      <c r="H692" s="112"/>
      <c r="I692" s="112"/>
      <c r="J692" s="112"/>
      <c r="K692" s="112"/>
      <c r="L692" s="112"/>
      <c r="M692" s="112"/>
      <c r="N692" s="112"/>
      <c r="O692" s="112"/>
      <c r="P692" s="112"/>
      <c r="Q692" s="112"/>
      <c r="R692" s="112"/>
      <c r="S692" s="112"/>
      <c r="T692" s="112"/>
      <c r="U692" s="107"/>
      <c r="V692" s="107"/>
      <c r="W692" s="107"/>
      <c r="X692" s="107"/>
      <c r="Y692" s="107"/>
      <c r="Z692" s="112"/>
      <c r="AA692" s="112"/>
      <c r="AB692" s="112"/>
      <c r="AC692" s="112"/>
      <c r="AD692" s="112"/>
      <c r="AE692" s="112"/>
      <c r="AF692" s="112"/>
      <c r="AG692" s="117"/>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c r="BK692" s="124"/>
      <c r="BL692" s="124"/>
      <c r="BM692" s="124"/>
      <c r="BN692" s="124"/>
      <c r="BO692" s="124"/>
      <c r="BP692" s="124"/>
      <c r="BQ692" s="124"/>
      <c r="BR692" s="124"/>
      <c r="BS692" s="124"/>
      <c r="BT692" s="124"/>
      <c r="BU692" s="124"/>
      <c r="BV692" s="124"/>
      <c r="BW692" s="124"/>
      <c r="BX692" s="124"/>
      <c r="BY692" s="124"/>
      <c r="BZ692" s="124"/>
      <c r="CA692" s="124"/>
    </row>
    <row r="693">
      <c r="D693" s="143"/>
      <c r="E693" s="112"/>
      <c r="F693" s="112"/>
      <c r="G693" s="112"/>
      <c r="H693" s="112"/>
      <c r="I693" s="112"/>
      <c r="J693" s="112"/>
      <c r="K693" s="112"/>
      <c r="L693" s="112"/>
      <c r="M693" s="112"/>
      <c r="N693" s="112"/>
      <c r="O693" s="112"/>
      <c r="P693" s="112"/>
      <c r="Q693" s="112"/>
      <c r="R693" s="112"/>
      <c r="S693" s="112"/>
      <c r="T693" s="112"/>
      <c r="U693" s="107"/>
      <c r="V693" s="107"/>
      <c r="W693" s="107"/>
      <c r="X693" s="107"/>
      <c r="Y693" s="107"/>
      <c r="Z693" s="112"/>
      <c r="AA693" s="112"/>
      <c r="AB693" s="112"/>
      <c r="AC693" s="112"/>
      <c r="AD693" s="112"/>
      <c r="AE693" s="112"/>
      <c r="AF693" s="112"/>
      <c r="AG693" s="117"/>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c r="BK693" s="124"/>
      <c r="BL693" s="124"/>
      <c r="BM693" s="124"/>
      <c r="BN693" s="124"/>
      <c r="BO693" s="124"/>
      <c r="BP693" s="124"/>
      <c r="BQ693" s="124"/>
      <c r="BR693" s="124"/>
      <c r="BS693" s="124"/>
      <c r="BT693" s="124"/>
      <c r="BU693" s="124"/>
      <c r="BV693" s="124"/>
      <c r="BW693" s="124"/>
      <c r="BX693" s="124"/>
      <c r="BY693" s="124"/>
      <c r="BZ693" s="124"/>
      <c r="CA693" s="124"/>
    </row>
    <row r="694">
      <c r="D694" s="143"/>
      <c r="E694" s="112"/>
      <c r="F694" s="112"/>
      <c r="G694" s="112"/>
      <c r="H694" s="112"/>
      <c r="I694" s="112"/>
      <c r="J694" s="112"/>
      <c r="K694" s="112"/>
      <c r="L694" s="112"/>
      <c r="M694" s="112"/>
      <c r="N694" s="112"/>
      <c r="O694" s="112"/>
      <c r="P694" s="112"/>
      <c r="Q694" s="112"/>
      <c r="R694" s="112"/>
      <c r="S694" s="112"/>
      <c r="T694" s="112"/>
      <c r="U694" s="107"/>
      <c r="V694" s="107"/>
      <c r="W694" s="107"/>
      <c r="X694" s="107"/>
      <c r="Y694" s="107"/>
      <c r="Z694" s="112"/>
      <c r="AA694" s="112"/>
      <c r="AB694" s="112"/>
      <c r="AC694" s="112"/>
      <c r="AD694" s="112"/>
      <c r="AE694" s="112"/>
      <c r="AF694" s="112"/>
      <c r="AG694" s="117"/>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c r="BK694" s="124"/>
      <c r="BL694" s="124"/>
      <c r="BM694" s="124"/>
      <c r="BN694" s="124"/>
      <c r="BO694" s="124"/>
      <c r="BP694" s="124"/>
      <c r="BQ694" s="124"/>
      <c r="BR694" s="124"/>
      <c r="BS694" s="124"/>
      <c r="BT694" s="124"/>
      <c r="BU694" s="124"/>
      <c r="BV694" s="124"/>
      <c r="BW694" s="124"/>
      <c r="BX694" s="124"/>
      <c r="BY694" s="124"/>
      <c r="BZ694" s="124"/>
      <c r="CA694" s="124"/>
    </row>
    <row r="695">
      <c r="D695" s="143"/>
      <c r="E695" s="112"/>
      <c r="F695" s="112"/>
      <c r="G695" s="112"/>
      <c r="H695" s="112"/>
      <c r="I695" s="112"/>
      <c r="J695" s="112"/>
      <c r="K695" s="112"/>
      <c r="L695" s="112"/>
      <c r="M695" s="112"/>
      <c r="N695" s="112"/>
      <c r="O695" s="112"/>
      <c r="P695" s="112"/>
      <c r="Q695" s="112"/>
      <c r="R695" s="112"/>
      <c r="S695" s="112"/>
      <c r="T695" s="112"/>
      <c r="U695" s="107"/>
      <c r="V695" s="107"/>
      <c r="W695" s="107"/>
      <c r="X695" s="107"/>
      <c r="Y695" s="107"/>
      <c r="Z695" s="112"/>
      <c r="AA695" s="112"/>
      <c r="AB695" s="112"/>
      <c r="AC695" s="112"/>
      <c r="AD695" s="112"/>
      <c r="AE695" s="112"/>
      <c r="AF695" s="112"/>
      <c r="AG695" s="117"/>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c r="BK695" s="124"/>
      <c r="BL695" s="124"/>
      <c r="BM695" s="124"/>
      <c r="BN695" s="124"/>
      <c r="BO695" s="124"/>
      <c r="BP695" s="124"/>
      <c r="BQ695" s="124"/>
      <c r="BR695" s="124"/>
      <c r="BS695" s="124"/>
      <c r="BT695" s="124"/>
      <c r="BU695" s="124"/>
      <c r="BV695" s="124"/>
      <c r="BW695" s="124"/>
      <c r="BX695" s="124"/>
      <c r="BY695" s="124"/>
      <c r="BZ695" s="124"/>
      <c r="CA695" s="124"/>
    </row>
    <row r="696">
      <c r="D696" s="143"/>
      <c r="E696" s="112"/>
      <c r="F696" s="112"/>
      <c r="G696" s="112"/>
      <c r="H696" s="112"/>
      <c r="I696" s="112"/>
      <c r="J696" s="112"/>
      <c r="K696" s="112"/>
      <c r="L696" s="112"/>
      <c r="M696" s="112"/>
      <c r="N696" s="112"/>
      <c r="O696" s="112"/>
      <c r="P696" s="112"/>
      <c r="Q696" s="112"/>
      <c r="R696" s="112"/>
      <c r="S696" s="112"/>
      <c r="T696" s="112"/>
      <c r="U696" s="107"/>
      <c r="V696" s="107"/>
      <c r="W696" s="107"/>
      <c r="X696" s="107"/>
      <c r="Y696" s="107"/>
      <c r="Z696" s="112"/>
      <c r="AA696" s="112"/>
      <c r="AB696" s="112"/>
      <c r="AC696" s="112"/>
      <c r="AD696" s="112"/>
      <c r="AE696" s="112"/>
      <c r="AF696" s="112"/>
      <c r="AG696" s="117"/>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c r="BK696" s="124"/>
      <c r="BL696" s="124"/>
      <c r="BM696" s="124"/>
      <c r="BN696" s="124"/>
      <c r="BO696" s="124"/>
      <c r="BP696" s="124"/>
      <c r="BQ696" s="124"/>
      <c r="BR696" s="124"/>
      <c r="BS696" s="124"/>
      <c r="BT696" s="124"/>
      <c r="BU696" s="124"/>
      <c r="BV696" s="124"/>
      <c r="BW696" s="124"/>
      <c r="BX696" s="124"/>
      <c r="BY696" s="124"/>
      <c r="BZ696" s="124"/>
      <c r="CA696" s="124"/>
    </row>
    <row r="697">
      <c r="D697" s="143"/>
      <c r="E697" s="112"/>
      <c r="F697" s="112"/>
      <c r="G697" s="112"/>
      <c r="H697" s="112"/>
      <c r="I697" s="112"/>
      <c r="J697" s="112"/>
      <c r="K697" s="112"/>
      <c r="L697" s="112"/>
      <c r="M697" s="112"/>
      <c r="N697" s="112"/>
      <c r="O697" s="112"/>
      <c r="P697" s="112"/>
      <c r="Q697" s="112"/>
      <c r="R697" s="112"/>
      <c r="S697" s="112"/>
      <c r="T697" s="112"/>
      <c r="U697" s="107"/>
      <c r="V697" s="107"/>
      <c r="W697" s="107"/>
      <c r="X697" s="107"/>
      <c r="Y697" s="107"/>
      <c r="Z697" s="112"/>
      <c r="AA697" s="112"/>
      <c r="AB697" s="112"/>
      <c r="AC697" s="112"/>
      <c r="AD697" s="112"/>
      <c r="AE697" s="112"/>
      <c r="AF697" s="112"/>
      <c r="AG697" s="117"/>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c r="BK697" s="124"/>
      <c r="BL697" s="124"/>
      <c r="BM697" s="124"/>
      <c r="BN697" s="124"/>
      <c r="BO697" s="124"/>
      <c r="BP697" s="124"/>
      <c r="BQ697" s="124"/>
      <c r="BR697" s="124"/>
      <c r="BS697" s="124"/>
      <c r="BT697" s="124"/>
      <c r="BU697" s="124"/>
      <c r="BV697" s="124"/>
      <c r="BW697" s="124"/>
      <c r="BX697" s="124"/>
      <c r="BY697" s="124"/>
      <c r="BZ697" s="124"/>
      <c r="CA697" s="124"/>
    </row>
    <row r="698">
      <c r="D698" s="143"/>
      <c r="E698" s="112"/>
      <c r="F698" s="112"/>
      <c r="G698" s="112"/>
      <c r="H698" s="112"/>
      <c r="I698" s="112"/>
      <c r="J698" s="112"/>
      <c r="K698" s="112"/>
      <c r="L698" s="112"/>
      <c r="M698" s="112"/>
      <c r="N698" s="112"/>
      <c r="O698" s="112"/>
      <c r="P698" s="112"/>
      <c r="Q698" s="112"/>
      <c r="R698" s="112"/>
      <c r="S698" s="112"/>
      <c r="T698" s="112"/>
      <c r="U698" s="107"/>
      <c r="V698" s="107"/>
      <c r="W698" s="107"/>
      <c r="X698" s="107"/>
      <c r="Y698" s="107"/>
      <c r="Z698" s="112"/>
      <c r="AA698" s="112"/>
      <c r="AB698" s="112"/>
      <c r="AC698" s="112"/>
      <c r="AD698" s="112"/>
      <c r="AE698" s="112"/>
      <c r="AF698" s="112"/>
      <c r="AG698" s="117"/>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c r="BK698" s="124"/>
      <c r="BL698" s="124"/>
      <c r="BM698" s="124"/>
      <c r="BN698" s="124"/>
      <c r="BO698" s="124"/>
      <c r="BP698" s="124"/>
      <c r="BQ698" s="124"/>
      <c r="BR698" s="124"/>
      <c r="BS698" s="124"/>
      <c r="BT698" s="124"/>
      <c r="BU698" s="124"/>
      <c r="BV698" s="124"/>
      <c r="BW698" s="124"/>
      <c r="BX698" s="124"/>
      <c r="BY698" s="124"/>
      <c r="BZ698" s="124"/>
      <c r="CA698" s="124"/>
    </row>
    <row r="699">
      <c r="D699" s="143"/>
      <c r="E699" s="112"/>
      <c r="F699" s="112"/>
      <c r="G699" s="112"/>
      <c r="H699" s="112"/>
      <c r="I699" s="112"/>
      <c r="J699" s="112"/>
      <c r="K699" s="112"/>
      <c r="L699" s="112"/>
      <c r="M699" s="112"/>
      <c r="N699" s="112"/>
      <c r="O699" s="112"/>
      <c r="P699" s="112"/>
      <c r="Q699" s="112"/>
      <c r="R699" s="112"/>
      <c r="S699" s="112"/>
      <c r="T699" s="112"/>
      <c r="U699" s="107"/>
      <c r="V699" s="107"/>
      <c r="W699" s="107"/>
      <c r="X699" s="107"/>
      <c r="Y699" s="107"/>
      <c r="Z699" s="112"/>
      <c r="AA699" s="112"/>
      <c r="AB699" s="112"/>
      <c r="AC699" s="112"/>
      <c r="AD699" s="112"/>
      <c r="AE699" s="112"/>
      <c r="AF699" s="112"/>
      <c r="AG699" s="117"/>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c r="BK699" s="124"/>
      <c r="BL699" s="124"/>
      <c r="BM699" s="124"/>
      <c r="BN699" s="124"/>
      <c r="BO699" s="124"/>
      <c r="BP699" s="124"/>
      <c r="BQ699" s="124"/>
      <c r="BR699" s="124"/>
      <c r="BS699" s="124"/>
      <c r="BT699" s="124"/>
      <c r="BU699" s="124"/>
      <c r="BV699" s="124"/>
      <c r="BW699" s="124"/>
      <c r="BX699" s="124"/>
      <c r="BY699" s="124"/>
      <c r="BZ699" s="124"/>
      <c r="CA699" s="124"/>
    </row>
    <row r="700">
      <c r="D700" s="143"/>
      <c r="E700" s="112"/>
      <c r="F700" s="112"/>
      <c r="G700" s="112"/>
      <c r="H700" s="112"/>
      <c r="I700" s="112"/>
      <c r="J700" s="112"/>
      <c r="K700" s="112"/>
      <c r="L700" s="112"/>
      <c r="M700" s="112"/>
      <c r="N700" s="112"/>
      <c r="O700" s="112"/>
      <c r="P700" s="112"/>
      <c r="Q700" s="112"/>
      <c r="R700" s="112"/>
      <c r="S700" s="112"/>
      <c r="T700" s="112"/>
      <c r="U700" s="107"/>
      <c r="V700" s="107"/>
      <c r="W700" s="107"/>
      <c r="X700" s="107"/>
      <c r="Y700" s="107"/>
      <c r="Z700" s="112"/>
      <c r="AA700" s="112"/>
      <c r="AB700" s="112"/>
      <c r="AC700" s="112"/>
      <c r="AD700" s="112"/>
      <c r="AE700" s="112"/>
      <c r="AF700" s="112"/>
      <c r="AG700" s="117"/>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c r="BK700" s="124"/>
      <c r="BL700" s="124"/>
      <c r="BM700" s="124"/>
      <c r="BN700" s="124"/>
      <c r="BO700" s="124"/>
      <c r="BP700" s="124"/>
      <c r="BQ700" s="124"/>
      <c r="BR700" s="124"/>
      <c r="BS700" s="124"/>
      <c r="BT700" s="124"/>
      <c r="BU700" s="124"/>
      <c r="BV700" s="124"/>
      <c r="BW700" s="124"/>
      <c r="BX700" s="124"/>
      <c r="BY700" s="124"/>
      <c r="BZ700" s="124"/>
      <c r="CA700" s="124"/>
    </row>
    <row r="701">
      <c r="D701" s="143"/>
      <c r="E701" s="112"/>
      <c r="F701" s="112"/>
      <c r="G701" s="112"/>
      <c r="H701" s="112"/>
      <c r="I701" s="112"/>
      <c r="J701" s="112"/>
      <c r="K701" s="112"/>
      <c r="L701" s="112"/>
      <c r="M701" s="112"/>
      <c r="N701" s="112"/>
      <c r="O701" s="112"/>
      <c r="P701" s="112"/>
      <c r="Q701" s="112"/>
      <c r="R701" s="112"/>
      <c r="S701" s="112"/>
      <c r="T701" s="112"/>
      <c r="U701" s="107"/>
      <c r="V701" s="107"/>
      <c r="W701" s="107"/>
      <c r="X701" s="107"/>
      <c r="Y701" s="107"/>
      <c r="Z701" s="112"/>
      <c r="AA701" s="112"/>
      <c r="AB701" s="112"/>
      <c r="AC701" s="112"/>
      <c r="AD701" s="112"/>
      <c r="AE701" s="112"/>
      <c r="AF701" s="112"/>
      <c r="AG701" s="117"/>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c r="BK701" s="124"/>
      <c r="BL701" s="124"/>
      <c r="BM701" s="124"/>
      <c r="BN701" s="124"/>
      <c r="BO701" s="124"/>
      <c r="BP701" s="124"/>
      <c r="BQ701" s="124"/>
      <c r="BR701" s="124"/>
      <c r="BS701" s="124"/>
      <c r="BT701" s="124"/>
      <c r="BU701" s="124"/>
      <c r="BV701" s="124"/>
      <c r="BW701" s="124"/>
      <c r="BX701" s="124"/>
      <c r="BY701" s="124"/>
      <c r="BZ701" s="124"/>
      <c r="CA701" s="124"/>
    </row>
    <row r="702">
      <c r="D702" s="143"/>
      <c r="E702" s="112"/>
      <c r="F702" s="112"/>
      <c r="G702" s="112"/>
      <c r="H702" s="112"/>
      <c r="I702" s="112"/>
      <c r="J702" s="112"/>
      <c r="K702" s="112"/>
      <c r="L702" s="112"/>
      <c r="M702" s="112"/>
      <c r="N702" s="112"/>
      <c r="O702" s="112"/>
      <c r="P702" s="112"/>
      <c r="Q702" s="112"/>
      <c r="R702" s="112"/>
      <c r="S702" s="112"/>
      <c r="T702" s="112"/>
      <c r="U702" s="107"/>
      <c r="V702" s="107"/>
      <c r="W702" s="107"/>
      <c r="X702" s="107"/>
      <c r="Y702" s="107"/>
      <c r="Z702" s="112"/>
      <c r="AA702" s="112"/>
      <c r="AB702" s="112"/>
      <c r="AC702" s="112"/>
      <c r="AD702" s="112"/>
      <c r="AE702" s="112"/>
      <c r="AF702" s="112"/>
      <c r="AG702" s="117"/>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c r="BK702" s="124"/>
      <c r="BL702" s="124"/>
      <c r="BM702" s="124"/>
      <c r="BN702" s="124"/>
      <c r="BO702" s="124"/>
      <c r="BP702" s="124"/>
      <c r="BQ702" s="124"/>
      <c r="BR702" s="124"/>
      <c r="BS702" s="124"/>
      <c r="BT702" s="124"/>
      <c r="BU702" s="124"/>
      <c r="BV702" s="124"/>
      <c r="BW702" s="124"/>
      <c r="BX702" s="124"/>
      <c r="BY702" s="124"/>
      <c r="BZ702" s="124"/>
      <c r="CA702" s="124"/>
    </row>
    <row r="703">
      <c r="D703" s="143"/>
      <c r="E703" s="112"/>
      <c r="F703" s="112"/>
      <c r="G703" s="112"/>
      <c r="H703" s="112"/>
      <c r="I703" s="112"/>
      <c r="J703" s="112"/>
      <c r="K703" s="112"/>
      <c r="L703" s="112"/>
      <c r="M703" s="112"/>
      <c r="N703" s="112"/>
      <c r="O703" s="112"/>
      <c r="P703" s="112"/>
      <c r="Q703" s="112"/>
      <c r="R703" s="112"/>
      <c r="S703" s="112"/>
      <c r="T703" s="112"/>
      <c r="U703" s="107"/>
      <c r="V703" s="107"/>
      <c r="W703" s="107"/>
      <c r="X703" s="107"/>
      <c r="Y703" s="107"/>
      <c r="Z703" s="112"/>
      <c r="AA703" s="112"/>
      <c r="AB703" s="112"/>
      <c r="AC703" s="112"/>
      <c r="AD703" s="112"/>
      <c r="AE703" s="112"/>
      <c r="AF703" s="112"/>
      <c r="AG703" s="117"/>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c r="BK703" s="124"/>
      <c r="BL703" s="124"/>
      <c r="BM703" s="124"/>
      <c r="BN703" s="124"/>
      <c r="BO703" s="124"/>
      <c r="BP703" s="124"/>
      <c r="BQ703" s="124"/>
      <c r="BR703" s="124"/>
      <c r="BS703" s="124"/>
      <c r="BT703" s="124"/>
      <c r="BU703" s="124"/>
      <c r="BV703" s="124"/>
      <c r="BW703" s="124"/>
      <c r="BX703" s="124"/>
      <c r="BY703" s="124"/>
      <c r="BZ703" s="124"/>
      <c r="CA703" s="124"/>
    </row>
    <row r="704">
      <c r="D704" s="143"/>
      <c r="E704" s="112"/>
      <c r="F704" s="112"/>
      <c r="G704" s="112"/>
      <c r="H704" s="112"/>
      <c r="I704" s="112"/>
      <c r="J704" s="112"/>
      <c r="K704" s="112"/>
      <c r="L704" s="112"/>
      <c r="M704" s="112"/>
      <c r="N704" s="112"/>
      <c r="O704" s="112"/>
      <c r="P704" s="112"/>
      <c r="Q704" s="112"/>
      <c r="R704" s="112"/>
      <c r="S704" s="112"/>
      <c r="T704" s="112"/>
      <c r="U704" s="107"/>
      <c r="V704" s="107"/>
      <c r="W704" s="107"/>
      <c r="X704" s="107"/>
      <c r="Y704" s="107"/>
      <c r="Z704" s="112"/>
      <c r="AA704" s="112"/>
      <c r="AB704" s="112"/>
      <c r="AC704" s="112"/>
      <c r="AD704" s="112"/>
      <c r="AE704" s="112"/>
      <c r="AF704" s="112"/>
      <c r="AG704" s="117"/>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c r="BK704" s="124"/>
      <c r="BL704" s="124"/>
      <c r="BM704" s="124"/>
      <c r="BN704" s="124"/>
      <c r="BO704" s="124"/>
      <c r="BP704" s="124"/>
      <c r="BQ704" s="124"/>
      <c r="BR704" s="124"/>
      <c r="BS704" s="124"/>
      <c r="BT704" s="124"/>
      <c r="BU704" s="124"/>
      <c r="BV704" s="124"/>
      <c r="BW704" s="124"/>
      <c r="BX704" s="124"/>
      <c r="BY704" s="124"/>
      <c r="BZ704" s="124"/>
      <c r="CA704" s="124"/>
    </row>
    <row r="705">
      <c r="D705" s="143"/>
      <c r="E705" s="112"/>
      <c r="F705" s="112"/>
      <c r="G705" s="112"/>
      <c r="H705" s="112"/>
      <c r="I705" s="112"/>
      <c r="J705" s="112"/>
      <c r="K705" s="112"/>
      <c r="L705" s="112"/>
      <c r="M705" s="112"/>
      <c r="N705" s="112"/>
      <c r="O705" s="112"/>
      <c r="P705" s="112"/>
      <c r="Q705" s="112"/>
      <c r="R705" s="112"/>
      <c r="S705" s="112"/>
      <c r="T705" s="112"/>
      <c r="U705" s="107"/>
      <c r="V705" s="107"/>
      <c r="W705" s="107"/>
      <c r="X705" s="107"/>
      <c r="Y705" s="107"/>
      <c r="Z705" s="112"/>
      <c r="AA705" s="112"/>
      <c r="AB705" s="112"/>
      <c r="AC705" s="112"/>
      <c r="AD705" s="112"/>
      <c r="AE705" s="112"/>
      <c r="AF705" s="112"/>
      <c r="AG705" s="117"/>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c r="BK705" s="124"/>
      <c r="BL705" s="124"/>
      <c r="BM705" s="124"/>
      <c r="BN705" s="124"/>
      <c r="BO705" s="124"/>
      <c r="BP705" s="124"/>
      <c r="BQ705" s="124"/>
      <c r="BR705" s="124"/>
      <c r="BS705" s="124"/>
      <c r="BT705" s="124"/>
      <c r="BU705" s="124"/>
      <c r="BV705" s="124"/>
      <c r="BW705" s="124"/>
      <c r="BX705" s="124"/>
      <c r="BY705" s="124"/>
      <c r="BZ705" s="124"/>
      <c r="CA705" s="124"/>
    </row>
    <row r="706">
      <c r="D706" s="143"/>
      <c r="E706" s="112"/>
      <c r="F706" s="112"/>
      <c r="G706" s="112"/>
      <c r="H706" s="112"/>
      <c r="I706" s="112"/>
      <c r="J706" s="112"/>
      <c r="K706" s="112"/>
      <c r="L706" s="112"/>
      <c r="M706" s="112"/>
      <c r="N706" s="112"/>
      <c r="O706" s="112"/>
      <c r="P706" s="112"/>
      <c r="Q706" s="112"/>
      <c r="R706" s="112"/>
      <c r="S706" s="112"/>
      <c r="T706" s="112"/>
      <c r="U706" s="107"/>
      <c r="V706" s="107"/>
      <c r="W706" s="107"/>
      <c r="X706" s="107"/>
      <c r="Y706" s="107"/>
      <c r="Z706" s="112"/>
      <c r="AA706" s="112"/>
      <c r="AB706" s="112"/>
      <c r="AC706" s="112"/>
      <c r="AD706" s="112"/>
      <c r="AE706" s="112"/>
      <c r="AF706" s="112"/>
      <c r="AG706" s="117"/>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c r="BK706" s="124"/>
      <c r="BL706" s="124"/>
      <c r="BM706" s="124"/>
      <c r="BN706" s="124"/>
      <c r="BO706" s="124"/>
      <c r="BP706" s="124"/>
      <c r="BQ706" s="124"/>
      <c r="BR706" s="124"/>
      <c r="BS706" s="124"/>
      <c r="BT706" s="124"/>
      <c r="BU706" s="124"/>
      <c r="BV706" s="124"/>
      <c r="BW706" s="124"/>
      <c r="BX706" s="124"/>
      <c r="BY706" s="124"/>
      <c r="BZ706" s="124"/>
      <c r="CA706" s="124"/>
    </row>
    <row r="707">
      <c r="D707" s="143"/>
      <c r="E707" s="112"/>
      <c r="F707" s="112"/>
      <c r="G707" s="112"/>
      <c r="H707" s="112"/>
      <c r="I707" s="112"/>
      <c r="J707" s="112"/>
      <c r="K707" s="112"/>
      <c r="L707" s="112"/>
      <c r="M707" s="112"/>
      <c r="N707" s="112"/>
      <c r="O707" s="112"/>
      <c r="P707" s="112"/>
      <c r="Q707" s="112"/>
      <c r="R707" s="112"/>
      <c r="S707" s="112"/>
      <c r="T707" s="112"/>
      <c r="U707" s="107"/>
      <c r="V707" s="107"/>
      <c r="W707" s="107"/>
      <c r="X707" s="107"/>
      <c r="Y707" s="107"/>
      <c r="Z707" s="112"/>
      <c r="AA707" s="112"/>
      <c r="AB707" s="112"/>
      <c r="AC707" s="112"/>
      <c r="AD707" s="112"/>
      <c r="AE707" s="112"/>
      <c r="AF707" s="112"/>
      <c r="AG707" s="117"/>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c r="BK707" s="124"/>
      <c r="BL707" s="124"/>
      <c r="BM707" s="124"/>
      <c r="BN707" s="124"/>
      <c r="BO707" s="124"/>
      <c r="BP707" s="124"/>
      <c r="BQ707" s="124"/>
      <c r="BR707" s="124"/>
      <c r="BS707" s="124"/>
      <c r="BT707" s="124"/>
      <c r="BU707" s="124"/>
      <c r="BV707" s="124"/>
      <c r="BW707" s="124"/>
      <c r="BX707" s="124"/>
      <c r="BY707" s="124"/>
      <c r="BZ707" s="124"/>
      <c r="CA707" s="124"/>
    </row>
    <row r="708">
      <c r="D708" s="143"/>
      <c r="E708" s="112"/>
      <c r="F708" s="112"/>
      <c r="G708" s="112"/>
      <c r="H708" s="112"/>
      <c r="I708" s="112"/>
      <c r="J708" s="112"/>
      <c r="K708" s="112"/>
      <c r="L708" s="112"/>
      <c r="M708" s="112"/>
      <c r="N708" s="112"/>
      <c r="O708" s="112"/>
      <c r="P708" s="112"/>
      <c r="Q708" s="112"/>
      <c r="R708" s="112"/>
      <c r="S708" s="112"/>
      <c r="T708" s="112"/>
      <c r="U708" s="107"/>
      <c r="V708" s="107"/>
      <c r="W708" s="107"/>
      <c r="X708" s="107"/>
      <c r="Y708" s="107"/>
      <c r="Z708" s="112"/>
      <c r="AA708" s="112"/>
      <c r="AB708" s="112"/>
      <c r="AC708" s="112"/>
      <c r="AD708" s="112"/>
      <c r="AE708" s="112"/>
      <c r="AF708" s="112"/>
      <c r="AG708" s="117"/>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c r="BK708" s="124"/>
      <c r="BL708" s="124"/>
      <c r="BM708" s="124"/>
      <c r="BN708" s="124"/>
      <c r="BO708" s="124"/>
      <c r="BP708" s="124"/>
      <c r="BQ708" s="124"/>
      <c r="BR708" s="124"/>
      <c r="BS708" s="124"/>
      <c r="BT708" s="124"/>
      <c r="BU708" s="124"/>
      <c r="BV708" s="124"/>
      <c r="BW708" s="124"/>
      <c r="BX708" s="124"/>
      <c r="BY708" s="124"/>
      <c r="BZ708" s="124"/>
      <c r="CA708" s="124"/>
    </row>
    <row r="709">
      <c r="D709" s="143"/>
      <c r="E709" s="112"/>
      <c r="F709" s="112"/>
      <c r="G709" s="112"/>
      <c r="H709" s="112"/>
      <c r="I709" s="112"/>
      <c r="J709" s="112"/>
      <c r="K709" s="112"/>
      <c r="L709" s="112"/>
      <c r="M709" s="112"/>
      <c r="N709" s="112"/>
      <c r="O709" s="112"/>
      <c r="P709" s="112"/>
      <c r="Q709" s="112"/>
      <c r="R709" s="112"/>
      <c r="S709" s="112"/>
      <c r="T709" s="112"/>
      <c r="U709" s="107"/>
      <c r="V709" s="107"/>
      <c r="W709" s="107"/>
      <c r="X709" s="107"/>
      <c r="Y709" s="107"/>
      <c r="Z709" s="112"/>
      <c r="AA709" s="112"/>
      <c r="AB709" s="112"/>
      <c r="AC709" s="112"/>
      <c r="AD709" s="112"/>
      <c r="AE709" s="112"/>
      <c r="AF709" s="112"/>
      <c r="AG709" s="117"/>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c r="BK709" s="124"/>
      <c r="BL709" s="124"/>
      <c r="BM709" s="124"/>
      <c r="BN709" s="124"/>
      <c r="BO709" s="124"/>
      <c r="BP709" s="124"/>
      <c r="BQ709" s="124"/>
      <c r="BR709" s="124"/>
      <c r="BS709" s="124"/>
      <c r="BT709" s="124"/>
      <c r="BU709" s="124"/>
      <c r="BV709" s="124"/>
      <c r="BW709" s="124"/>
      <c r="BX709" s="124"/>
      <c r="BY709" s="124"/>
      <c r="BZ709" s="124"/>
      <c r="CA709" s="124"/>
    </row>
    <row r="710">
      <c r="D710" s="143"/>
      <c r="E710" s="112"/>
      <c r="F710" s="112"/>
      <c r="G710" s="112"/>
      <c r="H710" s="112"/>
      <c r="I710" s="112"/>
      <c r="J710" s="112"/>
      <c r="K710" s="112"/>
      <c r="L710" s="112"/>
      <c r="M710" s="112"/>
      <c r="N710" s="112"/>
      <c r="O710" s="112"/>
      <c r="P710" s="112"/>
      <c r="Q710" s="112"/>
      <c r="R710" s="112"/>
      <c r="S710" s="112"/>
      <c r="T710" s="112"/>
      <c r="U710" s="107"/>
      <c r="V710" s="107"/>
      <c r="W710" s="107"/>
      <c r="X710" s="107"/>
      <c r="Y710" s="107"/>
      <c r="Z710" s="112"/>
      <c r="AA710" s="112"/>
      <c r="AB710" s="112"/>
      <c r="AC710" s="112"/>
      <c r="AD710" s="112"/>
      <c r="AE710" s="112"/>
      <c r="AF710" s="112"/>
      <c r="AG710" s="117"/>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c r="BK710" s="124"/>
      <c r="BL710" s="124"/>
      <c r="BM710" s="124"/>
      <c r="BN710" s="124"/>
      <c r="BO710" s="124"/>
      <c r="BP710" s="124"/>
      <c r="BQ710" s="124"/>
      <c r="BR710" s="124"/>
      <c r="BS710" s="124"/>
      <c r="BT710" s="124"/>
      <c r="BU710" s="124"/>
      <c r="BV710" s="124"/>
      <c r="BW710" s="124"/>
      <c r="BX710" s="124"/>
      <c r="BY710" s="124"/>
      <c r="BZ710" s="124"/>
      <c r="CA710" s="124"/>
    </row>
    <row r="711">
      <c r="D711" s="143"/>
      <c r="E711" s="112"/>
      <c r="F711" s="112"/>
      <c r="G711" s="112"/>
      <c r="H711" s="112"/>
      <c r="I711" s="112"/>
      <c r="J711" s="112"/>
      <c r="K711" s="112"/>
      <c r="L711" s="112"/>
      <c r="M711" s="112"/>
      <c r="N711" s="112"/>
      <c r="O711" s="112"/>
      <c r="P711" s="112"/>
      <c r="Q711" s="112"/>
      <c r="R711" s="112"/>
      <c r="S711" s="112"/>
      <c r="T711" s="112"/>
      <c r="U711" s="107"/>
      <c r="V711" s="107"/>
      <c r="W711" s="107"/>
      <c r="X711" s="107"/>
      <c r="Y711" s="107"/>
      <c r="Z711" s="112"/>
      <c r="AA711" s="112"/>
      <c r="AB711" s="112"/>
      <c r="AC711" s="112"/>
      <c r="AD711" s="112"/>
      <c r="AE711" s="112"/>
      <c r="AF711" s="112"/>
      <c r="AG711" s="117"/>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c r="BK711" s="124"/>
      <c r="BL711" s="124"/>
      <c r="BM711" s="124"/>
      <c r="BN711" s="124"/>
      <c r="BO711" s="124"/>
      <c r="BP711" s="124"/>
      <c r="BQ711" s="124"/>
      <c r="BR711" s="124"/>
      <c r="BS711" s="124"/>
      <c r="BT711" s="124"/>
      <c r="BU711" s="124"/>
      <c r="BV711" s="124"/>
      <c r="BW711" s="124"/>
      <c r="BX711" s="124"/>
      <c r="BY711" s="124"/>
      <c r="BZ711" s="124"/>
      <c r="CA711" s="124"/>
    </row>
    <row r="712">
      <c r="D712" s="143"/>
      <c r="E712" s="112"/>
      <c r="F712" s="112"/>
      <c r="G712" s="112"/>
      <c r="H712" s="112"/>
      <c r="I712" s="112"/>
      <c r="J712" s="112"/>
      <c r="K712" s="112"/>
      <c r="L712" s="112"/>
      <c r="M712" s="112"/>
      <c r="N712" s="112"/>
      <c r="O712" s="112"/>
      <c r="P712" s="112"/>
      <c r="Q712" s="112"/>
      <c r="R712" s="112"/>
      <c r="S712" s="112"/>
      <c r="T712" s="112"/>
      <c r="U712" s="107"/>
      <c r="V712" s="107"/>
      <c r="W712" s="107"/>
      <c r="X712" s="107"/>
      <c r="Y712" s="107"/>
      <c r="Z712" s="112"/>
      <c r="AA712" s="112"/>
      <c r="AB712" s="112"/>
      <c r="AC712" s="112"/>
      <c r="AD712" s="112"/>
      <c r="AE712" s="112"/>
      <c r="AF712" s="112"/>
      <c r="AG712" s="117"/>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c r="BK712" s="124"/>
      <c r="BL712" s="124"/>
      <c r="BM712" s="124"/>
      <c r="BN712" s="124"/>
      <c r="BO712" s="124"/>
      <c r="BP712" s="124"/>
      <c r="BQ712" s="124"/>
      <c r="BR712" s="124"/>
      <c r="BS712" s="124"/>
      <c r="BT712" s="124"/>
      <c r="BU712" s="124"/>
      <c r="BV712" s="124"/>
      <c r="BW712" s="124"/>
      <c r="BX712" s="124"/>
      <c r="BY712" s="124"/>
      <c r="BZ712" s="124"/>
      <c r="CA712" s="124"/>
    </row>
    <row r="713">
      <c r="D713" s="143"/>
      <c r="E713" s="112"/>
      <c r="F713" s="112"/>
      <c r="G713" s="112"/>
      <c r="H713" s="112"/>
      <c r="I713" s="112"/>
      <c r="J713" s="112"/>
      <c r="K713" s="112"/>
      <c r="L713" s="112"/>
      <c r="M713" s="112"/>
      <c r="N713" s="112"/>
      <c r="O713" s="112"/>
      <c r="P713" s="112"/>
      <c r="Q713" s="112"/>
      <c r="R713" s="112"/>
      <c r="S713" s="112"/>
      <c r="T713" s="112"/>
      <c r="U713" s="107"/>
      <c r="V713" s="107"/>
      <c r="W713" s="107"/>
      <c r="X713" s="107"/>
      <c r="Y713" s="107"/>
      <c r="Z713" s="112"/>
      <c r="AA713" s="112"/>
      <c r="AB713" s="112"/>
      <c r="AC713" s="112"/>
      <c r="AD713" s="112"/>
      <c r="AE713" s="112"/>
      <c r="AF713" s="112"/>
      <c r="AG713" s="117"/>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c r="BK713" s="124"/>
      <c r="BL713" s="124"/>
      <c r="BM713" s="124"/>
      <c r="BN713" s="124"/>
      <c r="BO713" s="124"/>
      <c r="BP713" s="124"/>
      <c r="BQ713" s="124"/>
      <c r="BR713" s="124"/>
      <c r="BS713" s="124"/>
      <c r="BT713" s="124"/>
      <c r="BU713" s="124"/>
      <c r="BV713" s="124"/>
      <c r="BW713" s="124"/>
      <c r="BX713" s="124"/>
      <c r="BY713" s="124"/>
      <c r="BZ713" s="124"/>
      <c r="CA713" s="124"/>
    </row>
    <row r="714">
      <c r="D714" s="143"/>
      <c r="E714" s="112"/>
      <c r="F714" s="112"/>
      <c r="G714" s="112"/>
      <c r="H714" s="112"/>
      <c r="I714" s="112"/>
      <c r="J714" s="112"/>
      <c r="K714" s="112"/>
      <c r="L714" s="112"/>
      <c r="M714" s="112"/>
      <c r="N714" s="112"/>
      <c r="O714" s="112"/>
      <c r="P714" s="112"/>
      <c r="Q714" s="112"/>
      <c r="R714" s="112"/>
      <c r="S714" s="112"/>
      <c r="T714" s="112"/>
      <c r="U714" s="107"/>
      <c r="V714" s="107"/>
      <c r="W714" s="107"/>
      <c r="X714" s="107"/>
      <c r="Y714" s="107"/>
      <c r="Z714" s="112"/>
      <c r="AA714" s="112"/>
      <c r="AB714" s="112"/>
      <c r="AC714" s="112"/>
      <c r="AD714" s="112"/>
      <c r="AE714" s="112"/>
      <c r="AF714" s="112"/>
      <c r="AG714" s="117"/>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c r="BK714" s="124"/>
      <c r="BL714" s="124"/>
      <c r="BM714" s="124"/>
      <c r="BN714" s="124"/>
      <c r="BO714" s="124"/>
      <c r="BP714" s="124"/>
      <c r="BQ714" s="124"/>
      <c r="BR714" s="124"/>
      <c r="BS714" s="124"/>
      <c r="BT714" s="124"/>
      <c r="BU714" s="124"/>
      <c r="BV714" s="124"/>
      <c r="BW714" s="124"/>
      <c r="BX714" s="124"/>
      <c r="BY714" s="124"/>
      <c r="BZ714" s="124"/>
      <c r="CA714" s="124"/>
    </row>
    <row r="715">
      <c r="D715" s="143"/>
      <c r="E715" s="112"/>
      <c r="F715" s="112"/>
      <c r="G715" s="112"/>
      <c r="H715" s="112"/>
      <c r="I715" s="112"/>
      <c r="J715" s="112"/>
      <c r="K715" s="112"/>
      <c r="L715" s="112"/>
      <c r="M715" s="112"/>
      <c r="N715" s="112"/>
      <c r="O715" s="112"/>
      <c r="P715" s="112"/>
      <c r="Q715" s="112"/>
      <c r="R715" s="112"/>
      <c r="S715" s="112"/>
      <c r="T715" s="112"/>
      <c r="U715" s="107"/>
      <c r="V715" s="107"/>
      <c r="W715" s="107"/>
      <c r="X715" s="107"/>
      <c r="Y715" s="107"/>
      <c r="Z715" s="112"/>
      <c r="AA715" s="112"/>
      <c r="AB715" s="112"/>
      <c r="AC715" s="112"/>
      <c r="AD715" s="112"/>
      <c r="AE715" s="112"/>
      <c r="AF715" s="112"/>
      <c r="AG715" s="117"/>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c r="BK715" s="124"/>
      <c r="BL715" s="124"/>
      <c r="BM715" s="124"/>
      <c r="BN715" s="124"/>
      <c r="BO715" s="124"/>
      <c r="BP715" s="124"/>
      <c r="BQ715" s="124"/>
      <c r="BR715" s="124"/>
      <c r="BS715" s="124"/>
      <c r="BT715" s="124"/>
      <c r="BU715" s="124"/>
      <c r="BV715" s="124"/>
      <c r="BW715" s="124"/>
      <c r="BX715" s="124"/>
      <c r="BY715" s="124"/>
      <c r="BZ715" s="124"/>
      <c r="CA715" s="124"/>
    </row>
    <row r="716">
      <c r="D716" s="143"/>
      <c r="E716" s="112"/>
      <c r="F716" s="112"/>
      <c r="G716" s="112"/>
      <c r="H716" s="112"/>
      <c r="I716" s="112"/>
      <c r="J716" s="112"/>
      <c r="K716" s="112"/>
      <c r="L716" s="112"/>
      <c r="M716" s="112"/>
      <c r="N716" s="112"/>
      <c r="O716" s="112"/>
      <c r="P716" s="112"/>
      <c r="Q716" s="112"/>
      <c r="R716" s="112"/>
      <c r="S716" s="112"/>
      <c r="T716" s="112"/>
      <c r="U716" s="107"/>
      <c r="V716" s="107"/>
      <c r="W716" s="107"/>
      <c r="X716" s="107"/>
      <c r="Y716" s="107"/>
      <c r="Z716" s="112"/>
      <c r="AA716" s="112"/>
      <c r="AB716" s="112"/>
      <c r="AC716" s="112"/>
      <c r="AD716" s="112"/>
      <c r="AE716" s="112"/>
      <c r="AF716" s="112"/>
      <c r="AG716" s="117"/>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c r="BK716" s="124"/>
      <c r="BL716" s="124"/>
      <c r="BM716" s="124"/>
      <c r="BN716" s="124"/>
      <c r="BO716" s="124"/>
      <c r="BP716" s="124"/>
      <c r="BQ716" s="124"/>
      <c r="BR716" s="124"/>
      <c r="BS716" s="124"/>
      <c r="BT716" s="124"/>
      <c r="BU716" s="124"/>
      <c r="BV716" s="124"/>
      <c r="BW716" s="124"/>
      <c r="BX716" s="124"/>
      <c r="BY716" s="124"/>
      <c r="BZ716" s="124"/>
      <c r="CA716" s="124"/>
    </row>
    <row r="717">
      <c r="D717" s="143"/>
      <c r="E717" s="112"/>
      <c r="F717" s="112"/>
      <c r="G717" s="112"/>
      <c r="H717" s="112"/>
      <c r="I717" s="112"/>
      <c r="J717" s="112"/>
      <c r="K717" s="112"/>
      <c r="L717" s="112"/>
      <c r="M717" s="112"/>
      <c r="N717" s="112"/>
      <c r="O717" s="112"/>
      <c r="P717" s="112"/>
      <c r="Q717" s="112"/>
      <c r="R717" s="112"/>
      <c r="S717" s="112"/>
      <c r="T717" s="112"/>
      <c r="U717" s="107"/>
      <c r="V717" s="107"/>
      <c r="W717" s="107"/>
      <c r="X717" s="107"/>
      <c r="Y717" s="107"/>
      <c r="Z717" s="112"/>
      <c r="AA717" s="112"/>
      <c r="AB717" s="112"/>
      <c r="AC717" s="112"/>
      <c r="AD717" s="112"/>
      <c r="AE717" s="112"/>
      <c r="AF717" s="112"/>
      <c r="AG717" s="117"/>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c r="BK717" s="124"/>
      <c r="BL717" s="124"/>
      <c r="BM717" s="124"/>
      <c r="BN717" s="124"/>
      <c r="BO717" s="124"/>
      <c r="BP717" s="124"/>
      <c r="BQ717" s="124"/>
      <c r="BR717" s="124"/>
      <c r="BS717" s="124"/>
      <c r="BT717" s="124"/>
      <c r="BU717" s="124"/>
      <c r="BV717" s="124"/>
      <c r="BW717" s="124"/>
      <c r="BX717" s="124"/>
      <c r="BY717" s="124"/>
      <c r="BZ717" s="124"/>
      <c r="CA717" s="124"/>
    </row>
    <row r="718">
      <c r="D718" s="143"/>
      <c r="E718" s="112"/>
      <c r="F718" s="112"/>
      <c r="G718" s="112"/>
      <c r="H718" s="112"/>
      <c r="I718" s="112"/>
      <c r="J718" s="112"/>
      <c r="K718" s="112"/>
      <c r="L718" s="112"/>
      <c r="M718" s="112"/>
      <c r="N718" s="112"/>
      <c r="O718" s="112"/>
      <c r="P718" s="112"/>
      <c r="Q718" s="112"/>
      <c r="R718" s="112"/>
      <c r="S718" s="112"/>
      <c r="T718" s="112"/>
      <c r="U718" s="107"/>
      <c r="V718" s="107"/>
      <c r="W718" s="107"/>
      <c r="X718" s="107"/>
      <c r="Y718" s="107"/>
      <c r="Z718" s="112"/>
      <c r="AA718" s="112"/>
      <c r="AB718" s="112"/>
      <c r="AC718" s="112"/>
      <c r="AD718" s="112"/>
      <c r="AE718" s="112"/>
      <c r="AF718" s="112"/>
      <c r="AG718" s="117"/>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c r="BK718" s="124"/>
      <c r="BL718" s="124"/>
      <c r="BM718" s="124"/>
      <c r="BN718" s="124"/>
      <c r="BO718" s="124"/>
      <c r="BP718" s="124"/>
      <c r="BQ718" s="124"/>
      <c r="BR718" s="124"/>
      <c r="BS718" s="124"/>
      <c r="BT718" s="124"/>
      <c r="BU718" s="124"/>
      <c r="BV718" s="124"/>
      <c r="BW718" s="124"/>
      <c r="BX718" s="124"/>
      <c r="BY718" s="124"/>
      <c r="BZ718" s="124"/>
      <c r="CA718" s="124"/>
    </row>
    <row r="719">
      <c r="D719" s="143"/>
      <c r="E719" s="112"/>
      <c r="F719" s="112"/>
      <c r="G719" s="112"/>
      <c r="H719" s="112"/>
      <c r="I719" s="112"/>
      <c r="J719" s="112"/>
      <c r="K719" s="112"/>
      <c r="L719" s="112"/>
      <c r="M719" s="112"/>
      <c r="N719" s="112"/>
      <c r="O719" s="112"/>
      <c r="P719" s="112"/>
      <c r="Q719" s="112"/>
      <c r="R719" s="112"/>
      <c r="S719" s="112"/>
      <c r="T719" s="112"/>
      <c r="U719" s="107"/>
      <c r="V719" s="107"/>
      <c r="W719" s="107"/>
      <c r="X719" s="107"/>
      <c r="Y719" s="107"/>
      <c r="Z719" s="112"/>
      <c r="AA719" s="112"/>
      <c r="AB719" s="112"/>
      <c r="AC719" s="112"/>
      <c r="AD719" s="112"/>
      <c r="AE719" s="112"/>
      <c r="AF719" s="112"/>
      <c r="AG719" s="117"/>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c r="BK719" s="124"/>
      <c r="BL719" s="124"/>
      <c r="BM719" s="124"/>
      <c r="BN719" s="124"/>
      <c r="BO719" s="124"/>
      <c r="BP719" s="124"/>
      <c r="BQ719" s="124"/>
      <c r="BR719" s="124"/>
      <c r="BS719" s="124"/>
      <c r="BT719" s="124"/>
      <c r="BU719" s="124"/>
      <c r="BV719" s="124"/>
      <c r="BW719" s="124"/>
      <c r="BX719" s="124"/>
      <c r="BY719" s="124"/>
      <c r="BZ719" s="124"/>
      <c r="CA719" s="124"/>
    </row>
    <row r="720">
      <c r="D720" s="143"/>
      <c r="E720" s="112"/>
      <c r="F720" s="112"/>
      <c r="G720" s="112"/>
      <c r="H720" s="112"/>
      <c r="I720" s="112"/>
      <c r="J720" s="112"/>
      <c r="K720" s="112"/>
      <c r="L720" s="112"/>
      <c r="M720" s="112"/>
      <c r="N720" s="112"/>
      <c r="O720" s="112"/>
      <c r="P720" s="112"/>
      <c r="Q720" s="112"/>
      <c r="R720" s="112"/>
      <c r="S720" s="112"/>
      <c r="T720" s="112"/>
      <c r="U720" s="107"/>
      <c r="V720" s="107"/>
      <c r="W720" s="107"/>
      <c r="X720" s="107"/>
      <c r="Y720" s="107"/>
      <c r="Z720" s="112"/>
      <c r="AA720" s="112"/>
      <c r="AB720" s="112"/>
      <c r="AC720" s="112"/>
      <c r="AD720" s="112"/>
      <c r="AE720" s="112"/>
      <c r="AF720" s="112"/>
      <c r="AG720" s="117"/>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c r="BK720" s="124"/>
      <c r="BL720" s="124"/>
      <c r="BM720" s="124"/>
      <c r="BN720" s="124"/>
      <c r="BO720" s="124"/>
      <c r="BP720" s="124"/>
      <c r="BQ720" s="124"/>
      <c r="BR720" s="124"/>
      <c r="BS720" s="124"/>
      <c r="BT720" s="124"/>
      <c r="BU720" s="124"/>
      <c r="BV720" s="124"/>
      <c r="BW720" s="124"/>
      <c r="BX720" s="124"/>
      <c r="BY720" s="124"/>
      <c r="BZ720" s="124"/>
      <c r="CA720" s="124"/>
    </row>
    <row r="721">
      <c r="D721" s="143"/>
      <c r="E721" s="112"/>
      <c r="F721" s="112"/>
      <c r="G721" s="112"/>
      <c r="H721" s="112"/>
      <c r="I721" s="112"/>
      <c r="J721" s="112"/>
      <c r="K721" s="112"/>
      <c r="L721" s="112"/>
      <c r="M721" s="112"/>
      <c r="N721" s="112"/>
      <c r="O721" s="112"/>
      <c r="P721" s="112"/>
      <c r="Q721" s="112"/>
      <c r="R721" s="112"/>
      <c r="S721" s="112"/>
      <c r="T721" s="112"/>
      <c r="U721" s="107"/>
      <c r="V721" s="107"/>
      <c r="W721" s="107"/>
      <c r="X721" s="107"/>
      <c r="Y721" s="107"/>
      <c r="Z721" s="112"/>
      <c r="AA721" s="112"/>
      <c r="AB721" s="112"/>
      <c r="AC721" s="112"/>
      <c r="AD721" s="112"/>
      <c r="AE721" s="112"/>
      <c r="AF721" s="112"/>
      <c r="AG721" s="117"/>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c r="BK721" s="124"/>
      <c r="BL721" s="124"/>
      <c r="BM721" s="124"/>
      <c r="BN721" s="124"/>
      <c r="BO721" s="124"/>
      <c r="BP721" s="124"/>
      <c r="BQ721" s="124"/>
      <c r="BR721" s="124"/>
      <c r="BS721" s="124"/>
      <c r="BT721" s="124"/>
      <c r="BU721" s="124"/>
      <c r="BV721" s="124"/>
      <c r="BW721" s="124"/>
      <c r="BX721" s="124"/>
      <c r="BY721" s="124"/>
      <c r="BZ721" s="124"/>
      <c r="CA721" s="124"/>
    </row>
    <row r="722">
      <c r="D722" s="143"/>
      <c r="E722" s="112"/>
      <c r="F722" s="112"/>
      <c r="G722" s="112"/>
      <c r="H722" s="112"/>
      <c r="I722" s="112"/>
      <c r="J722" s="112"/>
      <c r="K722" s="112"/>
      <c r="L722" s="112"/>
      <c r="M722" s="112"/>
      <c r="N722" s="112"/>
      <c r="O722" s="112"/>
      <c r="P722" s="112"/>
      <c r="Q722" s="112"/>
      <c r="R722" s="112"/>
      <c r="S722" s="112"/>
      <c r="T722" s="112"/>
      <c r="U722" s="107"/>
      <c r="V722" s="107"/>
      <c r="W722" s="107"/>
      <c r="X722" s="107"/>
      <c r="Y722" s="107"/>
      <c r="Z722" s="112"/>
      <c r="AA722" s="112"/>
      <c r="AB722" s="112"/>
      <c r="AC722" s="112"/>
      <c r="AD722" s="112"/>
      <c r="AE722" s="112"/>
      <c r="AF722" s="112"/>
      <c r="AG722" s="117"/>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c r="BK722" s="124"/>
      <c r="BL722" s="124"/>
      <c r="BM722" s="124"/>
      <c r="BN722" s="124"/>
      <c r="BO722" s="124"/>
      <c r="BP722" s="124"/>
      <c r="BQ722" s="124"/>
      <c r="BR722" s="124"/>
      <c r="BS722" s="124"/>
      <c r="BT722" s="124"/>
      <c r="BU722" s="124"/>
      <c r="BV722" s="124"/>
      <c r="BW722" s="124"/>
      <c r="BX722" s="124"/>
      <c r="BY722" s="124"/>
      <c r="BZ722" s="124"/>
      <c r="CA722" s="124"/>
    </row>
    <row r="723">
      <c r="D723" s="143"/>
      <c r="E723" s="112"/>
      <c r="F723" s="112"/>
      <c r="G723" s="112"/>
      <c r="H723" s="112"/>
      <c r="I723" s="112"/>
      <c r="J723" s="112"/>
      <c r="K723" s="112"/>
      <c r="L723" s="112"/>
      <c r="M723" s="112"/>
      <c r="N723" s="112"/>
      <c r="O723" s="112"/>
      <c r="P723" s="112"/>
      <c r="Q723" s="112"/>
      <c r="R723" s="112"/>
      <c r="S723" s="112"/>
      <c r="T723" s="112"/>
      <c r="U723" s="107"/>
      <c r="V723" s="107"/>
      <c r="W723" s="107"/>
      <c r="X723" s="107"/>
      <c r="Y723" s="107"/>
      <c r="Z723" s="112"/>
      <c r="AA723" s="112"/>
      <c r="AB723" s="112"/>
      <c r="AC723" s="112"/>
      <c r="AD723" s="112"/>
      <c r="AE723" s="112"/>
      <c r="AF723" s="112"/>
      <c r="AG723" s="117"/>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c r="BK723" s="124"/>
      <c r="BL723" s="124"/>
      <c r="BM723" s="124"/>
      <c r="BN723" s="124"/>
      <c r="BO723" s="124"/>
      <c r="BP723" s="124"/>
      <c r="BQ723" s="124"/>
      <c r="BR723" s="124"/>
      <c r="BS723" s="124"/>
      <c r="BT723" s="124"/>
      <c r="BU723" s="124"/>
      <c r="BV723" s="124"/>
      <c r="BW723" s="124"/>
      <c r="BX723" s="124"/>
      <c r="BY723" s="124"/>
      <c r="BZ723" s="124"/>
      <c r="CA723" s="124"/>
    </row>
    <row r="724">
      <c r="D724" s="143"/>
      <c r="E724" s="112"/>
      <c r="F724" s="112"/>
      <c r="G724" s="112"/>
      <c r="H724" s="112"/>
      <c r="I724" s="112"/>
      <c r="J724" s="112"/>
      <c r="K724" s="112"/>
      <c r="L724" s="112"/>
      <c r="M724" s="112"/>
      <c r="N724" s="112"/>
      <c r="O724" s="112"/>
      <c r="P724" s="112"/>
      <c r="Q724" s="112"/>
      <c r="R724" s="112"/>
      <c r="S724" s="112"/>
      <c r="T724" s="112"/>
      <c r="U724" s="107"/>
      <c r="V724" s="107"/>
      <c r="W724" s="107"/>
      <c r="X724" s="107"/>
      <c r="Y724" s="107"/>
      <c r="Z724" s="112"/>
      <c r="AA724" s="112"/>
      <c r="AB724" s="112"/>
      <c r="AC724" s="112"/>
      <c r="AD724" s="112"/>
      <c r="AE724" s="112"/>
      <c r="AF724" s="112"/>
      <c r="AG724" s="117"/>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c r="BK724" s="124"/>
      <c r="BL724" s="124"/>
      <c r="BM724" s="124"/>
      <c r="BN724" s="124"/>
      <c r="BO724" s="124"/>
      <c r="BP724" s="124"/>
      <c r="BQ724" s="124"/>
      <c r="BR724" s="124"/>
      <c r="BS724" s="124"/>
      <c r="BT724" s="124"/>
      <c r="BU724" s="124"/>
      <c r="BV724" s="124"/>
      <c r="BW724" s="124"/>
      <c r="BX724" s="124"/>
      <c r="BY724" s="124"/>
      <c r="BZ724" s="124"/>
      <c r="CA724" s="124"/>
    </row>
    <row r="725">
      <c r="D725" s="143"/>
      <c r="E725" s="112"/>
      <c r="F725" s="112"/>
      <c r="G725" s="112"/>
      <c r="H725" s="112"/>
      <c r="I725" s="112"/>
      <c r="J725" s="112"/>
      <c r="K725" s="112"/>
      <c r="L725" s="112"/>
      <c r="M725" s="112"/>
      <c r="N725" s="112"/>
      <c r="O725" s="112"/>
      <c r="P725" s="112"/>
      <c r="Q725" s="112"/>
      <c r="R725" s="112"/>
      <c r="S725" s="112"/>
      <c r="T725" s="112"/>
      <c r="U725" s="107"/>
      <c r="V725" s="107"/>
      <c r="W725" s="107"/>
      <c r="X725" s="107"/>
      <c r="Y725" s="107"/>
      <c r="Z725" s="112"/>
      <c r="AA725" s="112"/>
      <c r="AB725" s="112"/>
      <c r="AC725" s="112"/>
      <c r="AD725" s="112"/>
      <c r="AE725" s="112"/>
      <c r="AF725" s="112"/>
      <c r="AG725" s="117"/>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c r="BK725" s="124"/>
      <c r="BL725" s="124"/>
      <c r="BM725" s="124"/>
      <c r="BN725" s="124"/>
      <c r="BO725" s="124"/>
      <c r="BP725" s="124"/>
      <c r="BQ725" s="124"/>
      <c r="BR725" s="124"/>
      <c r="BS725" s="124"/>
      <c r="BT725" s="124"/>
      <c r="BU725" s="124"/>
      <c r="BV725" s="124"/>
      <c r="BW725" s="124"/>
      <c r="BX725" s="124"/>
      <c r="BY725" s="124"/>
      <c r="BZ725" s="124"/>
      <c r="CA725" s="124"/>
    </row>
    <row r="726">
      <c r="D726" s="143"/>
      <c r="E726" s="112"/>
      <c r="F726" s="112"/>
      <c r="G726" s="112"/>
      <c r="H726" s="112"/>
      <c r="I726" s="112"/>
      <c r="J726" s="112"/>
      <c r="K726" s="112"/>
      <c r="L726" s="112"/>
      <c r="M726" s="112"/>
      <c r="N726" s="112"/>
      <c r="O726" s="112"/>
      <c r="P726" s="112"/>
      <c r="Q726" s="112"/>
      <c r="R726" s="112"/>
      <c r="S726" s="112"/>
      <c r="T726" s="112"/>
      <c r="U726" s="107"/>
      <c r="V726" s="107"/>
      <c r="W726" s="107"/>
      <c r="X726" s="107"/>
      <c r="Y726" s="107"/>
      <c r="Z726" s="112"/>
      <c r="AA726" s="112"/>
      <c r="AB726" s="112"/>
      <c r="AC726" s="112"/>
      <c r="AD726" s="112"/>
      <c r="AE726" s="112"/>
      <c r="AF726" s="112"/>
      <c r="AG726" s="117"/>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c r="BK726" s="124"/>
      <c r="BL726" s="124"/>
      <c r="BM726" s="124"/>
      <c r="BN726" s="124"/>
      <c r="BO726" s="124"/>
      <c r="BP726" s="124"/>
      <c r="BQ726" s="124"/>
      <c r="BR726" s="124"/>
      <c r="BS726" s="124"/>
      <c r="BT726" s="124"/>
      <c r="BU726" s="124"/>
      <c r="BV726" s="124"/>
      <c r="BW726" s="124"/>
      <c r="BX726" s="124"/>
      <c r="BY726" s="124"/>
      <c r="BZ726" s="124"/>
      <c r="CA726" s="124"/>
    </row>
    <row r="727">
      <c r="D727" s="143"/>
      <c r="E727" s="112"/>
      <c r="F727" s="112"/>
      <c r="G727" s="112"/>
      <c r="H727" s="112"/>
      <c r="I727" s="112"/>
      <c r="J727" s="112"/>
      <c r="K727" s="112"/>
      <c r="L727" s="112"/>
      <c r="M727" s="112"/>
      <c r="N727" s="112"/>
      <c r="O727" s="112"/>
      <c r="P727" s="112"/>
      <c r="Q727" s="112"/>
      <c r="R727" s="112"/>
      <c r="S727" s="112"/>
      <c r="T727" s="112"/>
      <c r="U727" s="107"/>
      <c r="V727" s="107"/>
      <c r="W727" s="107"/>
      <c r="X727" s="107"/>
      <c r="Y727" s="107"/>
      <c r="Z727" s="112"/>
      <c r="AA727" s="112"/>
      <c r="AB727" s="112"/>
      <c r="AC727" s="112"/>
      <c r="AD727" s="112"/>
      <c r="AE727" s="112"/>
      <c r="AF727" s="112"/>
      <c r="AG727" s="117"/>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c r="BK727" s="124"/>
      <c r="BL727" s="124"/>
      <c r="BM727" s="124"/>
      <c r="BN727" s="124"/>
      <c r="BO727" s="124"/>
      <c r="BP727" s="124"/>
      <c r="BQ727" s="124"/>
      <c r="BR727" s="124"/>
      <c r="BS727" s="124"/>
      <c r="BT727" s="124"/>
      <c r="BU727" s="124"/>
      <c r="BV727" s="124"/>
      <c r="BW727" s="124"/>
      <c r="BX727" s="124"/>
      <c r="BY727" s="124"/>
      <c r="BZ727" s="124"/>
      <c r="CA727" s="124"/>
    </row>
    <row r="728">
      <c r="D728" s="143"/>
      <c r="E728" s="112"/>
      <c r="F728" s="112"/>
      <c r="G728" s="112"/>
      <c r="H728" s="112"/>
      <c r="I728" s="112"/>
      <c r="J728" s="112"/>
      <c r="K728" s="112"/>
      <c r="L728" s="112"/>
      <c r="M728" s="112"/>
      <c r="N728" s="112"/>
      <c r="O728" s="112"/>
      <c r="P728" s="112"/>
      <c r="Q728" s="112"/>
      <c r="R728" s="112"/>
      <c r="S728" s="112"/>
      <c r="T728" s="112"/>
      <c r="U728" s="107"/>
      <c r="V728" s="107"/>
      <c r="W728" s="107"/>
      <c r="X728" s="107"/>
      <c r="Y728" s="107"/>
      <c r="Z728" s="112"/>
      <c r="AA728" s="112"/>
      <c r="AB728" s="112"/>
      <c r="AC728" s="112"/>
      <c r="AD728" s="112"/>
      <c r="AE728" s="112"/>
      <c r="AF728" s="112"/>
      <c r="AG728" s="117"/>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c r="BK728" s="124"/>
      <c r="BL728" s="124"/>
      <c r="BM728" s="124"/>
      <c r="BN728" s="124"/>
      <c r="BO728" s="124"/>
      <c r="BP728" s="124"/>
      <c r="BQ728" s="124"/>
      <c r="BR728" s="124"/>
      <c r="BS728" s="124"/>
      <c r="BT728" s="124"/>
      <c r="BU728" s="124"/>
      <c r="BV728" s="124"/>
      <c r="BW728" s="124"/>
      <c r="BX728" s="124"/>
      <c r="BY728" s="124"/>
      <c r="BZ728" s="124"/>
      <c r="CA728" s="124"/>
    </row>
    <row r="729">
      <c r="D729" s="143"/>
      <c r="E729" s="112"/>
      <c r="F729" s="112"/>
      <c r="G729" s="112"/>
      <c r="H729" s="112"/>
      <c r="I729" s="112"/>
      <c r="J729" s="112"/>
      <c r="K729" s="112"/>
      <c r="L729" s="112"/>
      <c r="M729" s="112"/>
      <c r="N729" s="112"/>
      <c r="O729" s="112"/>
      <c r="P729" s="112"/>
      <c r="Q729" s="112"/>
      <c r="R729" s="112"/>
      <c r="S729" s="112"/>
      <c r="T729" s="112"/>
      <c r="U729" s="107"/>
      <c r="V729" s="107"/>
      <c r="W729" s="107"/>
      <c r="X729" s="107"/>
      <c r="Y729" s="107"/>
      <c r="Z729" s="112"/>
      <c r="AA729" s="112"/>
      <c r="AB729" s="112"/>
      <c r="AC729" s="112"/>
      <c r="AD729" s="112"/>
      <c r="AE729" s="112"/>
      <c r="AF729" s="112"/>
      <c r="AG729" s="117"/>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c r="BK729" s="124"/>
      <c r="BL729" s="124"/>
      <c r="BM729" s="124"/>
      <c r="BN729" s="124"/>
      <c r="BO729" s="124"/>
      <c r="BP729" s="124"/>
      <c r="BQ729" s="124"/>
      <c r="BR729" s="124"/>
      <c r="BS729" s="124"/>
      <c r="BT729" s="124"/>
      <c r="BU729" s="124"/>
      <c r="BV729" s="124"/>
      <c r="BW729" s="124"/>
      <c r="BX729" s="124"/>
      <c r="BY729" s="124"/>
      <c r="BZ729" s="124"/>
      <c r="CA729" s="124"/>
    </row>
    <row r="730">
      <c r="D730" s="143"/>
      <c r="E730" s="112"/>
      <c r="F730" s="112"/>
      <c r="G730" s="112"/>
      <c r="H730" s="112"/>
      <c r="I730" s="112"/>
      <c r="J730" s="112"/>
      <c r="K730" s="112"/>
      <c r="L730" s="112"/>
      <c r="M730" s="112"/>
      <c r="N730" s="112"/>
      <c r="O730" s="112"/>
      <c r="P730" s="112"/>
      <c r="Q730" s="112"/>
      <c r="R730" s="112"/>
      <c r="S730" s="112"/>
      <c r="T730" s="112"/>
      <c r="U730" s="107"/>
      <c r="V730" s="107"/>
      <c r="W730" s="107"/>
      <c r="X730" s="107"/>
      <c r="Y730" s="107"/>
      <c r="Z730" s="112"/>
      <c r="AA730" s="112"/>
      <c r="AB730" s="112"/>
      <c r="AC730" s="112"/>
      <c r="AD730" s="112"/>
      <c r="AE730" s="112"/>
      <c r="AF730" s="112"/>
      <c r="AG730" s="117"/>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c r="BK730" s="124"/>
      <c r="BL730" s="124"/>
      <c r="BM730" s="124"/>
      <c r="BN730" s="124"/>
      <c r="BO730" s="124"/>
      <c r="BP730" s="124"/>
      <c r="BQ730" s="124"/>
      <c r="BR730" s="124"/>
      <c r="BS730" s="124"/>
      <c r="BT730" s="124"/>
      <c r="BU730" s="124"/>
      <c r="BV730" s="124"/>
      <c r="BW730" s="124"/>
      <c r="BX730" s="124"/>
      <c r="BY730" s="124"/>
      <c r="BZ730" s="124"/>
      <c r="CA730" s="124"/>
    </row>
    <row r="731">
      <c r="D731" s="143"/>
      <c r="E731" s="112"/>
      <c r="F731" s="112"/>
      <c r="G731" s="112"/>
      <c r="H731" s="112"/>
      <c r="I731" s="112"/>
      <c r="J731" s="112"/>
      <c r="K731" s="112"/>
      <c r="L731" s="112"/>
      <c r="M731" s="112"/>
      <c r="N731" s="112"/>
      <c r="O731" s="112"/>
      <c r="P731" s="112"/>
      <c r="Q731" s="112"/>
      <c r="R731" s="112"/>
      <c r="S731" s="112"/>
      <c r="T731" s="112"/>
      <c r="U731" s="107"/>
      <c r="V731" s="107"/>
      <c r="W731" s="107"/>
      <c r="X731" s="107"/>
      <c r="Y731" s="107"/>
      <c r="Z731" s="112"/>
      <c r="AA731" s="112"/>
      <c r="AB731" s="112"/>
      <c r="AC731" s="112"/>
      <c r="AD731" s="112"/>
      <c r="AE731" s="112"/>
      <c r="AF731" s="112"/>
      <c r="AG731" s="117"/>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c r="BK731" s="124"/>
      <c r="BL731" s="124"/>
      <c r="BM731" s="124"/>
      <c r="BN731" s="124"/>
      <c r="BO731" s="124"/>
      <c r="BP731" s="124"/>
      <c r="BQ731" s="124"/>
      <c r="BR731" s="124"/>
      <c r="BS731" s="124"/>
      <c r="BT731" s="124"/>
      <c r="BU731" s="124"/>
      <c r="BV731" s="124"/>
      <c r="BW731" s="124"/>
      <c r="BX731" s="124"/>
      <c r="BY731" s="124"/>
      <c r="BZ731" s="124"/>
      <c r="CA731" s="124"/>
    </row>
    <row r="732">
      <c r="D732" s="143"/>
      <c r="E732" s="112"/>
      <c r="F732" s="112"/>
      <c r="G732" s="112"/>
      <c r="H732" s="112"/>
      <c r="I732" s="112"/>
      <c r="J732" s="112"/>
      <c r="K732" s="112"/>
      <c r="L732" s="112"/>
      <c r="M732" s="112"/>
      <c r="N732" s="112"/>
      <c r="O732" s="112"/>
      <c r="P732" s="112"/>
      <c r="Q732" s="112"/>
      <c r="R732" s="112"/>
      <c r="S732" s="112"/>
      <c r="T732" s="112"/>
      <c r="U732" s="107"/>
      <c r="V732" s="107"/>
      <c r="W732" s="107"/>
      <c r="X732" s="107"/>
      <c r="Y732" s="107"/>
      <c r="Z732" s="112"/>
      <c r="AA732" s="112"/>
      <c r="AB732" s="112"/>
      <c r="AC732" s="112"/>
      <c r="AD732" s="112"/>
      <c r="AE732" s="112"/>
      <c r="AF732" s="112"/>
      <c r="AG732" s="117"/>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c r="BK732" s="124"/>
      <c r="BL732" s="124"/>
      <c r="BM732" s="124"/>
      <c r="BN732" s="124"/>
      <c r="BO732" s="124"/>
      <c r="BP732" s="124"/>
      <c r="BQ732" s="124"/>
      <c r="BR732" s="124"/>
      <c r="BS732" s="124"/>
      <c r="BT732" s="124"/>
      <c r="BU732" s="124"/>
      <c r="BV732" s="124"/>
      <c r="BW732" s="124"/>
      <c r="BX732" s="124"/>
      <c r="BY732" s="124"/>
      <c r="BZ732" s="124"/>
      <c r="CA732" s="124"/>
    </row>
    <row r="733">
      <c r="D733" s="143"/>
      <c r="E733" s="112"/>
      <c r="F733" s="112"/>
      <c r="G733" s="112"/>
      <c r="H733" s="112"/>
      <c r="I733" s="112"/>
      <c r="J733" s="112"/>
      <c r="K733" s="112"/>
      <c r="L733" s="112"/>
      <c r="M733" s="112"/>
      <c r="N733" s="112"/>
      <c r="O733" s="112"/>
      <c r="P733" s="112"/>
      <c r="Q733" s="112"/>
      <c r="R733" s="112"/>
      <c r="S733" s="112"/>
      <c r="T733" s="112"/>
      <c r="U733" s="107"/>
      <c r="V733" s="107"/>
      <c r="W733" s="107"/>
      <c r="X733" s="107"/>
      <c r="Y733" s="107"/>
      <c r="Z733" s="112"/>
      <c r="AA733" s="112"/>
      <c r="AB733" s="112"/>
      <c r="AC733" s="112"/>
      <c r="AD733" s="112"/>
      <c r="AE733" s="112"/>
      <c r="AF733" s="112"/>
      <c r="AG733" s="117"/>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c r="BK733" s="124"/>
      <c r="BL733" s="124"/>
      <c r="BM733" s="124"/>
      <c r="BN733" s="124"/>
      <c r="BO733" s="124"/>
      <c r="BP733" s="124"/>
      <c r="BQ733" s="124"/>
      <c r="BR733" s="124"/>
      <c r="BS733" s="124"/>
      <c r="BT733" s="124"/>
      <c r="BU733" s="124"/>
      <c r="BV733" s="124"/>
      <c r="BW733" s="124"/>
      <c r="BX733" s="124"/>
      <c r="BY733" s="124"/>
      <c r="BZ733" s="124"/>
      <c r="CA733" s="124"/>
    </row>
    <row r="734">
      <c r="D734" s="143"/>
      <c r="E734" s="112"/>
      <c r="F734" s="112"/>
      <c r="G734" s="112"/>
      <c r="H734" s="112"/>
      <c r="I734" s="112"/>
      <c r="J734" s="112"/>
      <c r="K734" s="112"/>
      <c r="L734" s="112"/>
      <c r="M734" s="112"/>
      <c r="N734" s="112"/>
      <c r="O734" s="112"/>
      <c r="P734" s="112"/>
      <c r="Q734" s="112"/>
      <c r="R734" s="112"/>
      <c r="S734" s="112"/>
      <c r="T734" s="112"/>
      <c r="U734" s="107"/>
      <c r="V734" s="107"/>
      <c r="W734" s="107"/>
      <c r="X734" s="107"/>
      <c r="Y734" s="107"/>
      <c r="Z734" s="112"/>
      <c r="AA734" s="112"/>
      <c r="AB734" s="112"/>
      <c r="AC734" s="112"/>
      <c r="AD734" s="112"/>
      <c r="AE734" s="112"/>
      <c r="AF734" s="112"/>
      <c r="AG734" s="117"/>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c r="BK734" s="124"/>
      <c r="BL734" s="124"/>
      <c r="BM734" s="124"/>
      <c r="BN734" s="124"/>
      <c r="BO734" s="124"/>
      <c r="BP734" s="124"/>
      <c r="BQ734" s="124"/>
      <c r="BR734" s="124"/>
      <c r="BS734" s="124"/>
      <c r="BT734" s="124"/>
      <c r="BU734" s="124"/>
      <c r="BV734" s="124"/>
      <c r="BW734" s="124"/>
      <c r="BX734" s="124"/>
      <c r="BY734" s="124"/>
      <c r="BZ734" s="124"/>
      <c r="CA734" s="124"/>
    </row>
    <row r="735">
      <c r="D735" s="143"/>
      <c r="E735" s="112"/>
      <c r="F735" s="112"/>
      <c r="G735" s="112"/>
      <c r="H735" s="112"/>
      <c r="I735" s="112"/>
      <c r="J735" s="112"/>
      <c r="K735" s="112"/>
      <c r="L735" s="112"/>
      <c r="M735" s="112"/>
      <c r="N735" s="112"/>
      <c r="O735" s="112"/>
      <c r="P735" s="112"/>
      <c r="Q735" s="112"/>
      <c r="R735" s="112"/>
      <c r="S735" s="112"/>
      <c r="T735" s="112"/>
      <c r="U735" s="107"/>
      <c r="V735" s="107"/>
      <c r="W735" s="107"/>
      <c r="X735" s="107"/>
      <c r="Y735" s="107"/>
      <c r="Z735" s="112"/>
      <c r="AA735" s="112"/>
      <c r="AB735" s="112"/>
      <c r="AC735" s="112"/>
      <c r="AD735" s="112"/>
      <c r="AE735" s="112"/>
      <c r="AF735" s="112"/>
      <c r="AG735" s="117"/>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c r="BK735" s="124"/>
      <c r="BL735" s="124"/>
      <c r="BM735" s="124"/>
      <c r="BN735" s="124"/>
      <c r="BO735" s="124"/>
      <c r="BP735" s="124"/>
      <c r="BQ735" s="124"/>
      <c r="BR735" s="124"/>
      <c r="BS735" s="124"/>
      <c r="BT735" s="124"/>
      <c r="BU735" s="124"/>
      <c r="BV735" s="124"/>
      <c r="BW735" s="124"/>
      <c r="BX735" s="124"/>
      <c r="BY735" s="124"/>
      <c r="BZ735" s="124"/>
      <c r="CA735" s="124"/>
    </row>
    <row r="736">
      <c r="D736" s="143"/>
      <c r="E736" s="112"/>
      <c r="F736" s="112"/>
      <c r="G736" s="112"/>
      <c r="H736" s="112"/>
      <c r="I736" s="112"/>
      <c r="J736" s="112"/>
      <c r="K736" s="112"/>
      <c r="L736" s="112"/>
      <c r="M736" s="112"/>
      <c r="N736" s="112"/>
      <c r="O736" s="112"/>
      <c r="P736" s="112"/>
      <c r="Q736" s="112"/>
      <c r="R736" s="112"/>
      <c r="S736" s="112"/>
      <c r="T736" s="112"/>
      <c r="U736" s="107"/>
      <c r="V736" s="107"/>
      <c r="W736" s="107"/>
      <c r="X736" s="107"/>
      <c r="Y736" s="107"/>
      <c r="Z736" s="112"/>
      <c r="AA736" s="112"/>
      <c r="AB736" s="112"/>
      <c r="AC736" s="112"/>
      <c r="AD736" s="112"/>
      <c r="AE736" s="112"/>
      <c r="AF736" s="112"/>
      <c r="AG736" s="117"/>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c r="BK736" s="124"/>
      <c r="BL736" s="124"/>
      <c r="BM736" s="124"/>
      <c r="BN736" s="124"/>
      <c r="BO736" s="124"/>
      <c r="BP736" s="124"/>
      <c r="BQ736" s="124"/>
      <c r="BR736" s="124"/>
      <c r="BS736" s="124"/>
      <c r="BT736" s="124"/>
      <c r="BU736" s="124"/>
      <c r="BV736" s="124"/>
      <c r="BW736" s="124"/>
      <c r="BX736" s="124"/>
      <c r="BY736" s="124"/>
      <c r="BZ736" s="124"/>
      <c r="CA736" s="124"/>
    </row>
    <row r="737">
      <c r="D737" s="143"/>
      <c r="E737" s="112"/>
      <c r="F737" s="112"/>
      <c r="G737" s="112"/>
      <c r="H737" s="112"/>
      <c r="I737" s="112"/>
      <c r="J737" s="112"/>
      <c r="K737" s="112"/>
      <c r="L737" s="112"/>
      <c r="M737" s="112"/>
      <c r="N737" s="112"/>
      <c r="O737" s="112"/>
      <c r="P737" s="112"/>
      <c r="Q737" s="112"/>
      <c r="R737" s="112"/>
      <c r="S737" s="112"/>
      <c r="T737" s="112"/>
      <c r="U737" s="107"/>
      <c r="V737" s="107"/>
      <c r="W737" s="107"/>
      <c r="X737" s="107"/>
      <c r="Y737" s="107"/>
      <c r="Z737" s="112"/>
      <c r="AA737" s="112"/>
      <c r="AB737" s="112"/>
      <c r="AC737" s="112"/>
      <c r="AD737" s="112"/>
      <c r="AE737" s="112"/>
      <c r="AF737" s="112"/>
      <c r="AG737" s="117"/>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c r="BK737" s="124"/>
      <c r="BL737" s="124"/>
      <c r="BM737" s="124"/>
      <c r="BN737" s="124"/>
      <c r="BO737" s="124"/>
      <c r="BP737" s="124"/>
      <c r="BQ737" s="124"/>
      <c r="BR737" s="124"/>
      <c r="BS737" s="124"/>
      <c r="BT737" s="124"/>
      <c r="BU737" s="124"/>
      <c r="BV737" s="124"/>
      <c r="BW737" s="124"/>
      <c r="BX737" s="124"/>
      <c r="BY737" s="124"/>
      <c r="BZ737" s="124"/>
      <c r="CA737" s="124"/>
    </row>
    <row r="738">
      <c r="D738" s="143"/>
      <c r="E738" s="112"/>
      <c r="F738" s="112"/>
      <c r="G738" s="112"/>
      <c r="H738" s="112"/>
      <c r="I738" s="112"/>
      <c r="J738" s="112"/>
      <c r="K738" s="112"/>
      <c r="L738" s="112"/>
      <c r="M738" s="112"/>
      <c r="N738" s="112"/>
      <c r="O738" s="112"/>
      <c r="P738" s="112"/>
      <c r="Q738" s="112"/>
      <c r="R738" s="112"/>
      <c r="S738" s="112"/>
      <c r="T738" s="112"/>
      <c r="U738" s="107"/>
      <c r="V738" s="107"/>
      <c r="W738" s="107"/>
      <c r="X738" s="107"/>
      <c r="Y738" s="107"/>
      <c r="Z738" s="112"/>
      <c r="AA738" s="112"/>
      <c r="AB738" s="112"/>
      <c r="AC738" s="112"/>
      <c r="AD738" s="112"/>
      <c r="AE738" s="112"/>
      <c r="AF738" s="112"/>
      <c r="AG738" s="117"/>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c r="BK738" s="124"/>
      <c r="BL738" s="124"/>
      <c r="BM738" s="124"/>
      <c r="BN738" s="124"/>
      <c r="BO738" s="124"/>
      <c r="BP738" s="124"/>
      <c r="BQ738" s="124"/>
      <c r="BR738" s="124"/>
      <c r="BS738" s="124"/>
      <c r="BT738" s="124"/>
      <c r="BU738" s="124"/>
      <c r="BV738" s="124"/>
      <c r="BW738" s="124"/>
      <c r="BX738" s="124"/>
      <c r="BY738" s="124"/>
      <c r="BZ738" s="124"/>
      <c r="CA738" s="124"/>
    </row>
    <row r="739">
      <c r="D739" s="143"/>
      <c r="E739" s="112"/>
      <c r="F739" s="112"/>
      <c r="G739" s="112"/>
      <c r="H739" s="112"/>
      <c r="I739" s="112"/>
      <c r="J739" s="112"/>
      <c r="K739" s="112"/>
      <c r="L739" s="112"/>
      <c r="M739" s="112"/>
      <c r="N739" s="112"/>
      <c r="O739" s="112"/>
      <c r="P739" s="112"/>
      <c r="Q739" s="112"/>
      <c r="R739" s="112"/>
      <c r="S739" s="112"/>
      <c r="T739" s="112"/>
      <c r="U739" s="107"/>
      <c r="V739" s="107"/>
      <c r="W739" s="107"/>
      <c r="X739" s="107"/>
      <c r="Y739" s="107"/>
      <c r="Z739" s="112"/>
      <c r="AA739" s="112"/>
      <c r="AB739" s="112"/>
      <c r="AC739" s="112"/>
      <c r="AD739" s="112"/>
      <c r="AE739" s="112"/>
      <c r="AF739" s="112"/>
      <c r="AG739" s="117"/>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c r="BK739" s="124"/>
      <c r="BL739" s="124"/>
      <c r="BM739" s="124"/>
      <c r="BN739" s="124"/>
      <c r="BO739" s="124"/>
      <c r="BP739" s="124"/>
      <c r="BQ739" s="124"/>
      <c r="BR739" s="124"/>
      <c r="BS739" s="124"/>
      <c r="BT739" s="124"/>
      <c r="BU739" s="124"/>
      <c r="BV739" s="124"/>
      <c r="BW739" s="124"/>
      <c r="BX739" s="124"/>
      <c r="BY739" s="124"/>
      <c r="BZ739" s="124"/>
      <c r="CA739" s="124"/>
    </row>
    <row r="740">
      <c r="D740" s="143"/>
      <c r="E740" s="112"/>
      <c r="F740" s="112"/>
      <c r="G740" s="112"/>
      <c r="H740" s="112"/>
      <c r="I740" s="112"/>
      <c r="J740" s="112"/>
      <c r="K740" s="112"/>
      <c r="L740" s="112"/>
      <c r="M740" s="112"/>
      <c r="N740" s="112"/>
      <c r="O740" s="112"/>
      <c r="P740" s="112"/>
      <c r="Q740" s="112"/>
      <c r="R740" s="112"/>
      <c r="S740" s="112"/>
      <c r="T740" s="112"/>
      <c r="U740" s="107"/>
      <c r="V740" s="107"/>
      <c r="W740" s="107"/>
      <c r="X740" s="107"/>
      <c r="Y740" s="107"/>
      <c r="Z740" s="112"/>
      <c r="AA740" s="112"/>
      <c r="AB740" s="112"/>
      <c r="AC740" s="112"/>
      <c r="AD740" s="112"/>
      <c r="AE740" s="112"/>
      <c r="AF740" s="112"/>
      <c r="AG740" s="117"/>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c r="BK740" s="124"/>
      <c r="BL740" s="124"/>
      <c r="BM740" s="124"/>
      <c r="BN740" s="124"/>
      <c r="BO740" s="124"/>
      <c r="BP740" s="124"/>
      <c r="BQ740" s="124"/>
      <c r="BR740" s="124"/>
      <c r="BS740" s="124"/>
      <c r="BT740" s="124"/>
      <c r="BU740" s="124"/>
      <c r="BV740" s="124"/>
      <c r="BW740" s="124"/>
      <c r="BX740" s="124"/>
      <c r="BY740" s="124"/>
      <c r="BZ740" s="124"/>
      <c r="CA740" s="124"/>
    </row>
    <row r="741">
      <c r="D741" s="143"/>
      <c r="E741" s="112"/>
      <c r="F741" s="112"/>
      <c r="G741" s="112"/>
      <c r="H741" s="112"/>
      <c r="I741" s="112"/>
      <c r="J741" s="112"/>
      <c r="K741" s="112"/>
      <c r="L741" s="112"/>
      <c r="M741" s="112"/>
      <c r="N741" s="112"/>
      <c r="O741" s="112"/>
      <c r="P741" s="112"/>
      <c r="Q741" s="112"/>
      <c r="R741" s="112"/>
      <c r="S741" s="112"/>
      <c r="T741" s="112"/>
      <c r="U741" s="107"/>
      <c r="V741" s="107"/>
      <c r="W741" s="107"/>
      <c r="X741" s="107"/>
      <c r="Y741" s="107"/>
      <c r="Z741" s="112"/>
      <c r="AA741" s="112"/>
      <c r="AB741" s="112"/>
      <c r="AC741" s="112"/>
      <c r="AD741" s="112"/>
      <c r="AE741" s="112"/>
      <c r="AF741" s="112"/>
      <c r="AG741" s="117"/>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c r="BK741" s="124"/>
      <c r="BL741" s="124"/>
      <c r="BM741" s="124"/>
      <c r="BN741" s="124"/>
      <c r="BO741" s="124"/>
      <c r="BP741" s="124"/>
      <c r="BQ741" s="124"/>
      <c r="BR741" s="124"/>
      <c r="BS741" s="124"/>
      <c r="BT741" s="124"/>
      <c r="BU741" s="124"/>
      <c r="BV741" s="124"/>
      <c r="BW741" s="124"/>
      <c r="BX741" s="124"/>
      <c r="BY741" s="124"/>
      <c r="BZ741" s="124"/>
      <c r="CA741" s="124"/>
    </row>
    <row r="742">
      <c r="D742" s="143"/>
      <c r="E742" s="112"/>
      <c r="F742" s="112"/>
      <c r="G742" s="112"/>
      <c r="H742" s="112"/>
      <c r="I742" s="112"/>
      <c r="J742" s="112"/>
      <c r="K742" s="112"/>
      <c r="L742" s="112"/>
      <c r="M742" s="112"/>
      <c r="N742" s="112"/>
      <c r="O742" s="112"/>
      <c r="P742" s="112"/>
      <c r="Q742" s="112"/>
      <c r="R742" s="112"/>
      <c r="S742" s="112"/>
      <c r="T742" s="112"/>
      <c r="U742" s="107"/>
      <c r="V742" s="107"/>
      <c r="W742" s="107"/>
      <c r="X742" s="107"/>
      <c r="Y742" s="107"/>
      <c r="Z742" s="112"/>
      <c r="AA742" s="112"/>
      <c r="AB742" s="112"/>
      <c r="AC742" s="112"/>
      <c r="AD742" s="112"/>
      <c r="AE742" s="112"/>
      <c r="AF742" s="112"/>
      <c r="AG742" s="117"/>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c r="BK742" s="124"/>
      <c r="BL742" s="124"/>
      <c r="BM742" s="124"/>
      <c r="BN742" s="124"/>
      <c r="BO742" s="124"/>
      <c r="BP742" s="124"/>
      <c r="BQ742" s="124"/>
      <c r="BR742" s="124"/>
      <c r="BS742" s="124"/>
      <c r="BT742" s="124"/>
      <c r="BU742" s="124"/>
      <c r="BV742" s="124"/>
      <c r="BW742" s="124"/>
      <c r="BX742" s="124"/>
      <c r="BY742" s="124"/>
      <c r="BZ742" s="124"/>
      <c r="CA742" s="124"/>
    </row>
    <row r="743">
      <c r="D743" s="143"/>
      <c r="E743" s="112"/>
      <c r="F743" s="112"/>
      <c r="G743" s="112"/>
      <c r="H743" s="112"/>
      <c r="I743" s="112"/>
      <c r="J743" s="112"/>
      <c r="K743" s="112"/>
      <c r="L743" s="112"/>
      <c r="M743" s="112"/>
      <c r="N743" s="112"/>
      <c r="O743" s="112"/>
      <c r="P743" s="112"/>
      <c r="Q743" s="112"/>
      <c r="R743" s="112"/>
      <c r="S743" s="112"/>
      <c r="T743" s="112"/>
      <c r="U743" s="107"/>
      <c r="V743" s="107"/>
      <c r="W743" s="107"/>
      <c r="X743" s="107"/>
      <c r="Y743" s="107"/>
      <c r="Z743" s="112"/>
      <c r="AA743" s="112"/>
      <c r="AB743" s="112"/>
      <c r="AC743" s="112"/>
      <c r="AD743" s="112"/>
      <c r="AE743" s="112"/>
      <c r="AF743" s="112"/>
      <c r="AG743" s="117"/>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c r="BK743" s="124"/>
      <c r="BL743" s="124"/>
      <c r="BM743" s="124"/>
      <c r="BN743" s="124"/>
      <c r="BO743" s="124"/>
      <c r="BP743" s="124"/>
      <c r="BQ743" s="124"/>
      <c r="BR743" s="124"/>
      <c r="BS743" s="124"/>
      <c r="BT743" s="124"/>
      <c r="BU743" s="124"/>
      <c r="BV743" s="124"/>
      <c r="BW743" s="124"/>
      <c r="BX743" s="124"/>
      <c r="BY743" s="124"/>
      <c r="BZ743" s="124"/>
      <c r="CA743" s="124"/>
    </row>
    <row r="744">
      <c r="D744" s="143"/>
      <c r="E744" s="112"/>
      <c r="F744" s="112"/>
      <c r="G744" s="112"/>
      <c r="H744" s="112"/>
      <c r="I744" s="112"/>
      <c r="J744" s="112"/>
      <c r="K744" s="112"/>
      <c r="L744" s="112"/>
      <c r="M744" s="112"/>
      <c r="N744" s="112"/>
      <c r="O744" s="112"/>
      <c r="P744" s="112"/>
      <c r="Q744" s="112"/>
      <c r="R744" s="112"/>
      <c r="S744" s="112"/>
      <c r="T744" s="112"/>
      <c r="U744" s="107"/>
      <c r="V744" s="107"/>
      <c r="W744" s="107"/>
      <c r="X744" s="107"/>
      <c r="Y744" s="107"/>
      <c r="Z744" s="112"/>
      <c r="AA744" s="112"/>
      <c r="AB744" s="112"/>
      <c r="AC744" s="112"/>
      <c r="AD744" s="112"/>
      <c r="AE744" s="112"/>
      <c r="AF744" s="112"/>
      <c r="AG744" s="117"/>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c r="BK744" s="124"/>
      <c r="BL744" s="124"/>
      <c r="BM744" s="124"/>
      <c r="BN744" s="124"/>
      <c r="BO744" s="124"/>
      <c r="BP744" s="124"/>
      <c r="BQ744" s="124"/>
      <c r="BR744" s="124"/>
      <c r="BS744" s="124"/>
      <c r="BT744" s="124"/>
      <c r="BU744" s="124"/>
      <c r="BV744" s="124"/>
      <c r="BW744" s="124"/>
      <c r="BX744" s="124"/>
      <c r="BY744" s="124"/>
      <c r="BZ744" s="124"/>
      <c r="CA744" s="124"/>
    </row>
    <row r="745">
      <c r="D745" s="143"/>
      <c r="E745" s="112"/>
      <c r="F745" s="112"/>
      <c r="G745" s="112"/>
      <c r="H745" s="112"/>
      <c r="I745" s="112"/>
      <c r="J745" s="112"/>
      <c r="K745" s="112"/>
      <c r="L745" s="112"/>
      <c r="M745" s="112"/>
      <c r="N745" s="112"/>
      <c r="O745" s="112"/>
      <c r="P745" s="112"/>
      <c r="Q745" s="112"/>
      <c r="R745" s="112"/>
      <c r="S745" s="112"/>
      <c r="T745" s="112"/>
      <c r="U745" s="107"/>
      <c r="V745" s="107"/>
      <c r="W745" s="107"/>
      <c r="X745" s="107"/>
      <c r="Y745" s="107"/>
      <c r="Z745" s="112"/>
      <c r="AA745" s="112"/>
      <c r="AB745" s="112"/>
      <c r="AC745" s="112"/>
      <c r="AD745" s="112"/>
      <c r="AE745" s="112"/>
      <c r="AF745" s="112"/>
      <c r="AG745" s="117"/>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c r="BK745" s="124"/>
      <c r="BL745" s="124"/>
      <c r="BM745" s="124"/>
      <c r="BN745" s="124"/>
      <c r="BO745" s="124"/>
      <c r="BP745" s="124"/>
      <c r="BQ745" s="124"/>
      <c r="BR745" s="124"/>
      <c r="BS745" s="124"/>
      <c r="BT745" s="124"/>
      <c r="BU745" s="124"/>
      <c r="BV745" s="124"/>
      <c r="BW745" s="124"/>
      <c r="BX745" s="124"/>
      <c r="BY745" s="124"/>
      <c r="BZ745" s="124"/>
      <c r="CA745" s="124"/>
    </row>
    <row r="746">
      <c r="D746" s="143"/>
      <c r="E746" s="112"/>
      <c r="F746" s="112"/>
      <c r="G746" s="112"/>
      <c r="H746" s="112"/>
      <c r="I746" s="112"/>
      <c r="J746" s="112"/>
      <c r="K746" s="112"/>
      <c r="L746" s="112"/>
      <c r="M746" s="112"/>
      <c r="N746" s="112"/>
      <c r="O746" s="112"/>
      <c r="P746" s="112"/>
      <c r="Q746" s="112"/>
      <c r="R746" s="112"/>
      <c r="S746" s="112"/>
      <c r="T746" s="112"/>
      <c r="U746" s="107"/>
      <c r="V746" s="107"/>
      <c r="W746" s="107"/>
      <c r="X746" s="107"/>
      <c r="Y746" s="107"/>
      <c r="Z746" s="112"/>
      <c r="AA746" s="112"/>
      <c r="AB746" s="112"/>
      <c r="AC746" s="112"/>
      <c r="AD746" s="112"/>
      <c r="AE746" s="112"/>
      <c r="AF746" s="112"/>
      <c r="AG746" s="117"/>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c r="BK746" s="124"/>
      <c r="BL746" s="124"/>
      <c r="BM746" s="124"/>
      <c r="BN746" s="124"/>
      <c r="BO746" s="124"/>
      <c r="BP746" s="124"/>
      <c r="BQ746" s="124"/>
      <c r="BR746" s="124"/>
      <c r="BS746" s="124"/>
      <c r="BT746" s="124"/>
      <c r="BU746" s="124"/>
      <c r="BV746" s="124"/>
      <c r="BW746" s="124"/>
      <c r="BX746" s="124"/>
      <c r="BY746" s="124"/>
      <c r="BZ746" s="124"/>
      <c r="CA746" s="124"/>
    </row>
    <row r="747">
      <c r="D747" s="143"/>
      <c r="E747" s="112"/>
      <c r="F747" s="112"/>
      <c r="G747" s="112"/>
      <c r="H747" s="112"/>
      <c r="I747" s="112"/>
      <c r="J747" s="112"/>
      <c r="K747" s="112"/>
      <c r="L747" s="112"/>
      <c r="M747" s="112"/>
      <c r="N747" s="112"/>
      <c r="O747" s="112"/>
      <c r="P747" s="112"/>
      <c r="Q747" s="112"/>
      <c r="R747" s="112"/>
      <c r="S747" s="112"/>
      <c r="T747" s="112"/>
      <c r="U747" s="107"/>
      <c r="V747" s="107"/>
      <c r="W747" s="107"/>
      <c r="X747" s="107"/>
      <c r="Y747" s="107"/>
      <c r="Z747" s="112"/>
      <c r="AA747" s="112"/>
      <c r="AB747" s="112"/>
      <c r="AC747" s="112"/>
      <c r="AD747" s="112"/>
      <c r="AE747" s="112"/>
      <c r="AF747" s="112"/>
      <c r="AG747" s="117"/>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c r="BK747" s="124"/>
      <c r="BL747" s="124"/>
      <c r="BM747" s="124"/>
      <c r="BN747" s="124"/>
      <c r="BO747" s="124"/>
      <c r="BP747" s="124"/>
      <c r="BQ747" s="124"/>
      <c r="BR747" s="124"/>
      <c r="BS747" s="124"/>
      <c r="BT747" s="124"/>
      <c r="BU747" s="124"/>
      <c r="BV747" s="124"/>
      <c r="BW747" s="124"/>
      <c r="BX747" s="124"/>
      <c r="BY747" s="124"/>
      <c r="BZ747" s="124"/>
      <c r="CA747" s="124"/>
    </row>
    <row r="748">
      <c r="D748" s="143"/>
      <c r="E748" s="112"/>
      <c r="F748" s="112"/>
      <c r="G748" s="112"/>
      <c r="H748" s="112"/>
      <c r="I748" s="112"/>
      <c r="J748" s="112"/>
      <c r="K748" s="112"/>
      <c r="L748" s="112"/>
      <c r="M748" s="112"/>
      <c r="N748" s="112"/>
      <c r="O748" s="112"/>
      <c r="P748" s="112"/>
      <c r="Q748" s="112"/>
      <c r="R748" s="112"/>
      <c r="S748" s="112"/>
      <c r="T748" s="112"/>
      <c r="U748" s="107"/>
      <c r="V748" s="107"/>
      <c r="W748" s="107"/>
      <c r="X748" s="107"/>
      <c r="Y748" s="107"/>
      <c r="Z748" s="112"/>
      <c r="AA748" s="112"/>
      <c r="AB748" s="112"/>
      <c r="AC748" s="112"/>
      <c r="AD748" s="112"/>
      <c r="AE748" s="112"/>
      <c r="AF748" s="112"/>
      <c r="AG748" s="117"/>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c r="BK748" s="124"/>
      <c r="BL748" s="124"/>
      <c r="BM748" s="124"/>
      <c r="BN748" s="124"/>
      <c r="BO748" s="124"/>
      <c r="BP748" s="124"/>
      <c r="BQ748" s="124"/>
      <c r="BR748" s="124"/>
      <c r="BS748" s="124"/>
      <c r="BT748" s="124"/>
      <c r="BU748" s="124"/>
      <c r="BV748" s="124"/>
      <c r="BW748" s="124"/>
      <c r="BX748" s="124"/>
      <c r="BY748" s="124"/>
      <c r="BZ748" s="124"/>
      <c r="CA748" s="124"/>
    </row>
    <row r="749">
      <c r="D749" s="143"/>
      <c r="E749" s="112"/>
      <c r="F749" s="112"/>
      <c r="G749" s="112"/>
      <c r="H749" s="112"/>
      <c r="I749" s="112"/>
      <c r="J749" s="112"/>
      <c r="K749" s="112"/>
      <c r="L749" s="112"/>
      <c r="M749" s="112"/>
      <c r="N749" s="112"/>
      <c r="O749" s="112"/>
      <c r="P749" s="112"/>
      <c r="Q749" s="112"/>
      <c r="R749" s="112"/>
      <c r="S749" s="112"/>
      <c r="T749" s="112"/>
      <c r="U749" s="107"/>
      <c r="V749" s="107"/>
      <c r="W749" s="107"/>
      <c r="X749" s="107"/>
      <c r="Y749" s="107"/>
      <c r="Z749" s="112"/>
      <c r="AA749" s="112"/>
      <c r="AB749" s="112"/>
      <c r="AC749" s="112"/>
      <c r="AD749" s="112"/>
      <c r="AE749" s="112"/>
      <c r="AF749" s="112"/>
      <c r="AG749" s="117"/>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c r="BK749" s="124"/>
      <c r="BL749" s="124"/>
      <c r="BM749" s="124"/>
      <c r="BN749" s="124"/>
      <c r="BO749" s="124"/>
      <c r="BP749" s="124"/>
      <c r="BQ749" s="124"/>
      <c r="BR749" s="124"/>
      <c r="BS749" s="124"/>
      <c r="BT749" s="124"/>
      <c r="BU749" s="124"/>
      <c r="BV749" s="124"/>
      <c r="BW749" s="124"/>
      <c r="BX749" s="124"/>
      <c r="BY749" s="124"/>
      <c r="BZ749" s="124"/>
      <c r="CA749" s="124"/>
    </row>
    <row r="750">
      <c r="D750" s="143"/>
      <c r="E750" s="112"/>
      <c r="F750" s="112"/>
      <c r="G750" s="112"/>
      <c r="H750" s="112"/>
      <c r="I750" s="112"/>
      <c r="J750" s="112"/>
      <c r="K750" s="112"/>
      <c r="L750" s="112"/>
      <c r="M750" s="112"/>
      <c r="N750" s="112"/>
      <c r="O750" s="112"/>
      <c r="P750" s="112"/>
      <c r="Q750" s="112"/>
      <c r="R750" s="112"/>
      <c r="S750" s="112"/>
      <c r="T750" s="112"/>
      <c r="U750" s="107"/>
      <c r="V750" s="107"/>
      <c r="W750" s="107"/>
      <c r="X750" s="107"/>
      <c r="Y750" s="107"/>
      <c r="Z750" s="112"/>
      <c r="AA750" s="112"/>
      <c r="AB750" s="112"/>
      <c r="AC750" s="112"/>
      <c r="AD750" s="112"/>
      <c r="AE750" s="112"/>
      <c r="AF750" s="112"/>
      <c r="AG750" s="117"/>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c r="BK750" s="124"/>
      <c r="BL750" s="124"/>
      <c r="BM750" s="124"/>
      <c r="BN750" s="124"/>
      <c r="BO750" s="124"/>
      <c r="BP750" s="124"/>
      <c r="BQ750" s="124"/>
      <c r="BR750" s="124"/>
      <c r="BS750" s="124"/>
      <c r="BT750" s="124"/>
      <c r="BU750" s="124"/>
      <c r="BV750" s="124"/>
      <c r="BW750" s="124"/>
      <c r="BX750" s="124"/>
      <c r="BY750" s="124"/>
      <c r="BZ750" s="124"/>
      <c r="CA750" s="124"/>
    </row>
    <row r="751">
      <c r="D751" s="143"/>
      <c r="E751" s="112"/>
      <c r="F751" s="112"/>
      <c r="G751" s="112"/>
      <c r="H751" s="112"/>
      <c r="I751" s="112"/>
      <c r="J751" s="112"/>
      <c r="K751" s="112"/>
      <c r="L751" s="112"/>
      <c r="M751" s="112"/>
      <c r="N751" s="112"/>
      <c r="O751" s="112"/>
      <c r="P751" s="112"/>
      <c r="Q751" s="112"/>
      <c r="R751" s="112"/>
      <c r="S751" s="112"/>
      <c r="T751" s="112"/>
      <c r="U751" s="107"/>
      <c r="V751" s="107"/>
      <c r="W751" s="107"/>
      <c r="X751" s="107"/>
      <c r="Y751" s="107"/>
      <c r="Z751" s="112"/>
      <c r="AA751" s="112"/>
      <c r="AB751" s="112"/>
      <c r="AC751" s="112"/>
      <c r="AD751" s="112"/>
      <c r="AE751" s="112"/>
      <c r="AF751" s="112"/>
      <c r="AG751" s="117"/>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4"/>
      <c r="BS751" s="124"/>
      <c r="BT751" s="124"/>
      <c r="BU751" s="124"/>
      <c r="BV751" s="124"/>
      <c r="BW751" s="124"/>
      <c r="BX751" s="124"/>
      <c r="BY751" s="124"/>
      <c r="BZ751" s="124"/>
      <c r="CA751" s="124"/>
    </row>
    <row r="752">
      <c r="D752" s="143"/>
      <c r="E752" s="112"/>
      <c r="F752" s="112"/>
      <c r="G752" s="112"/>
      <c r="H752" s="112"/>
      <c r="I752" s="112"/>
      <c r="J752" s="112"/>
      <c r="K752" s="112"/>
      <c r="L752" s="112"/>
      <c r="M752" s="112"/>
      <c r="N752" s="112"/>
      <c r="O752" s="112"/>
      <c r="P752" s="112"/>
      <c r="Q752" s="112"/>
      <c r="R752" s="112"/>
      <c r="S752" s="112"/>
      <c r="T752" s="112"/>
      <c r="U752" s="107"/>
      <c r="V752" s="107"/>
      <c r="W752" s="107"/>
      <c r="X752" s="107"/>
      <c r="Y752" s="107"/>
      <c r="Z752" s="112"/>
      <c r="AA752" s="112"/>
      <c r="AB752" s="112"/>
      <c r="AC752" s="112"/>
      <c r="AD752" s="112"/>
      <c r="AE752" s="112"/>
      <c r="AF752" s="112"/>
      <c r="AG752" s="117"/>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c r="BK752" s="124"/>
      <c r="BL752" s="124"/>
      <c r="BM752" s="124"/>
      <c r="BN752" s="124"/>
      <c r="BO752" s="124"/>
      <c r="BP752" s="124"/>
      <c r="BQ752" s="124"/>
      <c r="BR752" s="124"/>
      <c r="BS752" s="124"/>
      <c r="BT752" s="124"/>
      <c r="BU752" s="124"/>
      <c r="BV752" s="124"/>
      <c r="BW752" s="124"/>
      <c r="BX752" s="124"/>
      <c r="BY752" s="124"/>
      <c r="BZ752" s="124"/>
      <c r="CA752" s="124"/>
    </row>
    <row r="753">
      <c r="D753" s="143"/>
      <c r="E753" s="112"/>
      <c r="F753" s="112"/>
      <c r="G753" s="112"/>
      <c r="H753" s="112"/>
      <c r="I753" s="112"/>
      <c r="J753" s="112"/>
      <c r="K753" s="112"/>
      <c r="L753" s="112"/>
      <c r="M753" s="112"/>
      <c r="N753" s="112"/>
      <c r="O753" s="112"/>
      <c r="P753" s="112"/>
      <c r="Q753" s="112"/>
      <c r="R753" s="112"/>
      <c r="S753" s="112"/>
      <c r="T753" s="112"/>
      <c r="U753" s="107"/>
      <c r="V753" s="107"/>
      <c r="W753" s="107"/>
      <c r="X753" s="107"/>
      <c r="Y753" s="107"/>
      <c r="Z753" s="112"/>
      <c r="AA753" s="112"/>
      <c r="AB753" s="112"/>
      <c r="AC753" s="112"/>
      <c r="AD753" s="112"/>
      <c r="AE753" s="112"/>
      <c r="AF753" s="112"/>
      <c r="AG753" s="117"/>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c r="BK753" s="124"/>
      <c r="BL753" s="124"/>
      <c r="BM753" s="124"/>
      <c r="BN753" s="124"/>
      <c r="BO753" s="124"/>
      <c r="BP753" s="124"/>
      <c r="BQ753" s="124"/>
      <c r="BR753" s="124"/>
      <c r="BS753" s="124"/>
      <c r="BT753" s="124"/>
      <c r="BU753" s="124"/>
      <c r="BV753" s="124"/>
      <c r="BW753" s="124"/>
      <c r="BX753" s="124"/>
      <c r="BY753" s="124"/>
      <c r="BZ753" s="124"/>
      <c r="CA753" s="124"/>
    </row>
    <row r="754">
      <c r="D754" s="143"/>
      <c r="E754" s="112"/>
      <c r="F754" s="112"/>
      <c r="G754" s="112"/>
      <c r="H754" s="112"/>
      <c r="I754" s="112"/>
      <c r="J754" s="112"/>
      <c r="K754" s="112"/>
      <c r="L754" s="112"/>
      <c r="M754" s="112"/>
      <c r="N754" s="112"/>
      <c r="O754" s="112"/>
      <c r="P754" s="112"/>
      <c r="Q754" s="112"/>
      <c r="R754" s="112"/>
      <c r="S754" s="112"/>
      <c r="T754" s="112"/>
      <c r="U754" s="107"/>
      <c r="V754" s="107"/>
      <c r="W754" s="107"/>
      <c r="X754" s="107"/>
      <c r="Y754" s="107"/>
      <c r="Z754" s="112"/>
      <c r="AA754" s="112"/>
      <c r="AB754" s="112"/>
      <c r="AC754" s="112"/>
      <c r="AD754" s="112"/>
      <c r="AE754" s="112"/>
      <c r="AF754" s="112"/>
      <c r="AG754" s="117"/>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c r="BK754" s="124"/>
      <c r="BL754" s="124"/>
      <c r="BM754" s="124"/>
      <c r="BN754" s="124"/>
      <c r="BO754" s="124"/>
      <c r="BP754" s="124"/>
      <c r="BQ754" s="124"/>
      <c r="BR754" s="124"/>
      <c r="BS754" s="124"/>
      <c r="BT754" s="124"/>
      <c r="BU754" s="124"/>
      <c r="BV754" s="124"/>
      <c r="BW754" s="124"/>
      <c r="BX754" s="124"/>
      <c r="BY754" s="124"/>
      <c r="BZ754" s="124"/>
      <c r="CA754" s="124"/>
    </row>
    <row r="755">
      <c r="D755" s="143"/>
      <c r="E755" s="112"/>
      <c r="F755" s="112"/>
      <c r="G755" s="112"/>
      <c r="H755" s="112"/>
      <c r="I755" s="112"/>
      <c r="J755" s="112"/>
      <c r="K755" s="112"/>
      <c r="L755" s="112"/>
      <c r="M755" s="112"/>
      <c r="N755" s="112"/>
      <c r="O755" s="112"/>
      <c r="P755" s="112"/>
      <c r="Q755" s="112"/>
      <c r="R755" s="112"/>
      <c r="S755" s="112"/>
      <c r="T755" s="112"/>
      <c r="U755" s="107"/>
      <c r="V755" s="107"/>
      <c r="W755" s="107"/>
      <c r="X755" s="107"/>
      <c r="Y755" s="107"/>
      <c r="Z755" s="112"/>
      <c r="AA755" s="112"/>
      <c r="AB755" s="112"/>
      <c r="AC755" s="112"/>
      <c r="AD755" s="112"/>
      <c r="AE755" s="112"/>
      <c r="AF755" s="112"/>
      <c r="AG755" s="117"/>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c r="BK755" s="124"/>
      <c r="BL755" s="124"/>
      <c r="BM755" s="124"/>
      <c r="BN755" s="124"/>
      <c r="BO755" s="124"/>
      <c r="BP755" s="124"/>
      <c r="BQ755" s="124"/>
      <c r="BR755" s="124"/>
      <c r="BS755" s="124"/>
      <c r="BT755" s="124"/>
      <c r="BU755" s="124"/>
      <c r="BV755" s="124"/>
      <c r="BW755" s="124"/>
      <c r="BX755" s="124"/>
      <c r="BY755" s="124"/>
      <c r="BZ755" s="124"/>
      <c r="CA755" s="124"/>
    </row>
    <row r="756">
      <c r="D756" s="143"/>
      <c r="E756" s="112"/>
      <c r="F756" s="112"/>
      <c r="G756" s="112"/>
      <c r="H756" s="112"/>
      <c r="I756" s="112"/>
      <c r="J756" s="112"/>
      <c r="K756" s="112"/>
      <c r="L756" s="112"/>
      <c r="M756" s="112"/>
      <c r="N756" s="112"/>
      <c r="O756" s="112"/>
      <c r="P756" s="112"/>
      <c r="Q756" s="112"/>
      <c r="R756" s="112"/>
      <c r="S756" s="112"/>
      <c r="T756" s="112"/>
      <c r="U756" s="107"/>
      <c r="V756" s="107"/>
      <c r="W756" s="107"/>
      <c r="X756" s="107"/>
      <c r="Y756" s="107"/>
      <c r="Z756" s="112"/>
      <c r="AA756" s="112"/>
      <c r="AB756" s="112"/>
      <c r="AC756" s="112"/>
      <c r="AD756" s="112"/>
      <c r="AE756" s="112"/>
      <c r="AF756" s="112"/>
      <c r="AG756" s="117"/>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c r="BK756" s="124"/>
      <c r="BL756" s="124"/>
      <c r="BM756" s="124"/>
      <c r="BN756" s="124"/>
      <c r="BO756" s="124"/>
      <c r="BP756" s="124"/>
      <c r="BQ756" s="124"/>
      <c r="BR756" s="124"/>
      <c r="BS756" s="124"/>
      <c r="BT756" s="124"/>
      <c r="BU756" s="124"/>
      <c r="BV756" s="124"/>
      <c r="BW756" s="124"/>
      <c r="BX756" s="124"/>
      <c r="BY756" s="124"/>
      <c r="BZ756" s="124"/>
      <c r="CA756" s="124"/>
    </row>
    <row r="757">
      <c r="D757" s="143"/>
      <c r="E757" s="112"/>
      <c r="F757" s="112"/>
      <c r="G757" s="112"/>
      <c r="H757" s="112"/>
      <c r="I757" s="112"/>
      <c r="J757" s="112"/>
      <c r="K757" s="112"/>
      <c r="L757" s="112"/>
      <c r="M757" s="112"/>
      <c r="N757" s="112"/>
      <c r="O757" s="112"/>
      <c r="P757" s="112"/>
      <c r="Q757" s="112"/>
      <c r="R757" s="112"/>
      <c r="S757" s="112"/>
      <c r="T757" s="112"/>
      <c r="U757" s="107"/>
      <c r="V757" s="107"/>
      <c r="W757" s="107"/>
      <c r="X757" s="107"/>
      <c r="Y757" s="107"/>
      <c r="Z757" s="112"/>
      <c r="AA757" s="112"/>
      <c r="AB757" s="112"/>
      <c r="AC757" s="112"/>
      <c r="AD757" s="112"/>
      <c r="AE757" s="112"/>
      <c r="AF757" s="112"/>
      <c r="AG757" s="117"/>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c r="BK757" s="124"/>
      <c r="BL757" s="124"/>
      <c r="BM757" s="124"/>
      <c r="BN757" s="124"/>
      <c r="BO757" s="124"/>
      <c r="BP757" s="124"/>
      <c r="BQ757" s="124"/>
      <c r="BR757" s="124"/>
      <c r="BS757" s="124"/>
      <c r="BT757" s="124"/>
      <c r="BU757" s="124"/>
      <c r="BV757" s="124"/>
      <c r="BW757" s="124"/>
      <c r="BX757" s="124"/>
      <c r="BY757" s="124"/>
      <c r="BZ757" s="124"/>
      <c r="CA757" s="124"/>
    </row>
    <row r="758">
      <c r="D758" s="143"/>
      <c r="E758" s="112"/>
      <c r="F758" s="112"/>
      <c r="G758" s="112"/>
      <c r="H758" s="112"/>
      <c r="I758" s="112"/>
      <c r="J758" s="112"/>
      <c r="K758" s="112"/>
      <c r="L758" s="112"/>
      <c r="M758" s="112"/>
      <c r="N758" s="112"/>
      <c r="O758" s="112"/>
      <c r="P758" s="112"/>
      <c r="Q758" s="112"/>
      <c r="R758" s="112"/>
      <c r="S758" s="112"/>
      <c r="T758" s="112"/>
      <c r="U758" s="107"/>
      <c r="V758" s="107"/>
      <c r="W758" s="107"/>
      <c r="X758" s="107"/>
      <c r="Y758" s="107"/>
      <c r="Z758" s="112"/>
      <c r="AA758" s="112"/>
      <c r="AB758" s="112"/>
      <c r="AC758" s="112"/>
      <c r="AD758" s="112"/>
      <c r="AE758" s="112"/>
      <c r="AF758" s="112"/>
      <c r="AG758" s="117"/>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c r="BK758" s="124"/>
      <c r="BL758" s="124"/>
      <c r="BM758" s="124"/>
      <c r="BN758" s="124"/>
      <c r="BO758" s="124"/>
      <c r="BP758" s="124"/>
      <c r="BQ758" s="124"/>
      <c r="BR758" s="124"/>
      <c r="BS758" s="124"/>
      <c r="BT758" s="124"/>
      <c r="BU758" s="124"/>
      <c r="BV758" s="124"/>
      <c r="BW758" s="124"/>
      <c r="BX758" s="124"/>
      <c r="BY758" s="124"/>
      <c r="BZ758" s="124"/>
      <c r="CA758" s="124"/>
    </row>
    <row r="759">
      <c r="D759" s="143"/>
      <c r="E759" s="112"/>
      <c r="F759" s="112"/>
      <c r="G759" s="112"/>
      <c r="H759" s="112"/>
      <c r="I759" s="112"/>
      <c r="J759" s="112"/>
      <c r="K759" s="112"/>
      <c r="L759" s="112"/>
      <c r="M759" s="112"/>
      <c r="N759" s="112"/>
      <c r="O759" s="112"/>
      <c r="P759" s="112"/>
      <c r="Q759" s="112"/>
      <c r="R759" s="112"/>
      <c r="S759" s="112"/>
      <c r="T759" s="112"/>
      <c r="U759" s="107"/>
      <c r="V759" s="107"/>
      <c r="W759" s="107"/>
      <c r="X759" s="107"/>
      <c r="Y759" s="107"/>
      <c r="Z759" s="112"/>
      <c r="AA759" s="112"/>
      <c r="AB759" s="112"/>
      <c r="AC759" s="112"/>
      <c r="AD759" s="112"/>
      <c r="AE759" s="112"/>
      <c r="AF759" s="112"/>
      <c r="AG759" s="117"/>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c r="BK759" s="124"/>
      <c r="BL759" s="124"/>
      <c r="BM759" s="124"/>
      <c r="BN759" s="124"/>
      <c r="BO759" s="124"/>
      <c r="BP759" s="124"/>
      <c r="BQ759" s="124"/>
      <c r="BR759" s="124"/>
      <c r="BS759" s="124"/>
      <c r="BT759" s="124"/>
      <c r="BU759" s="124"/>
      <c r="BV759" s="124"/>
      <c r="BW759" s="124"/>
      <c r="BX759" s="124"/>
      <c r="BY759" s="124"/>
      <c r="BZ759" s="124"/>
      <c r="CA759" s="124"/>
    </row>
    <row r="760">
      <c r="D760" s="143"/>
      <c r="E760" s="112"/>
      <c r="F760" s="112"/>
      <c r="G760" s="112"/>
      <c r="H760" s="112"/>
      <c r="I760" s="112"/>
      <c r="J760" s="112"/>
      <c r="K760" s="112"/>
      <c r="L760" s="112"/>
      <c r="M760" s="112"/>
      <c r="N760" s="112"/>
      <c r="O760" s="112"/>
      <c r="P760" s="112"/>
      <c r="Q760" s="112"/>
      <c r="R760" s="112"/>
      <c r="S760" s="112"/>
      <c r="T760" s="112"/>
      <c r="U760" s="107"/>
      <c r="V760" s="107"/>
      <c r="W760" s="107"/>
      <c r="X760" s="107"/>
      <c r="Y760" s="107"/>
      <c r="Z760" s="112"/>
      <c r="AA760" s="112"/>
      <c r="AB760" s="112"/>
      <c r="AC760" s="112"/>
      <c r="AD760" s="112"/>
      <c r="AE760" s="112"/>
      <c r="AF760" s="112"/>
      <c r="AG760" s="117"/>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c r="BK760" s="124"/>
      <c r="BL760" s="124"/>
      <c r="BM760" s="124"/>
      <c r="BN760" s="124"/>
      <c r="BO760" s="124"/>
      <c r="BP760" s="124"/>
      <c r="BQ760" s="124"/>
      <c r="BR760" s="124"/>
      <c r="BS760" s="124"/>
      <c r="BT760" s="124"/>
      <c r="BU760" s="124"/>
      <c r="BV760" s="124"/>
      <c r="BW760" s="124"/>
      <c r="BX760" s="124"/>
      <c r="BY760" s="124"/>
      <c r="BZ760" s="124"/>
      <c r="CA760" s="124"/>
    </row>
    <row r="761">
      <c r="D761" s="143"/>
      <c r="E761" s="112"/>
      <c r="F761" s="112"/>
      <c r="G761" s="112"/>
      <c r="H761" s="112"/>
      <c r="I761" s="112"/>
      <c r="J761" s="112"/>
      <c r="K761" s="112"/>
      <c r="L761" s="112"/>
      <c r="M761" s="112"/>
      <c r="N761" s="112"/>
      <c r="O761" s="112"/>
      <c r="P761" s="112"/>
      <c r="Q761" s="112"/>
      <c r="R761" s="112"/>
      <c r="S761" s="112"/>
      <c r="T761" s="112"/>
      <c r="U761" s="107"/>
      <c r="V761" s="107"/>
      <c r="W761" s="107"/>
      <c r="X761" s="107"/>
      <c r="Y761" s="107"/>
      <c r="Z761" s="112"/>
      <c r="AA761" s="112"/>
      <c r="AB761" s="112"/>
      <c r="AC761" s="112"/>
      <c r="AD761" s="112"/>
      <c r="AE761" s="112"/>
      <c r="AF761" s="112"/>
      <c r="AG761" s="117"/>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c r="BK761" s="124"/>
      <c r="BL761" s="124"/>
      <c r="BM761" s="124"/>
      <c r="BN761" s="124"/>
      <c r="BO761" s="124"/>
      <c r="BP761" s="124"/>
      <c r="BQ761" s="124"/>
      <c r="BR761" s="124"/>
      <c r="BS761" s="124"/>
      <c r="BT761" s="124"/>
      <c r="BU761" s="124"/>
      <c r="BV761" s="124"/>
      <c r="BW761" s="124"/>
      <c r="BX761" s="124"/>
      <c r="BY761" s="124"/>
      <c r="BZ761" s="124"/>
      <c r="CA761" s="124"/>
    </row>
    <row r="762">
      <c r="D762" s="143"/>
      <c r="E762" s="112"/>
      <c r="F762" s="112"/>
      <c r="G762" s="112"/>
      <c r="H762" s="112"/>
      <c r="I762" s="112"/>
      <c r="J762" s="112"/>
      <c r="K762" s="112"/>
      <c r="L762" s="112"/>
      <c r="M762" s="112"/>
      <c r="N762" s="112"/>
      <c r="O762" s="112"/>
      <c r="P762" s="112"/>
      <c r="Q762" s="112"/>
      <c r="R762" s="112"/>
      <c r="S762" s="112"/>
      <c r="T762" s="112"/>
      <c r="U762" s="107"/>
      <c r="V762" s="107"/>
      <c r="W762" s="107"/>
      <c r="X762" s="107"/>
      <c r="Y762" s="107"/>
      <c r="Z762" s="112"/>
      <c r="AA762" s="112"/>
      <c r="AB762" s="112"/>
      <c r="AC762" s="112"/>
      <c r="AD762" s="112"/>
      <c r="AE762" s="112"/>
      <c r="AF762" s="112"/>
      <c r="AG762" s="117"/>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c r="BK762" s="124"/>
      <c r="BL762" s="124"/>
      <c r="BM762" s="124"/>
      <c r="BN762" s="124"/>
      <c r="BO762" s="124"/>
      <c r="BP762" s="124"/>
      <c r="BQ762" s="124"/>
      <c r="BR762" s="124"/>
      <c r="BS762" s="124"/>
      <c r="BT762" s="124"/>
      <c r="BU762" s="124"/>
      <c r="BV762" s="124"/>
      <c r="BW762" s="124"/>
      <c r="BX762" s="124"/>
      <c r="BY762" s="124"/>
      <c r="BZ762" s="124"/>
      <c r="CA762" s="124"/>
    </row>
    <row r="763">
      <c r="D763" s="143"/>
      <c r="E763" s="112"/>
      <c r="F763" s="112"/>
      <c r="G763" s="112"/>
      <c r="H763" s="112"/>
      <c r="I763" s="112"/>
      <c r="J763" s="112"/>
      <c r="K763" s="112"/>
      <c r="L763" s="112"/>
      <c r="M763" s="112"/>
      <c r="N763" s="112"/>
      <c r="O763" s="112"/>
      <c r="P763" s="112"/>
      <c r="Q763" s="112"/>
      <c r="R763" s="112"/>
      <c r="S763" s="112"/>
      <c r="T763" s="112"/>
      <c r="U763" s="107"/>
      <c r="V763" s="107"/>
      <c r="W763" s="107"/>
      <c r="X763" s="107"/>
      <c r="Y763" s="107"/>
      <c r="Z763" s="112"/>
      <c r="AA763" s="112"/>
      <c r="AB763" s="112"/>
      <c r="AC763" s="112"/>
      <c r="AD763" s="112"/>
      <c r="AE763" s="112"/>
      <c r="AF763" s="112"/>
      <c r="AG763" s="117"/>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c r="BK763" s="124"/>
      <c r="BL763" s="124"/>
      <c r="BM763" s="124"/>
      <c r="BN763" s="124"/>
      <c r="BO763" s="124"/>
      <c r="BP763" s="124"/>
      <c r="BQ763" s="124"/>
      <c r="BR763" s="124"/>
      <c r="BS763" s="124"/>
      <c r="BT763" s="124"/>
      <c r="BU763" s="124"/>
      <c r="BV763" s="124"/>
      <c r="BW763" s="124"/>
      <c r="BX763" s="124"/>
      <c r="BY763" s="124"/>
      <c r="BZ763" s="124"/>
      <c r="CA763" s="124"/>
    </row>
    <row r="764">
      <c r="D764" s="143"/>
      <c r="E764" s="112"/>
      <c r="F764" s="112"/>
      <c r="G764" s="112"/>
      <c r="H764" s="112"/>
      <c r="I764" s="112"/>
      <c r="J764" s="112"/>
      <c r="K764" s="112"/>
      <c r="L764" s="112"/>
      <c r="M764" s="112"/>
      <c r="N764" s="112"/>
      <c r="O764" s="112"/>
      <c r="P764" s="112"/>
      <c r="Q764" s="112"/>
      <c r="R764" s="112"/>
      <c r="S764" s="112"/>
      <c r="T764" s="112"/>
      <c r="U764" s="107"/>
      <c r="V764" s="107"/>
      <c r="W764" s="107"/>
      <c r="X764" s="107"/>
      <c r="Y764" s="107"/>
      <c r="Z764" s="112"/>
      <c r="AA764" s="112"/>
      <c r="AB764" s="112"/>
      <c r="AC764" s="112"/>
      <c r="AD764" s="112"/>
      <c r="AE764" s="112"/>
      <c r="AF764" s="112"/>
      <c r="AG764" s="117"/>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c r="BK764" s="124"/>
      <c r="BL764" s="124"/>
      <c r="BM764" s="124"/>
      <c r="BN764" s="124"/>
      <c r="BO764" s="124"/>
      <c r="BP764" s="124"/>
      <c r="BQ764" s="124"/>
      <c r="BR764" s="124"/>
      <c r="BS764" s="124"/>
      <c r="BT764" s="124"/>
      <c r="BU764" s="124"/>
      <c r="BV764" s="124"/>
      <c r="BW764" s="124"/>
      <c r="BX764" s="124"/>
      <c r="BY764" s="124"/>
      <c r="BZ764" s="124"/>
      <c r="CA764" s="124"/>
    </row>
    <row r="765">
      <c r="D765" s="143"/>
      <c r="E765" s="112"/>
      <c r="F765" s="112"/>
      <c r="G765" s="112"/>
      <c r="H765" s="112"/>
      <c r="I765" s="112"/>
      <c r="J765" s="112"/>
      <c r="K765" s="112"/>
      <c r="L765" s="112"/>
      <c r="M765" s="112"/>
      <c r="N765" s="112"/>
      <c r="O765" s="112"/>
      <c r="P765" s="112"/>
      <c r="Q765" s="112"/>
      <c r="R765" s="112"/>
      <c r="S765" s="112"/>
      <c r="T765" s="112"/>
      <c r="U765" s="107"/>
      <c r="V765" s="107"/>
      <c r="W765" s="107"/>
      <c r="X765" s="107"/>
      <c r="Y765" s="107"/>
      <c r="Z765" s="112"/>
      <c r="AA765" s="112"/>
      <c r="AB765" s="112"/>
      <c r="AC765" s="112"/>
      <c r="AD765" s="112"/>
      <c r="AE765" s="112"/>
      <c r="AF765" s="112"/>
      <c r="AG765" s="117"/>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c r="BK765" s="124"/>
      <c r="BL765" s="124"/>
      <c r="BM765" s="124"/>
      <c r="BN765" s="124"/>
      <c r="BO765" s="124"/>
      <c r="BP765" s="124"/>
      <c r="BQ765" s="124"/>
      <c r="BR765" s="124"/>
      <c r="BS765" s="124"/>
      <c r="BT765" s="124"/>
      <c r="BU765" s="124"/>
      <c r="BV765" s="124"/>
      <c r="BW765" s="124"/>
      <c r="BX765" s="124"/>
      <c r="BY765" s="124"/>
      <c r="BZ765" s="124"/>
      <c r="CA765" s="124"/>
    </row>
    <row r="766">
      <c r="D766" s="143"/>
      <c r="E766" s="112"/>
      <c r="F766" s="112"/>
      <c r="G766" s="112"/>
      <c r="H766" s="112"/>
      <c r="I766" s="112"/>
      <c r="J766" s="112"/>
      <c r="K766" s="112"/>
      <c r="L766" s="112"/>
      <c r="M766" s="112"/>
      <c r="N766" s="112"/>
      <c r="O766" s="112"/>
      <c r="P766" s="112"/>
      <c r="Q766" s="112"/>
      <c r="R766" s="112"/>
      <c r="S766" s="112"/>
      <c r="T766" s="112"/>
      <c r="U766" s="107"/>
      <c r="V766" s="107"/>
      <c r="W766" s="107"/>
      <c r="X766" s="107"/>
      <c r="Y766" s="107"/>
      <c r="Z766" s="112"/>
      <c r="AA766" s="112"/>
      <c r="AB766" s="112"/>
      <c r="AC766" s="112"/>
      <c r="AD766" s="112"/>
      <c r="AE766" s="112"/>
      <c r="AF766" s="112"/>
      <c r="AG766" s="117"/>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c r="BK766" s="124"/>
      <c r="BL766" s="124"/>
      <c r="BM766" s="124"/>
      <c r="BN766" s="124"/>
      <c r="BO766" s="124"/>
      <c r="BP766" s="124"/>
      <c r="BQ766" s="124"/>
      <c r="BR766" s="124"/>
      <c r="BS766" s="124"/>
      <c r="BT766" s="124"/>
      <c r="BU766" s="124"/>
      <c r="BV766" s="124"/>
      <c r="BW766" s="124"/>
      <c r="BX766" s="124"/>
      <c r="BY766" s="124"/>
      <c r="BZ766" s="124"/>
      <c r="CA766" s="124"/>
    </row>
    <row r="767">
      <c r="D767" s="143"/>
      <c r="E767" s="112"/>
      <c r="F767" s="112"/>
      <c r="G767" s="112"/>
      <c r="H767" s="112"/>
      <c r="I767" s="112"/>
      <c r="J767" s="112"/>
      <c r="K767" s="112"/>
      <c r="L767" s="112"/>
      <c r="M767" s="112"/>
      <c r="N767" s="112"/>
      <c r="O767" s="112"/>
      <c r="P767" s="112"/>
      <c r="Q767" s="112"/>
      <c r="R767" s="112"/>
      <c r="S767" s="112"/>
      <c r="T767" s="112"/>
      <c r="U767" s="107"/>
      <c r="V767" s="107"/>
      <c r="W767" s="107"/>
      <c r="X767" s="107"/>
      <c r="Y767" s="107"/>
      <c r="Z767" s="112"/>
      <c r="AA767" s="112"/>
      <c r="AB767" s="112"/>
      <c r="AC767" s="112"/>
      <c r="AD767" s="112"/>
      <c r="AE767" s="112"/>
      <c r="AF767" s="112"/>
      <c r="AG767" s="117"/>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c r="BK767" s="124"/>
      <c r="BL767" s="124"/>
      <c r="BM767" s="124"/>
      <c r="BN767" s="124"/>
      <c r="BO767" s="124"/>
      <c r="BP767" s="124"/>
      <c r="BQ767" s="124"/>
      <c r="BR767" s="124"/>
      <c r="BS767" s="124"/>
      <c r="BT767" s="124"/>
      <c r="BU767" s="124"/>
      <c r="BV767" s="124"/>
      <c r="BW767" s="124"/>
      <c r="BX767" s="124"/>
      <c r="BY767" s="124"/>
      <c r="BZ767" s="124"/>
      <c r="CA767" s="124"/>
    </row>
    <row r="768">
      <c r="D768" s="143"/>
      <c r="E768" s="112"/>
      <c r="F768" s="112"/>
      <c r="G768" s="112"/>
      <c r="H768" s="112"/>
      <c r="I768" s="112"/>
      <c r="J768" s="112"/>
      <c r="K768" s="112"/>
      <c r="L768" s="112"/>
      <c r="M768" s="112"/>
      <c r="N768" s="112"/>
      <c r="O768" s="112"/>
      <c r="P768" s="112"/>
      <c r="Q768" s="112"/>
      <c r="R768" s="112"/>
      <c r="S768" s="112"/>
      <c r="T768" s="112"/>
      <c r="U768" s="107"/>
      <c r="V768" s="107"/>
      <c r="W768" s="107"/>
      <c r="X768" s="107"/>
      <c r="Y768" s="107"/>
      <c r="Z768" s="112"/>
      <c r="AA768" s="112"/>
      <c r="AB768" s="112"/>
      <c r="AC768" s="112"/>
      <c r="AD768" s="112"/>
      <c r="AE768" s="112"/>
      <c r="AF768" s="112"/>
      <c r="AG768" s="117"/>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c r="BK768" s="124"/>
      <c r="BL768" s="124"/>
      <c r="BM768" s="124"/>
      <c r="BN768" s="124"/>
      <c r="BO768" s="124"/>
      <c r="BP768" s="124"/>
      <c r="BQ768" s="124"/>
      <c r="BR768" s="124"/>
      <c r="BS768" s="124"/>
      <c r="BT768" s="124"/>
      <c r="BU768" s="124"/>
      <c r="BV768" s="124"/>
      <c r="BW768" s="124"/>
      <c r="BX768" s="124"/>
      <c r="BY768" s="124"/>
      <c r="BZ768" s="124"/>
      <c r="CA768" s="124"/>
    </row>
    <row r="769">
      <c r="D769" s="143"/>
      <c r="E769" s="112"/>
      <c r="F769" s="112"/>
      <c r="G769" s="112"/>
      <c r="H769" s="112"/>
      <c r="I769" s="112"/>
      <c r="J769" s="112"/>
      <c r="K769" s="112"/>
      <c r="L769" s="112"/>
      <c r="M769" s="112"/>
      <c r="N769" s="112"/>
      <c r="O769" s="112"/>
      <c r="P769" s="112"/>
      <c r="Q769" s="112"/>
      <c r="R769" s="112"/>
      <c r="S769" s="112"/>
      <c r="T769" s="112"/>
      <c r="U769" s="107"/>
      <c r="V769" s="107"/>
      <c r="W769" s="107"/>
      <c r="X769" s="107"/>
      <c r="Y769" s="107"/>
      <c r="Z769" s="112"/>
      <c r="AA769" s="112"/>
      <c r="AB769" s="112"/>
      <c r="AC769" s="112"/>
      <c r="AD769" s="112"/>
      <c r="AE769" s="112"/>
      <c r="AF769" s="112"/>
      <c r="AG769" s="117"/>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c r="BK769" s="124"/>
      <c r="BL769" s="124"/>
      <c r="BM769" s="124"/>
      <c r="BN769" s="124"/>
      <c r="BO769" s="124"/>
      <c r="BP769" s="124"/>
      <c r="BQ769" s="124"/>
      <c r="BR769" s="124"/>
      <c r="BS769" s="124"/>
      <c r="BT769" s="124"/>
      <c r="BU769" s="124"/>
      <c r="BV769" s="124"/>
      <c r="BW769" s="124"/>
      <c r="BX769" s="124"/>
      <c r="BY769" s="124"/>
      <c r="BZ769" s="124"/>
      <c r="CA769" s="124"/>
    </row>
    <row r="770">
      <c r="D770" s="143"/>
      <c r="E770" s="112"/>
      <c r="F770" s="112"/>
      <c r="G770" s="112"/>
      <c r="H770" s="112"/>
      <c r="I770" s="112"/>
      <c r="J770" s="112"/>
      <c r="K770" s="112"/>
      <c r="L770" s="112"/>
      <c r="M770" s="112"/>
      <c r="N770" s="112"/>
      <c r="O770" s="112"/>
      <c r="P770" s="112"/>
      <c r="Q770" s="112"/>
      <c r="R770" s="112"/>
      <c r="S770" s="112"/>
      <c r="T770" s="112"/>
      <c r="U770" s="107"/>
      <c r="V770" s="107"/>
      <c r="W770" s="107"/>
      <c r="X770" s="107"/>
      <c r="Y770" s="107"/>
      <c r="Z770" s="112"/>
      <c r="AA770" s="112"/>
      <c r="AB770" s="112"/>
      <c r="AC770" s="112"/>
      <c r="AD770" s="112"/>
      <c r="AE770" s="112"/>
      <c r="AF770" s="112"/>
      <c r="AG770" s="117"/>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c r="BK770" s="124"/>
      <c r="BL770" s="124"/>
      <c r="BM770" s="124"/>
      <c r="BN770" s="124"/>
      <c r="BO770" s="124"/>
      <c r="BP770" s="124"/>
      <c r="BQ770" s="124"/>
      <c r="BR770" s="124"/>
      <c r="BS770" s="124"/>
      <c r="BT770" s="124"/>
      <c r="BU770" s="124"/>
      <c r="BV770" s="124"/>
      <c r="BW770" s="124"/>
      <c r="BX770" s="124"/>
      <c r="BY770" s="124"/>
      <c r="BZ770" s="124"/>
      <c r="CA770" s="124"/>
    </row>
    <row r="771">
      <c r="D771" s="143"/>
      <c r="E771" s="112"/>
      <c r="F771" s="112"/>
      <c r="G771" s="112"/>
      <c r="H771" s="112"/>
      <c r="I771" s="112"/>
      <c r="J771" s="112"/>
      <c r="K771" s="112"/>
      <c r="L771" s="112"/>
      <c r="M771" s="112"/>
      <c r="N771" s="112"/>
      <c r="O771" s="112"/>
      <c r="P771" s="112"/>
      <c r="Q771" s="112"/>
      <c r="R771" s="112"/>
      <c r="S771" s="112"/>
      <c r="T771" s="112"/>
      <c r="U771" s="107"/>
      <c r="V771" s="107"/>
      <c r="W771" s="107"/>
      <c r="X771" s="107"/>
      <c r="Y771" s="107"/>
      <c r="Z771" s="112"/>
      <c r="AA771" s="112"/>
      <c r="AB771" s="112"/>
      <c r="AC771" s="112"/>
      <c r="AD771" s="112"/>
      <c r="AE771" s="112"/>
      <c r="AF771" s="112"/>
      <c r="AG771" s="117"/>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c r="BK771" s="124"/>
      <c r="BL771" s="124"/>
      <c r="BM771" s="124"/>
      <c r="BN771" s="124"/>
      <c r="BO771" s="124"/>
      <c r="BP771" s="124"/>
      <c r="BQ771" s="124"/>
      <c r="BR771" s="124"/>
      <c r="BS771" s="124"/>
      <c r="BT771" s="124"/>
      <c r="BU771" s="124"/>
      <c r="BV771" s="124"/>
      <c r="BW771" s="124"/>
      <c r="BX771" s="124"/>
      <c r="BY771" s="124"/>
      <c r="BZ771" s="124"/>
      <c r="CA771" s="124"/>
    </row>
    <row r="772">
      <c r="D772" s="143"/>
      <c r="E772" s="112"/>
      <c r="F772" s="112"/>
      <c r="G772" s="112"/>
      <c r="H772" s="112"/>
      <c r="I772" s="112"/>
      <c r="J772" s="112"/>
      <c r="K772" s="112"/>
      <c r="L772" s="112"/>
      <c r="M772" s="112"/>
      <c r="N772" s="112"/>
      <c r="O772" s="112"/>
      <c r="P772" s="112"/>
      <c r="Q772" s="112"/>
      <c r="R772" s="112"/>
      <c r="S772" s="112"/>
      <c r="T772" s="112"/>
      <c r="U772" s="107"/>
      <c r="V772" s="107"/>
      <c r="W772" s="107"/>
      <c r="X772" s="107"/>
      <c r="Y772" s="107"/>
      <c r="Z772" s="112"/>
      <c r="AA772" s="112"/>
      <c r="AB772" s="112"/>
      <c r="AC772" s="112"/>
      <c r="AD772" s="112"/>
      <c r="AE772" s="112"/>
      <c r="AF772" s="112"/>
      <c r="AG772" s="117"/>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c r="BK772" s="124"/>
      <c r="BL772" s="124"/>
      <c r="BM772" s="124"/>
      <c r="BN772" s="124"/>
      <c r="BO772" s="124"/>
      <c r="BP772" s="124"/>
      <c r="BQ772" s="124"/>
      <c r="BR772" s="124"/>
      <c r="BS772" s="124"/>
      <c r="BT772" s="124"/>
      <c r="BU772" s="124"/>
      <c r="BV772" s="124"/>
      <c r="BW772" s="124"/>
      <c r="BX772" s="124"/>
      <c r="BY772" s="124"/>
      <c r="BZ772" s="124"/>
      <c r="CA772" s="124"/>
    </row>
    <row r="773">
      <c r="D773" s="143"/>
      <c r="E773" s="112"/>
      <c r="F773" s="112"/>
      <c r="G773" s="112"/>
      <c r="H773" s="112"/>
      <c r="I773" s="112"/>
      <c r="J773" s="112"/>
      <c r="K773" s="112"/>
      <c r="L773" s="112"/>
      <c r="M773" s="112"/>
      <c r="N773" s="112"/>
      <c r="O773" s="112"/>
      <c r="P773" s="112"/>
      <c r="Q773" s="112"/>
      <c r="R773" s="112"/>
      <c r="S773" s="112"/>
      <c r="T773" s="112"/>
      <c r="U773" s="107"/>
      <c r="V773" s="107"/>
      <c r="W773" s="107"/>
      <c r="X773" s="107"/>
      <c r="Y773" s="107"/>
      <c r="Z773" s="112"/>
      <c r="AA773" s="112"/>
      <c r="AB773" s="112"/>
      <c r="AC773" s="112"/>
      <c r="AD773" s="112"/>
      <c r="AE773" s="112"/>
      <c r="AF773" s="112"/>
      <c r="AG773" s="117"/>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c r="BK773" s="124"/>
      <c r="BL773" s="124"/>
      <c r="BM773" s="124"/>
      <c r="BN773" s="124"/>
      <c r="BO773" s="124"/>
      <c r="BP773" s="124"/>
      <c r="BQ773" s="124"/>
      <c r="BR773" s="124"/>
      <c r="BS773" s="124"/>
      <c r="BT773" s="124"/>
      <c r="BU773" s="124"/>
      <c r="BV773" s="124"/>
      <c r="BW773" s="124"/>
      <c r="BX773" s="124"/>
      <c r="BY773" s="124"/>
      <c r="BZ773" s="124"/>
      <c r="CA773" s="124"/>
    </row>
    <row r="774">
      <c r="D774" s="143"/>
      <c r="E774" s="112"/>
      <c r="F774" s="112"/>
      <c r="G774" s="112"/>
      <c r="H774" s="112"/>
      <c r="I774" s="112"/>
      <c r="J774" s="112"/>
      <c r="K774" s="112"/>
      <c r="L774" s="112"/>
      <c r="M774" s="112"/>
      <c r="N774" s="112"/>
      <c r="O774" s="112"/>
      <c r="P774" s="112"/>
      <c r="Q774" s="112"/>
      <c r="R774" s="112"/>
      <c r="S774" s="112"/>
      <c r="T774" s="112"/>
      <c r="U774" s="107"/>
      <c r="V774" s="107"/>
      <c r="W774" s="107"/>
      <c r="X774" s="107"/>
      <c r="Y774" s="107"/>
      <c r="Z774" s="112"/>
      <c r="AA774" s="112"/>
      <c r="AB774" s="112"/>
      <c r="AC774" s="112"/>
      <c r="AD774" s="112"/>
      <c r="AE774" s="112"/>
      <c r="AF774" s="112"/>
      <c r="AG774" s="117"/>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c r="BK774" s="124"/>
      <c r="BL774" s="124"/>
      <c r="BM774" s="124"/>
      <c r="BN774" s="124"/>
      <c r="BO774" s="124"/>
      <c r="BP774" s="124"/>
      <c r="BQ774" s="124"/>
      <c r="BR774" s="124"/>
      <c r="BS774" s="124"/>
      <c r="BT774" s="124"/>
      <c r="BU774" s="124"/>
      <c r="BV774" s="124"/>
      <c r="BW774" s="124"/>
      <c r="BX774" s="124"/>
      <c r="BY774" s="124"/>
      <c r="BZ774" s="124"/>
      <c r="CA774" s="124"/>
    </row>
    <row r="775">
      <c r="D775" s="143"/>
      <c r="E775" s="112"/>
      <c r="F775" s="112"/>
      <c r="G775" s="112"/>
      <c r="H775" s="112"/>
      <c r="I775" s="112"/>
      <c r="J775" s="112"/>
      <c r="K775" s="112"/>
      <c r="L775" s="112"/>
      <c r="M775" s="112"/>
      <c r="N775" s="112"/>
      <c r="O775" s="112"/>
      <c r="P775" s="112"/>
      <c r="Q775" s="112"/>
      <c r="R775" s="112"/>
      <c r="S775" s="112"/>
      <c r="T775" s="112"/>
      <c r="U775" s="107"/>
      <c r="V775" s="107"/>
      <c r="W775" s="107"/>
      <c r="X775" s="107"/>
      <c r="Y775" s="107"/>
      <c r="Z775" s="112"/>
      <c r="AA775" s="112"/>
      <c r="AB775" s="112"/>
      <c r="AC775" s="112"/>
      <c r="AD775" s="112"/>
      <c r="AE775" s="112"/>
      <c r="AF775" s="112"/>
      <c r="AG775" s="117"/>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c r="BK775" s="124"/>
      <c r="BL775" s="124"/>
      <c r="BM775" s="124"/>
      <c r="BN775" s="124"/>
      <c r="BO775" s="124"/>
      <c r="BP775" s="124"/>
      <c r="BQ775" s="124"/>
      <c r="BR775" s="124"/>
      <c r="BS775" s="124"/>
      <c r="BT775" s="124"/>
      <c r="BU775" s="124"/>
      <c r="BV775" s="124"/>
      <c r="BW775" s="124"/>
      <c r="BX775" s="124"/>
      <c r="BY775" s="124"/>
      <c r="BZ775" s="124"/>
      <c r="CA775" s="124"/>
    </row>
    <row r="776">
      <c r="D776" s="143"/>
      <c r="E776" s="112"/>
      <c r="F776" s="112"/>
      <c r="G776" s="112"/>
      <c r="H776" s="112"/>
      <c r="I776" s="112"/>
      <c r="J776" s="112"/>
      <c r="K776" s="112"/>
      <c r="L776" s="112"/>
      <c r="M776" s="112"/>
      <c r="N776" s="112"/>
      <c r="O776" s="112"/>
      <c r="P776" s="112"/>
      <c r="Q776" s="112"/>
      <c r="R776" s="112"/>
      <c r="S776" s="112"/>
      <c r="T776" s="112"/>
      <c r="U776" s="107"/>
      <c r="V776" s="107"/>
      <c r="W776" s="107"/>
      <c r="X776" s="107"/>
      <c r="Y776" s="107"/>
      <c r="Z776" s="112"/>
      <c r="AA776" s="112"/>
      <c r="AB776" s="112"/>
      <c r="AC776" s="112"/>
      <c r="AD776" s="112"/>
      <c r="AE776" s="112"/>
      <c r="AF776" s="112"/>
      <c r="AG776" s="117"/>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c r="BK776" s="124"/>
      <c r="BL776" s="124"/>
      <c r="BM776" s="124"/>
      <c r="BN776" s="124"/>
      <c r="BO776" s="124"/>
      <c r="BP776" s="124"/>
      <c r="BQ776" s="124"/>
      <c r="BR776" s="124"/>
      <c r="BS776" s="124"/>
      <c r="BT776" s="124"/>
      <c r="BU776" s="124"/>
      <c r="BV776" s="124"/>
      <c r="BW776" s="124"/>
      <c r="BX776" s="124"/>
      <c r="BY776" s="124"/>
      <c r="BZ776" s="124"/>
      <c r="CA776" s="124"/>
    </row>
    <row r="777">
      <c r="D777" s="143"/>
      <c r="E777" s="112"/>
      <c r="F777" s="112"/>
      <c r="G777" s="112"/>
      <c r="H777" s="112"/>
      <c r="I777" s="112"/>
      <c r="J777" s="112"/>
      <c r="K777" s="112"/>
      <c r="L777" s="112"/>
      <c r="M777" s="112"/>
      <c r="N777" s="112"/>
      <c r="O777" s="112"/>
      <c r="P777" s="112"/>
      <c r="Q777" s="112"/>
      <c r="R777" s="112"/>
      <c r="S777" s="112"/>
      <c r="T777" s="112"/>
      <c r="U777" s="107"/>
      <c r="V777" s="107"/>
      <c r="W777" s="107"/>
      <c r="X777" s="107"/>
      <c r="Y777" s="107"/>
      <c r="Z777" s="112"/>
      <c r="AA777" s="112"/>
      <c r="AB777" s="112"/>
      <c r="AC777" s="112"/>
      <c r="AD777" s="112"/>
      <c r="AE777" s="112"/>
      <c r="AF777" s="112"/>
      <c r="AG777" s="117"/>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c r="BK777" s="124"/>
      <c r="BL777" s="124"/>
      <c r="BM777" s="124"/>
      <c r="BN777" s="124"/>
      <c r="BO777" s="124"/>
      <c r="BP777" s="124"/>
      <c r="BQ777" s="124"/>
      <c r="BR777" s="124"/>
      <c r="BS777" s="124"/>
      <c r="BT777" s="124"/>
      <c r="BU777" s="124"/>
      <c r="BV777" s="124"/>
      <c r="BW777" s="124"/>
      <c r="BX777" s="124"/>
      <c r="BY777" s="124"/>
      <c r="BZ777" s="124"/>
      <c r="CA777" s="124"/>
    </row>
    <row r="778">
      <c r="D778" s="143"/>
      <c r="E778" s="112"/>
      <c r="F778" s="112"/>
      <c r="G778" s="112"/>
      <c r="H778" s="112"/>
      <c r="I778" s="112"/>
      <c r="J778" s="112"/>
      <c r="K778" s="112"/>
      <c r="L778" s="112"/>
      <c r="M778" s="112"/>
      <c r="N778" s="112"/>
      <c r="O778" s="112"/>
      <c r="P778" s="112"/>
      <c r="Q778" s="112"/>
      <c r="R778" s="112"/>
      <c r="S778" s="112"/>
      <c r="T778" s="112"/>
      <c r="U778" s="107"/>
      <c r="V778" s="107"/>
      <c r="W778" s="107"/>
      <c r="X778" s="107"/>
      <c r="Y778" s="107"/>
      <c r="Z778" s="112"/>
      <c r="AA778" s="112"/>
      <c r="AB778" s="112"/>
      <c r="AC778" s="112"/>
      <c r="AD778" s="112"/>
      <c r="AE778" s="112"/>
      <c r="AF778" s="112"/>
      <c r="AG778" s="117"/>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c r="BK778" s="124"/>
      <c r="BL778" s="124"/>
      <c r="BM778" s="124"/>
      <c r="BN778" s="124"/>
      <c r="BO778" s="124"/>
      <c r="BP778" s="124"/>
      <c r="BQ778" s="124"/>
      <c r="BR778" s="124"/>
      <c r="BS778" s="124"/>
      <c r="BT778" s="124"/>
      <c r="BU778" s="124"/>
      <c r="BV778" s="124"/>
      <c r="BW778" s="124"/>
      <c r="BX778" s="124"/>
      <c r="BY778" s="124"/>
      <c r="BZ778" s="124"/>
      <c r="CA778" s="124"/>
    </row>
    <row r="779">
      <c r="D779" s="143"/>
      <c r="E779" s="112"/>
      <c r="F779" s="112"/>
      <c r="G779" s="112"/>
      <c r="H779" s="112"/>
      <c r="I779" s="112"/>
      <c r="J779" s="112"/>
      <c r="K779" s="112"/>
      <c r="L779" s="112"/>
      <c r="M779" s="112"/>
      <c r="N779" s="112"/>
      <c r="O779" s="112"/>
      <c r="P779" s="112"/>
      <c r="Q779" s="112"/>
      <c r="R779" s="112"/>
      <c r="S779" s="112"/>
      <c r="T779" s="112"/>
      <c r="U779" s="107"/>
      <c r="V779" s="107"/>
      <c r="W779" s="107"/>
      <c r="X779" s="107"/>
      <c r="Y779" s="107"/>
      <c r="Z779" s="112"/>
      <c r="AA779" s="112"/>
      <c r="AB779" s="112"/>
      <c r="AC779" s="112"/>
      <c r="AD779" s="112"/>
      <c r="AE779" s="112"/>
      <c r="AF779" s="112"/>
      <c r="AG779" s="117"/>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c r="BK779" s="124"/>
      <c r="BL779" s="124"/>
      <c r="BM779" s="124"/>
      <c r="BN779" s="124"/>
      <c r="BO779" s="124"/>
      <c r="BP779" s="124"/>
      <c r="BQ779" s="124"/>
      <c r="BR779" s="124"/>
      <c r="BS779" s="124"/>
      <c r="BT779" s="124"/>
      <c r="BU779" s="124"/>
      <c r="BV779" s="124"/>
      <c r="BW779" s="124"/>
      <c r="BX779" s="124"/>
      <c r="BY779" s="124"/>
      <c r="BZ779" s="124"/>
      <c r="CA779" s="124"/>
    </row>
    <row r="780">
      <c r="D780" s="143"/>
      <c r="E780" s="112"/>
      <c r="F780" s="112"/>
      <c r="G780" s="112"/>
      <c r="H780" s="112"/>
      <c r="I780" s="112"/>
      <c r="J780" s="112"/>
      <c r="K780" s="112"/>
      <c r="L780" s="112"/>
      <c r="M780" s="112"/>
      <c r="N780" s="112"/>
      <c r="O780" s="112"/>
      <c r="P780" s="112"/>
      <c r="Q780" s="112"/>
      <c r="R780" s="112"/>
      <c r="S780" s="112"/>
      <c r="T780" s="112"/>
      <c r="U780" s="107"/>
      <c r="V780" s="107"/>
      <c r="W780" s="107"/>
      <c r="X780" s="107"/>
      <c r="Y780" s="107"/>
      <c r="Z780" s="112"/>
      <c r="AA780" s="112"/>
      <c r="AB780" s="112"/>
      <c r="AC780" s="112"/>
      <c r="AD780" s="112"/>
      <c r="AE780" s="112"/>
      <c r="AF780" s="112"/>
      <c r="AG780" s="117"/>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c r="BK780" s="124"/>
      <c r="BL780" s="124"/>
      <c r="BM780" s="124"/>
      <c r="BN780" s="124"/>
      <c r="BO780" s="124"/>
      <c r="BP780" s="124"/>
      <c r="BQ780" s="124"/>
      <c r="BR780" s="124"/>
      <c r="BS780" s="124"/>
      <c r="BT780" s="124"/>
      <c r="BU780" s="124"/>
      <c r="BV780" s="124"/>
      <c r="BW780" s="124"/>
      <c r="BX780" s="124"/>
      <c r="BY780" s="124"/>
      <c r="BZ780" s="124"/>
      <c r="CA780" s="124"/>
    </row>
    <row r="781">
      <c r="D781" s="143"/>
      <c r="E781" s="112"/>
      <c r="F781" s="112"/>
      <c r="G781" s="112"/>
      <c r="H781" s="112"/>
      <c r="I781" s="112"/>
      <c r="J781" s="112"/>
      <c r="K781" s="112"/>
      <c r="L781" s="112"/>
      <c r="M781" s="112"/>
      <c r="N781" s="112"/>
      <c r="O781" s="112"/>
      <c r="P781" s="112"/>
      <c r="Q781" s="112"/>
      <c r="R781" s="112"/>
      <c r="S781" s="112"/>
      <c r="T781" s="112"/>
      <c r="U781" s="107"/>
      <c r="V781" s="107"/>
      <c r="W781" s="107"/>
      <c r="X781" s="107"/>
      <c r="Y781" s="107"/>
      <c r="Z781" s="112"/>
      <c r="AA781" s="112"/>
      <c r="AB781" s="112"/>
      <c r="AC781" s="112"/>
      <c r="AD781" s="112"/>
      <c r="AE781" s="112"/>
      <c r="AF781" s="112"/>
      <c r="AG781" s="117"/>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c r="BK781" s="124"/>
      <c r="BL781" s="124"/>
      <c r="BM781" s="124"/>
      <c r="BN781" s="124"/>
      <c r="BO781" s="124"/>
      <c r="BP781" s="124"/>
      <c r="BQ781" s="124"/>
      <c r="BR781" s="124"/>
      <c r="BS781" s="124"/>
      <c r="BT781" s="124"/>
      <c r="BU781" s="124"/>
      <c r="BV781" s="124"/>
      <c r="BW781" s="124"/>
      <c r="BX781" s="124"/>
      <c r="BY781" s="124"/>
      <c r="BZ781" s="124"/>
      <c r="CA781" s="124"/>
    </row>
    <row r="782">
      <c r="D782" s="143"/>
      <c r="E782" s="112"/>
      <c r="F782" s="112"/>
      <c r="G782" s="112"/>
      <c r="H782" s="112"/>
      <c r="I782" s="112"/>
      <c r="J782" s="112"/>
      <c r="K782" s="112"/>
      <c r="L782" s="112"/>
      <c r="M782" s="112"/>
      <c r="N782" s="112"/>
      <c r="O782" s="112"/>
      <c r="P782" s="112"/>
      <c r="Q782" s="112"/>
      <c r="R782" s="112"/>
      <c r="S782" s="112"/>
      <c r="T782" s="112"/>
      <c r="U782" s="107"/>
      <c r="V782" s="107"/>
      <c r="W782" s="107"/>
      <c r="X782" s="107"/>
      <c r="Y782" s="107"/>
      <c r="Z782" s="112"/>
      <c r="AA782" s="112"/>
      <c r="AB782" s="112"/>
      <c r="AC782" s="112"/>
      <c r="AD782" s="112"/>
      <c r="AE782" s="112"/>
      <c r="AF782" s="112"/>
      <c r="AG782" s="117"/>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c r="BK782" s="124"/>
      <c r="BL782" s="124"/>
      <c r="BM782" s="124"/>
      <c r="BN782" s="124"/>
      <c r="BO782" s="124"/>
      <c r="BP782" s="124"/>
      <c r="BQ782" s="124"/>
      <c r="BR782" s="124"/>
      <c r="BS782" s="124"/>
      <c r="BT782" s="124"/>
      <c r="BU782" s="124"/>
      <c r="BV782" s="124"/>
      <c r="BW782" s="124"/>
      <c r="BX782" s="124"/>
      <c r="BY782" s="124"/>
      <c r="BZ782" s="124"/>
      <c r="CA782" s="124"/>
    </row>
    <row r="783">
      <c r="D783" s="143"/>
      <c r="E783" s="112"/>
      <c r="F783" s="112"/>
      <c r="G783" s="112"/>
      <c r="H783" s="112"/>
      <c r="I783" s="112"/>
      <c r="J783" s="112"/>
      <c r="K783" s="112"/>
      <c r="L783" s="112"/>
      <c r="M783" s="112"/>
      <c r="N783" s="112"/>
      <c r="O783" s="112"/>
      <c r="P783" s="112"/>
      <c r="Q783" s="112"/>
      <c r="R783" s="112"/>
      <c r="S783" s="112"/>
      <c r="T783" s="112"/>
      <c r="U783" s="107"/>
      <c r="V783" s="107"/>
      <c r="W783" s="107"/>
      <c r="X783" s="107"/>
      <c r="Y783" s="107"/>
      <c r="Z783" s="112"/>
      <c r="AA783" s="112"/>
      <c r="AB783" s="112"/>
      <c r="AC783" s="112"/>
      <c r="AD783" s="112"/>
      <c r="AE783" s="112"/>
      <c r="AF783" s="112"/>
      <c r="AG783" s="117"/>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c r="BK783" s="124"/>
      <c r="BL783" s="124"/>
      <c r="BM783" s="124"/>
      <c r="BN783" s="124"/>
      <c r="BO783" s="124"/>
      <c r="BP783" s="124"/>
      <c r="BQ783" s="124"/>
      <c r="BR783" s="124"/>
      <c r="BS783" s="124"/>
      <c r="BT783" s="124"/>
      <c r="BU783" s="124"/>
      <c r="BV783" s="124"/>
      <c r="BW783" s="124"/>
      <c r="BX783" s="124"/>
      <c r="BY783" s="124"/>
      <c r="BZ783" s="124"/>
      <c r="CA783" s="124"/>
    </row>
    <row r="784">
      <c r="D784" s="143"/>
      <c r="E784" s="112"/>
      <c r="F784" s="112"/>
      <c r="G784" s="112"/>
      <c r="H784" s="112"/>
      <c r="I784" s="112"/>
      <c r="J784" s="112"/>
      <c r="K784" s="112"/>
      <c r="L784" s="112"/>
      <c r="M784" s="112"/>
      <c r="N784" s="112"/>
      <c r="O784" s="112"/>
      <c r="P784" s="112"/>
      <c r="Q784" s="112"/>
      <c r="R784" s="112"/>
      <c r="S784" s="112"/>
      <c r="T784" s="112"/>
      <c r="U784" s="107"/>
      <c r="V784" s="107"/>
      <c r="W784" s="107"/>
      <c r="X784" s="107"/>
      <c r="Y784" s="107"/>
      <c r="Z784" s="112"/>
      <c r="AA784" s="112"/>
      <c r="AB784" s="112"/>
      <c r="AC784" s="112"/>
      <c r="AD784" s="112"/>
      <c r="AE784" s="112"/>
      <c r="AF784" s="112"/>
      <c r="AG784" s="117"/>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c r="BK784" s="124"/>
      <c r="BL784" s="124"/>
      <c r="BM784" s="124"/>
      <c r="BN784" s="124"/>
      <c r="BO784" s="124"/>
      <c r="BP784" s="124"/>
      <c r="BQ784" s="124"/>
      <c r="BR784" s="124"/>
      <c r="BS784" s="124"/>
      <c r="BT784" s="124"/>
      <c r="BU784" s="124"/>
      <c r="BV784" s="124"/>
      <c r="BW784" s="124"/>
      <c r="BX784" s="124"/>
      <c r="BY784" s="124"/>
      <c r="BZ784" s="124"/>
      <c r="CA784" s="124"/>
    </row>
    <row r="785">
      <c r="D785" s="143"/>
      <c r="E785" s="112"/>
      <c r="F785" s="112"/>
      <c r="G785" s="112"/>
      <c r="H785" s="112"/>
      <c r="I785" s="112"/>
      <c r="J785" s="112"/>
      <c r="K785" s="112"/>
      <c r="L785" s="112"/>
      <c r="M785" s="112"/>
      <c r="N785" s="112"/>
      <c r="O785" s="112"/>
      <c r="P785" s="112"/>
      <c r="Q785" s="112"/>
      <c r="R785" s="112"/>
      <c r="S785" s="112"/>
      <c r="T785" s="112"/>
      <c r="U785" s="107"/>
      <c r="V785" s="107"/>
      <c r="W785" s="107"/>
      <c r="X785" s="107"/>
      <c r="Y785" s="107"/>
      <c r="Z785" s="112"/>
      <c r="AA785" s="112"/>
      <c r="AB785" s="112"/>
      <c r="AC785" s="112"/>
      <c r="AD785" s="112"/>
      <c r="AE785" s="112"/>
      <c r="AF785" s="112"/>
      <c r="AG785" s="117"/>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c r="BK785" s="124"/>
      <c r="BL785" s="124"/>
      <c r="BM785" s="124"/>
      <c r="BN785" s="124"/>
      <c r="BO785" s="124"/>
      <c r="BP785" s="124"/>
      <c r="BQ785" s="124"/>
      <c r="BR785" s="124"/>
      <c r="BS785" s="124"/>
      <c r="BT785" s="124"/>
      <c r="BU785" s="124"/>
      <c r="BV785" s="124"/>
      <c r="BW785" s="124"/>
      <c r="BX785" s="124"/>
      <c r="BY785" s="124"/>
      <c r="BZ785" s="124"/>
      <c r="CA785" s="124"/>
    </row>
    <row r="786">
      <c r="D786" s="143"/>
      <c r="E786" s="112"/>
      <c r="F786" s="112"/>
      <c r="G786" s="112"/>
      <c r="H786" s="112"/>
      <c r="I786" s="112"/>
      <c r="J786" s="112"/>
      <c r="K786" s="112"/>
      <c r="L786" s="112"/>
      <c r="M786" s="112"/>
      <c r="N786" s="112"/>
      <c r="O786" s="112"/>
      <c r="P786" s="112"/>
      <c r="Q786" s="112"/>
      <c r="R786" s="112"/>
      <c r="S786" s="112"/>
      <c r="T786" s="112"/>
      <c r="U786" s="107"/>
      <c r="V786" s="107"/>
      <c r="W786" s="107"/>
      <c r="X786" s="107"/>
      <c r="Y786" s="107"/>
      <c r="Z786" s="112"/>
      <c r="AA786" s="112"/>
      <c r="AB786" s="112"/>
      <c r="AC786" s="112"/>
      <c r="AD786" s="112"/>
      <c r="AE786" s="112"/>
      <c r="AF786" s="112"/>
      <c r="AG786" s="117"/>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c r="BK786" s="124"/>
      <c r="BL786" s="124"/>
      <c r="BM786" s="124"/>
      <c r="BN786" s="124"/>
      <c r="BO786" s="124"/>
      <c r="BP786" s="124"/>
      <c r="BQ786" s="124"/>
      <c r="BR786" s="124"/>
      <c r="BS786" s="124"/>
      <c r="BT786" s="124"/>
      <c r="BU786" s="124"/>
      <c r="BV786" s="124"/>
      <c r="BW786" s="124"/>
      <c r="BX786" s="124"/>
      <c r="BY786" s="124"/>
      <c r="BZ786" s="124"/>
      <c r="CA786" s="124"/>
    </row>
    <row r="787">
      <c r="D787" s="143"/>
      <c r="E787" s="112"/>
      <c r="F787" s="112"/>
      <c r="G787" s="112"/>
      <c r="H787" s="112"/>
      <c r="I787" s="112"/>
      <c r="J787" s="112"/>
      <c r="K787" s="112"/>
      <c r="L787" s="112"/>
      <c r="M787" s="112"/>
      <c r="N787" s="112"/>
      <c r="O787" s="112"/>
      <c r="P787" s="112"/>
      <c r="Q787" s="112"/>
      <c r="R787" s="112"/>
      <c r="S787" s="112"/>
      <c r="T787" s="112"/>
      <c r="U787" s="107"/>
      <c r="V787" s="107"/>
      <c r="W787" s="107"/>
      <c r="X787" s="107"/>
      <c r="Y787" s="107"/>
      <c r="Z787" s="112"/>
      <c r="AA787" s="112"/>
      <c r="AB787" s="112"/>
      <c r="AC787" s="112"/>
      <c r="AD787" s="112"/>
      <c r="AE787" s="112"/>
      <c r="AF787" s="112"/>
      <c r="AG787" s="117"/>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c r="BK787" s="124"/>
      <c r="BL787" s="124"/>
      <c r="BM787" s="124"/>
      <c r="BN787" s="124"/>
      <c r="BO787" s="124"/>
      <c r="BP787" s="124"/>
      <c r="BQ787" s="124"/>
      <c r="BR787" s="124"/>
      <c r="BS787" s="124"/>
      <c r="BT787" s="124"/>
      <c r="BU787" s="124"/>
      <c r="BV787" s="124"/>
      <c r="BW787" s="124"/>
      <c r="BX787" s="124"/>
      <c r="BY787" s="124"/>
      <c r="BZ787" s="124"/>
      <c r="CA787" s="124"/>
    </row>
    <row r="788">
      <c r="D788" s="143"/>
      <c r="E788" s="112"/>
      <c r="F788" s="112"/>
      <c r="G788" s="112"/>
      <c r="H788" s="112"/>
      <c r="I788" s="112"/>
      <c r="J788" s="112"/>
      <c r="K788" s="112"/>
      <c r="L788" s="112"/>
      <c r="M788" s="112"/>
      <c r="N788" s="112"/>
      <c r="O788" s="112"/>
      <c r="P788" s="112"/>
      <c r="Q788" s="112"/>
      <c r="R788" s="112"/>
      <c r="S788" s="112"/>
      <c r="T788" s="112"/>
      <c r="U788" s="107"/>
      <c r="V788" s="107"/>
      <c r="W788" s="107"/>
      <c r="X788" s="107"/>
      <c r="Y788" s="107"/>
      <c r="Z788" s="112"/>
      <c r="AA788" s="112"/>
      <c r="AB788" s="112"/>
      <c r="AC788" s="112"/>
      <c r="AD788" s="112"/>
      <c r="AE788" s="112"/>
      <c r="AF788" s="112"/>
      <c r="AG788" s="117"/>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c r="BK788" s="124"/>
      <c r="BL788" s="124"/>
      <c r="BM788" s="124"/>
      <c r="BN788" s="124"/>
      <c r="BO788" s="124"/>
      <c r="BP788" s="124"/>
      <c r="BQ788" s="124"/>
      <c r="BR788" s="124"/>
      <c r="BS788" s="124"/>
      <c r="BT788" s="124"/>
      <c r="BU788" s="124"/>
      <c r="BV788" s="124"/>
      <c r="BW788" s="124"/>
      <c r="BX788" s="124"/>
      <c r="BY788" s="124"/>
      <c r="BZ788" s="124"/>
      <c r="CA788" s="124"/>
    </row>
    <row r="789">
      <c r="D789" s="143"/>
      <c r="E789" s="112"/>
      <c r="F789" s="112"/>
      <c r="G789" s="112"/>
      <c r="H789" s="112"/>
      <c r="I789" s="112"/>
      <c r="J789" s="112"/>
      <c r="K789" s="112"/>
      <c r="L789" s="112"/>
      <c r="M789" s="112"/>
      <c r="N789" s="112"/>
      <c r="O789" s="112"/>
      <c r="P789" s="112"/>
      <c r="Q789" s="112"/>
      <c r="R789" s="112"/>
      <c r="S789" s="112"/>
      <c r="T789" s="112"/>
      <c r="U789" s="107"/>
      <c r="V789" s="107"/>
      <c r="W789" s="107"/>
      <c r="X789" s="107"/>
      <c r="Y789" s="107"/>
      <c r="Z789" s="112"/>
      <c r="AA789" s="112"/>
      <c r="AB789" s="112"/>
      <c r="AC789" s="112"/>
      <c r="AD789" s="112"/>
      <c r="AE789" s="112"/>
      <c r="AF789" s="112"/>
      <c r="AG789" s="117"/>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c r="BK789" s="124"/>
      <c r="BL789" s="124"/>
      <c r="BM789" s="124"/>
      <c r="BN789" s="124"/>
      <c r="BO789" s="124"/>
      <c r="BP789" s="124"/>
      <c r="BQ789" s="124"/>
      <c r="BR789" s="124"/>
      <c r="BS789" s="124"/>
      <c r="BT789" s="124"/>
      <c r="BU789" s="124"/>
      <c r="BV789" s="124"/>
      <c r="BW789" s="124"/>
      <c r="BX789" s="124"/>
      <c r="BY789" s="124"/>
      <c r="BZ789" s="124"/>
      <c r="CA789" s="124"/>
    </row>
    <row r="790">
      <c r="D790" s="143"/>
      <c r="E790" s="112"/>
      <c r="F790" s="112"/>
      <c r="G790" s="112"/>
      <c r="H790" s="112"/>
      <c r="I790" s="112"/>
      <c r="J790" s="112"/>
      <c r="K790" s="112"/>
      <c r="L790" s="112"/>
      <c r="M790" s="112"/>
      <c r="N790" s="112"/>
      <c r="O790" s="112"/>
      <c r="P790" s="112"/>
      <c r="Q790" s="112"/>
      <c r="R790" s="112"/>
      <c r="S790" s="112"/>
      <c r="T790" s="112"/>
      <c r="U790" s="107"/>
      <c r="V790" s="107"/>
      <c r="W790" s="107"/>
      <c r="X790" s="107"/>
      <c r="Y790" s="107"/>
      <c r="Z790" s="112"/>
      <c r="AA790" s="112"/>
      <c r="AB790" s="112"/>
      <c r="AC790" s="112"/>
      <c r="AD790" s="112"/>
      <c r="AE790" s="112"/>
      <c r="AF790" s="112"/>
      <c r="AG790" s="117"/>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c r="BK790" s="124"/>
      <c r="BL790" s="124"/>
      <c r="BM790" s="124"/>
      <c r="BN790" s="124"/>
      <c r="BO790" s="124"/>
      <c r="BP790" s="124"/>
      <c r="BQ790" s="124"/>
      <c r="BR790" s="124"/>
      <c r="BS790" s="124"/>
      <c r="BT790" s="124"/>
      <c r="BU790" s="124"/>
      <c r="BV790" s="124"/>
      <c r="BW790" s="124"/>
      <c r="BX790" s="124"/>
      <c r="BY790" s="124"/>
      <c r="BZ790" s="124"/>
      <c r="CA790" s="124"/>
    </row>
    <row r="791">
      <c r="D791" s="143"/>
      <c r="E791" s="112"/>
      <c r="F791" s="112"/>
      <c r="G791" s="112"/>
      <c r="H791" s="112"/>
      <c r="I791" s="112"/>
      <c r="J791" s="112"/>
      <c r="K791" s="112"/>
      <c r="L791" s="112"/>
      <c r="M791" s="112"/>
      <c r="N791" s="112"/>
      <c r="O791" s="112"/>
      <c r="P791" s="112"/>
      <c r="Q791" s="112"/>
      <c r="R791" s="112"/>
      <c r="S791" s="112"/>
      <c r="T791" s="112"/>
      <c r="U791" s="107"/>
      <c r="V791" s="107"/>
      <c r="W791" s="107"/>
      <c r="X791" s="107"/>
      <c r="Y791" s="107"/>
      <c r="Z791" s="112"/>
      <c r="AA791" s="112"/>
      <c r="AB791" s="112"/>
      <c r="AC791" s="112"/>
      <c r="AD791" s="112"/>
      <c r="AE791" s="112"/>
      <c r="AF791" s="112"/>
      <c r="AG791" s="117"/>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c r="BK791" s="124"/>
      <c r="BL791" s="124"/>
      <c r="BM791" s="124"/>
      <c r="BN791" s="124"/>
      <c r="BO791" s="124"/>
      <c r="BP791" s="124"/>
      <c r="BQ791" s="124"/>
      <c r="BR791" s="124"/>
      <c r="BS791" s="124"/>
      <c r="BT791" s="124"/>
      <c r="BU791" s="124"/>
      <c r="BV791" s="124"/>
      <c r="BW791" s="124"/>
      <c r="BX791" s="124"/>
      <c r="BY791" s="124"/>
      <c r="BZ791" s="124"/>
      <c r="CA791" s="124"/>
    </row>
    <row r="792">
      <c r="D792" s="143"/>
      <c r="E792" s="112"/>
      <c r="F792" s="112"/>
      <c r="G792" s="112"/>
      <c r="H792" s="112"/>
      <c r="I792" s="112"/>
      <c r="J792" s="112"/>
      <c r="K792" s="112"/>
      <c r="L792" s="112"/>
      <c r="M792" s="112"/>
      <c r="N792" s="112"/>
      <c r="O792" s="112"/>
      <c r="P792" s="112"/>
      <c r="Q792" s="112"/>
      <c r="R792" s="112"/>
      <c r="S792" s="112"/>
      <c r="T792" s="112"/>
      <c r="U792" s="107"/>
      <c r="V792" s="107"/>
      <c r="W792" s="107"/>
      <c r="X792" s="107"/>
      <c r="Y792" s="107"/>
      <c r="Z792" s="112"/>
      <c r="AA792" s="112"/>
      <c r="AB792" s="112"/>
      <c r="AC792" s="112"/>
      <c r="AD792" s="112"/>
      <c r="AE792" s="112"/>
      <c r="AF792" s="112"/>
      <c r="AG792" s="117"/>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c r="BK792" s="124"/>
      <c r="BL792" s="124"/>
      <c r="BM792" s="124"/>
      <c r="BN792" s="124"/>
      <c r="BO792" s="124"/>
      <c r="BP792" s="124"/>
      <c r="BQ792" s="124"/>
      <c r="BR792" s="124"/>
      <c r="BS792" s="124"/>
      <c r="BT792" s="124"/>
      <c r="BU792" s="124"/>
      <c r="BV792" s="124"/>
      <c r="BW792" s="124"/>
      <c r="BX792" s="124"/>
      <c r="BY792" s="124"/>
      <c r="BZ792" s="124"/>
      <c r="CA792" s="124"/>
    </row>
    <row r="793">
      <c r="D793" s="143"/>
      <c r="E793" s="112"/>
      <c r="F793" s="112"/>
      <c r="G793" s="112"/>
      <c r="H793" s="112"/>
      <c r="I793" s="112"/>
      <c r="J793" s="112"/>
      <c r="K793" s="112"/>
      <c r="L793" s="112"/>
      <c r="M793" s="112"/>
      <c r="N793" s="112"/>
      <c r="O793" s="112"/>
      <c r="P793" s="112"/>
      <c r="Q793" s="112"/>
      <c r="R793" s="112"/>
      <c r="S793" s="112"/>
      <c r="T793" s="112"/>
      <c r="U793" s="107"/>
      <c r="V793" s="107"/>
      <c r="W793" s="107"/>
      <c r="X793" s="107"/>
      <c r="Y793" s="107"/>
      <c r="Z793" s="112"/>
      <c r="AA793" s="112"/>
      <c r="AB793" s="112"/>
      <c r="AC793" s="112"/>
      <c r="AD793" s="112"/>
      <c r="AE793" s="112"/>
      <c r="AF793" s="112"/>
      <c r="AG793" s="117"/>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c r="BK793" s="124"/>
      <c r="BL793" s="124"/>
      <c r="BM793" s="124"/>
      <c r="BN793" s="124"/>
      <c r="BO793" s="124"/>
      <c r="BP793" s="124"/>
      <c r="BQ793" s="124"/>
      <c r="BR793" s="124"/>
      <c r="BS793" s="124"/>
      <c r="BT793" s="124"/>
      <c r="BU793" s="124"/>
      <c r="BV793" s="124"/>
      <c r="BW793" s="124"/>
      <c r="BX793" s="124"/>
      <c r="BY793" s="124"/>
      <c r="BZ793" s="124"/>
      <c r="CA793" s="124"/>
    </row>
    <row r="794">
      <c r="D794" s="143"/>
      <c r="E794" s="112"/>
      <c r="F794" s="112"/>
      <c r="G794" s="112"/>
      <c r="H794" s="112"/>
      <c r="I794" s="112"/>
      <c r="J794" s="112"/>
      <c r="K794" s="112"/>
      <c r="L794" s="112"/>
      <c r="M794" s="112"/>
      <c r="N794" s="112"/>
      <c r="O794" s="112"/>
      <c r="P794" s="112"/>
      <c r="Q794" s="112"/>
      <c r="R794" s="112"/>
      <c r="S794" s="112"/>
      <c r="T794" s="112"/>
      <c r="U794" s="107"/>
      <c r="V794" s="107"/>
      <c r="W794" s="107"/>
      <c r="X794" s="107"/>
      <c r="Y794" s="107"/>
      <c r="Z794" s="112"/>
      <c r="AA794" s="112"/>
      <c r="AB794" s="112"/>
      <c r="AC794" s="112"/>
      <c r="AD794" s="112"/>
      <c r="AE794" s="112"/>
      <c r="AF794" s="112"/>
      <c r="AG794" s="117"/>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c r="BK794" s="124"/>
      <c r="BL794" s="124"/>
      <c r="BM794" s="124"/>
      <c r="BN794" s="124"/>
      <c r="BO794" s="124"/>
      <c r="BP794" s="124"/>
      <c r="BQ794" s="124"/>
      <c r="BR794" s="124"/>
      <c r="BS794" s="124"/>
      <c r="BT794" s="124"/>
      <c r="BU794" s="124"/>
      <c r="BV794" s="124"/>
      <c r="BW794" s="124"/>
      <c r="BX794" s="124"/>
      <c r="BY794" s="124"/>
      <c r="BZ794" s="124"/>
      <c r="CA794" s="124"/>
    </row>
    <row r="795">
      <c r="D795" s="143"/>
      <c r="E795" s="112"/>
      <c r="F795" s="112"/>
      <c r="G795" s="112"/>
      <c r="H795" s="112"/>
      <c r="I795" s="112"/>
      <c r="J795" s="112"/>
      <c r="K795" s="112"/>
      <c r="L795" s="112"/>
      <c r="M795" s="112"/>
      <c r="N795" s="112"/>
      <c r="O795" s="112"/>
      <c r="P795" s="112"/>
      <c r="Q795" s="112"/>
      <c r="R795" s="112"/>
      <c r="S795" s="112"/>
      <c r="T795" s="112"/>
      <c r="U795" s="107"/>
      <c r="V795" s="107"/>
      <c r="W795" s="107"/>
      <c r="X795" s="107"/>
      <c r="Y795" s="107"/>
      <c r="Z795" s="112"/>
      <c r="AA795" s="112"/>
      <c r="AB795" s="112"/>
      <c r="AC795" s="112"/>
      <c r="AD795" s="112"/>
      <c r="AE795" s="112"/>
      <c r="AF795" s="112"/>
      <c r="AG795" s="117"/>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c r="BK795" s="124"/>
      <c r="BL795" s="124"/>
      <c r="BM795" s="124"/>
      <c r="BN795" s="124"/>
      <c r="BO795" s="124"/>
      <c r="BP795" s="124"/>
      <c r="BQ795" s="124"/>
      <c r="BR795" s="124"/>
      <c r="BS795" s="124"/>
      <c r="BT795" s="124"/>
      <c r="BU795" s="124"/>
      <c r="BV795" s="124"/>
      <c r="BW795" s="124"/>
      <c r="BX795" s="124"/>
      <c r="BY795" s="124"/>
      <c r="BZ795" s="124"/>
      <c r="CA795" s="124"/>
    </row>
    <row r="796">
      <c r="D796" s="143"/>
      <c r="E796" s="112"/>
      <c r="F796" s="112"/>
      <c r="G796" s="112"/>
      <c r="H796" s="112"/>
      <c r="I796" s="112"/>
      <c r="J796" s="112"/>
      <c r="K796" s="112"/>
      <c r="L796" s="112"/>
      <c r="M796" s="112"/>
      <c r="N796" s="112"/>
      <c r="O796" s="112"/>
      <c r="P796" s="112"/>
      <c r="Q796" s="112"/>
      <c r="R796" s="112"/>
      <c r="S796" s="112"/>
      <c r="T796" s="112"/>
      <c r="U796" s="107"/>
      <c r="V796" s="107"/>
      <c r="W796" s="107"/>
      <c r="X796" s="107"/>
      <c r="Y796" s="107"/>
      <c r="Z796" s="112"/>
      <c r="AA796" s="112"/>
      <c r="AB796" s="112"/>
      <c r="AC796" s="112"/>
      <c r="AD796" s="112"/>
      <c r="AE796" s="112"/>
      <c r="AF796" s="112"/>
      <c r="AG796" s="117"/>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c r="BK796" s="124"/>
      <c r="BL796" s="124"/>
      <c r="BM796" s="124"/>
      <c r="BN796" s="124"/>
      <c r="BO796" s="124"/>
      <c r="BP796" s="124"/>
      <c r="BQ796" s="124"/>
      <c r="BR796" s="124"/>
      <c r="BS796" s="124"/>
      <c r="BT796" s="124"/>
      <c r="BU796" s="124"/>
      <c r="BV796" s="124"/>
      <c r="BW796" s="124"/>
      <c r="BX796" s="124"/>
      <c r="BY796" s="124"/>
      <c r="BZ796" s="124"/>
      <c r="CA796" s="124"/>
    </row>
    <row r="797">
      <c r="D797" s="143"/>
      <c r="E797" s="112"/>
      <c r="F797" s="112"/>
      <c r="G797" s="112"/>
      <c r="H797" s="112"/>
      <c r="I797" s="112"/>
      <c r="J797" s="112"/>
      <c r="K797" s="112"/>
      <c r="L797" s="112"/>
      <c r="M797" s="112"/>
      <c r="N797" s="112"/>
      <c r="O797" s="112"/>
      <c r="P797" s="112"/>
      <c r="Q797" s="112"/>
      <c r="R797" s="112"/>
      <c r="S797" s="112"/>
      <c r="T797" s="112"/>
      <c r="U797" s="107"/>
      <c r="V797" s="107"/>
      <c r="W797" s="107"/>
      <c r="X797" s="107"/>
      <c r="Y797" s="107"/>
      <c r="Z797" s="112"/>
      <c r="AA797" s="112"/>
      <c r="AB797" s="112"/>
      <c r="AC797" s="112"/>
      <c r="AD797" s="112"/>
      <c r="AE797" s="112"/>
      <c r="AF797" s="112"/>
      <c r="AG797" s="117"/>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c r="BK797" s="124"/>
      <c r="BL797" s="124"/>
      <c r="BM797" s="124"/>
      <c r="BN797" s="124"/>
      <c r="BO797" s="124"/>
      <c r="BP797" s="124"/>
      <c r="BQ797" s="124"/>
      <c r="BR797" s="124"/>
      <c r="BS797" s="124"/>
      <c r="BT797" s="124"/>
      <c r="BU797" s="124"/>
      <c r="BV797" s="124"/>
      <c r="BW797" s="124"/>
      <c r="BX797" s="124"/>
      <c r="BY797" s="124"/>
      <c r="BZ797" s="124"/>
      <c r="CA797" s="124"/>
    </row>
    <row r="798">
      <c r="D798" s="143"/>
      <c r="E798" s="112"/>
      <c r="F798" s="112"/>
      <c r="G798" s="112"/>
      <c r="H798" s="112"/>
      <c r="I798" s="112"/>
      <c r="J798" s="112"/>
      <c r="K798" s="112"/>
      <c r="L798" s="112"/>
      <c r="M798" s="112"/>
      <c r="N798" s="112"/>
      <c r="O798" s="112"/>
      <c r="P798" s="112"/>
      <c r="Q798" s="112"/>
      <c r="R798" s="112"/>
      <c r="S798" s="112"/>
      <c r="T798" s="112"/>
      <c r="U798" s="107"/>
      <c r="V798" s="107"/>
      <c r="W798" s="107"/>
      <c r="X798" s="107"/>
      <c r="Y798" s="107"/>
      <c r="Z798" s="112"/>
      <c r="AA798" s="112"/>
      <c r="AB798" s="112"/>
      <c r="AC798" s="112"/>
      <c r="AD798" s="112"/>
      <c r="AE798" s="112"/>
      <c r="AF798" s="112"/>
      <c r="AG798" s="117"/>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c r="BK798" s="124"/>
      <c r="BL798" s="124"/>
      <c r="BM798" s="124"/>
      <c r="BN798" s="124"/>
      <c r="BO798" s="124"/>
      <c r="BP798" s="124"/>
      <c r="BQ798" s="124"/>
      <c r="BR798" s="124"/>
      <c r="BS798" s="124"/>
      <c r="BT798" s="124"/>
      <c r="BU798" s="124"/>
      <c r="BV798" s="124"/>
      <c r="BW798" s="124"/>
      <c r="BX798" s="124"/>
      <c r="BY798" s="124"/>
      <c r="BZ798" s="124"/>
      <c r="CA798" s="124"/>
    </row>
    <row r="799">
      <c r="D799" s="143"/>
      <c r="E799" s="112"/>
      <c r="F799" s="112"/>
      <c r="G799" s="112"/>
      <c r="H799" s="112"/>
      <c r="I799" s="112"/>
      <c r="J799" s="112"/>
      <c r="K799" s="112"/>
      <c r="L799" s="112"/>
      <c r="M799" s="112"/>
      <c r="N799" s="112"/>
      <c r="O799" s="112"/>
      <c r="P799" s="112"/>
      <c r="Q799" s="112"/>
      <c r="R799" s="112"/>
      <c r="S799" s="112"/>
      <c r="T799" s="112"/>
      <c r="U799" s="107"/>
      <c r="V799" s="107"/>
      <c r="W799" s="107"/>
      <c r="X799" s="107"/>
      <c r="Y799" s="107"/>
      <c r="Z799" s="112"/>
      <c r="AA799" s="112"/>
      <c r="AB799" s="112"/>
      <c r="AC799" s="112"/>
      <c r="AD799" s="112"/>
      <c r="AE799" s="112"/>
      <c r="AF799" s="112"/>
      <c r="AG799" s="117"/>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c r="BK799" s="124"/>
      <c r="BL799" s="124"/>
      <c r="BM799" s="124"/>
      <c r="BN799" s="124"/>
      <c r="BO799" s="124"/>
      <c r="BP799" s="124"/>
      <c r="BQ799" s="124"/>
      <c r="BR799" s="124"/>
      <c r="BS799" s="124"/>
      <c r="BT799" s="124"/>
      <c r="BU799" s="124"/>
      <c r="BV799" s="124"/>
      <c r="BW799" s="124"/>
      <c r="BX799" s="124"/>
      <c r="BY799" s="124"/>
      <c r="BZ799" s="124"/>
      <c r="CA799" s="124"/>
    </row>
    <row r="800">
      <c r="D800" s="143"/>
      <c r="E800" s="112"/>
      <c r="F800" s="112"/>
      <c r="G800" s="112"/>
      <c r="H800" s="112"/>
      <c r="I800" s="112"/>
      <c r="J800" s="112"/>
      <c r="K800" s="112"/>
      <c r="L800" s="112"/>
      <c r="M800" s="112"/>
      <c r="N800" s="112"/>
      <c r="O800" s="112"/>
      <c r="P800" s="112"/>
      <c r="Q800" s="112"/>
      <c r="R800" s="112"/>
      <c r="S800" s="112"/>
      <c r="T800" s="112"/>
      <c r="U800" s="107"/>
      <c r="V800" s="107"/>
      <c r="W800" s="107"/>
      <c r="X800" s="107"/>
      <c r="Y800" s="107"/>
      <c r="Z800" s="112"/>
      <c r="AA800" s="112"/>
      <c r="AB800" s="112"/>
      <c r="AC800" s="112"/>
      <c r="AD800" s="112"/>
      <c r="AE800" s="112"/>
      <c r="AF800" s="112"/>
      <c r="AG800" s="117"/>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c r="BK800" s="124"/>
      <c r="BL800" s="124"/>
      <c r="BM800" s="124"/>
      <c r="BN800" s="124"/>
      <c r="BO800" s="124"/>
      <c r="BP800" s="124"/>
      <c r="BQ800" s="124"/>
      <c r="BR800" s="124"/>
      <c r="BS800" s="124"/>
      <c r="BT800" s="124"/>
      <c r="BU800" s="124"/>
      <c r="BV800" s="124"/>
      <c r="BW800" s="124"/>
      <c r="BX800" s="124"/>
      <c r="BY800" s="124"/>
      <c r="BZ800" s="124"/>
      <c r="CA800" s="124"/>
    </row>
    <row r="801">
      <c r="D801" s="143"/>
      <c r="E801" s="112"/>
      <c r="F801" s="112"/>
      <c r="G801" s="112"/>
      <c r="H801" s="112"/>
      <c r="I801" s="112"/>
      <c r="J801" s="112"/>
      <c r="K801" s="112"/>
      <c r="L801" s="112"/>
      <c r="M801" s="112"/>
      <c r="N801" s="112"/>
      <c r="O801" s="112"/>
      <c r="P801" s="112"/>
      <c r="Q801" s="112"/>
      <c r="R801" s="112"/>
      <c r="S801" s="112"/>
      <c r="T801" s="112"/>
      <c r="U801" s="107"/>
      <c r="V801" s="107"/>
      <c r="W801" s="107"/>
      <c r="X801" s="107"/>
      <c r="Y801" s="107"/>
      <c r="Z801" s="112"/>
      <c r="AA801" s="112"/>
      <c r="AB801" s="112"/>
      <c r="AC801" s="112"/>
      <c r="AD801" s="112"/>
      <c r="AE801" s="112"/>
      <c r="AF801" s="112"/>
      <c r="AG801" s="117"/>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c r="BK801" s="124"/>
      <c r="BL801" s="124"/>
      <c r="BM801" s="124"/>
      <c r="BN801" s="124"/>
      <c r="BO801" s="124"/>
      <c r="BP801" s="124"/>
      <c r="BQ801" s="124"/>
      <c r="BR801" s="124"/>
      <c r="BS801" s="124"/>
      <c r="BT801" s="124"/>
      <c r="BU801" s="124"/>
      <c r="BV801" s="124"/>
      <c r="BW801" s="124"/>
      <c r="BX801" s="124"/>
      <c r="BY801" s="124"/>
      <c r="BZ801" s="124"/>
      <c r="CA801" s="124"/>
    </row>
    <row r="802">
      <c r="D802" s="143"/>
      <c r="E802" s="112"/>
      <c r="F802" s="112"/>
      <c r="G802" s="112"/>
      <c r="H802" s="112"/>
      <c r="I802" s="112"/>
      <c r="J802" s="112"/>
      <c r="K802" s="112"/>
      <c r="L802" s="112"/>
      <c r="M802" s="112"/>
      <c r="N802" s="112"/>
      <c r="O802" s="112"/>
      <c r="P802" s="112"/>
      <c r="Q802" s="112"/>
      <c r="R802" s="112"/>
      <c r="S802" s="112"/>
      <c r="T802" s="112"/>
      <c r="U802" s="107"/>
      <c r="V802" s="107"/>
      <c r="W802" s="107"/>
      <c r="X802" s="107"/>
      <c r="Y802" s="107"/>
      <c r="Z802" s="112"/>
      <c r="AA802" s="112"/>
      <c r="AB802" s="112"/>
      <c r="AC802" s="112"/>
      <c r="AD802" s="112"/>
      <c r="AE802" s="112"/>
      <c r="AF802" s="112"/>
      <c r="AG802" s="117"/>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c r="BK802" s="124"/>
      <c r="BL802" s="124"/>
      <c r="BM802" s="124"/>
      <c r="BN802" s="124"/>
      <c r="BO802" s="124"/>
      <c r="BP802" s="124"/>
      <c r="BQ802" s="124"/>
      <c r="BR802" s="124"/>
      <c r="BS802" s="124"/>
      <c r="BT802" s="124"/>
      <c r="BU802" s="124"/>
      <c r="BV802" s="124"/>
      <c r="BW802" s="124"/>
      <c r="BX802" s="124"/>
      <c r="BY802" s="124"/>
      <c r="BZ802" s="124"/>
      <c r="CA802" s="124"/>
    </row>
    <row r="803">
      <c r="D803" s="143"/>
      <c r="E803" s="112"/>
      <c r="F803" s="112"/>
      <c r="G803" s="112"/>
      <c r="H803" s="112"/>
      <c r="I803" s="112"/>
      <c r="J803" s="112"/>
      <c r="K803" s="112"/>
      <c r="L803" s="112"/>
      <c r="M803" s="112"/>
      <c r="N803" s="112"/>
      <c r="O803" s="112"/>
      <c r="P803" s="112"/>
      <c r="Q803" s="112"/>
      <c r="R803" s="112"/>
      <c r="S803" s="112"/>
      <c r="T803" s="112"/>
      <c r="U803" s="107"/>
      <c r="V803" s="107"/>
      <c r="W803" s="107"/>
      <c r="X803" s="107"/>
      <c r="Y803" s="107"/>
      <c r="Z803" s="112"/>
      <c r="AA803" s="112"/>
      <c r="AB803" s="112"/>
      <c r="AC803" s="112"/>
      <c r="AD803" s="112"/>
      <c r="AE803" s="112"/>
      <c r="AF803" s="112"/>
      <c r="AG803" s="117"/>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c r="BK803" s="124"/>
      <c r="BL803" s="124"/>
      <c r="BM803" s="124"/>
      <c r="BN803" s="124"/>
      <c r="BO803" s="124"/>
      <c r="BP803" s="124"/>
      <c r="BQ803" s="124"/>
      <c r="BR803" s="124"/>
      <c r="BS803" s="124"/>
      <c r="BT803" s="124"/>
      <c r="BU803" s="124"/>
      <c r="BV803" s="124"/>
      <c r="BW803" s="124"/>
      <c r="BX803" s="124"/>
      <c r="BY803" s="124"/>
      <c r="BZ803" s="124"/>
      <c r="CA803" s="124"/>
    </row>
    <row r="804">
      <c r="D804" s="143"/>
      <c r="E804" s="112"/>
      <c r="F804" s="112"/>
      <c r="G804" s="112"/>
      <c r="H804" s="112"/>
      <c r="I804" s="112"/>
      <c r="J804" s="112"/>
      <c r="K804" s="112"/>
      <c r="L804" s="112"/>
      <c r="M804" s="112"/>
      <c r="N804" s="112"/>
      <c r="O804" s="112"/>
      <c r="P804" s="112"/>
      <c r="Q804" s="112"/>
      <c r="R804" s="112"/>
      <c r="S804" s="112"/>
      <c r="T804" s="112"/>
      <c r="U804" s="107"/>
      <c r="V804" s="107"/>
      <c r="W804" s="107"/>
      <c r="X804" s="107"/>
      <c r="Y804" s="107"/>
      <c r="Z804" s="112"/>
      <c r="AA804" s="112"/>
      <c r="AB804" s="112"/>
      <c r="AC804" s="112"/>
      <c r="AD804" s="112"/>
      <c r="AE804" s="112"/>
      <c r="AF804" s="112"/>
      <c r="AG804" s="117"/>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c r="BK804" s="124"/>
      <c r="BL804" s="124"/>
      <c r="BM804" s="124"/>
      <c r="BN804" s="124"/>
      <c r="BO804" s="124"/>
      <c r="BP804" s="124"/>
      <c r="BQ804" s="124"/>
      <c r="BR804" s="124"/>
      <c r="BS804" s="124"/>
      <c r="BT804" s="124"/>
      <c r="BU804" s="124"/>
      <c r="BV804" s="124"/>
      <c r="BW804" s="124"/>
      <c r="BX804" s="124"/>
      <c r="BY804" s="124"/>
      <c r="BZ804" s="124"/>
      <c r="CA804" s="124"/>
    </row>
    <row r="805">
      <c r="D805" s="143"/>
      <c r="E805" s="112"/>
      <c r="F805" s="112"/>
      <c r="G805" s="112"/>
      <c r="H805" s="112"/>
      <c r="I805" s="112"/>
      <c r="J805" s="112"/>
      <c r="K805" s="112"/>
      <c r="L805" s="112"/>
      <c r="M805" s="112"/>
      <c r="N805" s="112"/>
      <c r="O805" s="112"/>
      <c r="P805" s="112"/>
      <c r="Q805" s="112"/>
      <c r="R805" s="112"/>
      <c r="S805" s="112"/>
      <c r="T805" s="112"/>
      <c r="U805" s="107"/>
      <c r="V805" s="107"/>
      <c r="W805" s="107"/>
      <c r="X805" s="107"/>
      <c r="Y805" s="107"/>
      <c r="Z805" s="112"/>
      <c r="AA805" s="112"/>
      <c r="AB805" s="112"/>
      <c r="AC805" s="112"/>
      <c r="AD805" s="112"/>
      <c r="AE805" s="112"/>
      <c r="AF805" s="112"/>
      <c r="AG805" s="117"/>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c r="BK805" s="124"/>
      <c r="BL805" s="124"/>
      <c r="BM805" s="124"/>
      <c r="BN805" s="124"/>
      <c r="BO805" s="124"/>
      <c r="BP805" s="124"/>
      <c r="BQ805" s="124"/>
      <c r="BR805" s="124"/>
      <c r="BS805" s="124"/>
      <c r="BT805" s="124"/>
      <c r="BU805" s="124"/>
      <c r="BV805" s="124"/>
      <c r="BW805" s="124"/>
      <c r="BX805" s="124"/>
      <c r="BY805" s="124"/>
      <c r="BZ805" s="124"/>
      <c r="CA805" s="124"/>
    </row>
    <row r="806">
      <c r="D806" s="143"/>
      <c r="E806" s="112"/>
      <c r="F806" s="112"/>
      <c r="G806" s="112"/>
      <c r="H806" s="112"/>
      <c r="I806" s="112"/>
      <c r="J806" s="112"/>
      <c r="K806" s="112"/>
      <c r="L806" s="112"/>
      <c r="M806" s="112"/>
      <c r="N806" s="112"/>
      <c r="O806" s="112"/>
      <c r="P806" s="112"/>
      <c r="Q806" s="112"/>
      <c r="R806" s="112"/>
      <c r="S806" s="112"/>
      <c r="T806" s="112"/>
      <c r="U806" s="107"/>
      <c r="V806" s="107"/>
      <c r="W806" s="107"/>
      <c r="X806" s="107"/>
      <c r="Y806" s="107"/>
      <c r="Z806" s="112"/>
      <c r="AA806" s="112"/>
      <c r="AB806" s="112"/>
      <c r="AC806" s="112"/>
      <c r="AD806" s="112"/>
      <c r="AE806" s="112"/>
      <c r="AF806" s="112"/>
      <c r="AG806" s="117"/>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c r="BK806" s="124"/>
      <c r="BL806" s="124"/>
      <c r="BM806" s="124"/>
      <c r="BN806" s="124"/>
      <c r="BO806" s="124"/>
      <c r="BP806" s="124"/>
      <c r="BQ806" s="124"/>
      <c r="BR806" s="124"/>
      <c r="BS806" s="124"/>
      <c r="BT806" s="124"/>
      <c r="BU806" s="124"/>
      <c r="BV806" s="124"/>
      <c r="BW806" s="124"/>
      <c r="BX806" s="124"/>
      <c r="BY806" s="124"/>
      <c r="BZ806" s="124"/>
      <c r="CA806" s="124"/>
    </row>
    <row r="807">
      <c r="D807" s="143"/>
      <c r="E807" s="112"/>
      <c r="F807" s="112"/>
      <c r="G807" s="112"/>
      <c r="H807" s="112"/>
      <c r="I807" s="112"/>
      <c r="J807" s="112"/>
      <c r="K807" s="112"/>
      <c r="L807" s="112"/>
      <c r="M807" s="112"/>
      <c r="N807" s="112"/>
      <c r="O807" s="112"/>
      <c r="P807" s="112"/>
      <c r="Q807" s="112"/>
      <c r="R807" s="112"/>
      <c r="S807" s="112"/>
      <c r="T807" s="112"/>
      <c r="U807" s="107"/>
      <c r="V807" s="107"/>
      <c r="W807" s="107"/>
      <c r="X807" s="107"/>
      <c r="Y807" s="107"/>
      <c r="Z807" s="112"/>
      <c r="AA807" s="112"/>
      <c r="AB807" s="112"/>
      <c r="AC807" s="112"/>
      <c r="AD807" s="112"/>
      <c r="AE807" s="112"/>
      <c r="AF807" s="112"/>
      <c r="AG807" s="117"/>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c r="BK807" s="124"/>
      <c r="BL807" s="124"/>
      <c r="BM807" s="124"/>
      <c r="BN807" s="124"/>
      <c r="BO807" s="124"/>
      <c r="BP807" s="124"/>
      <c r="BQ807" s="124"/>
      <c r="BR807" s="124"/>
      <c r="BS807" s="124"/>
      <c r="BT807" s="124"/>
      <c r="BU807" s="124"/>
      <c r="BV807" s="124"/>
      <c r="BW807" s="124"/>
      <c r="BX807" s="124"/>
      <c r="BY807" s="124"/>
      <c r="BZ807" s="124"/>
      <c r="CA807" s="124"/>
    </row>
    <row r="808">
      <c r="D808" s="143"/>
      <c r="E808" s="112"/>
      <c r="F808" s="112"/>
      <c r="G808" s="112"/>
      <c r="H808" s="112"/>
      <c r="I808" s="112"/>
      <c r="J808" s="112"/>
      <c r="K808" s="112"/>
      <c r="L808" s="112"/>
      <c r="M808" s="112"/>
      <c r="N808" s="112"/>
      <c r="O808" s="112"/>
      <c r="P808" s="112"/>
      <c r="Q808" s="112"/>
      <c r="R808" s="112"/>
      <c r="S808" s="112"/>
      <c r="T808" s="112"/>
      <c r="U808" s="107"/>
      <c r="V808" s="107"/>
      <c r="W808" s="107"/>
      <c r="X808" s="107"/>
      <c r="Y808" s="107"/>
      <c r="Z808" s="112"/>
      <c r="AA808" s="112"/>
      <c r="AB808" s="112"/>
      <c r="AC808" s="112"/>
      <c r="AD808" s="112"/>
      <c r="AE808" s="112"/>
      <c r="AF808" s="112"/>
      <c r="AG808" s="117"/>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c r="BK808" s="124"/>
      <c r="BL808" s="124"/>
      <c r="BM808" s="124"/>
      <c r="BN808" s="124"/>
      <c r="BO808" s="124"/>
      <c r="BP808" s="124"/>
      <c r="BQ808" s="124"/>
      <c r="BR808" s="124"/>
      <c r="BS808" s="124"/>
      <c r="BT808" s="124"/>
      <c r="BU808" s="124"/>
      <c r="BV808" s="124"/>
      <c r="BW808" s="124"/>
      <c r="BX808" s="124"/>
      <c r="BY808" s="124"/>
      <c r="BZ808" s="124"/>
      <c r="CA808" s="124"/>
    </row>
    <row r="809">
      <c r="D809" s="143"/>
      <c r="E809" s="112"/>
      <c r="F809" s="112"/>
      <c r="G809" s="112"/>
      <c r="H809" s="112"/>
      <c r="I809" s="112"/>
      <c r="J809" s="112"/>
      <c r="K809" s="112"/>
      <c r="L809" s="112"/>
      <c r="M809" s="112"/>
      <c r="N809" s="112"/>
      <c r="O809" s="112"/>
      <c r="P809" s="112"/>
      <c r="Q809" s="112"/>
      <c r="R809" s="112"/>
      <c r="S809" s="112"/>
      <c r="T809" s="112"/>
      <c r="U809" s="107"/>
      <c r="V809" s="107"/>
      <c r="W809" s="107"/>
      <c r="X809" s="107"/>
      <c r="Y809" s="107"/>
      <c r="Z809" s="112"/>
      <c r="AA809" s="112"/>
      <c r="AB809" s="112"/>
      <c r="AC809" s="112"/>
      <c r="AD809" s="112"/>
      <c r="AE809" s="112"/>
      <c r="AF809" s="112"/>
      <c r="AG809" s="117"/>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c r="BK809" s="124"/>
      <c r="BL809" s="124"/>
      <c r="BM809" s="124"/>
      <c r="BN809" s="124"/>
      <c r="BO809" s="124"/>
      <c r="BP809" s="124"/>
      <c r="BQ809" s="124"/>
      <c r="BR809" s="124"/>
      <c r="BS809" s="124"/>
      <c r="BT809" s="124"/>
      <c r="BU809" s="124"/>
      <c r="BV809" s="124"/>
      <c r="BW809" s="124"/>
      <c r="BX809" s="124"/>
      <c r="BY809" s="124"/>
      <c r="BZ809" s="124"/>
      <c r="CA809" s="124"/>
    </row>
    <row r="810">
      <c r="D810" s="143"/>
      <c r="E810" s="112"/>
      <c r="F810" s="112"/>
      <c r="G810" s="112"/>
      <c r="H810" s="112"/>
      <c r="I810" s="112"/>
      <c r="J810" s="112"/>
      <c r="K810" s="112"/>
      <c r="L810" s="112"/>
      <c r="M810" s="112"/>
      <c r="N810" s="112"/>
      <c r="O810" s="112"/>
      <c r="P810" s="112"/>
      <c r="Q810" s="112"/>
      <c r="R810" s="112"/>
      <c r="S810" s="112"/>
      <c r="T810" s="112"/>
      <c r="U810" s="107"/>
      <c r="V810" s="107"/>
      <c r="W810" s="107"/>
      <c r="X810" s="107"/>
      <c r="Y810" s="107"/>
      <c r="Z810" s="112"/>
      <c r="AA810" s="112"/>
      <c r="AB810" s="112"/>
      <c r="AC810" s="112"/>
      <c r="AD810" s="112"/>
      <c r="AE810" s="112"/>
      <c r="AF810" s="112"/>
      <c r="AG810" s="117"/>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c r="BK810" s="124"/>
      <c r="BL810" s="124"/>
      <c r="BM810" s="124"/>
      <c r="BN810" s="124"/>
      <c r="BO810" s="124"/>
      <c r="BP810" s="124"/>
      <c r="BQ810" s="124"/>
      <c r="BR810" s="124"/>
      <c r="BS810" s="124"/>
      <c r="BT810" s="124"/>
      <c r="BU810" s="124"/>
      <c r="BV810" s="124"/>
      <c r="BW810" s="124"/>
      <c r="BX810" s="124"/>
      <c r="BY810" s="124"/>
      <c r="BZ810" s="124"/>
      <c r="CA810" s="124"/>
    </row>
    <row r="811">
      <c r="D811" s="143"/>
      <c r="E811" s="112"/>
      <c r="F811" s="112"/>
      <c r="G811" s="112"/>
      <c r="H811" s="112"/>
      <c r="I811" s="112"/>
      <c r="J811" s="112"/>
      <c r="K811" s="112"/>
      <c r="L811" s="112"/>
      <c r="M811" s="112"/>
      <c r="N811" s="112"/>
      <c r="O811" s="112"/>
      <c r="P811" s="112"/>
      <c r="Q811" s="112"/>
      <c r="R811" s="112"/>
      <c r="S811" s="112"/>
      <c r="T811" s="112"/>
      <c r="U811" s="107"/>
      <c r="V811" s="107"/>
      <c r="W811" s="107"/>
      <c r="X811" s="107"/>
      <c r="Y811" s="107"/>
      <c r="Z811" s="112"/>
      <c r="AA811" s="112"/>
      <c r="AB811" s="112"/>
      <c r="AC811" s="112"/>
      <c r="AD811" s="112"/>
      <c r="AE811" s="112"/>
      <c r="AF811" s="112"/>
      <c r="AG811" s="117"/>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c r="BK811" s="124"/>
      <c r="BL811" s="124"/>
      <c r="BM811" s="124"/>
      <c r="BN811" s="124"/>
      <c r="BO811" s="124"/>
      <c r="BP811" s="124"/>
      <c r="BQ811" s="124"/>
      <c r="BR811" s="124"/>
      <c r="BS811" s="124"/>
      <c r="BT811" s="124"/>
      <c r="BU811" s="124"/>
      <c r="BV811" s="124"/>
      <c r="BW811" s="124"/>
      <c r="BX811" s="124"/>
      <c r="BY811" s="124"/>
      <c r="BZ811" s="124"/>
      <c r="CA811" s="124"/>
    </row>
    <row r="812">
      <c r="D812" s="143"/>
      <c r="E812" s="112"/>
      <c r="F812" s="112"/>
      <c r="G812" s="112"/>
      <c r="H812" s="112"/>
      <c r="I812" s="112"/>
      <c r="J812" s="112"/>
      <c r="K812" s="112"/>
      <c r="L812" s="112"/>
      <c r="M812" s="112"/>
      <c r="N812" s="112"/>
      <c r="O812" s="112"/>
      <c r="P812" s="112"/>
      <c r="Q812" s="112"/>
      <c r="R812" s="112"/>
      <c r="S812" s="112"/>
      <c r="T812" s="112"/>
      <c r="U812" s="107"/>
      <c r="V812" s="107"/>
      <c r="W812" s="107"/>
      <c r="X812" s="107"/>
      <c r="Y812" s="107"/>
      <c r="Z812" s="112"/>
      <c r="AA812" s="112"/>
      <c r="AB812" s="112"/>
      <c r="AC812" s="112"/>
      <c r="AD812" s="112"/>
      <c r="AE812" s="112"/>
      <c r="AF812" s="112"/>
      <c r="AG812" s="117"/>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c r="BK812" s="124"/>
      <c r="BL812" s="124"/>
      <c r="BM812" s="124"/>
      <c r="BN812" s="124"/>
      <c r="BO812" s="124"/>
      <c r="BP812" s="124"/>
      <c r="BQ812" s="124"/>
      <c r="BR812" s="124"/>
      <c r="BS812" s="124"/>
      <c r="BT812" s="124"/>
      <c r="BU812" s="124"/>
      <c r="BV812" s="124"/>
      <c r="BW812" s="124"/>
      <c r="BX812" s="124"/>
      <c r="BY812" s="124"/>
      <c r="BZ812" s="124"/>
      <c r="CA812" s="124"/>
    </row>
    <row r="813">
      <c r="D813" s="143"/>
      <c r="E813" s="112"/>
      <c r="F813" s="112"/>
      <c r="G813" s="112"/>
      <c r="H813" s="112"/>
      <c r="I813" s="112"/>
      <c r="J813" s="112"/>
      <c r="K813" s="112"/>
      <c r="L813" s="112"/>
      <c r="M813" s="112"/>
      <c r="N813" s="112"/>
      <c r="O813" s="112"/>
      <c r="P813" s="112"/>
      <c r="Q813" s="112"/>
      <c r="R813" s="112"/>
      <c r="S813" s="112"/>
      <c r="T813" s="112"/>
      <c r="U813" s="107"/>
      <c r="V813" s="107"/>
      <c r="W813" s="107"/>
      <c r="X813" s="107"/>
      <c r="Y813" s="107"/>
      <c r="Z813" s="112"/>
      <c r="AA813" s="112"/>
      <c r="AB813" s="112"/>
      <c r="AC813" s="112"/>
      <c r="AD813" s="112"/>
      <c r="AE813" s="112"/>
      <c r="AF813" s="112"/>
      <c r="AG813" s="117"/>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c r="BK813" s="124"/>
      <c r="BL813" s="124"/>
      <c r="BM813" s="124"/>
      <c r="BN813" s="124"/>
      <c r="BO813" s="124"/>
      <c r="BP813" s="124"/>
      <c r="BQ813" s="124"/>
      <c r="BR813" s="124"/>
      <c r="BS813" s="124"/>
      <c r="BT813" s="124"/>
      <c r="BU813" s="124"/>
      <c r="BV813" s="124"/>
      <c r="BW813" s="124"/>
      <c r="BX813" s="124"/>
      <c r="BY813" s="124"/>
      <c r="BZ813" s="124"/>
      <c r="CA813" s="124"/>
    </row>
    <row r="814">
      <c r="D814" s="143"/>
      <c r="E814" s="112"/>
      <c r="F814" s="112"/>
      <c r="G814" s="112"/>
      <c r="H814" s="112"/>
      <c r="I814" s="112"/>
      <c r="J814" s="112"/>
      <c r="K814" s="112"/>
      <c r="L814" s="112"/>
      <c r="M814" s="112"/>
      <c r="N814" s="112"/>
      <c r="O814" s="112"/>
      <c r="P814" s="112"/>
      <c r="Q814" s="112"/>
      <c r="R814" s="112"/>
      <c r="S814" s="112"/>
      <c r="T814" s="112"/>
      <c r="U814" s="107"/>
      <c r="V814" s="107"/>
      <c r="W814" s="107"/>
      <c r="X814" s="107"/>
      <c r="Y814" s="107"/>
      <c r="Z814" s="112"/>
      <c r="AA814" s="112"/>
      <c r="AB814" s="112"/>
      <c r="AC814" s="112"/>
      <c r="AD814" s="112"/>
      <c r="AE814" s="112"/>
      <c r="AF814" s="112"/>
      <c r="AG814" s="117"/>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c r="BK814" s="124"/>
      <c r="BL814" s="124"/>
      <c r="BM814" s="124"/>
      <c r="BN814" s="124"/>
      <c r="BO814" s="124"/>
      <c r="BP814" s="124"/>
      <c r="BQ814" s="124"/>
      <c r="BR814" s="124"/>
      <c r="BS814" s="124"/>
      <c r="BT814" s="124"/>
      <c r="BU814" s="124"/>
      <c r="BV814" s="124"/>
      <c r="BW814" s="124"/>
      <c r="BX814" s="124"/>
      <c r="BY814" s="124"/>
      <c r="BZ814" s="124"/>
      <c r="CA814" s="124"/>
    </row>
    <row r="815">
      <c r="D815" s="143"/>
      <c r="E815" s="112"/>
      <c r="F815" s="112"/>
      <c r="G815" s="112"/>
      <c r="H815" s="112"/>
      <c r="I815" s="112"/>
      <c r="J815" s="112"/>
      <c r="K815" s="112"/>
      <c r="L815" s="112"/>
      <c r="M815" s="112"/>
      <c r="N815" s="112"/>
      <c r="O815" s="112"/>
      <c r="P815" s="112"/>
      <c r="Q815" s="112"/>
      <c r="R815" s="112"/>
      <c r="S815" s="112"/>
      <c r="T815" s="112"/>
      <c r="U815" s="107"/>
      <c r="V815" s="107"/>
      <c r="W815" s="107"/>
      <c r="X815" s="107"/>
      <c r="Y815" s="107"/>
      <c r="Z815" s="112"/>
      <c r="AA815" s="112"/>
      <c r="AB815" s="112"/>
      <c r="AC815" s="112"/>
      <c r="AD815" s="112"/>
      <c r="AE815" s="112"/>
      <c r="AF815" s="112"/>
      <c r="AG815" s="117"/>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c r="BK815" s="124"/>
      <c r="BL815" s="124"/>
      <c r="BM815" s="124"/>
      <c r="BN815" s="124"/>
      <c r="BO815" s="124"/>
      <c r="BP815" s="124"/>
      <c r="BQ815" s="124"/>
      <c r="BR815" s="124"/>
      <c r="BS815" s="124"/>
      <c r="BT815" s="124"/>
      <c r="BU815" s="124"/>
      <c r="BV815" s="124"/>
      <c r="BW815" s="124"/>
      <c r="BX815" s="124"/>
      <c r="BY815" s="124"/>
      <c r="BZ815" s="124"/>
      <c r="CA815" s="124"/>
    </row>
    <row r="816">
      <c r="D816" s="143"/>
      <c r="E816" s="112"/>
      <c r="F816" s="112"/>
      <c r="G816" s="112"/>
      <c r="H816" s="112"/>
      <c r="I816" s="112"/>
      <c r="J816" s="112"/>
      <c r="K816" s="112"/>
      <c r="L816" s="112"/>
      <c r="M816" s="112"/>
      <c r="N816" s="112"/>
      <c r="O816" s="112"/>
      <c r="P816" s="112"/>
      <c r="Q816" s="112"/>
      <c r="R816" s="112"/>
      <c r="S816" s="112"/>
      <c r="T816" s="112"/>
      <c r="U816" s="107"/>
      <c r="V816" s="107"/>
      <c r="W816" s="107"/>
      <c r="X816" s="107"/>
      <c r="Y816" s="107"/>
      <c r="Z816" s="112"/>
      <c r="AA816" s="112"/>
      <c r="AB816" s="112"/>
      <c r="AC816" s="112"/>
      <c r="AD816" s="112"/>
      <c r="AE816" s="112"/>
      <c r="AF816" s="112"/>
      <c r="AG816" s="117"/>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c r="BK816" s="124"/>
      <c r="BL816" s="124"/>
      <c r="BM816" s="124"/>
      <c r="BN816" s="124"/>
      <c r="BO816" s="124"/>
      <c r="BP816" s="124"/>
      <c r="BQ816" s="124"/>
      <c r="BR816" s="124"/>
      <c r="BS816" s="124"/>
      <c r="BT816" s="124"/>
      <c r="BU816" s="124"/>
      <c r="BV816" s="124"/>
      <c r="BW816" s="124"/>
      <c r="BX816" s="124"/>
      <c r="BY816" s="124"/>
      <c r="BZ816" s="124"/>
      <c r="CA816" s="124"/>
    </row>
    <row r="817">
      <c r="D817" s="143"/>
      <c r="E817" s="112"/>
      <c r="F817" s="112"/>
      <c r="G817" s="112"/>
      <c r="H817" s="112"/>
      <c r="I817" s="112"/>
      <c r="J817" s="112"/>
      <c r="K817" s="112"/>
      <c r="L817" s="112"/>
      <c r="M817" s="112"/>
      <c r="N817" s="112"/>
      <c r="O817" s="112"/>
      <c r="P817" s="112"/>
      <c r="Q817" s="112"/>
      <c r="R817" s="112"/>
      <c r="S817" s="112"/>
      <c r="T817" s="112"/>
      <c r="U817" s="107"/>
      <c r="V817" s="107"/>
      <c r="W817" s="107"/>
      <c r="X817" s="107"/>
      <c r="Y817" s="107"/>
      <c r="Z817" s="112"/>
      <c r="AA817" s="112"/>
      <c r="AB817" s="112"/>
      <c r="AC817" s="112"/>
      <c r="AD817" s="112"/>
      <c r="AE817" s="112"/>
      <c r="AF817" s="112"/>
      <c r="AG817" s="117"/>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c r="BK817" s="124"/>
      <c r="BL817" s="124"/>
      <c r="BM817" s="124"/>
      <c r="BN817" s="124"/>
      <c r="BO817" s="124"/>
      <c r="BP817" s="124"/>
      <c r="BQ817" s="124"/>
      <c r="BR817" s="124"/>
      <c r="BS817" s="124"/>
      <c r="BT817" s="124"/>
      <c r="BU817" s="124"/>
      <c r="BV817" s="124"/>
      <c r="BW817" s="124"/>
      <c r="BX817" s="124"/>
      <c r="BY817" s="124"/>
      <c r="BZ817" s="124"/>
      <c r="CA817" s="124"/>
    </row>
    <row r="818">
      <c r="D818" s="143"/>
      <c r="E818" s="112"/>
      <c r="F818" s="112"/>
      <c r="G818" s="112"/>
      <c r="H818" s="112"/>
      <c r="I818" s="112"/>
      <c r="J818" s="112"/>
      <c r="K818" s="112"/>
      <c r="L818" s="112"/>
      <c r="M818" s="112"/>
      <c r="N818" s="112"/>
      <c r="O818" s="112"/>
      <c r="P818" s="112"/>
      <c r="Q818" s="112"/>
      <c r="R818" s="112"/>
      <c r="S818" s="112"/>
      <c r="T818" s="112"/>
      <c r="U818" s="107"/>
      <c r="V818" s="107"/>
      <c r="W818" s="107"/>
      <c r="X818" s="107"/>
      <c r="Y818" s="107"/>
      <c r="Z818" s="112"/>
      <c r="AA818" s="112"/>
      <c r="AB818" s="112"/>
      <c r="AC818" s="112"/>
      <c r="AD818" s="112"/>
      <c r="AE818" s="112"/>
      <c r="AF818" s="112"/>
      <c r="AG818" s="117"/>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c r="BK818" s="124"/>
      <c r="BL818" s="124"/>
      <c r="BM818" s="124"/>
      <c r="BN818" s="124"/>
      <c r="BO818" s="124"/>
      <c r="BP818" s="124"/>
      <c r="BQ818" s="124"/>
      <c r="BR818" s="124"/>
      <c r="BS818" s="124"/>
      <c r="BT818" s="124"/>
      <c r="BU818" s="124"/>
      <c r="BV818" s="124"/>
      <c r="BW818" s="124"/>
      <c r="BX818" s="124"/>
      <c r="BY818" s="124"/>
      <c r="BZ818" s="124"/>
      <c r="CA818" s="124"/>
    </row>
    <row r="819">
      <c r="D819" s="143"/>
      <c r="E819" s="112"/>
      <c r="F819" s="112"/>
      <c r="G819" s="112"/>
      <c r="H819" s="112"/>
      <c r="I819" s="112"/>
      <c r="J819" s="112"/>
      <c r="K819" s="112"/>
      <c r="L819" s="112"/>
      <c r="M819" s="112"/>
      <c r="N819" s="112"/>
      <c r="O819" s="112"/>
      <c r="P819" s="112"/>
      <c r="Q819" s="112"/>
      <c r="R819" s="112"/>
      <c r="S819" s="112"/>
      <c r="T819" s="112"/>
      <c r="U819" s="107"/>
      <c r="V819" s="107"/>
      <c r="W819" s="107"/>
      <c r="X819" s="107"/>
      <c r="Y819" s="107"/>
      <c r="Z819" s="112"/>
      <c r="AA819" s="112"/>
      <c r="AB819" s="112"/>
      <c r="AC819" s="112"/>
      <c r="AD819" s="112"/>
      <c r="AE819" s="112"/>
      <c r="AF819" s="112"/>
      <c r="AG819" s="117"/>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c r="BK819" s="124"/>
      <c r="BL819" s="124"/>
      <c r="BM819" s="124"/>
      <c r="BN819" s="124"/>
      <c r="BO819" s="124"/>
      <c r="BP819" s="124"/>
      <c r="BQ819" s="124"/>
      <c r="BR819" s="124"/>
      <c r="BS819" s="124"/>
      <c r="BT819" s="124"/>
      <c r="BU819" s="124"/>
      <c r="BV819" s="124"/>
      <c r="BW819" s="124"/>
      <c r="BX819" s="124"/>
      <c r="BY819" s="124"/>
      <c r="BZ819" s="124"/>
      <c r="CA819" s="124"/>
    </row>
    <row r="820">
      <c r="D820" s="143"/>
      <c r="E820" s="112"/>
      <c r="F820" s="112"/>
      <c r="G820" s="112"/>
      <c r="H820" s="112"/>
      <c r="I820" s="112"/>
      <c r="J820" s="112"/>
      <c r="K820" s="112"/>
      <c r="L820" s="112"/>
      <c r="M820" s="112"/>
      <c r="N820" s="112"/>
      <c r="O820" s="112"/>
      <c r="P820" s="112"/>
      <c r="Q820" s="112"/>
      <c r="R820" s="112"/>
      <c r="S820" s="112"/>
      <c r="T820" s="112"/>
      <c r="U820" s="107"/>
      <c r="V820" s="107"/>
      <c r="W820" s="107"/>
      <c r="X820" s="107"/>
      <c r="Y820" s="107"/>
      <c r="Z820" s="112"/>
      <c r="AA820" s="112"/>
      <c r="AB820" s="112"/>
      <c r="AC820" s="112"/>
      <c r="AD820" s="112"/>
      <c r="AE820" s="112"/>
      <c r="AF820" s="112"/>
      <c r="AG820" s="117"/>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c r="BK820" s="124"/>
      <c r="BL820" s="124"/>
      <c r="BM820" s="124"/>
      <c r="BN820" s="124"/>
      <c r="BO820" s="124"/>
      <c r="BP820" s="124"/>
      <c r="BQ820" s="124"/>
      <c r="BR820" s="124"/>
      <c r="BS820" s="124"/>
      <c r="BT820" s="124"/>
      <c r="BU820" s="124"/>
      <c r="BV820" s="124"/>
      <c r="BW820" s="124"/>
      <c r="BX820" s="124"/>
      <c r="BY820" s="124"/>
      <c r="BZ820" s="124"/>
      <c r="CA820" s="124"/>
    </row>
    <row r="821">
      <c r="D821" s="143"/>
      <c r="E821" s="112"/>
      <c r="F821" s="112"/>
      <c r="G821" s="112"/>
      <c r="H821" s="112"/>
      <c r="I821" s="112"/>
      <c r="J821" s="112"/>
      <c r="K821" s="112"/>
      <c r="L821" s="112"/>
      <c r="M821" s="112"/>
      <c r="N821" s="112"/>
      <c r="O821" s="112"/>
      <c r="P821" s="112"/>
      <c r="Q821" s="112"/>
      <c r="R821" s="112"/>
      <c r="S821" s="112"/>
      <c r="T821" s="112"/>
      <c r="U821" s="107"/>
      <c r="V821" s="107"/>
      <c r="W821" s="107"/>
      <c r="X821" s="107"/>
      <c r="Y821" s="107"/>
      <c r="Z821" s="112"/>
      <c r="AA821" s="112"/>
      <c r="AB821" s="112"/>
      <c r="AC821" s="112"/>
      <c r="AD821" s="112"/>
      <c r="AE821" s="112"/>
      <c r="AF821" s="112"/>
      <c r="AG821" s="117"/>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c r="BK821" s="124"/>
      <c r="BL821" s="124"/>
      <c r="BM821" s="124"/>
      <c r="BN821" s="124"/>
      <c r="BO821" s="124"/>
      <c r="BP821" s="124"/>
      <c r="BQ821" s="124"/>
      <c r="BR821" s="124"/>
      <c r="BS821" s="124"/>
      <c r="BT821" s="124"/>
      <c r="BU821" s="124"/>
      <c r="BV821" s="124"/>
      <c r="BW821" s="124"/>
      <c r="BX821" s="124"/>
      <c r="BY821" s="124"/>
      <c r="BZ821" s="124"/>
      <c r="CA821" s="124"/>
    </row>
    <row r="822">
      <c r="D822" s="143"/>
      <c r="E822" s="112"/>
      <c r="F822" s="112"/>
      <c r="G822" s="112"/>
      <c r="H822" s="112"/>
      <c r="I822" s="112"/>
      <c r="J822" s="112"/>
      <c r="K822" s="112"/>
      <c r="L822" s="112"/>
      <c r="M822" s="112"/>
      <c r="N822" s="112"/>
      <c r="O822" s="112"/>
      <c r="P822" s="112"/>
      <c r="Q822" s="112"/>
      <c r="R822" s="112"/>
      <c r="S822" s="112"/>
      <c r="T822" s="112"/>
      <c r="U822" s="107"/>
      <c r="V822" s="107"/>
      <c r="W822" s="107"/>
      <c r="X822" s="107"/>
      <c r="Y822" s="107"/>
      <c r="Z822" s="112"/>
      <c r="AA822" s="112"/>
      <c r="AB822" s="112"/>
      <c r="AC822" s="112"/>
      <c r="AD822" s="112"/>
      <c r="AE822" s="112"/>
      <c r="AF822" s="112"/>
      <c r="AG822" s="117"/>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c r="BK822" s="124"/>
      <c r="BL822" s="124"/>
      <c r="BM822" s="124"/>
      <c r="BN822" s="124"/>
      <c r="BO822" s="124"/>
      <c r="BP822" s="124"/>
      <c r="BQ822" s="124"/>
      <c r="BR822" s="124"/>
      <c r="BS822" s="124"/>
      <c r="BT822" s="124"/>
      <c r="BU822" s="124"/>
      <c r="BV822" s="124"/>
      <c r="BW822" s="124"/>
      <c r="BX822" s="124"/>
      <c r="BY822" s="124"/>
      <c r="BZ822" s="124"/>
      <c r="CA822" s="124"/>
    </row>
    <row r="823">
      <c r="D823" s="143"/>
      <c r="E823" s="112"/>
      <c r="F823" s="112"/>
      <c r="G823" s="112"/>
      <c r="H823" s="112"/>
      <c r="I823" s="112"/>
      <c r="J823" s="112"/>
      <c r="K823" s="112"/>
      <c r="L823" s="112"/>
      <c r="M823" s="112"/>
      <c r="N823" s="112"/>
      <c r="O823" s="112"/>
      <c r="P823" s="112"/>
      <c r="Q823" s="112"/>
      <c r="R823" s="112"/>
      <c r="S823" s="112"/>
      <c r="T823" s="112"/>
      <c r="U823" s="107"/>
      <c r="V823" s="107"/>
      <c r="W823" s="107"/>
      <c r="X823" s="107"/>
      <c r="Y823" s="107"/>
      <c r="Z823" s="112"/>
      <c r="AA823" s="112"/>
      <c r="AB823" s="112"/>
      <c r="AC823" s="112"/>
      <c r="AD823" s="112"/>
      <c r="AE823" s="112"/>
      <c r="AF823" s="112"/>
      <c r="AG823" s="117"/>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c r="BK823" s="124"/>
      <c r="BL823" s="124"/>
      <c r="BM823" s="124"/>
      <c r="BN823" s="124"/>
      <c r="BO823" s="124"/>
      <c r="BP823" s="124"/>
      <c r="BQ823" s="124"/>
      <c r="BR823" s="124"/>
      <c r="BS823" s="124"/>
      <c r="BT823" s="124"/>
      <c r="BU823" s="124"/>
      <c r="BV823" s="124"/>
      <c r="BW823" s="124"/>
      <c r="BX823" s="124"/>
      <c r="BY823" s="124"/>
      <c r="BZ823" s="124"/>
      <c r="CA823" s="124"/>
    </row>
    <row r="824">
      <c r="D824" s="143"/>
      <c r="E824" s="112"/>
      <c r="F824" s="112"/>
      <c r="G824" s="112"/>
      <c r="H824" s="112"/>
      <c r="I824" s="112"/>
      <c r="J824" s="112"/>
      <c r="K824" s="112"/>
      <c r="L824" s="112"/>
      <c r="M824" s="112"/>
      <c r="N824" s="112"/>
      <c r="O824" s="112"/>
      <c r="P824" s="112"/>
      <c r="Q824" s="112"/>
      <c r="R824" s="112"/>
      <c r="S824" s="112"/>
      <c r="T824" s="112"/>
      <c r="U824" s="107"/>
      <c r="V824" s="107"/>
      <c r="W824" s="107"/>
      <c r="X824" s="107"/>
      <c r="Y824" s="107"/>
      <c r="Z824" s="112"/>
      <c r="AA824" s="112"/>
      <c r="AB824" s="112"/>
      <c r="AC824" s="112"/>
      <c r="AD824" s="112"/>
      <c r="AE824" s="112"/>
      <c r="AF824" s="112"/>
      <c r="AG824" s="117"/>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c r="BK824" s="124"/>
      <c r="BL824" s="124"/>
      <c r="BM824" s="124"/>
      <c r="BN824" s="124"/>
      <c r="BO824" s="124"/>
      <c r="BP824" s="124"/>
      <c r="BQ824" s="124"/>
      <c r="BR824" s="124"/>
      <c r="BS824" s="124"/>
      <c r="BT824" s="124"/>
      <c r="BU824" s="124"/>
      <c r="BV824" s="124"/>
      <c r="BW824" s="124"/>
      <c r="BX824" s="124"/>
      <c r="BY824" s="124"/>
      <c r="BZ824" s="124"/>
      <c r="CA824" s="124"/>
    </row>
    <row r="825">
      <c r="D825" s="143"/>
      <c r="E825" s="112"/>
      <c r="F825" s="112"/>
      <c r="G825" s="112"/>
      <c r="H825" s="112"/>
      <c r="I825" s="112"/>
      <c r="J825" s="112"/>
      <c r="K825" s="112"/>
      <c r="L825" s="112"/>
      <c r="M825" s="112"/>
      <c r="N825" s="112"/>
      <c r="O825" s="112"/>
      <c r="P825" s="112"/>
      <c r="Q825" s="112"/>
      <c r="R825" s="112"/>
      <c r="S825" s="112"/>
      <c r="T825" s="112"/>
      <c r="U825" s="107"/>
      <c r="V825" s="107"/>
      <c r="W825" s="107"/>
      <c r="X825" s="107"/>
      <c r="Y825" s="107"/>
      <c r="Z825" s="112"/>
      <c r="AA825" s="112"/>
      <c r="AB825" s="112"/>
      <c r="AC825" s="112"/>
      <c r="AD825" s="112"/>
      <c r="AE825" s="112"/>
      <c r="AF825" s="112"/>
      <c r="AG825" s="117"/>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c r="BK825" s="124"/>
      <c r="BL825" s="124"/>
      <c r="BM825" s="124"/>
      <c r="BN825" s="124"/>
      <c r="BO825" s="124"/>
      <c r="BP825" s="124"/>
      <c r="BQ825" s="124"/>
      <c r="BR825" s="124"/>
      <c r="BS825" s="124"/>
      <c r="BT825" s="124"/>
      <c r="BU825" s="124"/>
      <c r="BV825" s="124"/>
      <c r="BW825" s="124"/>
      <c r="BX825" s="124"/>
      <c r="BY825" s="124"/>
      <c r="BZ825" s="124"/>
      <c r="CA825" s="124"/>
    </row>
    <row r="826">
      <c r="D826" s="143"/>
      <c r="E826" s="112"/>
      <c r="F826" s="112"/>
      <c r="G826" s="112"/>
      <c r="H826" s="112"/>
      <c r="I826" s="112"/>
      <c r="J826" s="112"/>
      <c r="K826" s="112"/>
      <c r="L826" s="112"/>
      <c r="M826" s="112"/>
      <c r="N826" s="112"/>
      <c r="O826" s="112"/>
      <c r="P826" s="112"/>
      <c r="Q826" s="112"/>
      <c r="R826" s="112"/>
      <c r="S826" s="112"/>
      <c r="T826" s="112"/>
      <c r="U826" s="107"/>
      <c r="V826" s="107"/>
      <c r="W826" s="107"/>
      <c r="X826" s="107"/>
      <c r="Y826" s="107"/>
      <c r="Z826" s="112"/>
      <c r="AA826" s="112"/>
      <c r="AB826" s="112"/>
      <c r="AC826" s="112"/>
      <c r="AD826" s="112"/>
      <c r="AE826" s="112"/>
      <c r="AF826" s="112"/>
      <c r="AG826" s="117"/>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c r="BK826" s="124"/>
      <c r="BL826" s="124"/>
      <c r="BM826" s="124"/>
      <c r="BN826" s="124"/>
      <c r="BO826" s="124"/>
      <c r="BP826" s="124"/>
      <c r="BQ826" s="124"/>
      <c r="BR826" s="124"/>
      <c r="BS826" s="124"/>
      <c r="BT826" s="124"/>
      <c r="BU826" s="124"/>
      <c r="BV826" s="124"/>
      <c r="BW826" s="124"/>
      <c r="BX826" s="124"/>
      <c r="BY826" s="124"/>
      <c r="BZ826" s="124"/>
      <c r="CA826" s="124"/>
    </row>
    <row r="827">
      <c r="D827" s="143"/>
      <c r="E827" s="112"/>
      <c r="F827" s="112"/>
      <c r="G827" s="112"/>
      <c r="H827" s="112"/>
      <c r="I827" s="112"/>
      <c r="J827" s="112"/>
      <c r="K827" s="112"/>
      <c r="L827" s="112"/>
      <c r="M827" s="112"/>
      <c r="N827" s="112"/>
      <c r="O827" s="112"/>
      <c r="P827" s="112"/>
      <c r="Q827" s="112"/>
      <c r="R827" s="112"/>
      <c r="S827" s="112"/>
      <c r="T827" s="112"/>
      <c r="U827" s="107"/>
      <c r="V827" s="107"/>
      <c r="W827" s="107"/>
      <c r="X827" s="107"/>
      <c r="Y827" s="107"/>
      <c r="Z827" s="112"/>
      <c r="AA827" s="112"/>
      <c r="AB827" s="112"/>
      <c r="AC827" s="112"/>
      <c r="AD827" s="112"/>
      <c r="AE827" s="112"/>
      <c r="AF827" s="112"/>
      <c r="AG827" s="117"/>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c r="BK827" s="124"/>
      <c r="BL827" s="124"/>
      <c r="BM827" s="124"/>
      <c r="BN827" s="124"/>
      <c r="BO827" s="124"/>
      <c r="BP827" s="124"/>
      <c r="BQ827" s="124"/>
      <c r="BR827" s="124"/>
      <c r="BS827" s="124"/>
      <c r="BT827" s="124"/>
      <c r="BU827" s="124"/>
      <c r="BV827" s="124"/>
      <c r="BW827" s="124"/>
      <c r="BX827" s="124"/>
      <c r="BY827" s="124"/>
      <c r="BZ827" s="124"/>
      <c r="CA827" s="124"/>
    </row>
    <row r="828">
      <c r="D828" s="143"/>
      <c r="E828" s="112"/>
      <c r="F828" s="112"/>
      <c r="G828" s="112"/>
      <c r="H828" s="112"/>
      <c r="I828" s="112"/>
      <c r="J828" s="112"/>
      <c r="K828" s="112"/>
      <c r="L828" s="112"/>
      <c r="M828" s="112"/>
      <c r="N828" s="112"/>
      <c r="O828" s="112"/>
      <c r="P828" s="112"/>
      <c r="Q828" s="112"/>
      <c r="R828" s="112"/>
      <c r="S828" s="112"/>
      <c r="T828" s="112"/>
      <c r="U828" s="107"/>
      <c r="V828" s="107"/>
      <c r="W828" s="107"/>
      <c r="X828" s="107"/>
      <c r="Y828" s="107"/>
      <c r="Z828" s="112"/>
      <c r="AA828" s="112"/>
      <c r="AB828" s="112"/>
      <c r="AC828" s="112"/>
      <c r="AD828" s="112"/>
      <c r="AE828" s="112"/>
      <c r="AF828" s="112"/>
      <c r="AG828" s="117"/>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c r="BK828" s="124"/>
      <c r="BL828" s="124"/>
      <c r="BM828" s="124"/>
      <c r="BN828" s="124"/>
      <c r="BO828" s="124"/>
      <c r="BP828" s="124"/>
      <c r="BQ828" s="124"/>
      <c r="BR828" s="124"/>
      <c r="BS828" s="124"/>
      <c r="BT828" s="124"/>
      <c r="BU828" s="124"/>
      <c r="BV828" s="124"/>
      <c r="BW828" s="124"/>
      <c r="BX828" s="124"/>
      <c r="BY828" s="124"/>
      <c r="BZ828" s="124"/>
      <c r="CA828" s="124"/>
    </row>
    <row r="829">
      <c r="D829" s="143"/>
      <c r="E829" s="112"/>
      <c r="F829" s="112"/>
      <c r="G829" s="112"/>
      <c r="H829" s="112"/>
      <c r="I829" s="112"/>
      <c r="J829" s="112"/>
      <c r="K829" s="112"/>
      <c r="L829" s="112"/>
      <c r="M829" s="112"/>
      <c r="N829" s="112"/>
      <c r="O829" s="112"/>
      <c r="P829" s="112"/>
      <c r="Q829" s="112"/>
      <c r="R829" s="112"/>
      <c r="S829" s="112"/>
      <c r="T829" s="112"/>
      <c r="U829" s="107"/>
      <c r="V829" s="107"/>
      <c r="W829" s="107"/>
      <c r="X829" s="107"/>
      <c r="Y829" s="107"/>
      <c r="Z829" s="112"/>
      <c r="AA829" s="112"/>
      <c r="AB829" s="112"/>
      <c r="AC829" s="112"/>
      <c r="AD829" s="112"/>
      <c r="AE829" s="112"/>
      <c r="AF829" s="112"/>
      <c r="AG829" s="117"/>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c r="BK829" s="124"/>
      <c r="BL829" s="124"/>
      <c r="BM829" s="124"/>
      <c r="BN829" s="124"/>
      <c r="BO829" s="124"/>
      <c r="BP829" s="124"/>
      <c r="BQ829" s="124"/>
      <c r="BR829" s="124"/>
      <c r="BS829" s="124"/>
      <c r="BT829" s="124"/>
      <c r="BU829" s="124"/>
      <c r="BV829" s="124"/>
      <c r="BW829" s="124"/>
      <c r="BX829" s="124"/>
      <c r="BY829" s="124"/>
      <c r="BZ829" s="124"/>
      <c r="CA829" s="124"/>
    </row>
    <row r="830">
      <c r="D830" s="143"/>
      <c r="E830" s="112"/>
      <c r="F830" s="112"/>
      <c r="G830" s="112"/>
      <c r="H830" s="112"/>
      <c r="I830" s="112"/>
      <c r="J830" s="112"/>
      <c r="K830" s="112"/>
      <c r="L830" s="112"/>
      <c r="M830" s="112"/>
      <c r="N830" s="112"/>
      <c r="O830" s="112"/>
      <c r="P830" s="112"/>
      <c r="Q830" s="112"/>
      <c r="R830" s="112"/>
      <c r="S830" s="112"/>
      <c r="T830" s="112"/>
      <c r="U830" s="107"/>
      <c r="V830" s="107"/>
      <c r="W830" s="107"/>
      <c r="X830" s="107"/>
      <c r="Y830" s="107"/>
      <c r="Z830" s="112"/>
      <c r="AA830" s="112"/>
      <c r="AB830" s="112"/>
      <c r="AC830" s="112"/>
      <c r="AD830" s="112"/>
      <c r="AE830" s="112"/>
      <c r="AF830" s="112"/>
      <c r="AG830" s="117"/>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c r="BK830" s="124"/>
      <c r="BL830" s="124"/>
      <c r="BM830" s="124"/>
      <c r="BN830" s="124"/>
      <c r="BO830" s="124"/>
      <c r="BP830" s="124"/>
      <c r="BQ830" s="124"/>
      <c r="BR830" s="124"/>
      <c r="BS830" s="124"/>
      <c r="BT830" s="124"/>
      <c r="BU830" s="124"/>
      <c r="BV830" s="124"/>
      <c r="BW830" s="124"/>
      <c r="BX830" s="124"/>
      <c r="BY830" s="124"/>
      <c r="BZ830" s="124"/>
      <c r="CA830" s="124"/>
    </row>
    <row r="831">
      <c r="D831" s="143"/>
      <c r="E831" s="112"/>
      <c r="F831" s="112"/>
      <c r="G831" s="112"/>
      <c r="H831" s="112"/>
      <c r="I831" s="112"/>
      <c r="J831" s="112"/>
      <c r="K831" s="112"/>
      <c r="L831" s="112"/>
      <c r="M831" s="112"/>
      <c r="N831" s="112"/>
      <c r="O831" s="112"/>
      <c r="P831" s="112"/>
      <c r="Q831" s="112"/>
      <c r="R831" s="112"/>
      <c r="S831" s="112"/>
      <c r="T831" s="112"/>
      <c r="U831" s="107"/>
      <c r="V831" s="107"/>
      <c r="W831" s="107"/>
      <c r="X831" s="107"/>
      <c r="Y831" s="107"/>
      <c r="Z831" s="112"/>
      <c r="AA831" s="112"/>
      <c r="AB831" s="112"/>
      <c r="AC831" s="112"/>
      <c r="AD831" s="112"/>
      <c r="AE831" s="112"/>
      <c r="AF831" s="112"/>
      <c r="AG831" s="117"/>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c r="BK831" s="124"/>
      <c r="BL831" s="124"/>
      <c r="BM831" s="124"/>
      <c r="BN831" s="124"/>
      <c r="BO831" s="124"/>
      <c r="BP831" s="124"/>
      <c r="BQ831" s="124"/>
      <c r="BR831" s="124"/>
      <c r="BS831" s="124"/>
      <c r="BT831" s="124"/>
      <c r="BU831" s="124"/>
      <c r="BV831" s="124"/>
      <c r="BW831" s="124"/>
      <c r="BX831" s="124"/>
      <c r="BY831" s="124"/>
      <c r="BZ831" s="124"/>
      <c r="CA831" s="124"/>
    </row>
    <row r="832">
      <c r="D832" s="143"/>
      <c r="E832" s="112"/>
      <c r="F832" s="112"/>
      <c r="G832" s="112"/>
      <c r="H832" s="112"/>
      <c r="I832" s="112"/>
      <c r="J832" s="112"/>
      <c r="K832" s="112"/>
      <c r="L832" s="112"/>
      <c r="M832" s="112"/>
      <c r="N832" s="112"/>
      <c r="O832" s="112"/>
      <c r="P832" s="112"/>
      <c r="Q832" s="112"/>
      <c r="R832" s="112"/>
      <c r="S832" s="112"/>
      <c r="T832" s="112"/>
      <c r="U832" s="107"/>
      <c r="V832" s="107"/>
      <c r="W832" s="107"/>
      <c r="X832" s="107"/>
      <c r="Y832" s="107"/>
      <c r="Z832" s="112"/>
      <c r="AA832" s="112"/>
      <c r="AB832" s="112"/>
      <c r="AC832" s="112"/>
      <c r="AD832" s="112"/>
      <c r="AE832" s="112"/>
      <c r="AF832" s="112"/>
      <c r="AG832" s="117"/>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c r="BK832" s="124"/>
      <c r="BL832" s="124"/>
      <c r="BM832" s="124"/>
      <c r="BN832" s="124"/>
      <c r="BO832" s="124"/>
      <c r="BP832" s="124"/>
      <c r="BQ832" s="124"/>
      <c r="BR832" s="124"/>
      <c r="BS832" s="124"/>
      <c r="BT832" s="124"/>
      <c r="BU832" s="124"/>
      <c r="BV832" s="124"/>
      <c r="BW832" s="124"/>
      <c r="BX832" s="124"/>
      <c r="BY832" s="124"/>
      <c r="BZ832" s="124"/>
      <c r="CA832" s="124"/>
    </row>
    <row r="833">
      <c r="D833" s="143"/>
      <c r="E833" s="112"/>
      <c r="F833" s="112"/>
      <c r="G833" s="112"/>
      <c r="H833" s="112"/>
      <c r="I833" s="112"/>
      <c r="J833" s="112"/>
      <c r="K833" s="112"/>
      <c r="L833" s="112"/>
      <c r="M833" s="112"/>
      <c r="N833" s="112"/>
      <c r="O833" s="112"/>
      <c r="P833" s="112"/>
      <c r="Q833" s="112"/>
      <c r="R833" s="112"/>
      <c r="S833" s="112"/>
      <c r="T833" s="112"/>
      <c r="U833" s="107"/>
      <c r="V833" s="107"/>
      <c r="W833" s="107"/>
      <c r="X833" s="107"/>
      <c r="Y833" s="107"/>
      <c r="Z833" s="112"/>
      <c r="AA833" s="112"/>
      <c r="AB833" s="112"/>
      <c r="AC833" s="112"/>
      <c r="AD833" s="112"/>
      <c r="AE833" s="112"/>
      <c r="AF833" s="112"/>
      <c r="AG833" s="117"/>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c r="BK833" s="124"/>
      <c r="BL833" s="124"/>
      <c r="BM833" s="124"/>
      <c r="BN833" s="124"/>
      <c r="BO833" s="124"/>
      <c r="BP833" s="124"/>
      <c r="BQ833" s="124"/>
      <c r="BR833" s="124"/>
      <c r="BS833" s="124"/>
      <c r="BT833" s="124"/>
      <c r="BU833" s="124"/>
      <c r="BV833" s="124"/>
      <c r="BW833" s="124"/>
      <c r="BX833" s="124"/>
      <c r="BY833" s="124"/>
      <c r="BZ833" s="124"/>
      <c r="CA833" s="124"/>
    </row>
    <row r="834">
      <c r="D834" s="143"/>
      <c r="E834" s="112"/>
      <c r="F834" s="112"/>
      <c r="G834" s="112"/>
      <c r="H834" s="112"/>
      <c r="I834" s="112"/>
      <c r="J834" s="112"/>
      <c r="K834" s="112"/>
      <c r="L834" s="112"/>
      <c r="M834" s="112"/>
      <c r="N834" s="112"/>
      <c r="O834" s="112"/>
      <c r="P834" s="112"/>
      <c r="Q834" s="112"/>
      <c r="R834" s="112"/>
      <c r="S834" s="112"/>
      <c r="T834" s="112"/>
      <c r="U834" s="107"/>
      <c r="V834" s="107"/>
      <c r="W834" s="107"/>
      <c r="X834" s="107"/>
      <c r="Y834" s="107"/>
      <c r="Z834" s="112"/>
      <c r="AA834" s="112"/>
      <c r="AB834" s="112"/>
      <c r="AC834" s="112"/>
      <c r="AD834" s="112"/>
      <c r="AE834" s="112"/>
      <c r="AF834" s="112"/>
      <c r="AG834" s="117"/>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c r="BK834" s="124"/>
      <c r="BL834" s="124"/>
      <c r="BM834" s="124"/>
      <c r="BN834" s="124"/>
      <c r="BO834" s="124"/>
      <c r="BP834" s="124"/>
      <c r="BQ834" s="124"/>
      <c r="BR834" s="124"/>
      <c r="BS834" s="124"/>
      <c r="BT834" s="124"/>
      <c r="BU834" s="124"/>
      <c r="BV834" s="124"/>
      <c r="BW834" s="124"/>
      <c r="BX834" s="124"/>
      <c r="BY834" s="124"/>
      <c r="BZ834" s="124"/>
      <c r="CA834" s="124"/>
    </row>
    <row r="835">
      <c r="D835" s="143"/>
      <c r="E835" s="112"/>
      <c r="F835" s="112"/>
      <c r="G835" s="112"/>
      <c r="H835" s="112"/>
      <c r="I835" s="112"/>
      <c r="J835" s="112"/>
      <c r="K835" s="112"/>
      <c r="L835" s="112"/>
      <c r="M835" s="112"/>
      <c r="N835" s="112"/>
      <c r="O835" s="112"/>
      <c r="P835" s="112"/>
      <c r="Q835" s="112"/>
      <c r="R835" s="112"/>
      <c r="S835" s="112"/>
      <c r="T835" s="112"/>
      <c r="U835" s="107"/>
      <c r="V835" s="107"/>
      <c r="W835" s="107"/>
      <c r="X835" s="107"/>
      <c r="Y835" s="107"/>
      <c r="Z835" s="112"/>
      <c r="AA835" s="112"/>
      <c r="AB835" s="112"/>
      <c r="AC835" s="112"/>
      <c r="AD835" s="112"/>
      <c r="AE835" s="112"/>
      <c r="AF835" s="112"/>
      <c r="AG835" s="117"/>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c r="BK835" s="124"/>
      <c r="BL835" s="124"/>
      <c r="BM835" s="124"/>
      <c r="BN835" s="124"/>
      <c r="BO835" s="124"/>
      <c r="BP835" s="124"/>
      <c r="BQ835" s="124"/>
      <c r="BR835" s="124"/>
      <c r="BS835" s="124"/>
      <c r="BT835" s="124"/>
      <c r="BU835" s="124"/>
      <c r="BV835" s="124"/>
      <c r="BW835" s="124"/>
      <c r="BX835" s="124"/>
      <c r="BY835" s="124"/>
      <c r="BZ835" s="124"/>
      <c r="CA835" s="124"/>
    </row>
    <row r="836">
      <c r="D836" s="143"/>
      <c r="E836" s="112"/>
      <c r="F836" s="112"/>
      <c r="G836" s="112"/>
      <c r="H836" s="112"/>
      <c r="I836" s="112"/>
      <c r="J836" s="112"/>
      <c r="K836" s="112"/>
      <c r="L836" s="112"/>
      <c r="M836" s="112"/>
      <c r="N836" s="112"/>
      <c r="O836" s="112"/>
      <c r="P836" s="112"/>
      <c r="Q836" s="112"/>
      <c r="R836" s="112"/>
      <c r="S836" s="112"/>
      <c r="T836" s="112"/>
      <c r="U836" s="107"/>
      <c r="V836" s="107"/>
      <c r="W836" s="107"/>
      <c r="X836" s="107"/>
      <c r="Y836" s="107"/>
      <c r="Z836" s="112"/>
      <c r="AA836" s="112"/>
      <c r="AB836" s="112"/>
      <c r="AC836" s="112"/>
      <c r="AD836" s="112"/>
      <c r="AE836" s="112"/>
      <c r="AF836" s="112"/>
      <c r="AG836" s="117"/>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c r="BK836" s="124"/>
      <c r="BL836" s="124"/>
      <c r="BM836" s="124"/>
      <c r="BN836" s="124"/>
      <c r="BO836" s="124"/>
      <c r="BP836" s="124"/>
      <c r="BQ836" s="124"/>
      <c r="BR836" s="124"/>
      <c r="BS836" s="124"/>
      <c r="BT836" s="124"/>
      <c r="BU836" s="124"/>
      <c r="BV836" s="124"/>
      <c r="BW836" s="124"/>
      <c r="BX836" s="124"/>
      <c r="BY836" s="124"/>
      <c r="BZ836" s="124"/>
      <c r="CA836" s="124"/>
    </row>
    <row r="837">
      <c r="D837" s="143"/>
      <c r="E837" s="112"/>
      <c r="F837" s="112"/>
      <c r="G837" s="112"/>
      <c r="H837" s="112"/>
      <c r="I837" s="112"/>
      <c r="J837" s="112"/>
      <c r="K837" s="112"/>
      <c r="L837" s="112"/>
      <c r="M837" s="112"/>
      <c r="N837" s="112"/>
      <c r="O837" s="112"/>
      <c r="P837" s="112"/>
      <c r="Q837" s="112"/>
      <c r="R837" s="112"/>
      <c r="S837" s="112"/>
      <c r="T837" s="112"/>
      <c r="U837" s="107"/>
      <c r="V837" s="107"/>
      <c r="W837" s="107"/>
      <c r="X837" s="107"/>
      <c r="Y837" s="107"/>
      <c r="Z837" s="112"/>
      <c r="AA837" s="112"/>
      <c r="AB837" s="112"/>
      <c r="AC837" s="112"/>
      <c r="AD837" s="112"/>
      <c r="AE837" s="112"/>
      <c r="AF837" s="112"/>
      <c r="AG837" s="117"/>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c r="BK837" s="124"/>
      <c r="BL837" s="124"/>
      <c r="BM837" s="124"/>
      <c r="BN837" s="124"/>
      <c r="BO837" s="124"/>
      <c r="BP837" s="124"/>
      <c r="BQ837" s="124"/>
      <c r="BR837" s="124"/>
      <c r="BS837" s="124"/>
      <c r="BT837" s="124"/>
      <c r="BU837" s="124"/>
      <c r="BV837" s="124"/>
      <c r="BW837" s="124"/>
      <c r="BX837" s="124"/>
      <c r="BY837" s="124"/>
      <c r="BZ837" s="124"/>
      <c r="CA837" s="124"/>
    </row>
    <row r="838">
      <c r="D838" s="143"/>
      <c r="E838" s="112"/>
      <c r="F838" s="112"/>
      <c r="G838" s="112"/>
      <c r="H838" s="112"/>
      <c r="I838" s="112"/>
      <c r="J838" s="112"/>
      <c r="K838" s="112"/>
      <c r="L838" s="112"/>
      <c r="M838" s="112"/>
      <c r="N838" s="112"/>
      <c r="O838" s="112"/>
      <c r="P838" s="112"/>
      <c r="Q838" s="112"/>
      <c r="R838" s="112"/>
      <c r="S838" s="112"/>
      <c r="T838" s="112"/>
      <c r="U838" s="107"/>
      <c r="V838" s="107"/>
      <c r="W838" s="107"/>
      <c r="X838" s="107"/>
      <c r="Y838" s="107"/>
      <c r="Z838" s="112"/>
      <c r="AA838" s="112"/>
      <c r="AB838" s="112"/>
      <c r="AC838" s="112"/>
      <c r="AD838" s="112"/>
      <c r="AE838" s="112"/>
      <c r="AF838" s="112"/>
      <c r="AG838" s="117"/>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c r="BK838" s="124"/>
      <c r="BL838" s="124"/>
      <c r="BM838" s="124"/>
      <c r="BN838" s="124"/>
      <c r="BO838" s="124"/>
      <c r="BP838" s="124"/>
      <c r="BQ838" s="124"/>
      <c r="BR838" s="124"/>
      <c r="BS838" s="124"/>
      <c r="BT838" s="124"/>
      <c r="BU838" s="124"/>
      <c r="BV838" s="124"/>
      <c r="BW838" s="124"/>
      <c r="BX838" s="124"/>
      <c r="BY838" s="124"/>
      <c r="BZ838" s="124"/>
      <c r="CA838" s="124"/>
    </row>
    <row r="839">
      <c r="D839" s="143"/>
      <c r="E839" s="112"/>
      <c r="F839" s="112"/>
      <c r="G839" s="112"/>
      <c r="H839" s="112"/>
      <c r="I839" s="112"/>
      <c r="J839" s="112"/>
      <c r="K839" s="112"/>
      <c r="L839" s="112"/>
      <c r="M839" s="112"/>
      <c r="N839" s="112"/>
      <c r="O839" s="112"/>
      <c r="P839" s="112"/>
      <c r="Q839" s="112"/>
      <c r="R839" s="112"/>
      <c r="S839" s="112"/>
      <c r="T839" s="112"/>
      <c r="U839" s="107"/>
      <c r="V839" s="107"/>
      <c r="W839" s="107"/>
      <c r="X839" s="107"/>
      <c r="Y839" s="107"/>
      <c r="Z839" s="112"/>
      <c r="AA839" s="112"/>
      <c r="AB839" s="112"/>
      <c r="AC839" s="112"/>
      <c r="AD839" s="112"/>
      <c r="AE839" s="112"/>
      <c r="AF839" s="112"/>
      <c r="AG839" s="117"/>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c r="BK839" s="124"/>
      <c r="BL839" s="124"/>
      <c r="BM839" s="124"/>
      <c r="BN839" s="124"/>
      <c r="BO839" s="124"/>
      <c r="BP839" s="124"/>
      <c r="BQ839" s="124"/>
      <c r="BR839" s="124"/>
      <c r="BS839" s="124"/>
      <c r="BT839" s="124"/>
      <c r="BU839" s="124"/>
      <c r="BV839" s="124"/>
      <c r="BW839" s="124"/>
      <c r="BX839" s="124"/>
      <c r="BY839" s="124"/>
      <c r="BZ839" s="124"/>
      <c r="CA839" s="124"/>
    </row>
    <row r="840">
      <c r="D840" s="143"/>
      <c r="E840" s="112"/>
      <c r="F840" s="112"/>
      <c r="G840" s="112"/>
      <c r="H840" s="112"/>
      <c r="I840" s="112"/>
      <c r="J840" s="112"/>
      <c r="K840" s="112"/>
      <c r="L840" s="112"/>
      <c r="M840" s="112"/>
      <c r="N840" s="112"/>
      <c r="O840" s="112"/>
      <c r="P840" s="112"/>
      <c r="Q840" s="112"/>
      <c r="R840" s="112"/>
      <c r="S840" s="112"/>
      <c r="T840" s="112"/>
      <c r="U840" s="107"/>
      <c r="V840" s="107"/>
      <c r="W840" s="107"/>
      <c r="X840" s="107"/>
      <c r="Y840" s="107"/>
      <c r="Z840" s="112"/>
      <c r="AA840" s="112"/>
      <c r="AB840" s="112"/>
      <c r="AC840" s="112"/>
      <c r="AD840" s="112"/>
      <c r="AE840" s="112"/>
      <c r="AF840" s="112"/>
      <c r="AG840" s="117"/>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c r="BK840" s="124"/>
      <c r="BL840" s="124"/>
      <c r="BM840" s="124"/>
      <c r="BN840" s="124"/>
      <c r="BO840" s="124"/>
      <c r="BP840" s="124"/>
      <c r="BQ840" s="124"/>
      <c r="BR840" s="124"/>
      <c r="BS840" s="124"/>
      <c r="BT840" s="124"/>
      <c r="BU840" s="124"/>
      <c r="BV840" s="124"/>
      <c r="BW840" s="124"/>
      <c r="BX840" s="124"/>
      <c r="BY840" s="124"/>
      <c r="BZ840" s="124"/>
      <c r="CA840" s="124"/>
    </row>
    <row r="841">
      <c r="D841" s="143"/>
      <c r="E841" s="112"/>
      <c r="F841" s="112"/>
      <c r="G841" s="112"/>
      <c r="H841" s="112"/>
      <c r="I841" s="112"/>
      <c r="J841" s="112"/>
      <c r="K841" s="112"/>
      <c r="L841" s="112"/>
      <c r="M841" s="112"/>
      <c r="N841" s="112"/>
      <c r="O841" s="112"/>
      <c r="P841" s="112"/>
      <c r="Q841" s="112"/>
      <c r="R841" s="112"/>
      <c r="S841" s="112"/>
      <c r="T841" s="112"/>
      <c r="U841" s="107"/>
      <c r="V841" s="107"/>
      <c r="W841" s="107"/>
      <c r="X841" s="107"/>
      <c r="Y841" s="107"/>
      <c r="Z841" s="112"/>
      <c r="AA841" s="112"/>
      <c r="AB841" s="112"/>
      <c r="AC841" s="112"/>
      <c r="AD841" s="112"/>
      <c r="AE841" s="112"/>
      <c r="AF841" s="112"/>
      <c r="AG841" s="117"/>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c r="BK841" s="124"/>
      <c r="BL841" s="124"/>
      <c r="BM841" s="124"/>
      <c r="BN841" s="124"/>
      <c r="BO841" s="124"/>
      <c r="BP841" s="124"/>
      <c r="BQ841" s="124"/>
      <c r="BR841" s="124"/>
      <c r="BS841" s="124"/>
      <c r="BT841" s="124"/>
      <c r="BU841" s="124"/>
      <c r="BV841" s="124"/>
      <c r="BW841" s="124"/>
      <c r="BX841" s="124"/>
      <c r="BY841" s="124"/>
      <c r="BZ841" s="124"/>
      <c r="CA841" s="124"/>
    </row>
    <row r="842">
      <c r="D842" s="143"/>
      <c r="E842" s="112"/>
      <c r="F842" s="112"/>
      <c r="G842" s="112"/>
      <c r="H842" s="112"/>
      <c r="I842" s="112"/>
      <c r="J842" s="112"/>
      <c r="K842" s="112"/>
      <c r="L842" s="112"/>
      <c r="M842" s="112"/>
      <c r="N842" s="112"/>
      <c r="O842" s="112"/>
      <c r="P842" s="112"/>
      <c r="Q842" s="112"/>
      <c r="R842" s="112"/>
      <c r="S842" s="112"/>
      <c r="T842" s="112"/>
      <c r="U842" s="107"/>
      <c r="V842" s="107"/>
      <c r="W842" s="107"/>
      <c r="X842" s="107"/>
      <c r="Y842" s="107"/>
      <c r="Z842" s="112"/>
      <c r="AA842" s="112"/>
      <c r="AB842" s="112"/>
      <c r="AC842" s="112"/>
      <c r="AD842" s="112"/>
      <c r="AE842" s="112"/>
      <c r="AF842" s="112"/>
      <c r="AG842" s="117"/>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c r="BK842" s="124"/>
      <c r="BL842" s="124"/>
      <c r="BM842" s="124"/>
      <c r="BN842" s="124"/>
      <c r="BO842" s="124"/>
      <c r="BP842" s="124"/>
      <c r="BQ842" s="124"/>
      <c r="BR842" s="124"/>
      <c r="BS842" s="124"/>
      <c r="BT842" s="124"/>
      <c r="BU842" s="124"/>
      <c r="BV842" s="124"/>
      <c r="BW842" s="124"/>
      <c r="BX842" s="124"/>
      <c r="BY842" s="124"/>
      <c r="BZ842" s="124"/>
      <c r="CA842" s="124"/>
    </row>
    <row r="843">
      <c r="D843" s="143"/>
      <c r="E843" s="112"/>
      <c r="F843" s="112"/>
      <c r="G843" s="112"/>
      <c r="H843" s="112"/>
      <c r="I843" s="112"/>
      <c r="J843" s="112"/>
      <c r="K843" s="112"/>
      <c r="L843" s="112"/>
      <c r="M843" s="112"/>
      <c r="N843" s="112"/>
      <c r="O843" s="112"/>
      <c r="P843" s="112"/>
      <c r="Q843" s="112"/>
      <c r="R843" s="112"/>
      <c r="S843" s="112"/>
      <c r="T843" s="112"/>
      <c r="U843" s="107"/>
      <c r="V843" s="107"/>
      <c r="W843" s="107"/>
      <c r="X843" s="107"/>
      <c r="Y843" s="107"/>
      <c r="Z843" s="112"/>
      <c r="AA843" s="112"/>
      <c r="AB843" s="112"/>
      <c r="AC843" s="112"/>
      <c r="AD843" s="112"/>
      <c r="AE843" s="112"/>
      <c r="AF843" s="112"/>
      <c r="AG843" s="117"/>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c r="BK843" s="124"/>
      <c r="BL843" s="124"/>
      <c r="BM843" s="124"/>
      <c r="BN843" s="124"/>
      <c r="BO843" s="124"/>
      <c r="BP843" s="124"/>
      <c r="BQ843" s="124"/>
      <c r="BR843" s="124"/>
      <c r="BS843" s="124"/>
      <c r="BT843" s="124"/>
      <c r="BU843" s="124"/>
      <c r="BV843" s="124"/>
      <c r="BW843" s="124"/>
      <c r="BX843" s="124"/>
      <c r="BY843" s="124"/>
      <c r="BZ843" s="124"/>
      <c r="CA843" s="124"/>
    </row>
    <row r="844">
      <c r="D844" s="143"/>
      <c r="E844" s="112"/>
      <c r="F844" s="112"/>
      <c r="G844" s="112"/>
      <c r="H844" s="112"/>
      <c r="I844" s="112"/>
      <c r="J844" s="112"/>
      <c r="K844" s="112"/>
      <c r="L844" s="112"/>
      <c r="M844" s="112"/>
      <c r="N844" s="112"/>
      <c r="O844" s="112"/>
      <c r="P844" s="112"/>
      <c r="Q844" s="112"/>
      <c r="R844" s="112"/>
      <c r="S844" s="112"/>
      <c r="T844" s="112"/>
      <c r="U844" s="107"/>
      <c r="V844" s="107"/>
      <c r="W844" s="107"/>
      <c r="X844" s="107"/>
      <c r="Y844" s="107"/>
      <c r="Z844" s="112"/>
      <c r="AA844" s="112"/>
      <c r="AB844" s="112"/>
      <c r="AC844" s="112"/>
      <c r="AD844" s="112"/>
      <c r="AE844" s="112"/>
      <c r="AF844" s="112"/>
      <c r="AG844" s="117"/>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c r="BK844" s="124"/>
      <c r="BL844" s="124"/>
      <c r="BM844" s="124"/>
      <c r="BN844" s="124"/>
      <c r="BO844" s="124"/>
      <c r="BP844" s="124"/>
      <c r="BQ844" s="124"/>
      <c r="BR844" s="124"/>
      <c r="BS844" s="124"/>
      <c r="BT844" s="124"/>
      <c r="BU844" s="124"/>
      <c r="BV844" s="124"/>
      <c r="BW844" s="124"/>
      <c r="BX844" s="124"/>
      <c r="BY844" s="124"/>
      <c r="BZ844" s="124"/>
      <c r="CA844" s="124"/>
    </row>
    <row r="845">
      <c r="D845" s="143"/>
      <c r="E845" s="112"/>
      <c r="F845" s="112"/>
      <c r="G845" s="112"/>
      <c r="H845" s="112"/>
      <c r="I845" s="112"/>
      <c r="J845" s="112"/>
      <c r="K845" s="112"/>
      <c r="L845" s="112"/>
      <c r="M845" s="112"/>
      <c r="N845" s="112"/>
      <c r="O845" s="112"/>
      <c r="P845" s="112"/>
      <c r="Q845" s="112"/>
      <c r="R845" s="112"/>
      <c r="S845" s="112"/>
      <c r="T845" s="112"/>
      <c r="U845" s="107"/>
      <c r="V845" s="107"/>
      <c r="W845" s="107"/>
      <c r="X845" s="107"/>
      <c r="Y845" s="107"/>
      <c r="Z845" s="112"/>
      <c r="AA845" s="112"/>
      <c r="AB845" s="112"/>
      <c r="AC845" s="112"/>
      <c r="AD845" s="112"/>
      <c r="AE845" s="112"/>
      <c r="AF845" s="112"/>
      <c r="AG845" s="117"/>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c r="BK845" s="124"/>
      <c r="BL845" s="124"/>
      <c r="BM845" s="124"/>
      <c r="BN845" s="124"/>
      <c r="BO845" s="124"/>
      <c r="BP845" s="124"/>
      <c r="BQ845" s="124"/>
      <c r="BR845" s="124"/>
      <c r="BS845" s="124"/>
      <c r="BT845" s="124"/>
      <c r="BU845" s="124"/>
      <c r="BV845" s="124"/>
      <c r="BW845" s="124"/>
      <c r="BX845" s="124"/>
      <c r="BY845" s="124"/>
      <c r="BZ845" s="124"/>
      <c r="CA845" s="124"/>
    </row>
    <row r="846">
      <c r="D846" s="143"/>
      <c r="E846" s="112"/>
      <c r="F846" s="112"/>
      <c r="G846" s="112"/>
      <c r="H846" s="112"/>
      <c r="I846" s="112"/>
      <c r="J846" s="112"/>
      <c r="K846" s="112"/>
      <c r="L846" s="112"/>
      <c r="M846" s="112"/>
      <c r="N846" s="112"/>
      <c r="O846" s="112"/>
      <c r="P846" s="112"/>
      <c r="Q846" s="112"/>
      <c r="R846" s="112"/>
      <c r="S846" s="112"/>
      <c r="T846" s="112"/>
      <c r="U846" s="107"/>
      <c r="V846" s="107"/>
      <c r="W846" s="107"/>
      <c r="X846" s="107"/>
      <c r="Y846" s="107"/>
      <c r="Z846" s="112"/>
      <c r="AA846" s="112"/>
      <c r="AB846" s="112"/>
      <c r="AC846" s="112"/>
      <c r="AD846" s="112"/>
      <c r="AE846" s="112"/>
      <c r="AF846" s="112"/>
      <c r="AG846" s="117"/>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c r="BK846" s="124"/>
      <c r="BL846" s="124"/>
      <c r="BM846" s="124"/>
      <c r="BN846" s="124"/>
      <c r="BO846" s="124"/>
      <c r="BP846" s="124"/>
      <c r="BQ846" s="124"/>
      <c r="BR846" s="124"/>
      <c r="BS846" s="124"/>
      <c r="BT846" s="124"/>
      <c r="BU846" s="124"/>
      <c r="BV846" s="124"/>
      <c r="BW846" s="124"/>
      <c r="BX846" s="124"/>
      <c r="BY846" s="124"/>
      <c r="BZ846" s="124"/>
      <c r="CA846" s="124"/>
    </row>
    <row r="847">
      <c r="D847" s="143"/>
      <c r="E847" s="112"/>
      <c r="F847" s="112"/>
      <c r="G847" s="112"/>
      <c r="H847" s="112"/>
      <c r="I847" s="112"/>
      <c r="J847" s="112"/>
      <c r="K847" s="112"/>
      <c r="L847" s="112"/>
      <c r="M847" s="112"/>
      <c r="N847" s="112"/>
      <c r="O847" s="112"/>
      <c r="P847" s="112"/>
      <c r="Q847" s="112"/>
      <c r="R847" s="112"/>
      <c r="S847" s="112"/>
      <c r="T847" s="112"/>
      <c r="U847" s="107"/>
      <c r="V847" s="107"/>
      <c r="W847" s="107"/>
      <c r="X847" s="107"/>
      <c r="Y847" s="107"/>
      <c r="Z847" s="112"/>
      <c r="AA847" s="112"/>
      <c r="AB847" s="112"/>
      <c r="AC847" s="112"/>
      <c r="AD847" s="112"/>
      <c r="AE847" s="112"/>
      <c r="AF847" s="112"/>
      <c r="AG847" s="117"/>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c r="BK847" s="124"/>
      <c r="BL847" s="124"/>
      <c r="BM847" s="124"/>
      <c r="BN847" s="124"/>
      <c r="BO847" s="124"/>
      <c r="BP847" s="124"/>
      <c r="BQ847" s="124"/>
      <c r="BR847" s="124"/>
      <c r="BS847" s="124"/>
      <c r="BT847" s="124"/>
      <c r="BU847" s="124"/>
      <c r="BV847" s="124"/>
      <c r="BW847" s="124"/>
      <c r="BX847" s="124"/>
      <c r="BY847" s="124"/>
      <c r="BZ847" s="124"/>
      <c r="CA847" s="124"/>
    </row>
    <row r="848">
      <c r="D848" s="143"/>
      <c r="E848" s="112"/>
      <c r="F848" s="112"/>
      <c r="G848" s="112"/>
      <c r="H848" s="112"/>
      <c r="I848" s="112"/>
      <c r="J848" s="112"/>
      <c r="K848" s="112"/>
      <c r="L848" s="112"/>
      <c r="M848" s="112"/>
      <c r="N848" s="112"/>
      <c r="O848" s="112"/>
      <c r="P848" s="112"/>
      <c r="Q848" s="112"/>
      <c r="R848" s="112"/>
      <c r="S848" s="112"/>
      <c r="T848" s="112"/>
      <c r="U848" s="107"/>
      <c r="V848" s="107"/>
      <c r="W848" s="107"/>
      <c r="X848" s="107"/>
      <c r="Y848" s="107"/>
      <c r="Z848" s="112"/>
      <c r="AA848" s="112"/>
      <c r="AB848" s="112"/>
      <c r="AC848" s="112"/>
      <c r="AD848" s="112"/>
      <c r="AE848" s="112"/>
      <c r="AF848" s="112"/>
      <c r="AG848" s="117"/>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c r="BK848" s="124"/>
      <c r="BL848" s="124"/>
      <c r="BM848" s="124"/>
      <c r="BN848" s="124"/>
      <c r="BO848" s="124"/>
      <c r="BP848" s="124"/>
      <c r="BQ848" s="124"/>
      <c r="BR848" s="124"/>
      <c r="BS848" s="124"/>
      <c r="BT848" s="124"/>
      <c r="BU848" s="124"/>
      <c r="BV848" s="124"/>
      <c r="BW848" s="124"/>
      <c r="BX848" s="124"/>
      <c r="BY848" s="124"/>
      <c r="BZ848" s="124"/>
      <c r="CA848" s="124"/>
    </row>
    <row r="849">
      <c r="D849" s="143"/>
      <c r="E849" s="112"/>
      <c r="F849" s="112"/>
      <c r="G849" s="112"/>
      <c r="H849" s="112"/>
      <c r="I849" s="112"/>
      <c r="J849" s="112"/>
      <c r="K849" s="112"/>
      <c r="L849" s="112"/>
      <c r="M849" s="112"/>
      <c r="N849" s="112"/>
      <c r="O849" s="112"/>
      <c r="P849" s="112"/>
      <c r="Q849" s="112"/>
      <c r="R849" s="112"/>
      <c r="S849" s="112"/>
      <c r="T849" s="112"/>
      <c r="U849" s="107"/>
      <c r="V849" s="107"/>
      <c r="W849" s="107"/>
      <c r="X849" s="107"/>
      <c r="Y849" s="107"/>
      <c r="Z849" s="112"/>
      <c r="AA849" s="112"/>
      <c r="AB849" s="112"/>
      <c r="AC849" s="112"/>
      <c r="AD849" s="112"/>
      <c r="AE849" s="112"/>
      <c r="AF849" s="112"/>
      <c r="AG849" s="117"/>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c r="BK849" s="124"/>
      <c r="BL849" s="124"/>
      <c r="BM849" s="124"/>
      <c r="BN849" s="124"/>
      <c r="BO849" s="124"/>
      <c r="BP849" s="124"/>
      <c r="BQ849" s="124"/>
      <c r="BR849" s="124"/>
      <c r="BS849" s="124"/>
      <c r="BT849" s="124"/>
      <c r="BU849" s="124"/>
      <c r="BV849" s="124"/>
      <c r="BW849" s="124"/>
      <c r="BX849" s="124"/>
      <c r="BY849" s="124"/>
      <c r="BZ849" s="124"/>
      <c r="CA849" s="124"/>
    </row>
    <row r="850">
      <c r="D850" s="143"/>
      <c r="E850" s="112"/>
      <c r="F850" s="112"/>
      <c r="G850" s="112"/>
      <c r="H850" s="112"/>
      <c r="I850" s="112"/>
      <c r="J850" s="112"/>
      <c r="K850" s="112"/>
      <c r="L850" s="112"/>
      <c r="M850" s="112"/>
      <c r="N850" s="112"/>
      <c r="O850" s="112"/>
      <c r="P850" s="112"/>
      <c r="Q850" s="112"/>
      <c r="R850" s="112"/>
      <c r="S850" s="112"/>
      <c r="T850" s="112"/>
      <c r="U850" s="107"/>
      <c r="V850" s="107"/>
      <c r="W850" s="107"/>
      <c r="X850" s="107"/>
      <c r="Y850" s="107"/>
      <c r="Z850" s="112"/>
      <c r="AA850" s="112"/>
      <c r="AB850" s="112"/>
      <c r="AC850" s="112"/>
      <c r="AD850" s="112"/>
      <c r="AE850" s="112"/>
      <c r="AF850" s="112"/>
      <c r="AG850" s="117"/>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c r="BK850" s="124"/>
      <c r="BL850" s="124"/>
      <c r="BM850" s="124"/>
      <c r="BN850" s="124"/>
      <c r="BO850" s="124"/>
      <c r="BP850" s="124"/>
      <c r="BQ850" s="124"/>
      <c r="BR850" s="124"/>
      <c r="BS850" s="124"/>
      <c r="BT850" s="124"/>
      <c r="BU850" s="124"/>
      <c r="BV850" s="124"/>
      <c r="BW850" s="124"/>
      <c r="BX850" s="124"/>
      <c r="BY850" s="124"/>
      <c r="BZ850" s="124"/>
      <c r="CA850" s="124"/>
    </row>
    <row r="851">
      <c r="D851" s="143"/>
      <c r="E851" s="112"/>
      <c r="F851" s="112"/>
      <c r="G851" s="112"/>
      <c r="H851" s="112"/>
      <c r="I851" s="112"/>
      <c r="J851" s="112"/>
      <c r="K851" s="112"/>
      <c r="L851" s="112"/>
      <c r="M851" s="112"/>
      <c r="N851" s="112"/>
      <c r="O851" s="112"/>
      <c r="P851" s="112"/>
      <c r="Q851" s="112"/>
      <c r="R851" s="112"/>
      <c r="S851" s="112"/>
      <c r="T851" s="112"/>
      <c r="U851" s="107"/>
      <c r="V851" s="107"/>
      <c r="W851" s="107"/>
      <c r="X851" s="107"/>
      <c r="Y851" s="107"/>
      <c r="Z851" s="112"/>
      <c r="AA851" s="112"/>
      <c r="AB851" s="112"/>
      <c r="AC851" s="112"/>
      <c r="AD851" s="112"/>
      <c r="AE851" s="112"/>
      <c r="AF851" s="112"/>
      <c r="AG851" s="117"/>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c r="BK851" s="124"/>
      <c r="BL851" s="124"/>
      <c r="BM851" s="124"/>
      <c r="BN851" s="124"/>
      <c r="BO851" s="124"/>
      <c r="BP851" s="124"/>
      <c r="BQ851" s="124"/>
      <c r="BR851" s="124"/>
      <c r="BS851" s="124"/>
      <c r="BT851" s="124"/>
      <c r="BU851" s="124"/>
      <c r="BV851" s="124"/>
      <c r="BW851" s="124"/>
      <c r="BX851" s="124"/>
      <c r="BY851" s="124"/>
      <c r="BZ851" s="124"/>
      <c r="CA851" s="124"/>
    </row>
    <row r="852">
      <c r="D852" s="143"/>
      <c r="E852" s="112"/>
      <c r="F852" s="112"/>
      <c r="G852" s="112"/>
      <c r="H852" s="112"/>
      <c r="I852" s="112"/>
      <c r="J852" s="112"/>
      <c r="K852" s="112"/>
      <c r="L852" s="112"/>
      <c r="M852" s="112"/>
      <c r="N852" s="112"/>
      <c r="O852" s="112"/>
      <c r="P852" s="112"/>
      <c r="Q852" s="112"/>
      <c r="R852" s="112"/>
      <c r="S852" s="112"/>
      <c r="T852" s="112"/>
      <c r="U852" s="107"/>
      <c r="V852" s="107"/>
      <c r="W852" s="107"/>
      <c r="X852" s="107"/>
      <c r="Y852" s="107"/>
      <c r="Z852" s="112"/>
      <c r="AA852" s="112"/>
      <c r="AB852" s="112"/>
      <c r="AC852" s="112"/>
      <c r="AD852" s="112"/>
      <c r="AE852" s="112"/>
      <c r="AF852" s="112"/>
      <c r="AG852" s="117"/>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c r="BK852" s="124"/>
      <c r="BL852" s="124"/>
      <c r="BM852" s="124"/>
      <c r="BN852" s="124"/>
      <c r="BO852" s="124"/>
      <c r="BP852" s="124"/>
      <c r="BQ852" s="124"/>
      <c r="BR852" s="124"/>
      <c r="BS852" s="124"/>
      <c r="BT852" s="124"/>
      <c r="BU852" s="124"/>
      <c r="BV852" s="124"/>
      <c r="BW852" s="124"/>
      <c r="BX852" s="124"/>
      <c r="BY852" s="124"/>
      <c r="BZ852" s="124"/>
      <c r="CA852" s="124"/>
    </row>
    <row r="853">
      <c r="D853" s="143"/>
      <c r="E853" s="112"/>
      <c r="F853" s="112"/>
      <c r="G853" s="112"/>
      <c r="H853" s="112"/>
      <c r="I853" s="112"/>
      <c r="J853" s="112"/>
      <c r="K853" s="112"/>
      <c r="L853" s="112"/>
      <c r="M853" s="112"/>
      <c r="N853" s="112"/>
      <c r="O853" s="112"/>
      <c r="P853" s="112"/>
      <c r="Q853" s="112"/>
      <c r="R853" s="112"/>
      <c r="S853" s="112"/>
      <c r="T853" s="112"/>
      <c r="U853" s="107"/>
      <c r="V853" s="107"/>
      <c r="W853" s="107"/>
      <c r="X853" s="107"/>
      <c r="Y853" s="107"/>
      <c r="Z853" s="112"/>
      <c r="AA853" s="112"/>
      <c r="AB853" s="112"/>
      <c r="AC853" s="112"/>
      <c r="AD853" s="112"/>
      <c r="AE853" s="112"/>
      <c r="AF853" s="112"/>
      <c r="AG853" s="117"/>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c r="BK853" s="124"/>
      <c r="BL853" s="124"/>
      <c r="BM853" s="124"/>
      <c r="BN853" s="124"/>
      <c r="BO853" s="124"/>
      <c r="BP853" s="124"/>
      <c r="BQ853" s="124"/>
      <c r="BR853" s="124"/>
      <c r="BS853" s="124"/>
      <c r="BT853" s="124"/>
      <c r="BU853" s="124"/>
      <c r="BV853" s="124"/>
      <c r="BW853" s="124"/>
      <c r="BX853" s="124"/>
      <c r="BY853" s="124"/>
      <c r="BZ853" s="124"/>
      <c r="CA853" s="124"/>
    </row>
    <row r="854">
      <c r="D854" s="143"/>
      <c r="E854" s="112"/>
      <c r="F854" s="112"/>
      <c r="G854" s="112"/>
      <c r="H854" s="112"/>
      <c r="I854" s="112"/>
      <c r="J854" s="112"/>
      <c r="K854" s="112"/>
      <c r="L854" s="112"/>
      <c r="M854" s="112"/>
      <c r="N854" s="112"/>
      <c r="O854" s="112"/>
      <c r="P854" s="112"/>
      <c r="Q854" s="112"/>
      <c r="R854" s="112"/>
      <c r="S854" s="112"/>
      <c r="T854" s="112"/>
      <c r="U854" s="107"/>
      <c r="V854" s="107"/>
      <c r="W854" s="107"/>
      <c r="X854" s="107"/>
      <c r="Y854" s="107"/>
      <c r="Z854" s="112"/>
      <c r="AA854" s="112"/>
      <c r="AB854" s="112"/>
      <c r="AC854" s="112"/>
      <c r="AD854" s="112"/>
      <c r="AE854" s="112"/>
      <c r="AF854" s="112"/>
      <c r="AG854" s="117"/>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c r="BK854" s="124"/>
      <c r="BL854" s="124"/>
      <c r="BM854" s="124"/>
      <c r="BN854" s="124"/>
      <c r="BO854" s="124"/>
      <c r="BP854" s="124"/>
      <c r="BQ854" s="124"/>
      <c r="BR854" s="124"/>
      <c r="BS854" s="124"/>
      <c r="BT854" s="124"/>
      <c r="BU854" s="124"/>
      <c r="BV854" s="124"/>
      <c r="BW854" s="124"/>
      <c r="BX854" s="124"/>
      <c r="BY854" s="124"/>
      <c r="BZ854" s="124"/>
      <c r="CA854" s="124"/>
    </row>
    <row r="855">
      <c r="D855" s="143"/>
      <c r="E855" s="112"/>
      <c r="F855" s="112"/>
      <c r="G855" s="112"/>
      <c r="H855" s="112"/>
      <c r="I855" s="112"/>
      <c r="J855" s="112"/>
      <c r="K855" s="112"/>
      <c r="L855" s="112"/>
      <c r="M855" s="112"/>
      <c r="N855" s="112"/>
      <c r="O855" s="112"/>
      <c r="P855" s="112"/>
      <c r="Q855" s="112"/>
      <c r="R855" s="112"/>
      <c r="S855" s="112"/>
      <c r="T855" s="112"/>
      <c r="U855" s="107"/>
      <c r="V855" s="107"/>
      <c r="W855" s="107"/>
      <c r="X855" s="107"/>
      <c r="Y855" s="107"/>
      <c r="Z855" s="112"/>
      <c r="AA855" s="112"/>
      <c r="AB855" s="112"/>
      <c r="AC855" s="112"/>
      <c r="AD855" s="112"/>
      <c r="AE855" s="112"/>
      <c r="AF855" s="112"/>
      <c r="AG855" s="117"/>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c r="BK855" s="124"/>
      <c r="BL855" s="124"/>
      <c r="BM855" s="124"/>
      <c r="BN855" s="124"/>
      <c r="BO855" s="124"/>
      <c r="BP855" s="124"/>
      <c r="BQ855" s="124"/>
      <c r="BR855" s="124"/>
      <c r="BS855" s="124"/>
      <c r="BT855" s="124"/>
      <c r="BU855" s="124"/>
      <c r="BV855" s="124"/>
      <c r="BW855" s="124"/>
      <c r="BX855" s="124"/>
      <c r="BY855" s="124"/>
      <c r="BZ855" s="124"/>
      <c r="CA855" s="124"/>
    </row>
    <row r="856">
      <c r="D856" s="143"/>
      <c r="E856" s="112"/>
      <c r="F856" s="112"/>
      <c r="G856" s="112"/>
      <c r="H856" s="112"/>
      <c r="I856" s="112"/>
      <c r="J856" s="112"/>
      <c r="K856" s="112"/>
      <c r="L856" s="112"/>
      <c r="M856" s="112"/>
      <c r="N856" s="112"/>
      <c r="O856" s="112"/>
      <c r="P856" s="112"/>
      <c r="Q856" s="112"/>
      <c r="R856" s="112"/>
      <c r="S856" s="112"/>
      <c r="T856" s="112"/>
      <c r="U856" s="107"/>
      <c r="V856" s="107"/>
      <c r="W856" s="107"/>
      <c r="X856" s="107"/>
      <c r="Y856" s="107"/>
      <c r="Z856" s="112"/>
      <c r="AA856" s="112"/>
      <c r="AB856" s="112"/>
      <c r="AC856" s="112"/>
      <c r="AD856" s="112"/>
      <c r="AE856" s="112"/>
      <c r="AF856" s="112"/>
      <c r="AG856" s="117"/>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c r="BK856" s="124"/>
      <c r="BL856" s="124"/>
      <c r="BM856" s="124"/>
      <c r="BN856" s="124"/>
      <c r="BO856" s="124"/>
      <c r="BP856" s="124"/>
      <c r="BQ856" s="124"/>
      <c r="BR856" s="124"/>
      <c r="BS856" s="124"/>
      <c r="BT856" s="124"/>
      <c r="BU856" s="124"/>
      <c r="BV856" s="124"/>
      <c r="BW856" s="124"/>
      <c r="BX856" s="124"/>
      <c r="BY856" s="124"/>
      <c r="BZ856" s="124"/>
      <c r="CA856" s="124"/>
    </row>
    <row r="857">
      <c r="D857" s="143"/>
      <c r="E857" s="112"/>
      <c r="F857" s="112"/>
      <c r="G857" s="112"/>
      <c r="H857" s="112"/>
      <c r="I857" s="112"/>
      <c r="J857" s="112"/>
      <c r="K857" s="112"/>
      <c r="L857" s="112"/>
      <c r="M857" s="112"/>
      <c r="N857" s="112"/>
      <c r="O857" s="112"/>
      <c r="P857" s="112"/>
      <c r="Q857" s="112"/>
      <c r="R857" s="112"/>
      <c r="S857" s="112"/>
      <c r="T857" s="112"/>
      <c r="U857" s="107"/>
      <c r="V857" s="107"/>
      <c r="W857" s="107"/>
      <c r="X857" s="107"/>
      <c r="Y857" s="107"/>
      <c r="Z857" s="112"/>
      <c r="AA857" s="112"/>
      <c r="AB857" s="112"/>
      <c r="AC857" s="112"/>
      <c r="AD857" s="112"/>
      <c r="AE857" s="112"/>
      <c r="AF857" s="112"/>
      <c r="AG857" s="117"/>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c r="BK857" s="124"/>
      <c r="BL857" s="124"/>
      <c r="BM857" s="124"/>
      <c r="BN857" s="124"/>
      <c r="BO857" s="124"/>
      <c r="BP857" s="124"/>
      <c r="BQ857" s="124"/>
      <c r="BR857" s="124"/>
      <c r="BS857" s="124"/>
      <c r="BT857" s="124"/>
      <c r="BU857" s="124"/>
      <c r="BV857" s="124"/>
      <c r="BW857" s="124"/>
      <c r="BX857" s="124"/>
      <c r="BY857" s="124"/>
      <c r="BZ857" s="124"/>
      <c r="CA857" s="124"/>
    </row>
    <row r="858">
      <c r="D858" s="143"/>
      <c r="E858" s="112"/>
      <c r="F858" s="112"/>
      <c r="G858" s="112"/>
      <c r="H858" s="112"/>
      <c r="I858" s="112"/>
      <c r="J858" s="112"/>
      <c r="K858" s="112"/>
      <c r="L858" s="112"/>
      <c r="M858" s="112"/>
      <c r="N858" s="112"/>
      <c r="O858" s="112"/>
      <c r="P858" s="112"/>
      <c r="Q858" s="112"/>
      <c r="R858" s="112"/>
      <c r="S858" s="112"/>
      <c r="T858" s="112"/>
      <c r="U858" s="107"/>
      <c r="V858" s="107"/>
      <c r="W858" s="107"/>
      <c r="X858" s="107"/>
      <c r="Y858" s="107"/>
      <c r="Z858" s="112"/>
      <c r="AA858" s="112"/>
      <c r="AB858" s="112"/>
      <c r="AC858" s="112"/>
      <c r="AD858" s="112"/>
      <c r="AE858" s="112"/>
      <c r="AF858" s="112"/>
      <c r="AG858" s="117"/>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c r="BK858" s="124"/>
      <c r="BL858" s="124"/>
      <c r="BM858" s="124"/>
      <c r="BN858" s="124"/>
      <c r="BO858" s="124"/>
      <c r="BP858" s="124"/>
      <c r="BQ858" s="124"/>
      <c r="BR858" s="124"/>
      <c r="BS858" s="124"/>
      <c r="BT858" s="124"/>
      <c r="BU858" s="124"/>
      <c r="BV858" s="124"/>
      <c r="BW858" s="124"/>
      <c r="BX858" s="124"/>
      <c r="BY858" s="124"/>
      <c r="BZ858" s="124"/>
      <c r="CA858" s="124"/>
    </row>
    <row r="859">
      <c r="D859" s="143"/>
      <c r="E859" s="112"/>
      <c r="F859" s="112"/>
      <c r="G859" s="112"/>
      <c r="H859" s="112"/>
      <c r="I859" s="112"/>
      <c r="J859" s="112"/>
      <c r="K859" s="112"/>
      <c r="L859" s="112"/>
      <c r="M859" s="112"/>
      <c r="N859" s="112"/>
      <c r="O859" s="112"/>
      <c r="P859" s="112"/>
      <c r="Q859" s="112"/>
      <c r="R859" s="112"/>
      <c r="S859" s="112"/>
      <c r="T859" s="112"/>
      <c r="U859" s="107"/>
      <c r="V859" s="107"/>
      <c r="W859" s="107"/>
      <c r="X859" s="107"/>
      <c r="Y859" s="107"/>
      <c r="Z859" s="112"/>
      <c r="AA859" s="112"/>
      <c r="AB859" s="112"/>
      <c r="AC859" s="112"/>
      <c r="AD859" s="112"/>
      <c r="AE859" s="112"/>
      <c r="AF859" s="112"/>
      <c r="AG859" s="117"/>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c r="BK859" s="124"/>
      <c r="BL859" s="124"/>
      <c r="BM859" s="124"/>
      <c r="BN859" s="124"/>
      <c r="BO859" s="124"/>
      <c r="BP859" s="124"/>
      <c r="BQ859" s="124"/>
      <c r="BR859" s="124"/>
      <c r="BS859" s="124"/>
      <c r="BT859" s="124"/>
      <c r="BU859" s="124"/>
      <c r="BV859" s="124"/>
      <c r="BW859" s="124"/>
      <c r="BX859" s="124"/>
      <c r="BY859" s="124"/>
      <c r="BZ859" s="124"/>
      <c r="CA859" s="124"/>
    </row>
    <row r="860">
      <c r="D860" s="143"/>
      <c r="E860" s="112"/>
      <c r="F860" s="112"/>
      <c r="G860" s="112"/>
      <c r="H860" s="112"/>
      <c r="I860" s="112"/>
      <c r="J860" s="112"/>
      <c r="K860" s="112"/>
      <c r="L860" s="112"/>
      <c r="M860" s="112"/>
      <c r="N860" s="112"/>
      <c r="O860" s="112"/>
      <c r="P860" s="112"/>
      <c r="Q860" s="112"/>
      <c r="R860" s="112"/>
      <c r="S860" s="112"/>
      <c r="T860" s="112"/>
      <c r="U860" s="107"/>
      <c r="V860" s="107"/>
      <c r="W860" s="107"/>
      <c r="X860" s="107"/>
      <c r="Y860" s="107"/>
      <c r="Z860" s="112"/>
      <c r="AA860" s="112"/>
      <c r="AB860" s="112"/>
      <c r="AC860" s="112"/>
      <c r="AD860" s="112"/>
      <c r="AE860" s="112"/>
      <c r="AF860" s="112"/>
      <c r="AG860" s="117"/>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c r="BK860" s="124"/>
      <c r="BL860" s="124"/>
      <c r="BM860" s="124"/>
      <c r="BN860" s="124"/>
      <c r="BO860" s="124"/>
      <c r="BP860" s="124"/>
      <c r="BQ860" s="124"/>
      <c r="BR860" s="124"/>
      <c r="BS860" s="124"/>
      <c r="BT860" s="124"/>
      <c r="BU860" s="124"/>
      <c r="BV860" s="124"/>
      <c r="BW860" s="124"/>
      <c r="BX860" s="124"/>
      <c r="BY860" s="124"/>
      <c r="BZ860" s="124"/>
      <c r="CA860" s="124"/>
    </row>
    <row r="861">
      <c r="D861" s="143"/>
      <c r="E861" s="112"/>
      <c r="F861" s="112"/>
      <c r="G861" s="112"/>
      <c r="H861" s="112"/>
      <c r="I861" s="112"/>
      <c r="J861" s="112"/>
      <c r="K861" s="112"/>
      <c r="L861" s="112"/>
      <c r="M861" s="112"/>
      <c r="N861" s="112"/>
      <c r="O861" s="112"/>
      <c r="P861" s="112"/>
      <c r="Q861" s="112"/>
      <c r="R861" s="112"/>
      <c r="S861" s="112"/>
      <c r="T861" s="112"/>
      <c r="U861" s="107"/>
      <c r="V861" s="107"/>
      <c r="W861" s="107"/>
      <c r="X861" s="107"/>
      <c r="Y861" s="107"/>
      <c r="Z861" s="112"/>
      <c r="AA861" s="112"/>
      <c r="AB861" s="112"/>
      <c r="AC861" s="112"/>
      <c r="AD861" s="112"/>
      <c r="AE861" s="112"/>
      <c r="AF861" s="112"/>
      <c r="AG861" s="117"/>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c r="BK861" s="124"/>
      <c r="BL861" s="124"/>
      <c r="BM861" s="124"/>
      <c r="BN861" s="124"/>
      <c r="BO861" s="124"/>
      <c r="BP861" s="124"/>
      <c r="BQ861" s="124"/>
      <c r="BR861" s="124"/>
      <c r="BS861" s="124"/>
      <c r="BT861" s="124"/>
      <c r="BU861" s="124"/>
      <c r="BV861" s="124"/>
      <c r="BW861" s="124"/>
      <c r="BX861" s="124"/>
      <c r="BY861" s="124"/>
      <c r="BZ861" s="124"/>
      <c r="CA861" s="124"/>
    </row>
    <row r="862">
      <c r="D862" s="143"/>
      <c r="E862" s="112"/>
      <c r="F862" s="112"/>
      <c r="G862" s="112"/>
      <c r="H862" s="112"/>
      <c r="I862" s="112"/>
      <c r="J862" s="112"/>
      <c r="K862" s="112"/>
      <c r="L862" s="112"/>
      <c r="M862" s="112"/>
      <c r="N862" s="112"/>
      <c r="O862" s="112"/>
      <c r="P862" s="112"/>
      <c r="Q862" s="112"/>
      <c r="R862" s="112"/>
      <c r="S862" s="112"/>
      <c r="T862" s="112"/>
      <c r="U862" s="107"/>
      <c r="V862" s="107"/>
      <c r="W862" s="107"/>
      <c r="X862" s="107"/>
      <c r="Y862" s="107"/>
      <c r="Z862" s="112"/>
      <c r="AA862" s="112"/>
      <c r="AB862" s="112"/>
      <c r="AC862" s="112"/>
      <c r="AD862" s="112"/>
      <c r="AE862" s="112"/>
      <c r="AF862" s="112"/>
      <c r="AG862" s="117"/>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c r="BK862" s="124"/>
      <c r="BL862" s="124"/>
      <c r="BM862" s="124"/>
      <c r="BN862" s="124"/>
      <c r="BO862" s="124"/>
      <c r="BP862" s="124"/>
      <c r="BQ862" s="124"/>
      <c r="BR862" s="124"/>
      <c r="BS862" s="124"/>
      <c r="BT862" s="124"/>
      <c r="BU862" s="124"/>
      <c r="BV862" s="124"/>
      <c r="BW862" s="124"/>
      <c r="BX862" s="124"/>
      <c r="BY862" s="124"/>
      <c r="BZ862" s="124"/>
      <c r="CA862" s="124"/>
    </row>
    <row r="863">
      <c r="D863" s="143"/>
      <c r="E863" s="112"/>
      <c r="F863" s="112"/>
      <c r="G863" s="112"/>
      <c r="H863" s="112"/>
      <c r="I863" s="112"/>
      <c r="J863" s="112"/>
      <c r="K863" s="112"/>
      <c r="L863" s="112"/>
      <c r="M863" s="112"/>
      <c r="N863" s="112"/>
      <c r="O863" s="112"/>
      <c r="P863" s="112"/>
      <c r="Q863" s="112"/>
      <c r="R863" s="112"/>
      <c r="S863" s="112"/>
      <c r="T863" s="112"/>
      <c r="U863" s="107"/>
      <c r="V863" s="107"/>
      <c r="W863" s="107"/>
      <c r="X863" s="107"/>
      <c r="Y863" s="107"/>
      <c r="Z863" s="112"/>
      <c r="AA863" s="112"/>
      <c r="AB863" s="112"/>
      <c r="AC863" s="112"/>
      <c r="AD863" s="112"/>
      <c r="AE863" s="112"/>
      <c r="AF863" s="112"/>
      <c r="AG863" s="117"/>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c r="BK863" s="124"/>
      <c r="BL863" s="124"/>
      <c r="BM863" s="124"/>
      <c r="BN863" s="124"/>
      <c r="BO863" s="124"/>
      <c r="BP863" s="124"/>
      <c r="BQ863" s="124"/>
      <c r="BR863" s="124"/>
      <c r="BS863" s="124"/>
      <c r="BT863" s="124"/>
      <c r="BU863" s="124"/>
      <c r="BV863" s="124"/>
      <c r="BW863" s="124"/>
      <c r="BX863" s="124"/>
      <c r="BY863" s="124"/>
      <c r="BZ863" s="124"/>
      <c r="CA863" s="124"/>
    </row>
    <row r="864">
      <c r="D864" s="143"/>
      <c r="E864" s="112"/>
      <c r="F864" s="112"/>
      <c r="G864" s="112"/>
      <c r="H864" s="112"/>
      <c r="I864" s="112"/>
      <c r="J864" s="112"/>
      <c r="K864" s="112"/>
      <c r="L864" s="112"/>
      <c r="M864" s="112"/>
      <c r="N864" s="112"/>
      <c r="O864" s="112"/>
      <c r="P864" s="112"/>
      <c r="Q864" s="112"/>
      <c r="R864" s="112"/>
      <c r="S864" s="112"/>
      <c r="T864" s="112"/>
      <c r="U864" s="107"/>
      <c r="V864" s="107"/>
      <c r="W864" s="107"/>
      <c r="X864" s="107"/>
      <c r="Y864" s="107"/>
      <c r="Z864" s="112"/>
      <c r="AA864" s="112"/>
      <c r="AB864" s="112"/>
      <c r="AC864" s="112"/>
      <c r="AD864" s="112"/>
      <c r="AE864" s="112"/>
      <c r="AF864" s="112"/>
      <c r="AG864" s="117"/>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c r="BK864" s="124"/>
      <c r="BL864" s="124"/>
      <c r="BM864" s="124"/>
      <c r="BN864" s="124"/>
      <c r="BO864" s="124"/>
      <c r="BP864" s="124"/>
      <c r="BQ864" s="124"/>
      <c r="BR864" s="124"/>
      <c r="BS864" s="124"/>
      <c r="BT864" s="124"/>
      <c r="BU864" s="124"/>
      <c r="BV864" s="124"/>
      <c r="BW864" s="124"/>
      <c r="BX864" s="124"/>
      <c r="BY864" s="124"/>
      <c r="BZ864" s="124"/>
      <c r="CA864" s="124"/>
    </row>
    <row r="865">
      <c r="D865" s="143"/>
      <c r="E865" s="112"/>
      <c r="F865" s="112"/>
      <c r="G865" s="112"/>
      <c r="H865" s="112"/>
      <c r="I865" s="112"/>
      <c r="J865" s="112"/>
      <c r="K865" s="112"/>
      <c r="L865" s="112"/>
      <c r="M865" s="112"/>
      <c r="N865" s="112"/>
      <c r="O865" s="112"/>
      <c r="P865" s="112"/>
      <c r="Q865" s="112"/>
      <c r="R865" s="112"/>
      <c r="S865" s="112"/>
      <c r="T865" s="112"/>
      <c r="U865" s="107"/>
      <c r="V865" s="107"/>
      <c r="W865" s="107"/>
      <c r="X865" s="107"/>
      <c r="Y865" s="107"/>
      <c r="Z865" s="112"/>
      <c r="AA865" s="112"/>
      <c r="AB865" s="112"/>
      <c r="AC865" s="112"/>
      <c r="AD865" s="112"/>
      <c r="AE865" s="112"/>
      <c r="AF865" s="112"/>
      <c r="AG865" s="117"/>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c r="BK865" s="124"/>
      <c r="BL865" s="124"/>
      <c r="BM865" s="124"/>
      <c r="BN865" s="124"/>
      <c r="BO865" s="124"/>
      <c r="BP865" s="124"/>
      <c r="BQ865" s="124"/>
      <c r="BR865" s="124"/>
      <c r="BS865" s="124"/>
      <c r="BT865" s="124"/>
      <c r="BU865" s="124"/>
      <c r="BV865" s="124"/>
      <c r="BW865" s="124"/>
      <c r="BX865" s="124"/>
      <c r="BY865" s="124"/>
      <c r="BZ865" s="124"/>
      <c r="CA865" s="124"/>
    </row>
    <row r="866">
      <c r="D866" s="143"/>
      <c r="E866" s="112"/>
      <c r="F866" s="112"/>
      <c r="G866" s="112"/>
      <c r="H866" s="112"/>
      <c r="I866" s="112"/>
      <c r="J866" s="112"/>
      <c r="K866" s="112"/>
      <c r="L866" s="112"/>
      <c r="M866" s="112"/>
      <c r="N866" s="112"/>
      <c r="O866" s="112"/>
      <c r="P866" s="112"/>
      <c r="Q866" s="112"/>
      <c r="R866" s="112"/>
      <c r="S866" s="112"/>
      <c r="T866" s="112"/>
      <c r="U866" s="107"/>
      <c r="V866" s="107"/>
      <c r="W866" s="107"/>
      <c r="X866" s="107"/>
      <c r="Y866" s="107"/>
      <c r="Z866" s="112"/>
      <c r="AA866" s="112"/>
      <c r="AB866" s="112"/>
      <c r="AC866" s="112"/>
      <c r="AD866" s="112"/>
      <c r="AE866" s="112"/>
      <c r="AF866" s="112"/>
      <c r="AG866" s="117"/>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c r="BK866" s="124"/>
      <c r="BL866" s="124"/>
      <c r="BM866" s="124"/>
      <c r="BN866" s="124"/>
      <c r="BO866" s="124"/>
      <c r="BP866" s="124"/>
      <c r="BQ866" s="124"/>
      <c r="BR866" s="124"/>
      <c r="BS866" s="124"/>
      <c r="BT866" s="124"/>
      <c r="BU866" s="124"/>
      <c r="BV866" s="124"/>
      <c r="BW866" s="124"/>
      <c r="BX866" s="124"/>
      <c r="BY866" s="124"/>
      <c r="BZ866" s="124"/>
      <c r="CA866" s="124"/>
    </row>
    <row r="867">
      <c r="D867" s="143"/>
      <c r="E867" s="112"/>
      <c r="F867" s="112"/>
      <c r="G867" s="112"/>
      <c r="H867" s="112"/>
      <c r="I867" s="112"/>
      <c r="J867" s="112"/>
      <c r="K867" s="112"/>
      <c r="L867" s="112"/>
      <c r="M867" s="112"/>
      <c r="N867" s="112"/>
      <c r="O867" s="112"/>
      <c r="P867" s="112"/>
      <c r="Q867" s="112"/>
      <c r="R867" s="112"/>
      <c r="S867" s="112"/>
      <c r="T867" s="112"/>
      <c r="U867" s="107"/>
      <c r="V867" s="107"/>
      <c r="W867" s="107"/>
      <c r="X867" s="107"/>
      <c r="Y867" s="107"/>
      <c r="Z867" s="112"/>
      <c r="AA867" s="112"/>
      <c r="AB867" s="112"/>
      <c r="AC867" s="112"/>
      <c r="AD867" s="112"/>
      <c r="AE867" s="112"/>
      <c r="AF867" s="112"/>
      <c r="AG867" s="117"/>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c r="BK867" s="124"/>
      <c r="BL867" s="124"/>
      <c r="BM867" s="124"/>
      <c r="BN867" s="124"/>
      <c r="BO867" s="124"/>
      <c r="BP867" s="124"/>
      <c r="BQ867" s="124"/>
      <c r="BR867" s="124"/>
      <c r="BS867" s="124"/>
      <c r="BT867" s="124"/>
      <c r="BU867" s="124"/>
      <c r="BV867" s="124"/>
      <c r="BW867" s="124"/>
      <c r="BX867" s="124"/>
      <c r="BY867" s="124"/>
      <c r="BZ867" s="124"/>
      <c r="CA867" s="124"/>
    </row>
    <row r="868">
      <c r="D868" s="143"/>
      <c r="E868" s="112"/>
      <c r="F868" s="112"/>
      <c r="G868" s="112"/>
      <c r="H868" s="112"/>
      <c r="I868" s="112"/>
      <c r="J868" s="112"/>
      <c r="K868" s="112"/>
      <c r="L868" s="112"/>
      <c r="M868" s="112"/>
      <c r="N868" s="112"/>
      <c r="O868" s="112"/>
      <c r="P868" s="112"/>
      <c r="Q868" s="112"/>
      <c r="R868" s="112"/>
      <c r="S868" s="112"/>
      <c r="T868" s="112"/>
      <c r="U868" s="107"/>
      <c r="V868" s="107"/>
      <c r="W868" s="107"/>
      <c r="X868" s="107"/>
      <c r="Y868" s="107"/>
      <c r="Z868" s="112"/>
      <c r="AA868" s="112"/>
      <c r="AB868" s="112"/>
      <c r="AC868" s="112"/>
      <c r="AD868" s="112"/>
      <c r="AE868" s="112"/>
      <c r="AF868" s="112"/>
      <c r="AG868" s="117"/>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c r="BK868" s="124"/>
      <c r="BL868" s="124"/>
      <c r="BM868" s="124"/>
      <c r="BN868" s="124"/>
      <c r="BO868" s="124"/>
      <c r="BP868" s="124"/>
      <c r="BQ868" s="124"/>
      <c r="BR868" s="124"/>
      <c r="BS868" s="124"/>
      <c r="BT868" s="124"/>
      <c r="BU868" s="124"/>
      <c r="BV868" s="124"/>
      <c r="BW868" s="124"/>
      <c r="BX868" s="124"/>
      <c r="BY868" s="124"/>
      <c r="BZ868" s="124"/>
      <c r="CA868" s="124"/>
    </row>
    <row r="869">
      <c r="D869" s="143"/>
      <c r="E869" s="112"/>
      <c r="F869" s="112"/>
      <c r="G869" s="112"/>
      <c r="H869" s="112"/>
      <c r="I869" s="112"/>
      <c r="J869" s="112"/>
      <c r="K869" s="112"/>
      <c r="L869" s="112"/>
      <c r="M869" s="112"/>
      <c r="N869" s="112"/>
      <c r="O869" s="112"/>
      <c r="P869" s="112"/>
      <c r="Q869" s="112"/>
      <c r="R869" s="112"/>
      <c r="S869" s="112"/>
      <c r="T869" s="112"/>
      <c r="U869" s="107"/>
      <c r="V869" s="107"/>
      <c r="W869" s="107"/>
      <c r="X869" s="107"/>
      <c r="Y869" s="107"/>
      <c r="Z869" s="112"/>
      <c r="AA869" s="112"/>
      <c r="AB869" s="112"/>
      <c r="AC869" s="112"/>
      <c r="AD869" s="112"/>
      <c r="AE869" s="112"/>
      <c r="AF869" s="112"/>
      <c r="AG869" s="117"/>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c r="BK869" s="124"/>
      <c r="BL869" s="124"/>
      <c r="BM869" s="124"/>
      <c r="BN869" s="124"/>
      <c r="BO869" s="124"/>
      <c r="BP869" s="124"/>
      <c r="BQ869" s="124"/>
      <c r="BR869" s="124"/>
      <c r="BS869" s="124"/>
      <c r="BT869" s="124"/>
      <c r="BU869" s="124"/>
      <c r="BV869" s="124"/>
      <c r="BW869" s="124"/>
      <c r="BX869" s="124"/>
      <c r="BY869" s="124"/>
      <c r="BZ869" s="124"/>
      <c r="CA869" s="124"/>
    </row>
    <row r="870">
      <c r="D870" s="143"/>
      <c r="E870" s="112"/>
      <c r="F870" s="112"/>
      <c r="G870" s="112"/>
      <c r="H870" s="112"/>
      <c r="I870" s="112"/>
      <c r="J870" s="112"/>
      <c r="K870" s="112"/>
      <c r="L870" s="112"/>
      <c r="M870" s="112"/>
      <c r="N870" s="112"/>
      <c r="O870" s="112"/>
      <c r="P870" s="112"/>
      <c r="Q870" s="112"/>
      <c r="R870" s="112"/>
      <c r="S870" s="112"/>
      <c r="T870" s="112"/>
      <c r="U870" s="107"/>
      <c r="V870" s="107"/>
      <c r="W870" s="107"/>
      <c r="X870" s="107"/>
      <c r="Y870" s="107"/>
      <c r="Z870" s="112"/>
      <c r="AA870" s="112"/>
      <c r="AB870" s="112"/>
      <c r="AC870" s="112"/>
      <c r="AD870" s="112"/>
      <c r="AE870" s="112"/>
      <c r="AF870" s="112"/>
      <c r="AG870" s="117"/>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c r="BK870" s="124"/>
      <c r="BL870" s="124"/>
      <c r="BM870" s="124"/>
      <c r="BN870" s="124"/>
      <c r="BO870" s="124"/>
      <c r="BP870" s="124"/>
      <c r="BQ870" s="124"/>
      <c r="BR870" s="124"/>
      <c r="BS870" s="124"/>
      <c r="BT870" s="124"/>
      <c r="BU870" s="124"/>
      <c r="BV870" s="124"/>
      <c r="BW870" s="124"/>
      <c r="BX870" s="124"/>
      <c r="BY870" s="124"/>
      <c r="BZ870" s="124"/>
      <c r="CA870" s="124"/>
    </row>
    <row r="871">
      <c r="D871" s="143"/>
      <c r="E871" s="112"/>
      <c r="F871" s="112"/>
      <c r="G871" s="112"/>
      <c r="H871" s="112"/>
      <c r="I871" s="112"/>
      <c r="J871" s="112"/>
      <c r="K871" s="112"/>
      <c r="L871" s="112"/>
      <c r="M871" s="112"/>
      <c r="N871" s="112"/>
      <c r="O871" s="112"/>
      <c r="P871" s="112"/>
      <c r="Q871" s="112"/>
      <c r="R871" s="112"/>
      <c r="S871" s="112"/>
      <c r="T871" s="112"/>
      <c r="U871" s="107"/>
      <c r="V871" s="107"/>
      <c r="W871" s="107"/>
      <c r="X871" s="107"/>
      <c r="Y871" s="107"/>
      <c r="Z871" s="112"/>
      <c r="AA871" s="112"/>
      <c r="AB871" s="112"/>
      <c r="AC871" s="112"/>
      <c r="AD871" s="112"/>
      <c r="AE871" s="112"/>
      <c r="AF871" s="112"/>
      <c r="AG871" s="117"/>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c r="BK871" s="124"/>
      <c r="BL871" s="124"/>
      <c r="BM871" s="124"/>
      <c r="BN871" s="124"/>
      <c r="BO871" s="124"/>
      <c r="BP871" s="124"/>
      <c r="BQ871" s="124"/>
      <c r="BR871" s="124"/>
      <c r="BS871" s="124"/>
      <c r="BT871" s="124"/>
      <c r="BU871" s="124"/>
      <c r="BV871" s="124"/>
      <c r="BW871" s="124"/>
      <c r="BX871" s="124"/>
      <c r="BY871" s="124"/>
      <c r="BZ871" s="124"/>
      <c r="CA871" s="124"/>
    </row>
    <row r="872">
      <c r="D872" s="143"/>
      <c r="E872" s="112"/>
      <c r="F872" s="112"/>
      <c r="G872" s="112"/>
      <c r="H872" s="112"/>
      <c r="I872" s="112"/>
      <c r="J872" s="112"/>
      <c r="K872" s="112"/>
      <c r="L872" s="112"/>
      <c r="M872" s="112"/>
      <c r="N872" s="112"/>
      <c r="O872" s="112"/>
      <c r="P872" s="112"/>
      <c r="Q872" s="112"/>
      <c r="R872" s="112"/>
      <c r="S872" s="112"/>
      <c r="T872" s="112"/>
      <c r="U872" s="107"/>
      <c r="V872" s="107"/>
      <c r="W872" s="107"/>
      <c r="X872" s="107"/>
      <c r="Y872" s="107"/>
      <c r="Z872" s="112"/>
      <c r="AA872" s="112"/>
      <c r="AB872" s="112"/>
      <c r="AC872" s="112"/>
      <c r="AD872" s="112"/>
      <c r="AE872" s="112"/>
      <c r="AF872" s="112"/>
      <c r="AG872" s="117"/>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c r="BK872" s="124"/>
      <c r="BL872" s="124"/>
      <c r="BM872" s="124"/>
      <c r="BN872" s="124"/>
      <c r="BO872" s="124"/>
      <c r="BP872" s="124"/>
      <c r="BQ872" s="124"/>
      <c r="BR872" s="124"/>
      <c r="BS872" s="124"/>
      <c r="BT872" s="124"/>
      <c r="BU872" s="124"/>
      <c r="BV872" s="124"/>
      <c r="BW872" s="124"/>
      <c r="BX872" s="124"/>
      <c r="BY872" s="124"/>
      <c r="BZ872" s="124"/>
      <c r="CA872" s="124"/>
    </row>
    <row r="873">
      <c r="D873" s="143"/>
      <c r="E873" s="112"/>
      <c r="F873" s="112"/>
      <c r="G873" s="112"/>
      <c r="H873" s="112"/>
      <c r="I873" s="112"/>
      <c r="J873" s="112"/>
      <c r="K873" s="112"/>
      <c r="L873" s="112"/>
      <c r="M873" s="112"/>
      <c r="N873" s="112"/>
      <c r="O873" s="112"/>
      <c r="P873" s="112"/>
      <c r="Q873" s="112"/>
      <c r="R873" s="112"/>
      <c r="S873" s="112"/>
      <c r="T873" s="112"/>
      <c r="U873" s="107"/>
      <c r="V873" s="107"/>
      <c r="W873" s="107"/>
      <c r="X873" s="107"/>
      <c r="Y873" s="107"/>
      <c r="Z873" s="112"/>
      <c r="AA873" s="112"/>
      <c r="AB873" s="112"/>
      <c r="AC873" s="112"/>
      <c r="AD873" s="112"/>
      <c r="AE873" s="112"/>
      <c r="AF873" s="112"/>
      <c r="AG873" s="117"/>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c r="BK873" s="124"/>
      <c r="BL873" s="124"/>
      <c r="BM873" s="124"/>
      <c r="BN873" s="124"/>
      <c r="BO873" s="124"/>
      <c r="BP873" s="124"/>
      <c r="BQ873" s="124"/>
      <c r="BR873" s="124"/>
      <c r="BS873" s="124"/>
      <c r="BT873" s="124"/>
      <c r="BU873" s="124"/>
      <c r="BV873" s="124"/>
      <c r="BW873" s="124"/>
      <c r="BX873" s="124"/>
      <c r="BY873" s="124"/>
      <c r="BZ873" s="124"/>
      <c r="CA873" s="124"/>
    </row>
    <row r="874">
      <c r="D874" s="143"/>
      <c r="E874" s="112"/>
      <c r="F874" s="112"/>
      <c r="G874" s="112"/>
      <c r="H874" s="112"/>
      <c r="I874" s="112"/>
      <c r="J874" s="112"/>
      <c r="K874" s="112"/>
      <c r="L874" s="112"/>
      <c r="M874" s="112"/>
      <c r="N874" s="112"/>
      <c r="O874" s="112"/>
      <c r="P874" s="112"/>
      <c r="Q874" s="112"/>
      <c r="R874" s="112"/>
      <c r="S874" s="112"/>
      <c r="T874" s="112"/>
      <c r="U874" s="107"/>
      <c r="V874" s="107"/>
      <c r="W874" s="107"/>
      <c r="X874" s="107"/>
      <c r="Y874" s="107"/>
      <c r="Z874" s="112"/>
      <c r="AA874" s="112"/>
      <c r="AB874" s="112"/>
      <c r="AC874" s="112"/>
      <c r="AD874" s="112"/>
      <c r="AE874" s="112"/>
      <c r="AF874" s="112"/>
      <c r="AG874" s="117"/>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c r="BK874" s="124"/>
      <c r="BL874" s="124"/>
      <c r="BM874" s="124"/>
      <c r="BN874" s="124"/>
      <c r="BO874" s="124"/>
      <c r="BP874" s="124"/>
      <c r="BQ874" s="124"/>
      <c r="BR874" s="124"/>
      <c r="BS874" s="124"/>
      <c r="BT874" s="124"/>
      <c r="BU874" s="124"/>
      <c r="BV874" s="124"/>
      <c r="BW874" s="124"/>
      <c r="BX874" s="124"/>
      <c r="BY874" s="124"/>
      <c r="BZ874" s="124"/>
      <c r="CA874" s="124"/>
    </row>
    <row r="875">
      <c r="D875" s="143"/>
      <c r="E875" s="112"/>
      <c r="F875" s="112"/>
      <c r="G875" s="112"/>
      <c r="H875" s="112"/>
      <c r="I875" s="112"/>
      <c r="J875" s="112"/>
      <c r="K875" s="112"/>
      <c r="L875" s="112"/>
      <c r="M875" s="112"/>
      <c r="N875" s="112"/>
      <c r="O875" s="112"/>
      <c r="P875" s="112"/>
      <c r="Q875" s="112"/>
      <c r="R875" s="112"/>
      <c r="S875" s="112"/>
      <c r="T875" s="112"/>
      <c r="U875" s="107"/>
      <c r="V875" s="107"/>
      <c r="W875" s="107"/>
      <c r="X875" s="107"/>
      <c r="Y875" s="107"/>
      <c r="Z875" s="112"/>
      <c r="AA875" s="112"/>
      <c r="AB875" s="112"/>
      <c r="AC875" s="112"/>
      <c r="AD875" s="112"/>
      <c r="AE875" s="112"/>
      <c r="AF875" s="112"/>
      <c r="AG875" s="117"/>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c r="BK875" s="124"/>
      <c r="BL875" s="124"/>
      <c r="BM875" s="124"/>
      <c r="BN875" s="124"/>
      <c r="BO875" s="124"/>
      <c r="BP875" s="124"/>
      <c r="BQ875" s="124"/>
      <c r="BR875" s="124"/>
      <c r="BS875" s="124"/>
      <c r="BT875" s="124"/>
      <c r="BU875" s="124"/>
      <c r="BV875" s="124"/>
      <c r="BW875" s="124"/>
      <c r="BX875" s="124"/>
      <c r="BY875" s="124"/>
      <c r="BZ875" s="124"/>
      <c r="CA875" s="124"/>
    </row>
    <row r="876">
      <c r="D876" s="143"/>
      <c r="E876" s="112"/>
      <c r="F876" s="112"/>
      <c r="G876" s="112"/>
      <c r="H876" s="112"/>
      <c r="I876" s="112"/>
      <c r="J876" s="112"/>
      <c r="K876" s="112"/>
      <c r="L876" s="112"/>
      <c r="M876" s="112"/>
      <c r="N876" s="112"/>
      <c r="O876" s="112"/>
      <c r="P876" s="112"/>
      <c r="Q876" s="112"/>
      <c r="R876" s="112"/>
      <c r="S876" s="112"/>
      <c r="T876" s="112"/>
      <c r="U876" s="107"/>
      <c r="V876" s="107"/>
      <c r="W876" s="107"/>
      <c r="X876" s="107"/>
      <c r="Y876" s="107"/>
      <c r="Z876" s="112"/>
      <c r="AA876" s="112"/>
      <c r="AB876" s="112"/>
      <c r="AC876" s="112"/>
      <c r="AD876" s="112"/>
      <c r="AE876" s="112"/>
      <c r="AF876" s="112"/>
      <c r="AG876" s="117"/>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c r="BK876" s="124"/>
      <c r="BL876" s="124"/>
      <c r="BM876" s="124"/>
      <c r="BN876" s="124"/>
      <c r="BO876" s="124"/>
      <c r="BP876" s="124"/>
      <c r="BQ876" s="124"/>
      <c r="BR876" s="124"/>
      <c r="BS876" s="124"/>
      <c r="BT876" s="124"/>
      <c r="BU876" s="124"/>
      <c r="BV876" s="124"/>
      <c r="BW876" s="124"/>
      <c r="BX876" s="124"/>
      <c r="BY876" s="124"/>
      <c r="BZ876" s="124"/>
      <c r="CA876" s="124"/>
    </row>
    <row r="877">
      <c r="D877" s="143"/>
      <c r="E877" s="112"/>
      <c r="F877" s="112"/>
      <c r="G877" s="112"/>
      <c r="H877" s="112"/>
      <c r="I877" s="112"/>
      <c r="J877" s="112"/>
      <c r="K877" s="112"/>
      <c r="L877" s="112"/>
      <c r="M877" s="112"/>
      <c r="N877" s="112"/>
      <c r="O877" s="112"/>
      <c r="P877" s="112"/>
      <c r="Q877" s="112"/>
      <c r="R877" s="112"/>
      <c r="S877" s="112"/>
      <c r="T877" s="112"/>
      <c r="U877" s="107"/>
      <c r="V877" s="107"/>
      <c r="W877" s="107"/>
      <c r="X877" s="107"/>
      <c r="Y877" s="107"/>
      <c r="Z877" s="112"/>
      <c r="AA877" s="112"/>
      <c r="AB877" s="112"/>
      <c r="AC877" s="112"/>
      <c r="AD877" s="112"/>
      <c r="AE877" s="112"/>
      <c r="AF877" s="112"/>
      <c r="AG877" s="117"/>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c r="BK877" s="124"/>
      <c r="BL877" s="124"/>
      <c r="BM877" s="124"/>
      <c r="BN877" s="124"/>
      <c r="BO877" s="124"/>
      <c r="BP877" s="124"/>
      <c r="BQ877" s="124"/>
      <c r="BR877" s="124"/>
      <c r="BS877" s="124"/>
      <c r="BT877" s="124"/>
      <c r="BU877" s="124"/>
      <c r="BV877" s="124"/>
      <c r="BW877" s="124"/>
      <c r="BX877" s="124"/>
      <c r="BY877" s="124"/>
      <c r="BZ877" s="124"/>
      <c r="CA877" s="124"/>
    </row>
    <row r="878">
      <c r="D878" s="143"/>
      <c r="E878" s="112"/>
      <c r="F878" s="112"/>
      <c r="G878" s="112"/>
      <c r="H878" s="112"/>
      <c r="I878" s="112"/>
      <c r="J878" s="112"/>
      <c r="K878" s="112"/>
      <c r="L878" s="112"/>
      <c r="M878" s="112"/>
      <c r="N878" s="112"/>
      <c r="O878" s="112"/>
      <c r="P878" s="112"/>
      <c r="Q878" s="112"/>
      <c r="R878" s="112"/>
      <c r="S878" s="112"/>
      <c r="T878" s="112"/>
      <c r="U878" s="107"/>
      <c r="V878" s="107"/>
      <c r="W878" s="107"/>
      <c r="X878" s="107"/>
      <c r="Y878" s="107"/>
      <c r="Z878" s="112"/>
      <c r="AA878" s="112"/>
      <c r="AB878" s="112"/>
      <c r="AC878" s="112"/>
      <c r="AD878" s="112"/>
      <c r="AE878" s="112"/>
      <c r="AF878" s="112"/>
      <c r="AG878" s="117"/>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c r="BK878" s="124"/>
      <c r="BL878" s="124"/>
      <c r="BM878" s="124"/>
      <c r="BN878" s="124"/>
      <c r="BO878" s="124"/>
      <c r="BP878" s="124"/>
      <c r="BQ878" s="124"/>
      <c r="BR878" s="124"/>
      <c r="BS878" s="124"/>
      <c r="BT878" s="124"/>
      <c r="BU878" s="124"/>
      <c r="BV878" s="124"/>
      <c r="BW878" s="124"/>
      <c r="BX878" s="124"/>
      <c r="BY878" s="124"/>
      <c r="BZ878" s="124"/>
      <c r="CA878" s="124"/>
    </row>
    <row r="879">
      <c r="D879" s="143"/>
      <c r="E879" s="112"/>
      <c r="F879" s="112"/>
      <c r="G879" s="112"/>
      <c r="H879" s="112"/>
      <c r="I879" s="112"/>
      <c r="J879" s="112"/>
      <c r="K879" s="112"/>
      <c r="L879" s="112"/>
      <c r="M879" s="112"/>
      <c r="N879" s="112"/>
      <c r="O879" s="112"/>
      <c r="P879" s="112"/>
      <c r="Q879" s="112"/>
      <c r="R879" s="112"/>
      <c r="S879" s="112"/>
      <c r="T879" s="112"/>
      <c r="U879" s="107"/>
      <c r="V879" s="107"/>
      <c r="W879" s="107"/>
      <c r="X879" s="107"/>
      <c r="Y879" s="107"/>
      <c r="Z879" s="112"/>
      <c r="AA879" s="112"/>
      <c r="AB879" s="112"/>
      <c r="AC879" s="112"/>
      <c r="AD879" s="112"/>
      <c r="AE879" s="112"/>
      <c r="AF879" s="112"/>
      <c r="AG879" s="117"/>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c r="BK879" s="124"/>
      <c r="BL879" s="124"/>
      <c r="BM879" s="124"/>
      <c r="BN879" s="124"/>
      <c r="BO879" s="124"/>
      <c r="BP879" s="124"/>
      <c r="BQ879" s="124"/>
      <c r="BR879" s="124"/>
      <c r="BS879" s="124"/>
      <c r="BT879" s="124"/>
      <c r="BU879" s="124"/>
      <c r="BV879" s="124"/>
      <c r="BW879" s="124"/>
      <c r="BX879" s="124"/>
      <c r="BY879" s="124"/>
      <c r="BZ879" s="124"/>
      <c r="CA879" s="124"/>
    </row>
    <row r="880">
      <c r="D880" s="143"/>
      <c r="E880" s="112"/>
      <c r="F880" s="112"/>
      <c r="G880" s="112"/>
      <c r="H880" s="112"/>
      <c r="I880" s="112"/>
      <c r="J880" s="112"/>
      <c r="K880" s="112"/>
      <c r="L880" s="112"/>
      <c r="M880" s="112"/>
      <c r="N880" s="112"/>
      <c r="O880" s="112"/>
      <c r="P880" s="112"/>
      <c r="Q880" s="112"/>
      <c r="R880" s="112"/>
      <c r="S880" s="112"/>
      <c r="T880" s="112"/>
      <c r="U880" s="107"/>
      <c r="V880" s="107"/>
      <c r="W880" s="107"/>
      <c r="X880" s="107"/>
      <c r="Y880" s="107"/>
      <c r="Z880" s="112"/>
      <c r="AA880" s="112"/>
      <c r="AB880" s="112"/>
      <c r="AC880" s="112"/>
      <c r="AD880" s="112"/>
      <c r="AE880" s="112"/>
      <c r="AF880" s="112"/>
      <c r="AG880" s="117"/>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c r="BK880" s="124"/>
      <c r="BL880" s="124"/>
      <c r="BM880" s="124"/>
      <c r="BN880" s="124"/>
      <c r="BO880" s="124"/>
      <c r="BP880" s="124"/>
      <c r="BQ880" s="124"/>
      <c r="BR880" s="124"/>
      <c r="BS880" s="124"/>
      <c r="BT880" s="124"/>
      <c r="BU880" s="124"/>
      <c r="BV880" s="124"/>
      <c r="BW880" s="124"/>
      <c r="BX880" s="124"/>
      <c r="BY880" s="124"/>
      <c r="BZ880" s="124"/>
      <c r="CA880" s="124"/>
    </row>
    <row r="881">
      <c r="D881" s="143"/>
      <c r="E881" s="112"/>
      <c r="F881" s="112"/>
      <c r="G881" s="112"/>
      <c r="H881" s="112"/>
      <c r="I881" s="112"/>
      <c r="J881" s="112"/>
      <c r="K881" s="112"/>
      <c r="L881" s="112"/>
      <c r="M881" s="112"/>
      <c r="N881" s="112"/>
      <c r="O881" s="112"/>
      <c r="P881" s="112"/>
      <c r="Q881" s="112"/>
      <c r="R881" s="112"/>
      <c r="S881" s="112"/>
      <c r="T881" s="112"/>
      <c r="U881" s="107"/>
      <c r="V881" s="107"/>
      <c r="W881" s="107"/>
      <c r="X881" s="107"/>
      <c r="Y881" s="107"/>
      <c r="Z881" s="112"/>
      <c r="AA881" s="112"/>
      <c r="AB881" s="112"/>
      <c r="AC881" s="112"/>
      <c r="AD881" s="112"/>
      <c r="AE881" s="112"/>
      <c r="AF881" s="112"/>
      <c r="AG881" s="117"/>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c r="BK881" s="124"/>
      <c r="BL881" s="124"/>
      <c r="BM881" s="124"/>
      <c r="BN881" s="124"/>
      <c r="BO881" s="124"/>
      <c r="BP881" s="124"/>
      <c r="BQ881" s="124"/>
      <c r="BR881" s="124"/>
      <c r="BS881" s="124"/>
      <c r="BT881" s="124"/>
      <c r="BU881" s="124"/>
      <c r="BV881" s="124"/>
      <c r="BW881" s="124"/>
      <c r="BX881" s="124"/>
      <c r="BY881" s="124"/>
      <c r="BZ881" s="124"/>
      <c r="CA881" s="124"/>
    </row>
    <row r="882">
      <c r="D882" s="143"/>
      <c r="E882" s="112"/>
      <c r="F882" s="112"/>
      <c r="G882" s="112"/>
      <c r="H882" s="112"/>
      <c r="I882" s="112"/>
      <c r="J882" s="112"/>
      <c r="K882" s="112"/>
      <c r="L882" s="112"/>
      <c r="M882" s="112"/>
      <c r="N882" s="112"/>
      <c r="O882" s="112"/>
      <c r="P882" s="112"/>
      <c r="Q882" s="112"/>
      <c r="R882" s="112"/>
      <c r="S882" s="112"/>
      <c r="T882" s="112"/>
      <c r="U882" s="107"/>
      <c r="V882" s="107"/>
      <c r="W882" s="107"/>
      <c r="X882" s="107"/>
      <c r="Y882" s="107"/>
      <c r="Z882" s="112"/>
      <c r="AA882" s="112"/>
      <c r="AB882" s="112"/>
      <c r="AC882" s="112"/>
      <c r="AD882" s="112"/>
      <c r="AE882" s="112"/>
      <c r="AF882" s="112"/>
      <c r="AG882" s="117"/>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c r="BK882" s="124"/>
      <c r="BL882" s="124"/>
      <c r="BM882" s="124"/>
      <c r="BN882" s="124"/>
      <c r="BO882" s="124"/>
      <c r="BP882" s="124"/>
      <c r="BQ882" s="124"/>
      <c r="BR882" s="124"/>
      <c r="BS882" s="124"/>
      <c r="BT882" s="124"/>
      <c r="BU882" s="124"/>
      <c r="BV882" s="124"/>
      <c r="BW882" s="124"/>
      <c r="BX882" s="124"/>
      <c r="BY882" s="124"/>
      <c r="BZ882" s="124"/>
      <c r="CA882" s="124"/>
    </row>
    <row r="883">
      <c r="D883" s="143"/>
      <c r="E883" s="112"/>
      <c r="F883" s="112"/>
      <c r="G883" s="112"/>
      <c r="H883" s="112"/>
      <c r="I883" s="112"/>
      <c r="J883" s="112"/>
      <c r="K883" s="112"/>
      <c r="L883" s="112"/>
      <c r="M883" s="112"/>
      <c r="N883" s="112"/>
      <c r="O883" s="112"/>
      <c r="P883" s="112"/>
      <c r="Q883" s="112"/>
      <c r="R883" s="112"/>
      <c r="S883" s="112"/>
      <c r="T883" s="112"/>
      <c r="U883" s="107"/>
      <c r="V883" s="107"/>
      <c r="W883" s="107"/>
      <c r="X883" s="107"/>
      <c r="Y883" s="107"/>
      <c r="Z883" s="112"/>
      <c r="AA883" s="112"/>
      <c r="AB883" s="112"/>
      <c r="AC883" s="112"/>
      <c r="AD883" s="112"/>
      <c r="AE883" s="112"/>
      <c r="AF883" s="112"/>
      <c r="AG883" s="117"/>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c r="BK883" s="124"/>
      <c r="BL883" s="124"/>
      <c r="BM883" s="124"/>
      <c r="BN883" s="124"/>
      <c r="BO883" s="124"/>
      <c r="BP883" s="124"/>
      <c r="BQ883" s="124"/>
      <c r="BR883" s="124"/>
      <c r="BS883" s="124"/>
      <c r="BT883" s="124"/>
      <c r="BU883" s="124"/>
      <c r="BV883" s="124"/>
      <c r="BW883" s="124"/>
      <c r="BX883" s="124"/>
      <c r="BY883" s="124"/>
      <c r="BZ883" s="124"/>
      <c r="CA883" s="124"/>
    </row>
    <row r="884">
      <c r="D884" s="143"/>
      <c r="E884" s="112"/>
      <c r="F884" s="112"/>
      <c r="G884" s="112"/>
      <c r="H884" s="112"/>
      <c r="I884" s="112"/>
      <c r="J884" s="112"/>
      <c r="K884" s="112"/>
      <c r="L884" s="112"/>
      <c r="M884" s="112"/>
      <c r="N884" s="112"/>
      <c r="O884" s="112"/>
      <c r="P884" s="112"/>
      <c r="Q884" s="112"/>
      <c r="R884" s="112"/>
      <c r="S884" s="112"/>
      <c r="T884" s="112"/>
      <c r="U884" s="107"/>
      <c r="V884" s="107"/>
      <c r="W884" s="107"/>
      <c r="X884" s="107"/>
      <c r="Y884" s="107"/>
      <c r="Z884" s="112"/>
      <c r="AA884" s="112"/>
      <c r="AB884" s="112"/>
      <c r="AC884" s="112"/>
      <c r="AD884" s="112"/>
      <c r="AE884" s="112"/>
      <c r="AF884" s="112"/>
      <c r="AG884" s="117"/>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c r="BK884" s="124"/>
      <c r="BL884" s="124"/>
      <c r="BM884" s="124"/>
      <c r="BN884" s="124"/>
      <c r="BO884" s="124"/>
      <c r="BP884" s="124"/>
      <c r="BQ884" s="124"/>
      <c r="BR884" s="124"/>
      <c r="BS884" s="124"/>
      <c r="BT884" s="124"/>
      <c r="BU884" s="124"/>
      <c r="BV884" s="124"/>
      <c r="BW884" s="124"/>
      <c r="BX884" s="124"/>
      <c r="BY884" s="124"/>
      <c r="BZ884" s="124"/>
      <c r="CA884" s="124"/>
    </row>
    <row r="885">
      <c r="D885" s="143"/>
      <c r="E885" s="112"/>
      <c r="F885" s="112"/>
      <c r="G885" s="112"/>
      <c r="H885" s="112"/>
      <c r="I885" s="112"/>
      <c r="J885" s="112"/>
      <c r="K885" s="112"/>
      <c r="L885" s="112"/>
      <c r="M885" s="112"/>
      <c r="N885" s="112"/>
      <c r="O885" s="112"/>
      <c r="P885" s="112"/>
      <c r="Q885" s="112"/>
      <c r="R885" s="112"/>
      <c r="S885" s="112"/>
      <c r="T885" s="112"/>
      <c r="U885" s="107"/>
      <c r="V885" s="107"/>
      <c r="W885" s="107"/>
      <c r="X885" s="107"/>
      <c r="Y885" s="107"/>
      <c r="Z885" s="112"/>
      <c r="AA885" s="112"/>
      <c r="AB885" s="112"/>
      <c r="AC885" s="112"/>
      <c r="AD885" s="112"/>
      <c r="AE885" s="112"/>
      <c r="AF885" s="112"/>
      <c r="AG885" s="117"/>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c r="BK885" s="124"/>
      <c r="BL885" s="124"/>
      <c r="BM885" s="124"/>
      <c r="BN885" s="124"/>
      <c r="BO885" s="124"/>
      <c r="BP885" s="124"/>
      <c r="BQ885" s="124"/>
      <c r="BR885" s="124"/>
      <c r="BS885" s="124"/>
      <c r="BT885" s="124"/>
      <c r="BU885" s="124"/>
      <c r="BV885" s="124"/>
      <c r="BW885" s="124"/>
      <c r="BX885" s="124"/>
      <c r="BY885" s="124"/>
      <c r="BZ885" s="124"/>
      <c r="CA885" s="124"/>
    </row>
    <row r="886">
      <c r="D886" s="143"/>
      <c r="E886" s="112"/>
      <c r="F886" s="112"/>
      <c r="G886" s="112"/>
      <c r="H886" s="112"/>
      <c r="I886" s="112"/>
      <c r="J886" s="112"/>
      <c r="K886" s="112"/>
      <c r="L886" s="112"/>
      <c r="M886" s="112"/>
      <c r="N886" s="112"/>
      <c r="O886" s="112"/>
      <c r="P886" s="112"/>
      <c r="Q886" s="112"/>
      <c r="R886" s="112"/>
      <c r="S886" s="112"/>
      <c r="T886" s="112"/>
      <c r="U886" s="107"/>
      <c r="V886" s="107"/>
      <c r="W886" s="107"/>
      <c r="X886" s="107"/>
      <c r="Y886" s="107"/>
      <c r="Z886" s="112"/>
      <c r="AA886" s="112"/>
      <c r="AB886" s="112"/>
      <c r="AC886" s="112"/>
      <c r="AD886" s="112"/>
      <c r="AE886" s="112"/>
      <c r="AF886" s="112"/>
      <c r="AG886" s="117"/>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c r="BK886" s="124"/>
      <c r="BL886" s="124"/>
      <c r="BM886" s="124"/>
      <c r="BN886" s="124"/>
      <c r="BO886" s="124"/>
      <c r="BP886" s="124"/>
      <c r="BQ886" s="124"/>
      <c r="BR886" s="124"/>
      <c r="BS886" s="124"/>
      <c r="BT886" s="124"/>
      <c r="BU886" s="124"/>
      <c r="BV886" s="124"/>
      <c r="BW886" s="124"/>
      <c r="BX886" s="124"/>
      <c r="BY886" s="124"/>
      <c r="BZ886" s="124"/>
      <c r="CA886" s="124"/>
    </row>
    <row r="887">
      <c r="D887" s="143"/>
      <c r="E887" s="112"/>
      <c r="F887" s="112"/>
      <c r="G887" s="112"/>
      <c r="H887" s="112"/>
      <c r="I887" s="112"/>
      <c r="J887" s="112"/>
      <c r="K887" s="112"/>
      <c r="L887" s="112"/>
      <c r="M887" s="112"/>
      <c r="N887" s="112"/>
      <c r="O887" s="112"/>
      <c r="P887" s="112"/>
      <c r="Q887" s="112"/>
      <c r="R887" s="112"/>
      <c r="S887" s="112"/>
      <c r="T887" s="112"/>
      <c r="U887" s="107"/>
      <c r="V887" s="107"/>
      <c r="W887" s="107"/>
      <c r="X887" s="107"/>
      <c r="Y887" s="107"/>
      <c r="Z887" s="112"/>
      <c r="AA887" s="112"/>
      <c r="AB887" s="112"/>
      <c r="AC887" s="112"/>
      <c r="AD887" s="112"/>
      <c r="AE887" s="112"/>
      <c r="AF887" s="112"/>
      <c r="AG887" s="117"/>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c r="BK887" s="124"/>
      <c r="BL887" s="124"/>
      <c r="BM887" s="124"/>
      <c r="BN887" s="124"/>
      <c r="BO887" s="124"/>
      <c r="BP887" s="124"/>
      <c r="BQ887" s="124"/>
      <c r="BR887" s="124"/>
      <c r="BS887" s="124"/>
      <c r="BT887" s="124"/>
      <c r="BU887" s="124"/>
      <c r="BV887" s="124"/>
      <c r="BW887" s="124"/>
      <c r="BX887" s="124"/>
      <c r="BY887" s="124"/>
      <c r="BZ887" s="124"/>
      <c r="CA887" s="124"/>
    </row>
    <row r="888">
      <c r="D888" s="143"/>
      <c r="E888" s="112"/>
      <c r="F888" s="112"/>
      <c r="G888" s="112"/>
      <c r="H888" s="112"/>
      <c r="I888" s="112"/>
      <c r="J888" s="112"/>
      <c r="K888" s="112"/>
      <c r="L888" s="112"/>
      <c r="M888" s="112"/>
      <c r="N888" s="112"/>
      <c r="O888" s="112"/>
      <c r="P888" s="112"/>
      <c r="Q888" s="112"/>
      <c r="R888" s="112"/>
      <c r="S888" s="112"/>
      <c r="T888" s="112"/>
      <c r="U888" s="107"/>
      <c r="V888" s="107"/>
      <c r="W888" s="107"/>
      <c r="X888" s="107"/>
      <c r="Y888" s="107"/>
      <c r="Z888" s="112"/>
      <c r="AA888" s="112"/>
      <c r="AB888" s="112"/>
      <c r="AC888" s="112"/>
      <c r="AD888" s="112"/>
      <c r="AE888" s="112"/>
      <c r="AF888" s="112"/>
      <c r="AG888" s="117"/>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c r="BK888" s="124"/>
      <c r="BL888" s="124"/>
      <c r="BM888" s="124"/>
      <c r="BN888" s="124"/>
      <c r="BO888" s="124"/>
      <c r="BP888" s="124"/>
      <c r="BQ888" s="124"/>
      <c r="BR888" s="124"/>
      <c r="BS888" s="124"/>
      <c r="BT888" s="124"/>
      <c r="BU888" s="124"/>
      <c r="BV888" s="124"/>
      <c r="BW888" s="124"/>
      <c r="BX888" s="124"/>
      <c r="BY888" s="124"/>
      <c r="BZ888" s="124"/>
      <c r="CA888" s="124"/>
    </row>
    <row r="889">
      <c r="D889" s="143"/>
      <c r="E889" s="112"/>
      <c r="F889" s="112"/>
      <c r="G889" s="112"/>
      <c r="H889" s="112"/>
      <c r="I889" s="112"/>
      <c r="J889" s="112"/>
      <c r="K889" s="112"/>
      <c r="L889" s="112"/>
      <c r="M889" s="112"/>
      <c r="N889" s="112"/>
      <c r="O889" s="112"/>
      <c r="P889" s="112"/>
      <c r="Q889" s="112"/>
      <c r="R889" s="112"/>
      <c r="S889" s="112"/>
      <c r="T889" s="112"/>
      <c r="U889" s="107"/>
      <c r="V889" s="107"/>
      <c r="W889" s="107"/>
      <c r="X889" s="107"/>
      <c r="Y889" s="107"/>
      <c r="Z889" s="112"/>
      <c r="AA889" s="112"/>
      <c r="AB889" s="112"/>
      <c r="AC889" s="112"/>
      <c r="AD889" s="112"/>
      <c r="AE889" s="112"/>
      <c r="AF889" s="112"/>
      <c r="AG889" s="117"/>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c r="BK889" s="124"/>
      <c r="BL889" s="124"/>
      <c r="BM889" s="124"/>
      <c r="BN889" s="124"/>
      <c r="BO889" s="124"/>
      <c r="BP889" s="124"/>
      <c r="BQ889" s="124"/>
      <c r="BR889" s="124"/>
      <c r="BS889" s="124"/>
      <c r="BT889" s="124"/>
      <c r="BU889" s="124"/>
      <c r="BV889" s="124"/>
      <c r="BW889" s="124"/>
      <c r="BX889" s="124"/>
      <c r="BY889" s="124"/>
      <c r="BZ889" s="124"/>
      <c r="CA889" s="124"/>
    </row>
    <row r="890">
      <c r="D890" s="143"/>
      <c r="E890" s="112"/>
      <c r="F890" s="112"/>
      <c r="G890" s="112"/>
      <c r="H890" s="112"/>
      <c r="I890" s="112"/>
      <c r="J890" s="112"/>
      <c r="K890" s="112"/>
      <c r="L890" s="112"/>
      <c r="M890" s="112"/>
      <c r="N890" s="112"/>
      <c r="O890" s="112"/>
      <c r="P890" s="112"/>
      <c r="Q890" s="112"/>
      <c r="R890" s="112"/>
      <c r="S890" s="112"/>
      <c r="T890" s="112"/>
      <c r="U890" s="107"/>
      <c r="V890" s="107"/>
      <c r="W890" s="107"/>
      <c r="X890" s="107"/>
      <c r="Y890" s="107"/>
      <c r="Z890" s="112"/>
      <c r="AA890" s="112"/>
      <c r="AB890" s="112"/>
      <c r="AC890" s="112"/>
      <c r="AD890" s="112"/>
      <c r="AE890" s="112"/>
      <c r="AF890" s="112"/>
      <c r="AG890" s="117"/>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c r="BK890" s="124"/>
      <c r="BL890" s="124"/>
      <c r="BM890" s="124"/>
      <c r="BN890" s="124"/>
      <c r="BO890" s="124"/>
      <c r="BP890" s="124"/>
      <c r="BQ890" s="124"/>
      <c r="BR890" s="124"/>
      <c r="BS890" s="124"/>
      <c r="BT890" s="124"/>
      <c r="BU890" s="124"/>
      <c r="BV890" s="124"/>
      <c r="BW890" s="124"/>
      <c r="BX890" s="124"/>
      <c r="BY890" s="124"/>
      <c r="BZ890" s="124"/>
      <c r="CA890" s="124"/>
    </row>
    <row r="891">
      <c r="D891" s="143"/>
      <c r="E891" s="112"/>
      <c r="F891" s="112"/>
      <c r="G891" s="112"/>
      <c r="H891" s="112"/>
      <c r="I891" s="112"/>
      <c r="J891" s="112"/>
      <c r="K891" s="112"/>
      <c r="L891" s="112"/>
      <c r="M891" s="112"/>
      <c r="N891" s="112"/>
      <c r="O891" s="112"/>
      <c r="P891" s="112"/>
      <c r="Q891" s="112"/>
      <c r="R891" s="112"/>
      <c r="S891" s="112"/>
      <c r="T891" s="112"/>
      <c r="U891" s="107"/>
      <c r="V891" s="107"/>
      <c r="W891" s="107"/>
      <c r="X891" s="107"/>
      <c r="Y891" s="107"/>
      <c r="Z891" s="112"/>
      <c r="AA891" s="112"/>
      <c r="AB891" s="112"/>
      <c r="AC891" s="112"/>
      <c r="AD891" s="112"/>
      <c r="AE891" s="112"/>
      <c r="AF891" s="112"/>
      <c r="AG891" s="117"/>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c r="BK891" s="124"/>
      <c r="BL891" s="124"/>
      <c r="BM891" s="124"/>
      <c r="BN891" s="124"/>
      <c r="BO891" s="124"/>
      <c r="BP891" s="124"/>
      <c r="BQ891" s="124"/>
      <c r="BR891" s="124"/>
      <c r="BS891" s="124"/>
      <c r="BT891" s="124"/>
      <c r="BU891" s="124"/>
      <c r="BV891" s="124"/>
      <c r="BW891" s="124"/>
      <c r="BX891" s="124"/>
      <c r="BY891" s="124"/>
      <c r="BZ891" s="124"/>
      <c r="CA891" s="124"/>
    </row>
    <row r="892">
      <c r="D892" s="143"/>
      <c r="E892" s="112"/>
      <c r="F892" s="112"/>
      <c r="G892" s="112"/>
      <c r="H892" s="112"/>
      <c r="I892" s="112"/>
      <c r="J892" s="112"/>
      <c r="K892" s="112"/>
      <c r="L892" s="112"/>
      <c r="M892" s="112"/>
      <c r="N892" s="112"/>
      <c r="O892" s="112"/>
      <c r="P892" s="112"/>
      <c r="Q892" s="112"/>
      <c r="R892" s="112"/>
      <c r="S892" s="112"/>
      <c r="T892" s="112"/>
      <c r="U892" s="107"/>
      <c r="V892" s="107"/>
      <c r="W892" s="107"/>
      <c r="X892" s="107"/>
      <c r="Y892" s="107"/>
      <c r="Z892" s="112"/>
      <c r="AA892" s="112"/>
      <c r="AB892" s="112"/>
      <c r="AC892" s="112"/>
      <c r="AD892" s="112"/>
      <c r="AE892" s="112"/>
      <c r="AF892" s="112"/>
      <c r="AG892" s="117"/>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c r="BK892" s="124"/>
      <c r="BL892" s="124"/>
      <c r="BM892" s="124"/>
      <c r="BN892" s="124"/>
      <c r="BO892" s="124"/>
      <c r="BP892" s="124"/>
      <c r="BQ892" s="124"/>
      <c r="BR892" s="124"/>
      <c r="BS892" s="124"/>
      <c r="BT892" s="124"/>
      <c r="BU892" s="124"/>
      <c r="BV892" s="124"/>
      <c r="BW892" s="124"/>
      <c r="BX892" s="124"/>
      <c r="BY892" s="124"/>
      <c r="BZ892" s="124"/>
      <c r="CA892" s="124"/>
    </row>
    <row r="893">
      <c r="D893" s="143"/>
      <c r="E893" s="112"/>
      <c r="F893" s="112"/>
      <c r="G893" s="112"/>
      <c r="H893" s="112"/>
      <c r="I893" s="112"/>
      <c r="J893" s="112"/>
      <c r="K893" s="112"/>
      <c r="L893" s="112"/>
      <c r="M893" s="112"/>
      <c r="N893" s="112"/>
      <c r="O893" s="112"/>
      <c r="P893" s="112"/>
      <c r="Q893" s="112"/>
      <c r="R893" s="112"/>
      <c r="S893" s="112"/>
      <c r="T893" s="112"/>
      <c r="U893" s="107"/>
      <c r="V893" s="107"/>
      <c r="W893" s="107"/>
      <c r="X893" s="107"/>
      <c r="Y893" s="107"/>
      <c r="Z893" s="112"/>
      <c r="AA893" s="112"/>
      <c r="AB893" s="112"/>
      <c r="AC893" s="112"/>
      <c r="AD893" s="112"/>
      <c r="AE893" s="112"/>
      <c r="AF893" s="112"/>
      <c r="AG893" s="117"/>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c r="BK893" s="124"/>
      <c r="BL893" s="124"/>
      <c r="BM893" s="124"/>
      <c r="BN893" s="124"/>
      <c r="BO893" s="124"/>
      <c r="BP893" s="124"/>
      <c r="BQ893" s="124"/>
      <c r="BR893" s="124"/>
      <c r="BS893" s="124"/>
      <c r="BT893" s="124"/>
      <c r="BU893" s="124"/>
      <c r="BV893" s="124"/>
      <c r="BW893" s="124"/>
      <c r="BX893" s="124"/>
      <c r="BY893" s="124"/>
      <c r="BZ893" s="124"/>
      <c r="CA893" s="124"/>
    </row>
    <row r="894">
      <c r="D894" s="143"/>
      <c r="E894" s="112"/>
      <c r="F894" s="112"/>
      <c r="G894" s="112"/>
      <c r="H894" s="112"/>
      <c r="I894" s="112"/>
      <c r="J894" s="112"/>
      <c r="K894" s="112"/>
      <c r="L894" s="112"/>
      <c r="M894" s="112"/>
      <c r="N894" s="112"/>
      <c r="O894" s="112"/>
      <c r="P894" s="112"/>
      <c r="Q894" s="112"/>
      <c r="R894" s="112"/>
      <c r="S894" s="112"/>
      <c r="T894" s="112"/>
      <c r="U894" s="107"/>
      <c r="V894" s="107"/>
      <c r="W894" s="107"/>
      <c r="X894" s="107"/>
      <c r="Y894" s="107"/>
      <c r="Z894" s="112"/>
      <c r="AA894" s="112"/>
      <c r="AB894" s="112"/>
      <c r="AC894" s="112"/>
      <c r="AD894" s="112"/>
      <c r="AE894" s="112"/>
      <c r="AF894" s="112"/>
      <c r="AG894" s="117"/>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c r="BK894" s="124"/>
      <c r="BL894" s="124"/>
      <c r="BM894" s="124"/>
      <c r="BN894" s="124"/>
      <c r="BO894" s="124"/>
      <c r="BP894" s="124"/>
      <c r="BQ894" s="124"/>
      <c r="BR894" s="124"/>
      <c r="BS894" s="124"/>
      <c r="BT894" s="124"/>
      <c r="BU894" s="124"/>
      <c r="BV894" s="124"/>
      <c r="BW894" s="124"/>
      <c r="BX894" s="124"/>
      <c r="BY894" s="124"/>
      <c r="BZ894" s="124"/>
      <c r="CA894" s="124"/>
    </row>
    <row r="895">
      <c r="D895" s="143"/>
      <c r="E895" s="112"/>
      <c r="F895" s="112"/>
      <c r="G895" s="112"/>
      <c r="H895" s="112"/>
      <c r="I895" s="112"/>
      <c r="J895" s="112"/>
      <c r="K895" s="112"/>
      <c r="L895" s="112"/>
      <c r="M895" s="112"/>
      <c r="N895" s="112"/>
      <c r="O895" s="112"/>
      <c r="P895" s="112"/>
      <c r="Q895" s="112"/>
      <c r="R895" s="112"/>
      <c r="S895" s="112"/>
      <c r="T895" s="112"/>
      <c r="U895" s="107"/>
      <c r="V895" s="107"/>
      <c r="W895" s="107"/>
      <c r="X895" s="107"/>
      <c r="Y895" s="107"/>
      <c r="Z895" s="112"/>
      <c r="AA895" s="112"/>
      <c r="AB895" s="112"/>
      <c r="AC895" s="112"/>
      <c r="AD895" s="112"/>
      <c r="AE895" s="112"/>
      <c r="AF895" s="112"/>
      <c r="AG895" s="117"/>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c r="BK895" s="124"/>
      <c r="BL895" s="124"/>
      <c r="BM895" s="124"/>
      <c r="BN895" s="124"/>
      <c r="BO895" s="124"/>
      <c r="BP895" s="124"/>
      <c r="BQ895" s="124"/>
      <c r="BR895" s="124"/>
      <c r="BS895" s="124"/>
      <c r="BT895" s="124"/>
      <c r="BU895" s="124"/>
      <c r="BV895" s="124"/>
      <c r="BW895" s="124"/>
      <c r="BX895" s="124"/>
      <c r="BY895" s="124"/>
      <c r="BZ895" s="124"/>
      <c r="CA895" s="124"/>
    </row>
    <row r="896">
      <c r="D896" s="143"/>
      <c r="E896" s="112"/>
      <c r="F896" s="112"/>
      <c r="G896" s="112"/>
      <c r="H896" s="112"/>
      <c r="I896" s="112"/>
      <c r="J896" s="112"/>
      <c r="K896" s="112"/>
      <c r="L896" s="112"/>
      <c r="M896" s="112"/>
      <c r="N896" s="112"/>
      <c r="O896" s="112"/>
      <c r="P896" s="112"/>
      <c r="Q896" s="112"/>
      <c r="R896" s="112"/>
      <c r="S896" s="112"/>
      <c r="T896" s="112"/>
      <c r="U896" s="107"/>
      <c r="V896" s="107"/>
      <c r="W896" s="107"/>
      <c r="X896" s="107"/>
      <c r="Y896" s="107"/>
      <c r="Z896" s="112"/>
      <c r="AA896" s="112"/>
      <c r="AB896" s="112"/>
      <c r="AC896" s="112"/>
      <c r="AD896" s="112"/>
      <c r="AE896" s="112"/>
      <c r="AF896" s="112"/>
      <c r="AG896" s="117"/>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c r="BK896" s="124"/>
      <c r="BL896" s="124"/>
      <c r="BM896" s="124"/>
      <c r="BN896" s="124"/>
      <c r="BO896" s="124"/>
      <c r="BP896" s="124"/>
      <c r="BQ896" s="124"/>
      <c r="BR896" s="124"/>
      <c r="BS896" s="124"/>
      <c r="BT896" s="124"/>
      <c r="BU896" s="124"/>
      <c r="BV896" s="124"/>
      <c r="BW896" s="124"/>
      <c r="BX896" s="124"/>
      <c r="BY896" s="124"/>
      <c r="BZ896" s="124"/>
      <c r="CA896" s="124"/>
    </row>
    <row r="897">
      <c r="D897" s="143"/>
      <c r="E897" s="112"/>
      <c r="F897" s="112"/>
      <c r="G897" s="112"/>
      <c r="H897" s="112"/>
      <c r="I897" s="112"/>
      <c r="J897" s="112"/>
      <c r="K897" s="112"/>
      <c r="L897" s="112"/>
      <c r="M897" s="112"/>
      <c r="N897" s="112"/>
      <c r="O897" s="112"/>
      <c r="P897" s="112"/>
      <c r="Q897" s="112"/>
      <c r="R897" s="112"/>
      <c r="S897" s="112"/>
      <c r="T897" s="112"/>
      <c r="U897" s="107"/>
      <c r="V897" s="107"/>
      <c r="W897" s="107"/>
      <c r="X897" s="107"/>
      <c r="Y897" s="107"/>
      <c r="Z897" s="112"/>
      <c r="AA897" s="112"/>
      <c r="AB897" s="112"/>
      <c r="AC897" s="112"/>
      <c r="AD897" s="112"/>
      <c r="AE897" s="112"/>
      <c r="AF897" s="112"/>
      <c r="AG897" s="117"/>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c r="BK897" s="124"/>
      <c r="BL897" s="124"/>
      <c r="BM897" s="124"/>
      <c r="BN897" s="124"/>
      <c r="BO897" s="124"/>
      <c r="BP897" s="124"/>
      <c r="BQ897" s="124"/>
      <c r="BR897" s="124"/>
      <c r="BS897" s="124"/>
      <c r="BT897" s="124"/>
      <c r="BU897" s="124"/>
      <c r="BV897" s="124"/>
      <c r="BW897" s="124"/>
      <c r="BX897" s="124"/>
      <c r="BY897" s="124"/>
      <c r="BZ897" s="124"/>
      <c r="CA897" s="124"/>
    </row>
    <row r="898">
      <c r="D898" s="143"/>
      <c r="E898" s="112"/>
      <c r="F898" s="112"/>
      <c r="G898" s="112"/>
      <c r="H898" s="112"/>
      <c r="I898" s="112"/>
      <c r="J898" s="112"/>
      <c r="K898" s="112"/>
      <c r="L898" s="112"/>
      <c r="M898" s="112"/>
      <c r="N898" s="112"/>
      <c r="O898" s="112"/>
      <c r="P898" s="112"/>
      <c r="Q898" s="112"/>
      <c r="R898" s="112"/>
      <c r="S898" s="112"/>
      <c r="T898" s="112"/>
      <c r="U898" s="107"/>
      <c r="V898" s="107"/>
      <c r="W898" s="107"/>
      <c r="X898" s="107"/>
      <c r="Y898" s="107"/>
      <c r="Z898" s="112"/>
      <c r="AA898" s="112"/>
      <c r="AB898" s="112"/>
      <c r="AC898" s="112"/>
      <c r="AD898" s="112"/>
      <c r="AE898" s="112"/>
      <c r="AF898" s="112"/>
      <c r="AG898" s="117"/>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c r="BK898" s="124"/>
      <c r="BL898" s="124"/>
      <c r="BM898" s="124"/>
      <c r="BN898" s="124"/>
      <c r="BO898" s="124"/>
      <c r="BP898" s="124"/>
      <c r="BQ898" s="124"/>
      <c r="BR898" s="124"/>
      <c r="BS898" s="124"/>
      <c r="BT898" s="124"/>
      <c r="BU898" s="124"/>
      <c r="BV898" s="124"/>
      <c r="BW898" s="124"/>
      <c r="BX898" s="124"/>
      <c r="BY898" s="124"/>
      <c r="BZ898" s="124"/>
      <c r="CA898" s="124"/>
    </row>
    <row r="899">
      <c r="D899" s="143"/>
      <c r="E899" s="112"/>
      <c r="F899" s="112"/>
      <c r="G899" s="112"/>
      <c r="H899" s="112"/>
      <c r="I899" s="112"/>
      <c r="J899" s="112"/>
      <c r="K899" s="112"/>
      <c r="L899" s="112"/>
      <c r="M899" s="112"/>
      <c r="N899" s="112"/>
      <c r="O899" s="112"/>
      <c r="P899" s="112"/>
      <c r="Q899" s="112"/>
      <c r="R899" s="112"/>
      <c r="S899" s="112"/>
      <c r="T899" s="112"/>
      <c r="U899" s="107"/>
      <c r="V899" s="107"/>
      <c r="W899" s="107"/>
      <c r="X899" s="107"/>
      <c r="Y899" s="107"/>
      <c r="Z899" s="112"/>
      <c r="AA899" s="112"/>
      <c r="AB899" s="112"/>
      <c r="AC899" s="112"/>
      <c r="AD899" s="112"/>
      <c r="AE899" s="112"/>
      <c r="AF899" s="112"/>
      <c r="AG899" s="117"/>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c r="BK899" s="124"/>
      <c r="BL899" s="124"/>
      <c r="BM899" s="124"/>
      <c r="BN899" s="124"/>
      <c r="BO899" s="124"/>
      <c r="BP899" s="124"/>
      <c r="BQ899" s="124"/>
      <c r="BR899" s="124"/>
      <c r="BS899" s="124"/>
      <c r="BT899" s="124"/>
      <c r="BU899" s="124"/>
      <c r="BV899" s="124"/>
      <c r="BW899" s="124"/>
      <c r="BX899" s="124"/>
      <c r="BY899" s="124"/>
      <c r="BZ899" s="124"/>
      <c r="CA899" s="124"/>
    </row>
    <row r="900">
      <c r="D900" s="143"/>
      <c r="E900" s="112"/>
      <c r="F900" s="112"/>
      <c r="G900" s="112"/>
      <c r="H900" s="112"/>
      <c r="I900" s="112"/>
      <c r="J900" s="112"/>
      <c r="K900" s="112"/>
      <c r="L900" s="112"/>
      <c r="M900" s="112"/>
      <c r="N900" s="112"/>
      <c r="O900" s="112"/>
      <c r="P900" s="112"/>
      <c r="Q900" s="112"/>
      <c r="R900" s="112"/>
      <c r="S900" s="112"/>
      <c r="T900" s="112"/>
      <c r="U900" s="107"/>
      <c r="V900" s="107"/>
      <c r="W900" s="107"/>
      <c r="X900" s="107"/>
      <c r="Y900" s="107"/>
      <c r="Z900" s="112"/>
      <c r="AA900" s="112"/>
      <c r="AB900" s="112"/>
      <c r="AC900" s="112"/>
      <c r="AD900" s="112"/>
      <c r="AE900" s="112"/>
      <c r="AF900" s="112"/>
      <c r="AG900" s="117"/>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c r="BK900" s="124"/>
      <c r="BL900" s="124"/>
      <c r="BM900" s="124"/>
      <c r="BN900" s="124"/>
      <c r="BO900" s="124"/>
      <c r="BP900" s="124"/>
      <c r="BQ900" s="124"/>
      <c r="BR900" s="124"/>
      <c r="BS900" s="124"/>
      <c r="BT900" s="124"/>
      <c r="BU900" s="124"/>
      <c r="BV900" s="124"/>
      <c r="BW900" s="124"/>
      <c r="BX900" s="124"/>
      <c r="BY900" s="124"/>
      <c r="BZ900" s="124"/>
      <c r="CA900" s="124"/>
    </row>
    <row r="901">
      <c r="D901" s="143"/>
      <c r="E901" s="112"/>
      <c r="F901" s="112"/>
      <c r="G901" s="112"/>
      <c r="H901" s="112"/>
      <c r="I901" s="112"/>
      <c r="J901" s="112"/>
      <c r="K901" s="112"/>
      <c r="L901" s="112"/>
      <c r="M901" s="112"/>
      <c r="N901" s="112"/>
      <c r="O901" s="112"/>
      <c r="P901" s="112"/>
      <c r="Q901" s="112"/>
      <c r="R901" s="112"/>
      <c r="S901" s="112"/>
      <c r="T901" s="112"/>
      <c r="U901" s="107"/>
      <c r="V901" s="107"/>
      <c r="W901" s="107"/>
      <c r="X901" s="107"/>
      <c r="Y901" s="107"/>
      <c r="Z901" s="112"/>
      <c r="AA901" s="112"/>
      <c r="AB901" s="112"/>
      <c r="AC901" s="112"/>
      <c r="AD901" s="112"/>
      <c r="AE901" s="112"/>
      <c r="AF901" s="112"/>
      <c r="AG901" s="117"/>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c r="BK901" s="124"/>
      <c r="BL901" s="124"/>
      <c r="BM901" s="124"/>
      <c r="BN901" s="124"/>
      <c r="BO901" s="124"/>
      <c r="BP901" s="124"/>
      <c r="BQ901" s="124"/>
      <c r="BR901" s="124"/>
      <c r="BS901" s="124"/>
      <c r="BT901" s="124"/>
      <c r="BU901" s="124"/>
      <c r="BV901" s="124"/>
      <c r="BW901" s="124"/>
      <c r="BX901" s="124"/>
      <c r="BY901" s="124"/>
      <c r="BZ901" s="124"/>
      <c r="CA901" s="124"/>
    </row>
    <row r="902">
      <c r="D902" s="143"/>
      <c r="E902" s="112"/>
      <c r="F902" s="112"/>
      <c r="G902" s="112"/>
      <c r="H902" s="112"/>
      <c r="I902" s="112"/>
      <c r="J902" s="112"/>
      <c r="K902" s="112"/>
      <c r="L902" s="112"/>
      <c r="M902" s="112"/>
      <c r="N902" s="112"/>
      <c r="O902" s="112"/>
      <c r="P902" s="112"/>
      <c r="Q902" s="112"/>
      <c r="R902" s="112"/>
      <c r="S902" s="112"/>
      <c r="T902" s="112"/>
      <c r="U902" s="107"/>
      <c r="V902" s="107"/>
      <c r="W902" s="107"/>
      <c r="X902" s="107"/>
      <c r="Y902" s="107"/>
      <c r="Z902" s="112"/>
      <c r="AA902" s="112"/>
      <c r="AB902" s="112"/>
      <c r="AC902" s="112"/>
      <c r="AD902" s="112"/>
      <c r="AE902" s="112"/>
      <c r="AF902" s="112"/>
      <c r="AG902" s="117"/>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c r="BK902" s="124"/>
      <c r="BL902" s="124"/>
      <c r="BM902" s="124"/>
      <c r="BN902" s="124"/>
      <c r="BO902" s="124"/>
      <c r="BP902" s="124"/>
      <c r="BQ902" s="124"/>
      <c r="BR902" s="124"/>
      <c r="BS902" s="124"/>
      <c r="BT902" s="124"/>
      <c r="BU902" s="124"/>
      <c r="BV902" s="124"/>
      <c r="BW902" s="124"/>
      <c r="BX902" s="124"/>
      <c r="BY902" s="124"/>
      <c r="BZ902" s="124"/>
      <c r="CA902" s="124"/>
    </row>
    <row r="903">
      <c r="D903" s="143"/>
      <c r="E903" s="112"/>
      <c r="F903" s="112"/>
      <c r="G903" s="112"/>
      <c r="H903" s="112"/>
      <c r="I903" s="112"/>
      <c r="J903" s="112"/>
      <c r="K903" s="112"/>
      <c r="L903" s="112"/>
      <c r="M903" s="112"/>
      <c r="N903" s="112"/>
      <c r="O903" s="112"/>
      <c r="P903" s="112"/>
      <c r="Q903" s="112"/>
      <c r="R903" s="112"/>
      <c r="S903" s="112"/>
      <c r="T903" s="112"/>
      <c r="U903" s="107"/>
      <c r="V903" s="107"/>
      <c r="W903" s="107"/>
      <c r="X903" s="107"/>
      <c r="Y903" s="107"/>
      <c r="Z903" s="112"/>
      <c r="AA903" s="112"/>
      <c r="AB903" s="112"/>
      <c r="AC903" s="112"/>
      <c r="AD903" s="112"/>
      <c r="AE903" s="112"/>
      <c r="AF903" s="112"/>
      <c r="AG903" s="117"/>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c r="BK903" s="124"/>
      <c r="BL903" s="124"/>
      <c r="BM903" s="124"/>
      <c r="BN903" s="124"/>
      <c r="BO903" s="124"/>
      <c r="BP903" s="124"/>
      <c r="BQ903" s="124"/>
      <c r="BR903" s="124"/>
      <c r="BS903" s="124"/>
      <c r="BT903" s="124"/>
      <c r="BU903" s="124"/>
      <c r="BV903" s="124"/>
      <c r="BW903" s="124"/>
      <c r="BX903" s="124"/>
      <c r="BY903" s="124"/>
      <c r="BZ903" s="124"/>
      <c r="CA903" s="124"/>
    </row>
    <row r="904">
      <c r="D904" s="143"/>
      <c r="E904" s="112"/>
      <c r="F904" s="112"/>
      <c r="G904" s="112"/>
      <c r="H904" s="112"/>
      <c r="I904" s="112"/>
      <c r="J904" s="112"/>
      <c r="K904" s="112"/>
      <c r="L904" s="112"/>
      <c r="M904" s="112"/>
      <c r="N904" s="112"/>
      <c r="O904" s="112"/>
      <c r="P904" s="112"/>
      <c r="Q904" s="112"/>
      <c r="R904" s="112"/>
      <c r="S904" s="112"/>
      <c r="T904" s="112"/>
      <c r="U904" s="107"/>
      <c r="V904" s="107"/>
      <c r="W904" s="107"/>
      <c r="X904" s="107"/>
      <c r="Y904" s="107"/>
      <c r="Z904" s="112"/>
      <c r="AA904" s="112"/>
      <c r="AB904" s="112"/>
      <c r="AC904" s="112"/>
      <c r="AD904" s="112"/>
      <c r="AE904" s="112"/>
      <c r="AF904" s="112"/>
      <c r="AG904" s="117"/>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c r="BK904" s="124"/>
      <c r="BL904" s="124"/>
      <c r="BM904" s="124"/>
      <c r="BN904" s="124"/>
      <c r="BO904" s="124"/>
      <c r="BP904" s="124"/>
      <c r="BQ904" s="124"/>
      <c r="BR904" s="124"/>
      <c r="BS904" s="124"/>
      <c r="BT904" s="124"/>
      <c r="BU904" s="124"/>
      <c r="BV904" s="124"/>
      <c r="BW904" s="124"/>
      <c r="BX904" s="124"/>
      <c r="BY904" s="124"/>
      <c r="BZ904" s="124"/>
      <c r="CA904" s="124"/>
    </row>
    <row r="905">
      <c r="D905" s="143"/>
      <c r="E905" s="112"/>
      <c r="F905" s="112"/>
      <c r="G905" s="112"/>
      <c r="H905" s="112"/>
      <c r="I905" s="112"/>
      <c r="J905" s="112"/>
      <c r="K905" s="112"/>
      <c r="L905" s="112"/>
      <c r="M905" s="112"/>
      <c r="N905" s="112"/>
      <c r="O905" s="112"/>
      <c r="P905" s="112"/>
      <c r="Q905" s="112"/>
      <c r="R905" s="112"/>
      <c r="S905" s="112"/>
      <c r="T905" s="112"/>
      <c r="U905" s="107"/>
      <c r="V905" s="107"/>
      <c r="W905" s="107"/>
      <c r="X905" s="107"/>
      <c r="Y905" s="107"/>
      <c r="Z905" s="112"/>
      <c r="AA905" s="112"/>
      <c r="AB905" s="112"/>
      <c r="AC905" s="112"/>
      <c r="AD905" s="112"/>
      <c r="AE905" s="112"/>
      <c r="AF905" s="112"/>
      <c r="AG905" s="117"/>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c r="BK905" s="124"/>
      <c r="BL905" s="124"/>
      <c r="BM905" s="124"/>
      <c r="BN905" s="124"/>
      <c r="BO905" s="124"/>
      <c r="BP905" s="124"/>
      <c r="BQ905" s="124"/>
      <c r="BR905" s="124"/>
      <c r="BS905" s="124"/>
      <c r="BT905" s="124"/>
      <c r="BU905" s="124"/>
      <c r="BV905" s="124"/>
      <c r="BW905" s="124"/>
      <c r="BX905" s="124"/>
      <c r="BY905" s="124"/>
      <c r="BZ905" s="124"/>
      <c r="CA905" s="124"/>
    </row>
    <row r="906">
      <c r="D906" s="143"/>
      <c r="E906" s="112"/>
      <c r="F906" s="112"/>
      <c r="G906" s="112"/>
      <c r="H906" s="112"/>
      <c r="I906" s="112"/>
      <c r="J906" s="112"/>
      <c r="K906" s="112"/>
      <c r="L906" s="112"/>
      <c r="M906" s="112"/>
      <c r="N906" s="112"/>
      <c r="O906" s="112"/>
      <c r="P906" s="112"/>
      <c r="Q906" s="112"/>
      <c r="R906" s="112"/>
      <c r="S906" s="112"/>
      <c r="T906" s="112"/>
      <c r="U906" s="107"/>
      <c r="V906" s="107"/>
      <c r="W906" s="107"/>
      <c r="X906" s="107"/>
      <c r="Y906" s="107"/>
      <c r="Z906" s="112"/>
      <c r="AA906" s="112"/>
      <c r="AB906" s="112"/>
      <c r="AC906" s="112"/>
      <c r="AD906" s="112"/>
      <c r="AE906" s="112"/>
      <c r="AF906" s="112"/>
      <c r="AG906" s="117"/>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c r="BK906" s="124"/>
      <c r="BL906" s="124"/>
      <c r="BM906" s="124"/>
      <c r="BN906" s="124"/>
      <c r="BO906" s="124"/>
      <c r="BP906" s="124"/>
      <c r="BQ906" s="124"/>
      <c r="BR906" s="124"/>
      <c r="BS906" s="124"/>
      <c r="BT906" s="124"/>
      <c r="BU906" s="124"/>
      <c r="BV906" s="124"/>
      <c r="BW906" s="124"/>
      <c r="BX906" s="124"/>
      <c r="BY906" s="124"/>
      <c r="BZ906" s="124"/>
      <c r="CA906" s="124"/>
    </row>
    <row r="907">
      <c r="D907" s="143"/>
      <c r="E907" s="112"/>
      <c r="F907" s="112"/>
      <c r="G907" s="112"/>
      <c r="H907" s="112"/>
      <c r="I907" s="112"/>
      <c r="J907" s="112"/>
      <c r="K907" s="112"/>
      <c r="L907" s="112"/>
      <c r="M907" s="112"/>
      <c r="N907" s="112"/>
      <c r="O907" s="112"/>
      <c r="P907" s="112"/>
      <c r="Q907" s="112"/>
      <c r="R907" s="112"/>
      <c r="S907" s="112"/>
      <c r="T907" s="112"/>
      <c r="U907" s="107"/>
      <c r="V907" s="107"/>
      <c r="W907" s="107"/>
      <c r="X907" s="107"/>
      <c r="Y907" s="107"/>
      <c r="Z907" s="112"/>
      <c r="AA907" s="112"/>
      <c r="AB907" s="112"/>
      <c r="AC907" s="112"/>
      <c r="AD907" s="112"/>
      <c r="AE907" s="112"/>
      <c r="AF907" s="112"/>
      <c r="AG907" s="117"/>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c r="BK907" s="124"/>
      <c r="BL907" s="124"/>
      <c r="BM907" s="124"/>
      <c r="BN907" s="124"/>
      <c r="BO907" s="124"/>
      <c r="BP907" s="124"/>
      <c r="BQ907" s="124"/>
      <c r="BR907" s="124"/>
      <c r="BS907" s="124"/>
      <c r="BT907" s="124"/>
      <c r="BU907" s="124"/>
      <c r="BV907" s="124"/>
      <c r="BW907" s="124"/>
      <c r="BX907" s="124"/>
      <c r="BY907" s="124"/>
      <c r="BZ907" s="124"/>
      <c r="CA907" s="124"/>
    </row>
    <row r="908">
      <c r="D908" s="143"/>
      <c r="E908" s="112"/>
      <c r="F908" s="112"/>
      <c r="G908" s="112"/>
      <c r="H908" s="112"/>
      <c r="I908" s="112"/>
      <c r="J908" s="112"/>
      <c r="K908" s="112"/>
      <c r="L908" s="112"/>
      <c r="M908" s="112"/>
      <c r="N908" s="112"/>
      <c r="O908" s="112"/>
      <c r="P908" s="112"/>
      <c r="Q908" s="112"/>
      <c r="R908" s="112"/>
      <c r="S908" s="112"/>
      <c r="T908" s="112"/>
      <c r="U908" s="107"/>
      <c r="V908" s="107"/>
      <c r="W908" s="107"/>
      <c r="X908" s="107"/>
      <c r="Y908" s="107"/>
      <c r="Z908" s="112"/>
      <c r="AA908" s="112"/>
      <c r="AB908" s="112"/>
      <c r="AC908" s="112"/>
      <c r="AD908" s="112"/>
      <c r="AE908" s="112"/>
      <c r="AF908" s="112"/>
      <c r="AG908" s="117"/>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c r="BK908" s="124"/>
      <c r="BL908" s="124"/>
      <c r="BM908" s="124"/>
      <c r="BN908" s="124"/>
      <c r="BO908" s="124"/>
      <c r="BP908" s="124"/>
      <c r="BQ908" s="124"/>
      <c r="BR908" s="124"/>
      <c r="BS908" s="124"/>
      <c r="BT908" s="124"/>
      <c r="BU908" s="124"/>
      <c r="BV908" s="124"/>
      <c r="BW908" s="124"/>
      <c r="BX908" s="124"/>
      <c r="BY908" s="124"/>
      <c r="BZ908" s="124"/>
      <c r="CA908" s="124"/>
    </row>
    <row r="909">
      <c r="D909" s="143"/>
      <c r="E909" s="112"/>
      <c r="F909" s="112"/>
      <c r="G909" s="112"/>
      <c r="H909" s="112"/>
      <c r="I909" s="112"/>
      <c r="J909" s="112"/>
      <c r="K909" s="112"/>
      <c r="L909" s="112"/>
      <c r="M909" s="112"/>
      <c r="N909" s="112"/>
      <c r="O909" s="112"/>
      <c r="P909" s="112"/>
      <c r="Q909" s="112"/>
      <c r="R909" s="112"/>
      <c r="S909" s="112"/>
      <c r="T909" s="112"/>
      <c r="U909" s="107"/>
      <c r="V909" s="107"/>
      <c r="W909" s="107"/>
      <c r="X909" s="107"/>
      <c r="Y909" s="107"/>
      <c r="Z909" s="112"/>
      <c r="AA909" s="112"/>
      <c r="AB909" s="112"/>
      <c r="AC909" s="112"/>
      <c r="AD909" s="112"/>
      <c r="AE909" s="112"/>
      <c r="AF909" s="112"/>
      <c r="AG909" s="117"/>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c r="BK909" s="124"/>
      <c r="BL909" s="124"/>
      <c r="BM909" s="124"/>
      <c r="BN909" s="124"/>
      <c r="BO909" s="124"/>
      <c r="BP909" s="124"/>
      <c r="BQ909" s="124"/>
      <c r="BR909" s="124"/>
      <c r="BS909" s="124"/>
      <c r="BT909" s="124"/>
      <c r="BU909" s="124"/>
      <c r="BV909" s="124"/>
      <c r="BW909" s="124"/>
      <c r="BX909" s="124"/>
      <c r="BY909" s="124"/>
      <c r="BZ909" s="124"/>
      <c r="CA909" s="124"/>
    </row>
    <row r="910">
      <c r="D910" s="143"/>
      <c r="E910" s="112"/>
      <c r="F910" s="112"/>
      <c r="G910" s="112"/>
      <c r="H910" s="112"/>
      <c r="I910" s="112"/>
      <c r="J910" s="112"/>
      <c r="K910" s="112"/>
      <c r="L910" s="112"/>
      <c r="M910" s="112"/>
      <c r="N910" s="112"/>
      <c r="O910" s="112"/>
      <c r="P910" s="112"/>
      <c r="Q910" s="112"/>
      <c r="R910" s="112"/>
      <c r="S910" s="112"/>
      <c r="T910" s="112"/>
      <c r="U910" s="107"/>
      <c r="V910" s="107"/>
      <c r="W910" s="107"/>
      <c r="X910" s="107"/>
      <c r="Y910" s="107"/>
      <c r="Z910" s="112"/>
      <c r="AA910" s="112"/>
      <c r="AB910" s="112"/>
      <c r="AC910" s="112"/>
      <c r="AD910" s="112"/>
      <c r="AE910" s="112"/>
      <c r="AF910" s="112"/>
      <c r="AG910" s="117"/>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c r="BK910" s="124"/>
      <c r="BL910" s="124"/>
      <c r="BM910" s="124"/>
      <c r="BN910" s="124"/>
      <c r="BO910" s="124"/>
      <c r="BP910" s="124"/>
      <c r="BQ910" s="124"/>
      <c r="BR910" s="124"/>
      <c r="BS910" s="124"/>
      <c r="BT910" s="124"/>
      <c r="BU910" s="124"/>
      <c r="BV910" s="124"/>
      <c r="BW910" s="124"/>
      <c r="BX910" s="124"/>
      <c r="BY910" s="124"/>
      <c r="BZ910" s="124"/>
      <c r="CA910" s="124"/>
    </row>
    <row r="911">
      <c r="D911" s="143"/>
      <c r="E911" s="112"/>
      <c r="F911" s="112"/>
      <c r="G911" s="112"/>
      <c r="H911" s="112"/>
      <c r="I911" s="112"/>
      <c r="J911" s="112"/>
      <c r="K911" s="112"/>
      <c r="L911" s="112"/>
      <c r="M911" s="112"/>
      <c r="N911" s="112"/>
      <c r="O911" s="112"/>
      <c r="P911" s="112"/>
      <c r="Q911" s="112"/>
      <c r="R911" s="112"/>
      <c r="S911" s="112"/>
      <c r="T911" s="112"/>
      <c r="U911" s="107"/>
      <c r="V911" s="107"/>
      <c r="W911" s="107"/>
      <c r="X911" s="107"/>
      <c r="Y911" s="107"/>
      <c r="Z911" s="112"/>
      <c r="AA911" s="112"/>
      <c r="AB911" s="112"/>
      <c r="AC911" s="112"/>
      <c r="AD911" s="112"/>
      <c r="AE911" s="112"/>
      <c r="AF911" s="112"/>
      <c r="AG911" s="117"/>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c r="BK911" s="124"/>
      <c r="BL911" s="124"/>
      <c r="BM911" s="124"/>
      <c r="BN911" s="124"/>
      <c r="BO911" s="124"/>
      <c r="BP911" s="124"/>
      <c r="BQ911" s="124"/>
      <c r="BR911" s="124"/>
      <c r="BS911" s="124"/>
      <c r="BT911" s="124"/>
      <c r="BU911" s="124"/>
      <c r="BV911" s="124"/>
      <c r="BW911" s="124"/>
      <c r="BX911" s="124"/>
      <c r="BY911" s="124"/>
      <c r="BZ911" s="124"/>
      <c r="CA911" s="124"/>
    </row>
    <row r="912">
      <c r="D912" s="143"/>
      <c r="E912" s="112"/>
      <c r="F912" s="112"/>
      <c r="G912" s="112"/>
      <c r="H912" s="112"/>
      <c r="I912" s="112"/>
      <c r="J912" s="112"/>
      <c r="K912" s="112"/>
      <c r="L912" s="112"/>
      <c r="M912" s="112"/>
      <c r="N912" s="112"/>
      <c r="O912" s="112"/>
      <c r="P912" s="112"/>
      <c r="Q912" s="112"/>
      <c r="R912" s="112"/>
      <c r="S912" s="112"/>
      <c r="T912" s="112"/>
      <c r="U912" s="107"/>
      <c r="V912" s="107"/>
      <c r="W912" s="107"/>
      <c r="X912" s="107"/>
      <c r="Y912" s="107"/>
      <c r="Z912" s="112"/>
      <c r="AA912" s="112"/>
      <c r="AB912" s="112"/>
      <c r="AC912" s="112"/>
      <c r="AD912" s="112"/>
      <c r="AE912" s="112"/>
      <c r="AF912" s="112"/>
      <c r="AG912" s="117"/>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c r="BK912" s="124"/>
      <c r="BL912" s="124"/>
      <c r="BM912" s="124"/>
      <c r="BN912" s="124"/>
      <c r="BO912" s="124"/>
      <c r="BP912" s="124"/>
      <c r="BQ912" s="124"/>
      <c r="BR912" s="124"/>
      <c r="BS912" s="124"/>
      <c r="BT912" s="124"/>
      <c r="BU912" s="124"/>
      <c r="BV912" s="124"/>
      <c r="BW912" s="124"/>
      <c r="BX912" s="124"/>
      <c r="BY912" s="124"/>
      <c r="BZ912" s="124"/>
      <c r="CA912" s="124"/>
    </row>
    <row r="913">
      <c r="D913" s="143"/>
      <c r="E913" s="112"/>
      <c r="F913" s="112"/>
      <c r="G913" s="112"/>
      <c r="H913" s="112"/>
      <c r="I913" s="112"/>
      <c r="J913" s="112"/>
      <c r="K913" s="112"/>
      <c r="L913" s="112"/>
      <c r="M913" s="112"/>
      <c r="N913" s="112"/>
      <c r="O913" s="112"/>
      <c r="P913" s="112"/>
      <c r="Q913" s="112"/>
      <c r="R913" s="112"/>
      <c r="S913" s="112"/>
      <c r="T913" s="112"/>
      <c r="U913" s="107"/>
      <c r="V913" s="107"/>
      <c r="W913" s="107"/>
      <c r="X913" s="107"/>
      <c r="Y913" s="107"/>
      <c r="Z913" s="112"/>
      <c r="AA913" s="112"/>
      <c r="AB913" s="112"/>
      <c r="AC913" s="112"/>
      <c r="AD913" s="112"/>
      <c r="AE913" s="112"/>
      <c r="AF913" s="112"/>
      <c r="AG913" s="117"/>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c r="BK913" s="124"/>
      <c r="BL913" s="124"/>
      <c r="BM913" s="124"/>
      <c r="BN913" s="124"/>
      <c r="BO913" s="124"/>
      <c r="BP913" s="124"/>
      <c r="BQ913" s="124"/>
      <c r="BR913" s="124"/>
      <c r="BS913" s="124"/>
      <c r="BT913" s="124"/>
      <c r="BU913" s="124"/>
      <c r="BV913" s="124"/>
      <c r="BW913" s="124"/>
      <c r="BX913" s="124"/>
      <c r="BY913" s="124"/>
      <c r="BZ913" s="124"/>
      <c r="CA913" s="124"/>
    </row>
    <row r="914">
      <c r="D914" s="143"/>
      <c r="E914" s="112"/>
      <c r="F914" s="112"/>
      <c r="G914" s="112"/>
      <c r="H914" s="112"/>
      <c r="I914" s="112"/>
      <c r="J914" s="112"/>
      <c r="K914" s="112"/>
      <c r="L914" s="112"/>
      <c r="M914" s="112"/>
      <c r="N914" s="112"/>
      <c r="O914" s="112"/>
      <c r="P914" s="112"/>
      <c r="Q914" s="112"/>
      <c r="R914" s="112"/>
      <c r="S914" s="112"/>
      <c r="T914" s="112"/>
      <c r="U914" s="107"/>
      <c r="V914" s="107"/>
      <c r="W914" s="107"/>
      <c r="X914" s="107"/>
      <c r="Y914" s="107"/>
      <c r="Z914" s="112"/>
      <c r="AA914" s="112"/>
      <c r="AB914" s="112"/>
      <c r="AC914" s="112"/>
      <c r="AD914" s="112"/>
      <c r="AE914" s="112"/>
      <c r="AF914" s="112"/>
      <c r="AG914" s="117"/>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c r="BK914" s="124"/>
      <c r="BL914" s="124"/>
      <c r="BM914" s="124"/>
      <c r="BN914" s="124"/>
      <c r="BO914" s="124"/>
      <c r="BP914" s="124"/>
      <c r="BQ914" s="124"/>
      <c r="BR914" s="124"/>
      <c r="BS914" s="124"/>
      <c r="BT914" s="124"/>
      <c r="BU914" s="124"/>
      <c r="BV914" s="124"/>
      <c r="BW914" s="124"/>
      <c r="BX914" s="124"/>
      <c r="BY914" s="124"/>
      <c r="BZ914" s="124"/>
      <c r="CA914" s="124"/>
    </row>
    <row r="915">
      <c r="D915" s="143"/>
      <c r="E915" s="112"/>
      <c r="F915" s="112"/>
      <c r="G915" s="112"/>
      <c r="H915" s="112"/>
      <c r="I915" s="112"/>
      <c r="J915" s="112"/>
      <c r="K915" s="112"/>
      <c r="L915" s="112"/>
      <c r="M915" s="112"/>
      <c r="N915" s="112"/>
      <c r="O915" s="112"/>
      <c r="P915" s="112"/>
      <c r="Q915" s="112"/>
      <c r="R915" s="112"/>
      <c r="S915" s="112"/>
      <c r="T915" s="112"/>
      <c r="U915" s="107"/>
      <c r="V915" s="107"/>
      <c r="W915" s="107"/>
      <c r="X915" s="107"/>
      <c r="Y915" s="107"/>
      <c r="Z915" s="112"/>
      <c r="AA915" s="112"/>
      <c r="AB915" s="112"/>
      <c r="AC915" s="112"/>
      <c r="AD915" s="112"/>
      <c r="AE915" s="112"/>
      <c r="AF915" s="112"/>
      <c r="AG915" s="117"/>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c r="BK915" s="124"/>
      <c r="BL915" s="124"/>
      <c r="BM915" s="124"/>
      <c r="BN915" s="124"/>
      <c r="BO915" s="124"/>
      <c r="BP915" s="124"/>
      <c r="BQ915" s="124"/>
      <c r="BR915" s="124"/>
      <c r="BS915" s="124"/>
      <c r="BT915" s="124"/>
      <c r="BU915" s="124"/>
      <c r="BV915" s="124"/>
      <c r="BW915" s="124"/>
      <c r="BX915" s="124"/>
      <c r="BY915" s="124"/>
      <c r="BZ915" s="124"/>
      <c r="CA915" s="124"/>
    </row>
    <row r="916">
      <c r="D916" s="143"/>
      <c r="E916" s="112"/>
      <c r="F916" s="112"/>
      <c r="G916" s="112"/>
      <c r="H916" s="112"/>
      <c r="I916" s="112"/>
      <c r="J916" s="112"/>
      <c r="K916" s="112"/>
      <c r="L916" s="112"/>
      <c r="M916" s="112"/>
      <c r="N916" s="112"/>
      <c r="O916" s="112"/>
      <c r="P916" s="112"/>
      <c r="Q916" s="112"/>
      <c r="R916" s="112"/>
      <c r="S916" s="112"/>
      <c r="T916" s="112"/>
      <c r="U916" s="107"/>
      <c r="V916" s="107"/>
      <c r="W916" s="107"/>
      <c r="X916" s="107"/>
      <c r="Y916" s="107"/>
      <c r="Z916" s="112"/>
      <c r="AA916" s="112"/>
      <c r="AB916" s="112"/>
      <c r="AC916" s="112"/>
      <c r="AD916" s="112"/>
      <c r="AE916" s="112"/>
      <c r="AF916" s="112"/>
      <c r="AG916" s="117"/>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c r="BK916" s="124"/>
      <c r="BL916" s="124"/>
      <c r="BM916" s="124"/>
      <c r="BN916" s="124"/>
      <c r="BO916" s="124"/>
      <c r="BP916" s="124"/>
      <c r="BQ916" s="124"/>
      <c r="BR916" s="124"/>
      <c r="BS916" s="124"/>
      <c r="BT916" s="124"/>
      <c r="BU916" s="124"/>
      <c r="BV916" s="124"/>
      <c r="BW916" s="124"/>
      <c r="BX916" s="124"/>
      <c r="BY916" s="124"/>
      <c r="BZ916" s="124"/>
      <c r="CA916" s="124"/>
    </row>
    <row r="917">
      <c r="D917" s="143"/>
      <c r="E917" s="112"/>
      <c r="F917" s="112"/>
      <c r="G917" s="112"/>
      <c r="H917" s="112"/>
      <c r="I917" s="112"/>
      <c r="J917" s="112"/>
      <c r="K917" s="112"/>
      <c r="L917" s="112"/>
      <c r="M917" s="112"/>
      <c r="N917" s="112"/>
      <c r="O917" s="112"/>
      <c r="P917" s="112"/>
      <c r="Q917" s="112"/>
      <c r="R917" s="112"/>
      <c r="S917" s="112"/>
      <c r="T917" s="112"/>
      <c r="U917" s="107"/>
      <c r="V917" s="107"/>
      <c r="W917" s="107"/>
      <c r="X917" s="107"/>
      <c r="Y917" s="107"/>
      <c r="Z917" s="112"/>
      <c r="AA917" s="112"/>
      <c r="AB917" s="112"/>
      <c r="AC917" s="112"/>
      <c r="AD917" s="112"/>
      <c r="AE917" s="112"/>
      <c r="AF917" s="112"/>
      <c r="AG917" s="117"/>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c r="BK917" s="124"/>
      <c r="BL917" s="124"/>
      <c r="BM917" s="124"/>
      <c r="BN917" s="124"/>
      <c r="BO917" s="124"/>
      <c r="BP917" s="124"/>
      <c r="BQ917" s="124"/>
      <c r="BR917" s="124"/>
      <c r="BS917" s="124"/>
      <c r="BT917" s="124"/>
      <c r="BU917" s="124"/>
      <c r="BV917" s="124"/>
      <c r="BW917" s="124"/>
      <c r="BX917" s="124"/>
      <c r="BY917" s="124"/>
      <c r="BZ917" s="124"/>
      <c r="CA917" s="124"/>
    </row>
    <row r="918">
      <c r="D918" s="143"/>
      <c r="E918" s="112"/>
      <c r="F918" s="112"/>
      <c r="G918" s="112"/>
      <c r="H918" s="112"/>
      <c r="I918" s="112"/>
      <c r="J918" s="112"/>
      <c r="K918" s="112"/>
      <c r="L918" s="112"/>
      <c r="M918" s="112"/>
      <c r="N918" s="112"/>
      <c r="O918" s="112"/>
      <c r="P918" s="112"/>
      <c r="Q918" s="112"/>
      <c r="R918" s="112"/>
      <c r="S918" s="112"/>
      <c r="T918" s="112"/>
      <c r="U918" s="107"/>
      <c r="V918" s="107"/>
      <c r="W918" s="107"/>
      <c r="X918" s="107"/>
      <c r="Y918" s="107"/>
      <c r="Z918" s="112"/>
      <c r="AA918" s="112"/>
      <c r="AB918" s="112"/>
      <c r="AC918" s="112"/>
      <c r="AD918" s="112"/>
      <c r="AE918" s="112"/>
      <c r="AF918" s="112"/>
      <c r="AG918" s="117"/>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c r="BK918" s="124"/>
      <c r="BL918" s="124"/>
      <c r="BM918" s="124"/>
      <c r="BN918" s="124"/>
      <c r="BO918" s="124"/>
      <c r="BP918" s="124"/>
      <c r="BQ918" s="124"/>
      <c r="BR918" s="124"/>
      <c r="BS918" s="124"/>
      <c r="BT918" s="124"/>
      <c r="BU918" s="124"/>
      <c r="BV918" s="124"/>
      <c r="BW918" s="124"/>
      <c r="BX918" s="124"/>
      <c r="BY918" s="124"/>
      <c r="BZ918" s="124"/>
      <c r="CA918" s="124"/>
    </row>
    <row r="919">
      <c r="D919" s="143"/>
      <c r="E919" s="112"/>
      <c r="F919" s="112"/>
      <c r="G919" s="112"/>
      <c r="H919" s="112"/>
      <c r="I919" s="112"/>
      <c r="J919" s="112"/>
      <c r="K919" s="112"/>
      <c r="L919" s="112"/>
      <c r="M919" s="112"/>
      <c r="N919" s="112"/>
      <c r="O919" s="112"/>
      <c r="P919" s="112"/>
      <c r="Q919" s="112"/>
      <c r="R919" s="112"/>
      <c r="S919" s="112"/>
      <c r="T919" s="112"/>
      <c r="U919" s="107"/>
      <c r="V919" s="107"/>
      <c r="W919" s="107"/>
      <c r="X919" s="107"/>
      <c r="Y919" s="107"/>
      <c r="Z919" s="112"/>
      <c r="AA919" s="112"/>
      <c r="AB919" s="112"/>
      <c r="AC919" s="112"/>
      <c r="AD919" s="112"/>
      <c r="AE919" s="112"/>
      <c r="AF919" s="112"/>
      <c r="AG919" s="117"/>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c r="BK919" s="124"/>
      <c r="BL919" s="124"/>
      <c r="BM919" s="124"/>
      <c r="BN919" s="124"/>
      <c r="BO919" s="124"/>
      <c r="BP919" s="124"/>
      <c r="BQ919" s="124"/>
      <c r="BR919" s="124"/>
      <c r="BS919" s="124"/>
      <c r="BT919" s="124"/>
      <c r="BU919" s="124"/>
      <c r="BV919" s="124"/>
      <c r="BW919" s="124"/>
      <c r="BX919" s="124"/>
      <c r="BY919" s="124"/>
      <c r="BZ919" s="124"/>
      <c r="CA919" s="124"/>
    </row>
    <row r="920">
      <c r="D920" s="143"/>
      <c r="E920" s="112"/>
      <c r="F920" s="112"/>
      <c r="G920" s="112"/>
      <c r="H920" s="112"/>
      <c r="I920" s="112"/>
      <c r="J920" s="112"/>
      <c r="K920" s="112"/>
      <c r="L920" s="112"/>
      <c r="M920" s="112"/>
      <c r="N920" s="112"/>
      <c r="O920" s="112"/>
      <c r="P920" s="112"/>
      <c r="Q920" s="112"/>
      <c r="R920" s="112"/>
      <c r="S920" s="112"/>
      <c r="T920" s="112"/>
      <c r="U920" s="107"/>
      <c r="V920" s="107"/>
      <c r="W920" s="107"/>
      <c r="X920" s="107"/>
      <c r="Y920" s="107"/>
      <c r="Z920" s="112"/>
      <c r="AA920" s="112"/>
      <c r="AB920" s="112"/>
      <c r="AC920" s="112"/>
      <c r="AD920" s="112"/>
      <c r="AE920" s="112"/>
      <c r="AF920" s="112"/>
      <c r="AG920" s="117"/>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c r="BK920" s="124"/>
      <c r="BL920" s="124"/>
      <c r="BM920" s="124"/>
      <c r="BN920" s="124"/>
      <c r="BO920" s="124"/>
      <c r="BP920" s="124"/>
      <c r="BQ920" s="124"/>
      <c r="BR920" s="124"/>
      <c r="BS920" s="124"/>
      <c r="BT920" s="124"/>
      <c r="BU920" s="124"/>
      <c r="BV920" s="124"/>
      <c r="BW920" s="124"/>
      <c r="BX920" s="124"/>
      <c r="BY920" s="124"/>
      <c r="BZ920" s="124"/>
      <c r="CA920" s="124"/>
    </row>
    <row r="921">
      <c r="D921" s="143"/>
      <c r="E921" s="112"/>
      <c r="F921" s="112"/>
      <c r="G921" s="112"/>
      <c r="H921" s="112"/>
      <c r="I921" s="112"/>
      <c r="J921" s="112"/>
      <c r="K921" s="112"/>
      <c r="L921" s="112"/>
      <c r="M921" s="112"/>
      <c r="N921" s="112"/>
      <c r="O921" s="112"/>
      <c r="P921" s="112"/>
      <c r="Q921" s="112"/>
      <c r="R921" s="112"/>
      <c r="S921" s="112"/>
      <c r="T921" s="112"/>
      <c r="U921" s="107"/>
      <c r="V921" s="107"/>
      <c r="W921" s="107"/>
      <c r="X921" s="107"/>
      <c r="Y921" s="107"/>
      <c r="Z921" s="112"/>
      <c r="AA921" s="112"/>
      <c r="AB921" s="112"/>
      <c r="AC921" s="112"/>
      <c r="AD921" s="112"/>
      <c r="AE921" s="112"/>
      <c r="AF921" s="112"/>
      <c r="AG921" s="117"/>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c r="BK921" s="124"/>
      <c r="BL921" s="124"/>
      <c r="BM921" s="124"/>
      <c r="BN921" s="124"/>
      <c r="BO921" s="124"/>
      <c r="BP921" s="124"/>
      <c r="BQ921" s="124"/>
      <c r="BR921" s="124"/>
      <c r="BS921" s="124"/>
      <c r="BT921" s="124"/>
      <c r="BU921" s="124"/>
      <c r="BV921" s="124"/>
      <c r="BW921" s="124"/>
      <c r="BX921" s="124"/>
      <c r="BY921" s="124"/>
      <c r="BZ921" s="124"/>
      <c r="CA921" s="124"/>
    </row>
    <row r="922">
      <c r="D922" s="143"/>
      <c r="E922" s="112"/>
      <c r="F922" s="112"/>
      <c r="G922" s="112"/>
      <c r="H922" s="112"/>
      <c r="I922" s="112"/>
      <c r="J922" s="112"/>
      <c r="K922" s="112"/>
      <c r="L922" s="112"/>
      <c r="M922" s="112"/>
      <c r="N922" s="112"/>
      <c r="O922" s="112"/>
      <c r="P922" s="112"/>
      <c r="Q922" s="112"/>
      <c r="R922" s="112"/>
      <c r="S922" s="112"/>
      <c r="T922" s="112"/>
      <c r="U922" s="107"/>
      <c r="V922" s="107"/>
      <c r="W922" s="107"/>
      <c r="X922" s="107"/>
      <c r="Y922" s="107"/>
      <c r="Z922" s="112"/>
      <c r="AA922" s="112"/>
      <c r="AB922" s="112"/>
      <c r="AC922" s="112"/>
      <c r="AD922" s="112"/>
      <c r="AE922" s="112"/>
      <c r="AF922" s="112"/>
      <c r="AG922" s="117"/>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c r="BK922" s="124"/>
      <c r="BL922" s="124"/>
      <c r="BM922" s="124"/>
      <c r="BN922" s="124"/>
      <c r="BO922" s="124"/>
      <c r="BP922" s="124"/>
      <c r="BQ922" s="124"/>
      <c r="BR922" s="124"/>
      <c r="BS922" s="124"/>
      <c r="BT922" s="124"/>
      <c r="BU922" s="124"/>
      <c r="BV922" s="124"/>
      <c r="BW922" s="124"/>
      <c r="BX922" s="124"/>
      <c r="BY922" s="124"/>
      <c r="BZ922" s="124"/>
      <c r="CA922" s="124"/>
    </row>
    <row r="923">
      <c r="D923" s="143"/>
      <c r="E923" s="112"/>
      <c r="F923" s="112"/>
      <c r="G923" s="112"/>
      <c r="H923" s="112"/>
      <c r="I923" s="112"/>
      <c r="J923" s="112"/>
      <c r="K923" s="112"/>
      <c r="L923" s="112"/>
      <c r="M923" s="112"/>
      <c r="N923" s="112"/>
      <c r="O923" s="112"/>
      <c r="P923" s="112"/>
      <c r="Q923" s="112"/>
      <c r="R923" s="112"/>
      <c r="S923" s="112"/>
      <c r="T923" s="112"/>
      <c r="U923" s="107"/>
      <c r="V923" s="107"/>
      <c r="W923" s="107"/>
      <c r="X923" s="107"/>
      <c r="Y923" s="107"/>
      <c r="Z923" s="112"/>
      <c r="AA923" s="112"/>
      <c r="AB923" s="112"/>
      <c r="AC923" s="112"/>
      <c r="AD923" s="112"/>
      <c r="AE923" s="112"/>
      <c r="AF923" s="112"/>
      <c r="AG923" s="117"/>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c r="BK923" s="124"/>
      <c r="BL923" s="124"/>
      <c r="BM923" s="124"/>
      <c r="BN923" s="124"/>
      <c r="BO923" s="124"/>
      <c r="BP923" s="124"/>
      <c r="BQ923" s="124"/>
      <c r="BR923" s="124"/>
      <c r="BS923" s="124"/>
      <c r="BT923" s="124"/>
      <c r="BU923" s="124"/>
      <c r="BV923" s="124"/>
      <c r="BW923" s="124"/>
      <c r="BX923" s="124"/>
      <c r="BY923" s="124"/>
      <c r="BZ923" s="124"/>
      <c r="CA923" s="124"/>
    </row>
    <row r="924">
      <c r="D924" s="143"/>
      <c r="E924" s="112"/>
      <c r="F924" s="112"/>
      <c r="G924" s="112"/>
      <c r="H924" s="112"/>
      <c r="I924" s="112"/>
      <c r="J924" s="112"/>
      <c r="K924" s="112"/>
      <c r="L924" s="112"/>
      <c r="M924" s="112"/>
      <c r="N924" s="112"/>
      <c r="O924" s="112"/>
      <c r="P924" s="112"/>
      <c r="Q924" s="112"/>
      <c r="R924" s="112"/>
      <c r="S924" s="112"/>
      <c r="T924" s="112"/>
      <c r="U924" s="107"/>
      <c r="V924" s="107"/>
      <c r="W924" s="107"/>
      <c r="X924" s="107"/>
      <c r="Y924" s="107"/>
      <c r="Z924" s="112"/>
      <c r="AA924" s="112"/>
      <c r="AB924" s="112"/>
      <c r="AC924" s="112"/>
      <c r="AD924" s="112"/>
      <c r="AE924" s="112"/>
      <c r="AF924" s="112"/>
      <c r="AG924" s="117"/>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c r="BK924" s="124"/>
      <c r="BL924" s="124"/>
      <c r="BM924" s="124"/>
      <c r="BN924" s="124"/>
      <c r="BO924" s="124"/>
      <c r="BP924" s="124"/>
      <c r="BQ924" s="124"/>
      <c r="BR924" s="124"/>
      <c r="BS924" s="124"/>
      <c r="BT924" s="124"/>
      <c r="BU924" s="124"/>
      <c r="BV924" s="124"/>
      <c r="BW924" s="124"/>
      <c r="BX924" s="124"/>
      <c r="BY924" s="124"/>
      <c r="BZ924" s="124"/>
      <c r="CA924" s="124"/>
    </row>
    <row r="925">
      <c r="D925" s="143"/>
      <c r="E925" s="112"/>
      <c r="F925" s="112"/>
      <c r="G925" s="112"/>
      <c r="H925" s="112"/>
      <c r="I925" s="112"/>
      <c r="J925" s="112"/>
      <c r="K925" s="112"/>
      <c r="L925" s="112"/>
      <c r="M925" s="112"/>
      <c r="N925" s="112"/>
      <c r="O925" s="112"/>
      <c r="P925" s="112"/>
      <c r="Q925" s="112"/>
      <c r="R925" s="112"/>
      <c r="S925" s="112"/>
      <c r="T925" s="112"/>
      <c r="U925" s="107"/>
      <c r="V925" s="107"/>
      <c r="W925" s="107"/>
      <c r="X925" s="107"/>
      <c r="Y925" s="107"/>
      <c r="Z925" s="112"/>
      <c r="AA925" s="112"/>
      <c r="AB925" s="112"/>
      <c r="AC925" s="112"/>
      <c r="AD925" s="112"/>
      <c r="AE925" s="112"/>
      <c r="AF925" s="112"/>
      <c r="AG925" s="117"/>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c r="BK925" s="124"/>
      <c r="BL925" s="124"/>
      <c r="BM925" s="124"/>
      <c r="BN925" s="124"/>
      <c r="BO925" s="124"/>
      <c r="BP925" s="124"/>
      <c r="BQ925" s="124"/>
      <c r="BR925" s="124"/>
      <c r="BS925" s="124"/>
      <c r="BT925" s="124"/>
      <c r="BU925" s="124"/>
      <c r="BV925" s="124"/>
      <c r="BW925" s="124"/>
      <c r="BX925" s="124"/>
      <c r="BY925" s="124"/>
      <c r="BZ925" s="124"/>
      <c r="CA925" s="124"/>
    </row>
    <row r="926">
      <c r="D926" s="143"/>
      <c r="E926" s="112"/>
      <c r="F926" s="112"/>
      <c r="G926" s="112"/>
      <c r="H926" s="112"/>
      <c r="I926" s="112"/>
      <c r="J926" s="112"/>
      <c r="K926" s="112"/>
      <c r="L926" s="112"/>
      <c r="M926" s="112"/>
      <c r="N926" s="112"/>
      <c r="O926" s="112"/>
      <c r="P926" s="112"/>
      <c r="Q926" s="112"/>
      <c r="R926" s="112"/>
      <c r="S926" s="112"/>
      <c r="T926" s="112"/>
      <c r="U926" s="107"/>
      <c r="V926" s="107"/>
      <c r="W926" s="107"/>
      <c r="X926" s="107"/>
      <c r="Y926" s="107"/>
      <c r="Z926" s="112"/>
      <c r="AA926" s="112"/>
      <c r="AB926" s="112"/>
      <c r="AC926" s="112"/>
      <c r="AD926" s="112"/>
      <c r="AE926" s="112"/>
      <c r="AF926" s="112"/>
      <c r="AG926" s="117"/>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c r="BK926" s="124"/>
      <c r="BL926" s="124"/>
      <c r="BM926" s="124"/>
      <c r="BN926" s="124"/>
      <c r="BO926" s="124"/>
      <c r="BP926" s="124"/>
      <c r="BQ926" s="124"/>
      <c r="BR926" s="124"/>
      <c r="BS926" s="124"/>
      <c r="BT926" s="124"/>
      <c r="BU926" s="124"/>
      <c r="BV926" s="124"/>
      <c r="BW926" s="124"/>
      <c r="BX926" s="124"/>
      <c r="BY926" s="124"/>
      <c r="BZ926" s="124"/>
      <c r="CA926" s="124"/>
    </row>
    <row r="927">
      <c r="D927" s="143"/>
      <c r="E927" s="112"/>
      <c r="F927" s="112"/>
      <c r="G927" s="112"/>
      <c r="H927" s="112"/>
      <c r="I927" s="112"/>
      <c r="J927" s="112"/>
      <c r="K927" s="112"/>
      <c r="L927" s="112"/>
      <c r="M927" s="112"/>
      <c r="N927" s="112"/>
      <c r="O927" s="112"/>
      <c r="P927" s="112"/>
      <c r="Q927" s="112"/>
      <c r="R927" s="112"/>
      <c r="S927" s="112"/>
      <c r="T927" s="112"/>
      <c r="U927" s="107"/>
      <c r="V927" s="107"/>
      <c r="W927" s="107"/>
      <c r="X927" s="107"/>
      <c r="Y927" s="107"/>
      <c r="Z927" s="112"/>
      <c r="AA927" s="112"/>
      <c r="AB927" s="112"/>
      <c r="AC927" s="112"/>
      <c r="AD927" s="112"/>
      <c r="AE927" s="112"/>
      <c r="AF927" s="112"/>
      <c r="AG927" s="117"/>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c r="BK927" s="124"/>
      <c r="BL927" s="124"/>
      <c r="BM927" s="124"/>
      <c r="BN927" s="124"/>
      <c r="BO927" s="124"/>
      <c r="BP927" s="124"/>
      <c r="BQ927" s="124"/>
      <c r="BR927" s="124"/>
      <c r="BS927" s="124"/>
      <c r="BT927" s="124"/>
      <c r="BU927" s="124"/>
      <c r="BV927" s="124"/>
      <c r="BW927" s="124"/>
      <c r="BX927" s="124"/>
      <c r="BY927" s="124"/>
      <c r="BZ927" s="124"/>
      <c r="CA927" s="124"/>
    </row>
    <row r="928">
      <c r="D928" s="143"/>
      <c r="E928" s="112"/>
      <c r="F928" s="112"/>
      <c r="G928" s="112"/>
      <c r="H928" s="112"/>
      <c r="I928" s="112"/>
      <c r="J928" s="112"/>
      <c r="K928" s="112"/>
      <c r="L928" s="112"/>
      <c r="M928" s="112"/>
      <c r="N928" s="112"/>
      <c r="O928" s="112"/>
      <c r="P928" s="112"/>
      <c r="Q928" s="112"/>
      <c r="R928" s="112"/>
      <c r="S928" s="112"/>
      <c r="T928" s="112"/>
      <c r="U928" s="107"/>
      <c r="V928" s="107"/>
      <c r="W928" s="107"/>
      <c r="X928" s="107"/>
      <c r="Y928" s="107"/>
      <c r="Z928" s="112"/>
      <c r="AA928" s="112"/>
      <c r="AB928" s="112"/>
      <c r="AC928" s="112"/>
      <c r="AD928" s="112"/>
      <c r="AE928" s="112"/>
      <c r="AF928" s="112"/>
      <c r="AG928" s="117"/>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c r="BK928" s="124"/>
      <c r="BL928" s="124"/>
      <c r="BM928" s="124"/>
      <c r="BN928" s="124"/>
      <c r="BO928" s="124"/>
      <c r="BP928" s="124"/>
      <c r="BQ928" s="124"/>
      <c r="BR928" s="124"/>
      <c r="BS928" s="124"/>
      <c r="BT928" s="124"/>
      <c r="BU928" s="124"/>
      <c r="BV928" s="124"/>
      <c r="BW928" s="124"/>
      <c r="BX928" s="124"/>
      <c r="BY928" s="124"/>
      <c r="BZ928" s="124"/>
      <c r="CA928" s="124"/>
    </row>
    <row r="929">
      <c r="D929" s="143"/>
      <c r="E929" s="112"/>
      <c r="F929" s="112"/>
      <c r="G929" s="112"/>
      <c r="H929" s="112"/>
      <c r="I929" s="112"/>
      <c r="J929" s="112"/>
      <c r="K929" s="112"/>
      <c r="L929" s="112"/>
      <c r="M929" s="112"/>
      <c r="N929" s="112"/>
      <c r="O929" s="112"/>
      <c r="P929" s="112"/>
      <c r="Q929" s="112"/>
      <c r="R929" s="112"/>
      <c r="S929" s="112"/>
      <c r="T929" s="112"/>
      <c r="U929" s="107"/>
      <c r="V929" s="107"/>
      <c r="W929" s="107"/>
      <c r="X929" s="107"/>
      <c r="Y929" s="107"/>
      <c r="Z929" s="112"/>
      <c r="AA929" s="112"/>
      <c r="AB929" s="112"/>
      <c r="AC929" s="112"/>
      <c r="AD929" s="112"/>
      <c r="AE929" s="112"/>
      <c r="AF929" s="112"/>
      <c r="AG929" s="117"/>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c r="BK929" s="124"/>
      <c r="BL929" s="124"/>
      <c r="BM929" s="124"/>
      <c r="BN929" s="124"/>
      <c r="BO929" s="124"/>
      <c r="BP929" s="124"/>
      <c r="BQ929" s="124"/>
      <c r="BR929" s="124"/>
      <c r="BS929" s="124"/>
      <c r="BT929" s="124"/>
      <c r="BU929" s="124"/>
      <c r="BV929" s="124"/>
      <c r="BW929" s="124"/>
      <c r="BX929" s="124"/>
      <c r="BY929" s="124"/>
      <c r="BZ929" s="124"/>
      <c r="CA929" s="124"/>
    </row>
    <row r="930">
      <c r="D930" s="143"/>
      <c r="E930" s="112"/>
      <c r="F930" s="112"/>
      <c r="G930" s="112"/>
      <c r="H930" s="112"/>
      <c r="I930" s="112"/>
      <c r="J930" s="112"/>
      <c r="K930" s="112"/>
      <c r="L930" s="112"/>
      <c r="M930" s="112"/>
      <c r="N930" s="112"/>
      <c r="O930" s="112"/>
      <c r="P930" s="112"/>
      <c r="Q930" s="112"/>
      <c r="R930" s="112"/>
      <c r="S930" s="112"/>
      <c r="T930" s="112"/>
      <c r="U930" s="107"/>
      <c r="V930" s="107"/>
      <c r="W930" s="107"/>
      <c r="X930" s="107"/>
      <c r="Y930" s="107"/>
      <c r="Z930" s="112"/>
      <c r="AA930" s="112"/>
      <c r="AB930" s="112"/>
      <c r="AC930" s="112"/>
      <c r="AD930" s="112"/>
      <c r="AE930" s="112"/>
      <c r="AF930" s="112"/>
      <c r="AG930" s="117"/>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c r="BK930" s="124"/>
      <c r="BL930" s="124"/>
      <c r="BM930" s="124"/>
      <c r="BN930" s="124"/>
      <c r="BO930" s="124"/>
      <c r="BP930" s="124"/>
      <c r="BQ930" s="124"/>
      <c r="BR930" s="124"/>
      <c r="BS930" s="124"/>
      <c r="BT930" s="124"/>
      <c r="BU930" s="124"/>
      <c r="BV930" s="124"/>
      <c r="BW930" s="124"/>
      <c r="BX930" s="124"/>
      <c r="BY930" s="124"/>
      <c r="BZ930" s="124"/>
      <c r="CA930" s="124"/>
    </row>
    <row r="931">
      <c r="D931" s="143"/>
      <c r="E931" s="112"/>
      <c r="F931" s="112"/>
      <c r="G931" s="112"/>
      <c r="H931" s="112"/>
      <c r="I931" s="112"/>
      <c r="J931" s="112"/>
      <c r="K931" s="112"/>
      <c r="L931" s="112"/>
      <c r="M931" s="112"/>
      <c r="N931" s="112"/>
      <c r="O931" s="112"/>
      <c r="P931" s="112"/>
      <c r="Q931" s="112"/>
      <c r="R931" s="112"/>
      <c r="S931" s="112"/>
      <c r="T931" s="112"/>
      <c r="U931" s="107"/>
      <c r="V931" s="107"/>
      <c r="W931" s="107"/>
      <c r="X931" s="107"/>
      <c r="Y931" s="107"/>
      <c r="Z931" s="112"/>
      <c r="AA931" s="112"/>
      <c r="AB931" s="112"/>
      <c r="AC931" s="112"/>
      <c r="AD931" s="112"/>
      <c r="AE931" s="112"/>
      <c r="AF931" s="112"/>
      <c r="AG931" s="117"/>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c r="BK931" s="124"/>
      <c r="BL931" s="124"/>
      <c r="BM931" s="124"/>
      <c r="BN931" s="124"/>
      <c r="BO931" s="124"/>
      <c r="BP931" s="124"/>
      <c r="BQ931" s="124"/>
      <c r="BR931" s="124"/>
      <c r="BS931" s="124"/>
      <c r="BT931" s="124"/>
      <c r="BU931" s="124"/>
      <c r="BV931" s="124"/>
      <c r="BW931" s="124"/>
      <c r="BX931" s="124"/>
      <c r="BY931" s="124"/>
      <c r="BZ931" s="124"/>
      <c r="CA931" s="124"/>
    </row>
    <row r="932">
      <c r="D932" s="143"/>
      <c r="E932" s="112"/>
      <c r="F932" s="112"/>
      <c r="G932" s="112"/>
      <c r="H932" s="112"/>
      <c r="I932" s="112"/>
      <c r="J932" s="112"/>
      <c r="K932" s="112"/>
      <c r="L932" s="112"/>
      <c r="M932" s="112"/>
      <c r="N932" s="112"/>
      <c r="O932" s="112"/>
      <c r="P932" s="112"/>
      <c r="Q932" s="112"/>
      <c r="R932" s="112"/>
      <c r="S932" s="112"/>
      <c r="T932" s="112"/>
      <c r="U932" s="107"/>
      <c r="V932" s="107"/>
      <c r="W932" s="107"/>
      <c r="X932" s="107"/>
      <c r="Y932" s="107"/>
      <c r="Z932" s="112"/>
      <c r="AA932" s="112"/>
      <c r="AB932" s="112"/>
      <c r="AC932" s="112"/>
      <c r="AD932" s="112"/>
      <c r="AE932" s="112"/>
      <c r="AF932" s="112"/>
      <c r="AG932" s="117"/>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c r="BK932" s="124"/>
      <c r="BL932" s="124"/>
      <c r="BM932" s="124"/>
      <c r="BN932" s="124"/>
      <c r="BO932" s="124"/>
      <c r="BP932" s="124"/>
      <c r="BQ932" s="124"/>
      <c r="BR932" s="124"/>
      <c r="BS932" s="124"/>
      <c r="BT932" s="124"/>
      <c r="BU932" s="124"/>
      <c r="BV932" s="124"/>
      <c r="BW932" s="124"/>
      <c r="BX932" s="124"/>
      <c r="BY932" s="124"/>
      <c r="BZ932" s="124"/>
      <c r="CA932" s="124"/>
    </row>
    <row r="933">
      <c r="D933" s="143"/>
      <c r="E933" s="112"/>
      <c r="F933" s="112"/>
      <c r="G933" s="112"/>
      <c r="H933" s="112"/>
      <c r="I933" s="112"/>
      <c r="J933" s="112"/>
      <c r="K933" s="112"/>
      <c r="L933" s="112"/>
      <c r="M933" s="112"/>
      <c r="N933" s="112"/>
      <c r="O933" s="112"/>
      <c r="P933" s="112"/>
      <c r="Q933" s="112"/>
      <c r="R933" s="112"/>
      <c r="S933" s="112"/>
      <c r="T933" s="112"/>
      <c r="U933" s="107"/>
      <c r="V933" s="107"/>
      <c r="W933" s="107"/>
      <c r="X933" s="107"/>
      <c r="Y933" s="107"/>
      <c r="Z933" s="112"/>
      <c r="AA933" s="112"/>
      <c r="AB933" s="112"/>
      <c r="AC933" s="112"/>
      <c r="AD933" s="112"/>
      <c r="AE933" s="112"/>
      <c r="AF933" s="112"/>
      <c r="AG933" s="117"/>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c r="BK933" s="124"/>
      <c r="BL933" s="124"/>
      <c r="BM933" s="124"/>
      <c r="BN933" s="124"/>
      <c r="BO933" s="124"/>
      <c r="BP933" s="124"/>
      <c r="BQ933" s="124"/>
      <c r="BR933" s="124"/>
      <c r="BS933" s="124"/>
      <c r="BT933" s="124"/>
      <c r="BU933" s="124"/>
      <c r="BV933" s="124"/>
      <c r="BW933" s="124"/>
      <c r="BX933" s="124"/>
      <c r="BY933" s="124"/>
      <c r="BZ933" s="124"/>
      <c r="CA933" s="124"/>
    </row>
    <row r="934">
      <c r="D934" s="143"/>
      <c r="E934" s="112"/>
      <c r="F934" s="112"/>
      <c r="G934" s="112"/>
      <c r="H934" s="112"/>
      <c r="I934" s="112"/>
      <c r="J934" s="112"/>
      <c r="K934" s="112"/>
      <c r="L934" s="112"/>
      <c r="M934" s="112"/>
      <c r="N934" s="112"/>
      <c r="O934" s="112"/>
      <c r="P934" s="112"/>
      <c r="Q934" s="112"/>
      <c r="R934" s="112"/>
      <c r="S934" s="112"/>
      <c r="T934" s="112"/>
      <c r="U934" s="107"/>
      <c r="V934" s="107"/>
      <c r="W934" s="107"/>
      <c r="X934" s="107"/>
      <c r="Y934" s="107"/>
      <c r="Z934" s="112"/>
      <c r="AA934" s="112"/>
      <c r="AB934" s="112"/>
      <c r="AC934" s="112"/>
      <c r="AD934" s="112"/>
      <c r="AE934" s="112"/>
      <c r="AF934" s="112"/>
      <c r="AG934" s="117"/>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c r="BK934" s="124"/>
      <c r="BL934" s="124"/>
      <c r="BM934" s="124"/>
      <c r="BN934" s="124"/>
      <c r="BO934" s="124"/>
      <c r="BP934" s="124"/>
      <c r="BQ934" s="124"/>
      <c r="BR934" s="124"/>
      <c r="BS934" s="124"/>
      <c r="BT934" s="124"/>
      <c r="BU934" s="124"/>
      <c r="BV934" s="124"/>
      <c r="BW934" s="124"/>
      <c r="BX934" s="124"/>
      <c r="BY934" s="124"/>
      <c r="BZ934" s="124"/>
      <c r="CA934" s="124"/>
    </row>
    <row r="935">
      <c r="D935" s="143"/>
      <c r="E935" s="112"/>
      <c r="F935" s="112"/>
      <c r="G935" s="112"/>
      <c r="H935" s="112"/>
      <c r="I935" s="112"/>
      <c r="J935" s="112"/>
      <c r="K935" s="112"/>
      <c r="L935" s="112"/>
      <c r="M935" s="112"/>
      <c r="N935" s="112"/>
      <c r="O935" s="112"/>
      <c r="P935" s="112"/>
      <c r="Q935" s="112"/>
      <c r="R935" s="112"/>
      <c r="S935" s="112"/>
      <c r="T935" s="112"/>
      <c r="U935" s="107"/>
      <c r="V935" s="107"/>
      <c r="W935" s="107"/>
      <c r="X935" s="107"/>
      <c r="Y935" s="107"/>
      <c r="Z935" s="112"/>
      <c r="AA935" s="112"/>
      <c r="AB935" s="112"/>
      <c r="AC935" s="112"/>
      <c r="AD935" s="112"/>
      <c r="AE935" s="112"/>
      <c r="AF935" s="112"/>
      <c r="AG935" s="117"/>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c r="BK935" s="124"/>
      <c r="BL935" s="124"/>
      <c r="BM935" s="124"/>
      <c r="BN935" s="124"/>
      <c r="BO935" s="124"/>
      <c r="BP935" s="124"/>
      <c r="BQ935" s="124"/>
      <c r="BR935" s="124"/>
      <c r="BS935" s="124"/>
      <c r="BT935" s="124"/>
      <c r="BU935" s="124"/>
      <c r="BV935" s="124"/>
      <c r="BW935" s="124"/>
      <c r="BX935" s="124"/>
      <c r="BY935" s="124"/>
      <c r="BZ935" s="124"/>
      <c r="CA935" s="124"/>
    </row>
    <row r="936">
      <c r="D936" s="143"/>
      <c r="E936" s="112"/>
      <c r="F936" s="112"/>
      <c r="G936" s="112"/>
      <c r="H936" s="112"/>
      <c r="I936" s="112"/>
      <c r="J936" s="112"/>
      <c r="K936" s="112"/>
      <c r="L936" s="112"/>
      <c r="M936" s="112"/>
      <c r="N936" s="112"/>
      <c r="O936" s="112"/>
      <c r="P936" s="112"/>
      <c r="Q936" s="112"/>
      <c r="R936" s="112"/>
      <c r="S936" s="112"/>
      <c r="T936" s="112"/>
      <c r="U936" s="107"/>
      <c r="V936" s="107"/>
      <c r="W936" s="107"/>
      <c r="X936" s="107"/>
      <c r="Y936" s="107"/>
      <c r="Z936" s="112"/>
      <c r="AA936" s="112"/>
      <c r="AB936" s="112"/>
      <c r="AC936" s="112"/>
      <c r="AD936" s="112"/>
      <c r="AE936" s="112"/>
      <c r="AF936" s="112"/>
      <c r="AG936" s="117"/>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c r="BK936" s="124"/>
      <c r="BL936" s="124"/>
      <c r="BM936" s="124"/>
      <c r="BN936" s="124"/>
      <c r="BO936" s="124"/>
      <c r="BP936" s="124"/>
      <c r="BQ936" s="124"/>
      <c r="BR936" s="124"/>
      <c r="BS936" s="124"/>
      <c r="BT936" s="124"/>
      <c r="BU936" s="124"/>
      <c r="BV936" s="124"/>
      <c r="BW936" s="124"/>
      <c r="BX936" s="124"/>
      <c r="BY936" s="124"/>
      <c r="BZ936" s="124"/>
      <c r="CA936" s="124"/>
    </row>
    <row r="937">
      <c r="D937" s="143"/>
      <c r="E937" s="112"/>
      <c r="F937" s="112"/>
      <c r="G937" s="112"/>
      <c r="H937" s="112"/>
      <c r="I937" s="112"/>
      <c r="J937" s="112"/>
      <c r="K937" s="112"/>
      <c r="L937" s="112"/>
      <c r="M937" s="112"/>
      <c r="N937" s="112"/>
      <c r="O937" s="112"/>
      <c r="P937" s="112"/>
      <c r="Q937" s="112"/>
      <c r="R937" s="112"/>
      <c r="S937" s="112"/>
      <c r="T937" s="112"/>
      <c r="U937" s="107"/>
      <c r="V937" s="107"/>
      <c r="W937" s="107"/>
      <c r="X937" s="107"/>
      <c r="Y937" s="107"/>
      <c r="Z937" s="112"/>
      <c r="AA937" s="112"/>
      <c r="AB937" s="112"/>
      <c r="AC937" s="112"/>
      <c r="AD937" s="112"/>
      <c r="AE937" s="112"/>
      <c r="AF937" s="112"/>
      <c r="AG937" s="117"/>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c r="BK937" s="124"/>
      <c r="BL937" s="124"/>
      <c r="BM937" s="124"/>
      <c r="BN937" s="124"/>
      <c r="BO937" s="124"/>
      <c r="BP937" s="124"/>
      <c r="BQ937" s="124"/>
      <c r="BR937" s="124"/>
      <c r="BS937" s="124"/>
      <c r="BT937" s="124"/>
      <c r="BU937" s="124"/>
      <c r="BV937" s="124"/>
      <c r="BW937" s="124"/>
      <c r="BX937" s="124"/>
      <c r="BY937" s="124"/>
      <c r="BZ937" s="124"/>
      <c r="CA937" s="124"/>
    </row>
    <row r="938">
      <c r="D938" s="143"/>
      <c r="E938" s="112"/>
      <c r="F938" s="112"/>
      <c r="G938" s="112"/>
      <c r="H938" s="112"/>
      <c r="I938" s="112"/>
      <c r="J938" s="112"/>
      <c r="K938" s="112"/>
      <c r="L938" s="112"/>
      <c r="M938" s="112"/>
      <c r="N938" s="112"/>
      <c r="O938" s="112"/>
      <c r="P938" s="112"/>
      <c r="Q938" s="112"/>
      <c r="R938" s="112"/>
      <c r="S938" s="112"/>
      <c r="T938" s="112"/>
      <c r="U938" s="107"/>
      <c r="V938" s="107"/>
      <c r="W938" s="107"/>
      <c r="X938" s="107"/>
      <c r="Y938" s="107"/>
      <c r="Z938" s="112"/>
      <c r="AA938" s="112"/>
      <c r="AB938" s="112"/>
      <c r="AC938" s="112"/>
      <c r="AD938" s="112"/>
      <c r="AE938" s="112"/>
      <c r="AF938" s="112"/>
      <c r="AG938" s="117"/>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c r="BK938" s="124"/>
      <c r="BL938" s="124"/>
      <c r="BM938" s="124"/>
      <c r="BN938" s="124"/>
      <c r="BO938" s="124"/>
      <c r="BP938" s="124"/>
      <c r="BQ938" s="124"/>
      <c r="BR938" s="124"/>
      <c r="BS938" s="124"/>
      <c r="BT938" s="124"/>
      <c r="BU938" s="124"/>
      <c r="BV938" s="124"/>
      <c r="BW938" s="124"/>
      <c r="BX938" s="124"/>
      <c r="BY938" s="124"/>
      <c r="BZ938" s="124"/>
      <c r="CA938" s="124"/>
    </row>
    <row r="939">
      <c r="D939" s="143"/>
      <c r="E939" s="112"/>
      <c r="F939" s="112"/>
      <c r="G939" s="112"/>
      <c r="H939" s="112"/>
      <c r="I939" s="112"/>
      <c r="J939" s="112"/>
      <c r="K939" s="112"/>
      <c r="L939" s="112"/>
      <c r="M939" s="112"/>
      <c r="N939" s="112"/>
      <c r="O939" s="112"/>
      <c r="P939" s="112"/>
      <c r="Q939" s="112"/>
      <c r="R939" s="112"/>
      <c r="S939" s="112"/>
      <c r="T939" s="112"/>
      <c r="U939" s="107"/>
      <c r="V939" s="107"/>
      <c r="W939" s="107"/>
      <c r="X939" s="107"/>
      <c r="Y939" s="107"/>
      <c r="Z939" s="112"/>
      <c r="AA939" s="112"/>
      <c r="AB939" s="112"/>
      <c r="AC939" s="112"/>
      <c r="AD939" s="112"/>
      <c r="AE939" s="112"/>
      <c r="AF939" s="112"/>
      <c r="AG939" s="117"/>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c r="BK939" s="124"/>
      <c r="BL939" s="124"/>
      <c r="BM939" s="124"/>
      <c r="BN939" s="124"/>
      <c r="BO939" s="124"/>
      <c r="BP939" s="124"/>
      <c r="BQ939" s="124"/>
      <c r="BR939" s="124"/>
      <c r="BS939" s="124"/>
      <c r="BT939" s="124"/>
      <c r="BU939" s="124"/>
      <c r="BV939" s="124"/>
      <c r="BW939" s="124"/>
      <c r="BX939" s="124"/>
      <c r="BY939" s="124"/>
      <c r="BZ939" s="124"/>
      <c r="CA939" s="124"/>
    </row>
    <row r="940">
      <c r="D940" s="143"/>
      <c r="E940" s="112"/>
      <c r="F940" s="112"/>
      <c r="G940" s="112"/>
      <c r="H940" s="112"/>
      <c r="I940" s="112"/>
      <c r="J940" s="112"/>
      <c r="K940" s="112"/>
      <c r="L940" s="112"/>
      <c r="M940" s="112"/>
      <c r="N940" s="112"/>
      <c r="O940" s="112"/>
      <c r="P940" s="112"/>
      <c r="Q940" s="112"/>
      <c r="R940" s="112"/>
      <c r="S940" s="112"/>
      <c r="T940" s="112"/>
      <c r="U940" s="107"/>
      <c r="V940" s="107"/>
      <c r="W940" s="107"/>
      <c r="X940" s="107"/>
      <c r="Y940" s="107"/>
      <c r="Z940" s="112"/>
      <c r="AA940" s="112"/>
      <c r="AB940" s="112"/>
      <c r="AC940" s="112"/>
      <c r="AD940" s="112"/>
      <c r="AE940" s="112"/>
      <c r="AF940" s="112"/>
      <c r="AG940" s="117"/>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c r="BK940" s="124"/>
      <c r="BL940" s="124"/>
      <c r="BM940" s="124"/>
      <c r="BN940" s="124"/>
      <c r="BO940" s="124"/>
      <c r="BP940" s="124"/>
      <c r="BQ940" s="124"/>
      <c r="BR940" s="124"/>
      <c r="BS940" s="124"/>
      <c r="BT940" s="124"/>
      <c r="BU940" s="124"/>
      <c r="BV940" s="124"/>
      <c r="BW940" s="124"/>
      <c r="BX940" s="124"/>
      <c r="BY940" s="124"/>
      <c r="BZ940" s="124"/>
      <c r="CA940" s="124"/>
    </row>
    <row r="941">
      <c r="D941" s="143"/>
      <c r="E941" s="112"/>
      <c r="F941" s="112"/>
      <c r="G941" s="112"/>
      <c r="H941" s="112"/>
      <c r="I941" s="112"/>
      <c r="J941" s="112"/>
      <c r="K941" s="112"/>
      <c r="L941" s="112"/>
      <c r="M941" s="112"/>
      <c r="N941" s="112"/>
      <c r="O941" s="112"/>
      <c r="P941" s="112"/>
      <c r="Q941" s="112"/>
      <c r="R941" s="112"/>
      <c r="S941" s="112"/>
      <c r="T941" s="112"/>
      <c r="U941" s="107"/>
      <c r="V941" s="107"/>
      <c r="W941" s="107"/>
      <c r="X941" s="107"/>
      <c r="Y941" s="107"/>
      <c r="Z941" s="112"/>
      <c r="AA941" s="112"/>
      <c r="AB941" s="112"/>
      <c r="AC941" s="112"/>
      <c r="AD941" s="112"/>
      <c r="AE941" s="112"/>
      <c r="AF941" s="112"/>
      <c r="AG941" s="117"/>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c r="BK941" s="124"/>
      <c r="BL941" s="124"/>
      <c r="BM941" s="124"/>
      <c r="BN941" s="124"/>
      <c r="BO941" s="124"/>
      <c r="BP941" s="124"/>
      <c r="BQ941" s="124"/>
      <c r="BR941" s="124"/>
      <c r="BS941" s="124"/>
      <c r="BT941" s="124"/>
      <c r="BU941" s="124"/>
      <c r="BV941" s="124"/>
      <c r="BW941" s="124"/>
      <c r="BX941" s="124"/>
      <c r="BY941" s="124"/>
      <c r="BZ941" s="124"/>
      <c r="CA941" s="124"/>
    </row>
    <row r="942">
      <c r="D942" s="143"/>
      <c r="E942" s="112"/>
      <c r="F942" s="112"/>
      <c r="G942" s="112"/>
      <c r="H942" s="112"/>
      <c r="I942" s="112"/>
      <c r="J942" s="112"/>
      <c r="K942" s="112"/>
      <c r="L942" s="112"/>
      <c r="M942" s="112"/>
      <c r="N942" s="112"/>
      <c r="O942" s="112"/>
      <c r="P942" s="112"/>
      <c r="Q942" s="112"/>
      <c r="R942" s="112"/>
      <c r="S942" s="112"/>
      <c r="T942" s="112"/>
      <c r="U942" s="107"/>
      <c r="V942" s="107"/>
      <c r="W942" s="107"/>
      <c r="X942" s="107"/>
      <c r="Y942" s="107"/>
      <c r="Z942" s="112"/>
      <c r="AA942" s="112"/>
      <c r="AB942" s="112"/>
      <c r="AC942" s="112"/>
      <c r="AD942" s="112"/>
      <c r="AE942" s="112"/>
      <c r="AF942" s="112"/>
      <c r="AG942" s="117"/>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c r="BK942" s="124"/>
      <c r="BL942" s="124"/>
      <c r="BM942" s="124"/>
      <c r="BN942" s="124"/>
      <c r="BO942" s="124"/>
      <c r="BP942" s="124"/>
      <c r="BQ942" s="124"/>
      <c r="BR942" s="124"/>
      <c r="BS942" s="124"/>
      <c r="BT942" s="124"/>
      <c r="BU942" s="124"/>
      <c r="BV942" s="124"/>
      <c r="BW942" s="124"/>
      <c r="BX942" s="124"/>
      <c r="BY942" s="124"/>
      <c r="BZ942" s="124"/>
      <c r="CA942" s="124"/>
    </row>
    <row r="943">
      <c r="D943" s="143"/>
      <c r="E943" s="112"/>
      <c r="F943" s="112"/>
      <c r="G943" s="112"/>
      <c r="H943" s="112"/>
      <c r="I943" s="112"/>
      <c r="J943" s="112"/>
      <c r="K943" s="112"/>
      <c r="L943" s="112"/>
      <c r="M943" s="112"/>
      <c r="N943" s="112"/>
      <c r="O943" s="112"/>
      <c r="P943" s="112"/>
      <c r="Q943" s="112"/>
      <c r="R943" s="112"/>
      <c r="S943" s="112"/>
      <c r="T943" s="112"/>
      <c r="U943" s="107"/>
      <c r="V943" s="107"/>
      <c r="W943" s="107"/>
      <c r="X943" s="107"/>
      <c r="Y943" s="107"/>
      <c r="Z943" s="112"/>
      <c r="AA943" s="112"/>
      <c r="AB943" s="112"/>
      <c r="AC943" s="112"/>
      <c r="AD943" s="112"/>
      <c r="AE943" s="112"/>
      <c r="AF943" s="112"/>
      <c r="AG943" s="117"/>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c r="BK943" s="124"/>
      <c r="BL943" s="124"/>
      <c r="BM943" s="124"/>
      <c r="BN943" s="124"/>
      <c r="BO943" s="124"/>
      <c r="BP943" s="124"/>
      <c r="BQ943" s="124"/>
      <c r="BR943" s="124"/>
      <c r="BS943" s="124"/>
      <c r="BT943" s="124"/>
      <c r="BU943" s="124"/>
      <c r="BV943" s="124"/>
      <c r="BW943" s="124"/>
      <c r="BX943" s="124"/>
      <c r="BY943" s="124"/>
      <c r="BZ943" s="124"/>
      <c r="CA943" s="124"/>
    </row>
    <row r="944">
      <c r="D944" s="143"/>
      <c r="E944" s="112"/>
      <c r="F944" s="112"/>
      <c r="G944" s="112"/>
      <c r="H944" s="112"/>
      <c r="I944" s="112"/>
      <c r="J944" s="112"/>
      <c r="K944" s="112"/>
      <c r="L944" s="112"/>
      <c r="M944" s="112"/>
      <c r="N944" s="112"/>
      <c r="O944" s="112"/>
      <c r="P944" s="112"/>
      <c r="Q944" s="112"/>
      <c r="R944" s="112"/>
      <c r="S944" s="112"/>
      <c r="T944" s="112"/>
      <c r="U944" s="107"/>
      <c r="V944" s="107"/>
      <c r="W944" s="107"/>
      <c r="X944" s="107"/>
      <c r="Y944" s="107"/>
      <c r="Z944" s="112"/>
      <c r="AA944" s="112"/>
      <c r="AB944" s="112"/>
      <c r="AC944" s="112"/>
      <c r="AD944" s="112"/>
      <c r="AE944" s="112"/>
      <c r="AF944" s="112"/>
      <c r="AG944" s="117"/>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c r="BK944" s="124"/>
      <c r="BL944" s="124"/>
      <c r="BM944" s="124"/>
      <c r="BN944" s="124"/>
      <c r="BO944" s="124"/>
      <c r="BP944" s="124"/>
      <c r="BQ944" s="124"/>
      <c r="BR944" s="124"/>
      <c r="BS944" s="124"/>
      <c r="BT944" s="124"/>
      <c r="BU944" s="124"/>
      <c r="BV944" s="124"/>
      <c r="BW944" s="124"/>
      <c r="BX944" s="124"/>
      <c r="BY944" s="124"/>
      <c r="BZ944" s="124"/>
      <c r="CA944" s="124"/>
    </row>
    <row r="945">
      <c r="D945" s="143"/>
      <c r="E945" s="112"/>
      <c r="F945" s="112"/>
      <c r="G945" s="112"/>
      <c r="H945" s="112"/>
      <c r="I945" s="112"/>
      <c r="J945" s="112"/>
      <c r="K945" s="112"/>
      <c r="L945" s="112"/>
      <c r="M945" s="112"/>
      <c r="N945" s="112"/>
      <c r="O945" s="112"/>
      <c r="P945" s="112"/>
      <c r="Q945" s="112"/>
      <c r="R945" s="112"/>
      <c r="S945" s="112"/>
      <c r="T945" s="112"/>
      <c r="U945" s="107"/>
      <c r="V945" s="107"/>
      <c r="W945" s="107"/>
      <c r="X945" s="107"/>
      <c r="Y945" s="107"/>
      <c r="Z945" s="112"/>
      <c r="AA945" s="112"/>
      <c r="AB945" s="112"/>
      <c r="AC945" s="112"/>
      <c r="AD945" s="112"/>
      <c r="AE945" s="112"/>
      <c r="AF945" s="112"/>
      <c r="AG945" s="117"/>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c r="BK945" s="124"/>
      <c r="BL945" s="124"/>
      <c r="BM945" s="124"/>
      <c r="BN945" s="124"/>
      <c r="BO945" s="124"/>
      <c r="BP945" s="124"/>
      <c r="BQ945" s="124"/>
      <c r="BR945" s="124"/>
      <c r="BS945" s="124"/>
      <c r="BT945" s="124"/>
      <c r="BU945" s="124"/>
      <c r="BV945" s="124"/>
      <c r="BW945" s="124"/>
      <c r="BX945" s="124"/>
      <c r="BY945" s="124"/>
      <c r="BZ945" s="124"/>
      <c r="CA945" s="124"/>
    </row>
    <row r="946">
      <c r="D946" s="143"/>
      <c r="E946" s="112"/>
      <c r="F946" s="112"/>
      <c r="G946" s="112"/>
      <c r="H946" s="112"/>
      <c r="I946" s="112"/>
      <c r="J946" s="112"/>
      <c r="K946" s="112"/>
      <c r="L946" s="112"/>
      <c r="M946" s="112"/>
      <c r="N946" s="112"/>
      <c r="O946" s="112"/>
      <c r="P946" s="112"/>
      <c r="Q946" s="112"/>
      <c r="R946" s="112"/>
      <c r="S946" s="112"/>
      <c r="T946" s="112"/>
      <c r="U946" s="107"/>
      <c r="V946" s="107"/>
      <c r="W946" s="107"/>
      <c r="X946" s="107"/>
      <c r="Y946" s="107"/>
      <c r="Z946" s="112"/>
      <c r="AA946" s="112"/>
      <c r="AB946" s="112"/>
      <c r="AC946" s="112"/>
      <c r="AD946" s="112"/>
      <c r="AE946" s="112"/>
      <c r="AF946" s="112"/>
      <c r="AG946" s="117"/>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c r="BK946" s="124"/>
      <c r="BL946" s="124"/>
      <c r="BM946" s="124"/>
      <c r="BN946" s="124"/>
      <c r="BO946" s="124"/>
      <c r="BP946" s="124"/>
      <c r="BQ946" s="124"/>
      <c r="BR946" s="124"/>
      <c r="BS946" s="124"/>
      <c r="BT946" s="124"/>
      <c r="BU946" s="124"/>
      <c r="BV946" s="124"/>
      <c r="BW946" s="124"/>
      <c r="BX946" s="124"/>
      <c r="BY946" s="124"/>
      <c r="BZ946" s="124"/>
      <c r="CA946" s="124"/>
    </row>
    <row r="947">
      <c r="D947" s="143"/>
      <c r="E947" s="112"/>
      <c r="F947" s="112"/>
      <c r="G947" s="112"/>
      <c r="H947" s="112"/>
      <c r="I947" s="112"/>
      <c r="J947" s="112"/>
      <c r="K947" s="112"/>
      <c r="L947" s="112"/>
      <c r="M947" s="112"/>
      <c r="N947" s="112"/>
      <c r="O947" s="112"/>
      <c r="P947" s="112"/>
      <c r="Q947" s="112"/>
      <c r="R947" s="112"/>
      <c r="S947" s="112"/>
      <c r="T947" s="112"/>
      <c r="U947" s="107"/>
      <c r="V947" s="107"/>
      <c r="W947" s="107"/>
      <c r="X947" s="107"/>
      <c r="Y947" s="107"/>
      <c r="Z947" s="112"/>
      <c r="AA947" s="112"/>
      <c r="AB947" s="112"/>
      <c r="AC947" s="112"/>
      <c r="AD947" s="112"/>
      <c r="AE947" s="112"/>
      <c r="AF947" s="112"/>
      <c r="AG947" s="117"/>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c r="BK947" s="124"/>
      <c r="BL947" s="124"/>
      <c r="BM947" s="124"/>
      <c r="BN947" s="124"/>
      <c r="BO947" s="124"/>
      <c r="BP947" s="124"/>
      <c r="BQ947" s="124"/>
      <c r="BR947" s="124"/>
      <c r="BS947" s="124"/>
      <c r="BT947" s="124"/>
      <c r="BU947" s="124"/>
      <c r="BV947" s="124"/>
      <c r="BW947" s="124"/>
      <c r="BX947" s="124"/>
      <c r="BY947" s="124"/>
      <c r="BZ947" s="124"/>
      <c r="CA947" s="124"/>
    </row>
    <row r="948">
      <c r="D948" s="143"/>
      <c r="E948" s="112"/>
      <c r="F948" s="112"/>
      <c r="G948" s="112"/>
      <c r="H948" s="112"/>
      <c r="I948" s="112"/>
      <c r="J948" s="112"/>
      <c r="K948" s="112"/>
      <c r="L948" s="112"/>
      <c r="M948" s="112"/>
      <c r="N948" s="112"/>
      <c r="O948" s="112"/>
      <c r="P948" s="112"/>
      <c r="Q948" s="112"/>
      <c r="R948" s="112"/>
      <c r="S948" s="112"/>
      <c r="T948" s="112"/>
      <c r="U948" s="107"/>
      <c r="V948" s="107"/>
      <c r="W948" s="107"/>
      <c r="X948" s="107"/>
      <c r="Y948" s="107"/>
      <c r="Z948" s="112"/>
      <c r="AA948" s="112"/>
      <c r="AB948" s="112"/>
      <c r="AC948" s="112"/>
      <c r="AD948" s="112"/>
      <c r="AE948" s="112"/>
      <c r="AF948" s="112"/>
      <c r="AG948" s="117"/>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c r="BK948" s="124"/>
      <c r="BL948" s="124"/>
      <c r="BM948" s="124"/>
      <c r="BN948" s="124"/>
      <c r="BO948" s="124"/>
      <c r="BP948" s="124"/>
      <c r="BQ948" s="124"/>
      <c r="BR948" s="124"/>
      <c r="BS948" s="124"/>
      <c r="BT948" s="124"/>
      <c r="BU948" s="124"/>
      <c r="BV948" s="124"/>
      <c r="BW948" s="124"/>
      <c r="BX948" s="124"/>
      <c r="BY948" s="124"/>
      <c r="BZ948" s="124"/>
      <c r="CA948" s="124"/>
    </row>
    <row r="949">
      <c r="D949" s="143"/>
      <c r="E949" s="112"/>
      <c r="F949" s="112"/>
      <c r="G949" s="112"/>
      <c r="H949" s="112"/>
      <c r="I949" s="112"/>
      <c r="J949" s="112"/>
      <c r="K949" s="112"/>
      <c r="L949" s="112"/>
      <c r="M949" s="112"/>
      <c r="N949" s="112"/>
      <c r="O949" s="112"/>
      <c r="P949" s="112"/>
      <c r="Q949" s="112"/>
      <c r="R949" s="112"/>
      <c r="S949" s="112"/>
      <c r="T949" s="112"/>
      <c r="U949" s="107"/>
      <c r="V949" s="107"/>
      <c r="W949" s="107"/>
      <c r="X949" s="107"/>
      <c r="Y949" s="107"/>
      <c r="Z949" s="112"/>
      <c r="AA949" s="112"/>
      <c r="AB949" s="112"/>
      <c r="AC949" s="112"/>
      <c r="AD949" s="112"/>
      <c r="AE949" s="112"/>
      <c r="AF949" s="112"/>
      <c r="AG949" s="117"/>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c r="BK949" s="124"/>
      <c r="BL949" s="124"/>
      <c r="BM949" s="124"/>
      <c r="BN949" s="124"/>
      <c r="BO949" s="124"/>
      <c r="BP949" s="124"/>
      <c r="BQ949" s="124"/>
      <c r="BR949" s="124"/>
      <c r="BS949" s="124"/>
      <c r="BT949" s="124"/>
      <c r="BU949" s="124"/>
      <c r="BV949" s="124"/>
      <c r="BW949" s="124"/>
      <c r="BX949" s="124"/>
      <c r="BY949" s="124"/>
      <c r="BZ949" s="124"/>
      <c r="CA949" s="124"/>
    </row>
    <row r="950">
      <c r="D950" s="143"/>
      <c r="E950" s="112"/>
      <c r="F950" s="112"/>
      <c r="G950" s="112"/>
      <c r="H950" s="112"/>
      <c r="I950" s="112"/>
      <c r="J950" s="112"/>
      <c r="K950" s="112"/>
      <c r="L950" s="112"/>
      <c r="M950" s="112"/>
      <c r="N950" s="112"/>
      <c r="O950" s="112"/>
      <c r="P950" s="112"/>
      <c r="Q950" s="112"/>
      <c r="R950" s="112"/>
      <c r="S950" s="112"/>
      <c r="T950" s="112"/>
      <c r="U950" s="107"/>
      <c r="V950" s="107"/>
      <c r="W950" s="107"/>
      <c r="X950" s="107"/>
      <c r="Y950" s="107"/>
      <c r="Z950" s="112"/>
      <c r="AA950" s="112"/>
      <c r="AB950" s="112"/>
      <c r="AC950" s="112"/>
      <c r="AD950" s="112"/>
      <c r="AE950" s="112"/>
      <c r="AF950" s="112"/>
      <c r="AG950" s="117"/>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c r="BK950" s="124"/>
      <c r="BL950" s="124"/>
      <c r="BM950" s="124"/>
      <c r="BN950" s="124"/>
      <c r="BO950" s="124"/>
      <c r="BP950" s="124"/>
      <c r="BQ950" s="124"/>
      <c r="BR950" s="124"/>
      <c r="BS950" s="124"/>
      <c r="BT950" s="124"/>
      <c r="BU950" s="124"/>
      <c r="BV950" s="124"/>
      <c r="BW950" s="124"/>
      <c r="BX950" s="124"/>
      <c r="BY950" s="124"/>
      <c r="BZ950" s="124"/>
      <c r="CA950" s="124"/>
    </row>
    <row r="951">
      <c r="D951" s="143"/>
      <c r="E951" s="112"/>
      <c r="F951" s="112"/>
      <c r="G951" s="112"/>
      <c r="H951" s="112"/>
      <c r="I951" s="112"/>
      <c r="J951" s="112"/>
      <c r="K951" s="112"/>
      <c r="L951" s="112"/>
      <c r="M951" s="112"/>
      <c r="N951" s="112"/>
      <c r="O951" s="112"/>
      <c r="P951" s="112"/>
      <c r="Q951" s="112"/>
      <c r="R951" s="112"/>
      <c r="S951" s="112"/>
      <c r="T951" s="112"/>
      <c r="U951" s="107"/>
      <c r="V951" s="107"/>
      <c r="W951" s="107"/>
      <c r="X951" s="107"/>
      <c r="Y951" s="107"/>
      <c r="Z951" s="112"/>
      <c r="AA951" s="112"/>
      <c r="AB951" s="112"/>
      <c r="AC951" s="112"/>
      <c r="AD951" s="112"/>
      <c r="AE951" s="112"/>
      <c r="AF951" s="112"/>
      <c r="AG951" s="117"/>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c r="BK951" s="124"/>
      <c r="BL951" s="124"/>
      <c r="BM951" s="124"/>
      <c r="BN951" s="124"/>
      <c r="BO951" s="124"/>
      <c r="BP951" s="124"/>
      <c r="BQ951" s="124"/>
      <c r="BR951" s="124"/>
      <c r="BS951" s="124"/>
      <c r="BT951" s="124"/>
      <c r="BU951" s="124"/>
      <c r="BV951" s="124"/>
      <c r="BW951" s="124"/>
      <c r="BX951" s="124"/>
      <c r="BY951" s="124"/>
      <c r="BZ951" s="124"/>
      <c r="CA951" s="124"/>
    </row>
    <row r="952">
      <c r="D952" s="143"/>
      <c r="E952" s="112"/>
      <c r="F952" s="112"/>
      <c r="G952" s="112"/>
      <c r="H952" s="112"/>
      <c r="I952" s="112"/>
      <c r="J952" s="112"/>
      <c r="K952" s="112"/>
      <c r="L952" s="112"/>
      <c r="M952" s="112"/>
      <c r="N952" s="112"/>
      <c r="O952" s="112"/>
      <c r="P952" s="112"/>
      <c r="Q952" s="112"/>
      <c r="R952" s="112"/>
      <c r="S952" s="112"/>
      <c r="T952" s="112"/>
      <c r="U952" s="107"/>
      <c r="V952" s="107"/>
      <c r="W952" s="107"/>
      <c r="X952" s="107"/>
      <c r="Y952" s="107"/>
      <c r="Z952" s="112"/>
      <c r="AA952" s="112"/>
      <c r="AB952" s="112"/>
      <c r="AC952" s="112"/>
      <c r="AD952" s="112"/>
      <c r="AE952" s="112"/>
      <c r="AF952" s="112"/>
      <c r="AG952" s="117"/>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c r="BK952" s="124"/>
      <c r="BL952" s="124"/>
      <c r="BM952" s="124"/>
      <c r="BN952" s="124"/>
      <c r="BO952" s="124"/>
      <c r="BP952" s="124"/>
      <c r="BQ952" s="124"/>
      <c r="BR952" s="124"/>
      <c r="BS952" s="124"/>
      <c r="BT952" s="124"/>
      <c r="BU952" s="124"/>
      <c r="BV952" s="124"/>
      <c r="BW952" s="124"/>
      <c r="BX952" s="124"/>
      <c r="BY952" s="124"/>
      <c r="BZ952" s="124"/>
      <c r="CA952" s="124"/>
    </row>
    <row r="953">
      <c r="D953" s="143"/>
      <c r="E953" s="112"/>
      <c r="F953" s="112"/>
      <c r="G953" s="112"/>
      <c r="H953" s="112"/>
      <c r="I953" s="112"/>
      <c r="J953" s="112"/>
      <c r="K953" s="112"/>
      <c r="L953" s="112"/>
      <c r="M953" s="112"/>
      <c r="N953" s="112"/>
      <c r="O953" s="112"/>
      <c r="P953" s="112"/>
      <c r="Q953" s="112"/>
      <c r="R953" s="112"/>
      <c r="S953" s="112"/>
      <c r="T953" s="112"/>
      <c r="U953" s="107"/>
      <c r="V953" s="107"/>
      <c r="W953" s="107"/>
      <c r="X953" s="107"/>
      <c r="Y953" s="107"/>
      <c r="Z953" s="112"/>
      <c r="AA953" s="112"/>
      <c r="AB953" s="112"/>
      <c r="AC953" s="112"/>
      <c r="AD953" s="112"/>
      <c r="AE953" s="112"/>
      <c r="AF953" s="112"/>
      <c r="AG953" s="117"/>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c r="BK953" s="124"/>
      <c r="BL953" s="124"/>
      <c r="BM953" s="124"/>
      <c r="BN953" s="124"/>
      <c r="BO953" s="124"/>
      <c r="BP953" s="124"/>
      <c r="BQ953" s="124"/>
      <c r="BR953" s="124"/>
      <c r="BS953" s="124"/>
      <c r="BT953" s="124"/>
      <c r="BU953" s="124"/>
      <c r="BV953" s="124"/>
      <c r="BW953" s="124"/>
      <c r="BX953" s="124"/>
      <c r="BY953" s="124"/>
      <c r="BZ953" s="124"/>
      <c r="CA953" s="124"/>
    </row>
    <row r="954">
      <c r="D954" s="143"/>
      <c r="E954" s="112"/>
      <c r="F954" s="112"/>
      <c r="G954" s="112"/>
      <c r="H954" s="112"/>
      <c r="I954" s="112"/>
      <c r="J954" s="112"/>
      <c r="K954" s="112"/>
      <c r="L954" s="112"/>
      <c r="M954" s="112"/>
      <c r="N954" s="112"/>
      <c r="O954" s="112"/>
      <c r="P954" s="112"/>
      <c r="Q954" s="112"/>
      <c r="R954" s="112"/>
      <c r="S954" s="112"/>
      <c r="T954" s="112"/>
      <c r="U954" s="107"/>
      <c r="V954" s="107"/>
      <c r="W954" s="107"/>
      <c r="X954" s="107"/>
      <c r="Y954" s="107"/>
      <c r="Z954" s="112"/>
      <c r="AA954" s="112"/>
      <c r="AB954" s="112"/>
      <c r="AC954" s="112"/>
      <c r="AD954" s="112"/>
      <c r="AE954" s="112"/>
      <c r="AF954" s="112"/>
      <c r="AG954" s="117"/>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c r="BK954" s="124"/>
      <c r="BL954" s="124"/>
      <c r="BM954" s="124"/>
      <c r="BN954" s="124"/>
      <c r="BO954" s="124"/>
      <c r="BP954" s="124"/>
      <c r="BQ954" s="124"/>
      <c r="BR954" s="124"/>
      <c r="BS954" s="124"/>
      <c r="BT954" s="124"/>
      <c r="BU954" s="124"/>
      <c r="BV954" s="124"/>
      <c r="BW954" s="124"/>
      <c r="BX954" s="124"/>
      <c r="BY954" s="124"/>
      <c r="BZ954" s="124"/>
      <c r="CA954" s="124"/>
    </row>
    <row r="955">
      <c r="D955" s="143"/>
      <c r="E955" s="112"/>
      <c r="F955" s="112"/>
      <c r="G955" s="112"/>
      <c r="H955" s="112"/>
      <c r="I955" s="112"/>
      <c r="J955" s="112"/>
      <c r="K955" s="112"/>
      <c r="L955" s="112"/>
      <c r="M955" s="112"/>
      <c r="N955" s="112"/>
      <c r="O955" s="112"/>
      <c r="P955" s="112"/>
      <c r="Q955" s="112"/>
      <c r="R955" s="112"/>
      <c r="S955" s="112"/>
      <c r="T955" s="112"/>
      <c r="U955" s="107"/>
      <c r="V955" s="107"/>
      <c r="W955" s="107"/>
      <c r="X955" s="107"/>
      <c r="Y955" s="107"/>
      <c r="Z955" s="112"/>
      <c r="AA955" s="112"/>
      <c r="AB955" s="112"/>
      <c r="AC955" s="112"/>
      <c r="AD955" s="112"/>
      <c r="AE955" s="112"/>
      <c r="AF955" s="112"/>
      <c r="AG955" s="117"/>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c r="BK955" s="124"/>
      <c r="BL955" s="124"/>
      <c r="BM955" s="124"/>
      <c r="BN955" s="124"/>
      <c r="BO955" s="124"/>
      <c r="BP955" s="124"/>
      <c r="BQ955" s="124"/>
      <c r="BR955" s="124"/>
      <c r="BS955" s="124"/>
      <c r="BT955" s="124"/>
      <c r="BU955" s="124"/>
      <c r="BV955" s="124"/>
      <c r="BW955" s="124"/>
      <c r="BX955" s="124"/>
      <c r="BY955" s="124"/>
      <c r="BZ955" s="124"/>
      <c r="CA955" s="124"/>
    </row>
    <row r="956">
      <c r="D956" s="143"/>
      <c r="E956" s="112"/>
      <c r="F956" s="112"/>
      <c r="G956" s="112"/>
      <c r="H956" s="112"/>
      <c r="I956" s="112"/>
      <c r="J956" s="112"/>
      <c r="K956" s="112"/>
      <c r="L956" s="112"/>
      <c r="M956" s="112"/>
      <c r="N956" s="112"/>
      <c r="O956" s="112"/>
      <c r="P956" s="112"/>
      <c r="Q956" s="112"/>
      <c r="R956" s="112"/>
      <c r="S956" s="112"/>
      <c r="T956" s="112"/>
      <c r="U956" s="107"/>
      <c r="V956" s="107"/>
      <c r="W956" s="107"/>
      <c r="X956" s="107"/>
      <c r="Y956" s="107"/>
      <c r="Z956" s="112"/>
      <c r="AA956" s="112"/>
      <c r="AB956" s="112"/>
      <c r="AC956" s="112"/>
      <c r="AD956" s="112"/>
      <c r="AE956" s="112"/>
      <c r="AF956" s="112"/>
      <c r="AG956" s="117"/>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c r="BK956" s="124"/>
      <c r="BL956" s="124"/>
      <c r="BM956" s="124"/>
      <c r="BN956" s="124"/>
      <c r="BO956" s="124"/>
      <c r="BP956" s="124"/>
      <c r="BQ956" s="124"/>
      <c r="BR956" s="124"/>
      <c r="BS956" s="124"/>
      <c r="BT956" s="124"/>
      <c r="BU956" s="124"/>
      <c r="BV956" s="124"/>
      <c r="BW956" s="124"/>
      <c r="BX956" s="124"/>
      <c r="BY956" s="124"/>
      <c r="BZ956" s="124"/>
      <c r="CA956" s="124"/>
    </row>
    <row r="957">
      <c r="D957" s="143"/>
      <c r="E957" s="112"/>
      <c r="F957" s="112"/>
      <c r="G957" s="112"/>
      <c r="H957" s="112"/>
      <c r="I957" s="112"/>
      <c r="J957" s="112"/>
      <c r="K957" s="112"/>
      <c r="L957" s="112"/>
      <c r="M957" s="112"/>
      <c r="N957" s="112"/>
      <c r="O957" s="112"/>
      <c r="P957" s="112"/>
      <c r="Q957" s="112"/>
      <c r="R957" s="112"/>
      <c r="S957" s="112"/>
      <c r="T957" s="112"/>
      <c r="U957" s="107"/>
      <c r="V957" s="107"/>
      <c r="W957" s="107"/>
      <c r="X957" s="107"/>
      <c r="Y957" s="107"/>
      <c r="Z957" s="112"/>
      <c r="AA957" s="112"/>
      <c r="AB957" s="112"/>
      <c r="AC957" s="112"/>
      <c r="AD957" s="112"/>
      <c r="AE957" s="112"/>
      <c r="AF957" s="112"/>
      <c r="AG957" s="117"/>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c r="BK957" s="124"/>
      <c r="BL957" s="124"/>
      <c r="BM957" s="124"/>
      <c r="BN957" s="124"/>
      <c r="BO957" s="124"/>
      <c r="BP957" s="124"/>
      <c r="BQ957" s="124"/>
      <c r="BR957" s="124"/>
      <c r="BS957" s="124"/>
      <c r="BT957" s="124"/>
      <c r="BU957" s="124"/>
      <c r="BV957" s="124"/>
      <c r="BW957" s="124"/>
      <c r="BX957" s="124"/>
      <c r="BY957" s="124"/>
      <c r="BZ957" s="124"/>
      <c r="CA957" s="124"/>
    </row>
    <row r="958">
      <c r="D958" s="143"/>
      <c r="E958" s="112"/>
      <c r="F958" s="112"/>
      <c r="G958" s="112"/>
      <c r="H958" s="112"/>
      <c r="I958" s="112"/>
      <c r="J958" s="112"/>
      <c r="K958" s="112"/>
      <c r="L958" s="112"/>
      <c r="M958" s="112"/>
      <c r="N958" s="112"/>
      <c r="O958" s="112"/>
      <c r="P958" s="112"/>
      <c r="Q958" s="112"/>
      <c r="R958" s="112"/>
      <c r="S958" s="112"/>
      <c r="T958" s="112"/>
      <c r="U958" s="107"/>
      <c r="V958" s="107"/>
      <c r="W958" s="107"/>
      <c r="X958" s="107"/>
      <c r="Y958" s="107"/>
      <c r="Z958" s="112"/>
      <c r="AA958" s="112"/>
      <c r="AB958" s="112"/>
      <c r="AC958" s="112"/>
      <c r="AD958" s="112"/>
      <c r="AE958" s="112"/>
      <c r="AF958" s="112"/>
      <c r="AG958" s="117"/>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c r="BK958" s="124"/>
      <c r="BL958" s="124"/>
      <c r="BM958" s="124"/>
      <c r="BN958" s="124"/>
      <c r="BO958" s="124"/>
      <c r="BP958" s="124"/>
      <c r="BQ958" s="124"/>
      <c r="BR958" s="124"/>
      <c r="BS958" s="124"/>
      <c r="BT958" s="124"/>
      <c r="BU958" s="124"/>
      <c r="BV958" s="124"/>
      <c r="BW958" s="124"/>
      <c r="BX958" s="124"/>
      <c r="BY958" s="124"/>
      <c r="BZ958" s="124"/>
      <c r="CA958" s="124"/>
    </row>
    <row r="959">
      <c r="D959" s="143"/>
      <c r="E959" s="112"/>
      <c r="F959" s="112"/>
      <c r="G959" s="112"/>
      <c r="H959" s="112"/>
      <c r="I959" s="112"/>
      <c r="J959" s="112"/>
      <c r="K959" s="112"/>
      <c r="L959" s="112"/>
      <c r="M959" s="112"/>
      <c r="N959" s="112"/>
      <c r="O959" s="112"/>
      <c r="P959" s="112"/>
      <c r="Q959" s="112"/>
      <c r="R959" s="112"/>
      <c r="S959" s="112"/>
      <c r="T959" s="112"/>
      <c r="U959" s="107"/>
      <c r="V959" s="107"/>
      <c r="W959" s="107"/>
      <c r="X959" s="107"/>
      <c r="Y959" s="107"/>
      <c r="Z959" s="112"/>
      <c r="AA959" s="112"/>
      <c r="AB959" s="112"/>
      <c r="AC959" s="112"/>
      <c r="AD959" s="112"/>
      <c r="AE959" s="112"/>
      <c r="AF959" s="112"/>
      <c r="AG959" s="117"/>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c r="BK959" s="124"/>
      <c r="BL959" s="124"/>
      <c r="BM959" s="124"/>
      <c r="BN959" s="124"/>
      <c r="BO959" s="124"/>
      <c r="BP959" s="124"/>
      <c r="BQ959" s="124"/>
      <c r="BR959" s="124"/>
      <c r="BS959" s="124"/>
      <c r="BT959" s="124"/>
      <c r="BU959" s="124"/>
      <c r="BV959" s="124"/>
      <c r="BW959" s="124"/>
      <c r="BX959" s="124"/>
      <c r="BY959" s="124"/>
      <c r="BZ959" s="124"/>
      <c r="CA959" s="124"/>
    </row>
    <row r="960">
      <c r="D960" s="143"/>
      <c r="E960" s="112"/>
      <c r="F960" s="112"/>
      <c r="G960" s="112"/>
      <c r="H960" s="112"/>
      <c r="I960" s="112"/>
      <c r="J960" s="112"/>
      <c r="K960" s="112"/>
      <c r="L960" s="112"/>
      <c r="M960" s="112"/>
      <c r="N960" s="112"/>
      <c r="O960" s="112"/>
      <c r="P960" s="112"/>
      <c r="Q960" s="112"/>
      <c r="R960" s="112"/>
      <c r="S960" s="112"/>
      <c r="T960" s="112"/>
      <c r="U960" s="107"/>
      <c r="V960" s="107"/>
      <c r="W960" s="107"/>
      <c r="X960" s="107"/>
      <c r="Y960" s="107"/>
      <c r="Z960" s="112"/>
      <c r="AA960" s="112"/>
      <c r="AB960" s="112"/>
      <c r="AC960" s="112"/>
      <c r="AD960" s="112"/>
      <c r="AE960" s="112"/>
      <c r="AF960" s="112"/>
      <c r="AG960" s="117"/>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c r="BK960" s="124"/>
      <c r="BL960" s="124"/>
      <c r="BM960" s="124"/>
      <c r="BN960" s="124"/>
      <c r="BO960" s="124"/>
      <c r="BP960" s="124"/>
      <c r="BQ960" s="124"/>
      <c r="BR960" s="124"/>
      <c r="BS960" s="124"/>
      <c r="BT960" s="124"/>
      <c r="BU960" s="124"/>
      <c r="BV960" s="124"/>
      <c r="BW960" s="124"/>
      <c r="BX960" s="124"/>
      <c r="BY960" s="124"/>
      <c r="BZ960" s="124"/>
      <c r="CA960" s="124"/>
    </row>
    <row r="961">
      <c r="D961" s="143"/>
      <c r="E961" s="112"/>
      <c r="F961" s="112"/>
      <c r="G961" s="112"/>
      <c r="H961" s="112"/>
      <c r="I961" s="112"/>
      <c r="J961" s="112"/>
      <c r="K961" s="112"/>
      <c r="L961" s="112"/>
      <c r="M961" s="112"/>
      <c r="N961" s="112"/>
      <c r="O961" s="112"/>
      <c r="P961" s="112"/>
      <c r="Q961" s="112"/>
      <c r="R961" s="112"/>
      <c r="S961" s="112"/>
      <c r="T961" s="112"/>
      <c r="U961" s="107"/>
      <c r="V961" s="107"/>
      <c r="W961" s="107"/>
      <c r="X961" s="107"/>
      <c r="Y961" s="107"/>
      <c r="Z961" s="112"/>
      <c r="AA961" s="112"/>
      <c r="AB961" s="112"/>
      <c r="AC961" s="112"/>
      <c r="AD961" s="112"/>
      <c r="AE961" s="112"/>
      <c r="AF961" s="112"/>
      <c r="AG961" s="117"/>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c r="BK961" s="124"/>
      <c r="BL961" s="124"/>
      <c r="BM961" s="124"/>
      <c r="BN961" s="124"/>
      <c r="BO961" s="124"/>
      <c r="BP961" s="124"/>
      <c r="BQ961" s="124"/>
      <c r="BR961" s="124"/>
      <c r="BS961" s="124"/>
      <c r="BT961" s="124"/>
      <c r="BU961" s="124"/>
      <c r="BV961" s="124"/>
      <c r="BW961" s="124"/>
      <c r="BX961" s="124"/>
      <c r="BY961" s="124"/>
      <c r="BZ961" s="124"/>
      <c r="CA961" s="124"/>
    </row>
    <row r="962">
      <c r="D962" s="143"/>
      <c r="E962" s="112"/>
      <c r="F962" s="112"/>
      <c r="G962" s="112"/>
      <c r="H962" s="112"/>
      <c r="I962" s="112"/>
      <c r="J962" s="112"/>
      <c r="K962" s="112"/>
      <c r="L962" s="112"/>
      <c r="M962" s="112"/>
      <c r="N962" s="112"/>
      <c r="O962" s="112"/>
      <c r="P962" s="112"/>
      <c r="Q962" s="112"/>
      <c r="R962" s="112"/>
      <c r="S962" s="112"/>
      <c r="T962" s="112"/>
      <c r="U962" s="107"/>
      <c r="V962" s="107"/>
      <c r="W962" s="107"/>
      <c r="X962" s="107"/>
      <c r="Y962" s="107"/>
      <c r="Z962" s="112"/>
      <c r="AA962" s="112"/>
      <c r="AB962" s="112"/>
      <c r="AC962" s="112"/>
      <c r="AD962" s="112"/>
      <c r="AE962" s="112"/>
      <c r="AF962" s="112"/>
      <c r="AG962" s="117"/>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c r="BK962" s="124"/>
      <c r="BL962" s="124"/>
      <c r="BM962" s="124"/>
      <c r="BN962" s="124"/>
      <c r="BO962" s="124"/>
      <c r="BP962" s="124"/>
      <c r="BQ962" s="124"/>
      <c r="BR962" s="124"/>
      <c r="BS962" s="124"/>
      <c r="BT962" s="124"/>
      <c r="BU962" s="124"/>
      <c r="BV962" s="124"/>
      <c r="BW962" s="124"/>
      <c r="BX962" s="124"/>
      <c r="BY962" s="124"/>
      <c r="BZ962" s="124"/>
      <c r="CA962" s="124"/>
    </row>
    <row r="963">
      <c r="D963" s="143"/>
      <c r="E963" s="112"/>
      <c r="F963" s="112"/>
      <c r="G963" s="112"/>
      <c r="H963" s="112"/>
      <c r="I963" s="112"/>
      <c r="J963" s="112"/>
      <c r="K963" s="112"/>
      <c r="L963" s="112"/>
      <c r="M963" s="112"/>
      <c r="N963" s="112"/>
      <c r="O963" s="112"/>
      <c r="P963" s="112"/>
      <c r="Q963" s="112"/>
      <c r="R963" s="112"/>
      <c r="S963" s="112"/>
      <c r="T963" s="112"/>
      <c r="U963" s="107"/>
      <c r="V963" s="107"/>
      <c r="W963" s="107"/>
      <c r="X963" s="107"/>
      <c r="Y963" s="107"/>
      <c r="Z963" s="112"/>
      <c r="AA963" s="112"/>
      <c r="AB963" s="112"/>
      <c r="AC963" s="112"/>
      <c r="AD963" s="112"/>
      <c r="AE963" s="112"/>
      <c r="AF963" s="112"/>
      <c r="AG963" s="117"/>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c r="BK963" s="124"/>
      <c r="BL963" s="124"/>
      <c r="BM963" s="124"/>
      <c r="BN963" s="124"/>
      <c r="BO963" s="124"/>
      <c r="BP963" s="124"/>
      <c r="BQ963" s="124"/>
      <c r="BR963" s="124"/>
      <c r="BS963" s="124"/>
      <c r="BT963" s="124"/>
      <c r="BU963" s="124"/>
      <c r="BV963" s="124"/>
      <c r="BW963" s="124"/>
      <c r="BX963" s="124"/>
      <c r="BY963" s="124"/>
      <c r="BZ963" s="124"/>
      <c r="CA963" s="124"/>
    </row>
    <row r="964">
      <c r="D964" s="143"/>
      <c r="E964" s="112"/>
      <c r="F964" s="112"/>
      <c r="G964" s="112"/>
      <c r="H964" s="112"/>
      <c r="I964" s="112"/>
      <c r="J964" s="112"/>
      <c r="K964" s="112"/>
      <c r="L964" s="112"/>
      <c r="M964" s="112"/>
      <c r="N964" s="112"/>
      <c r="O964" s="112"/>
      <c r="P964" s="112"/>
      <c r="Q964" s="112"/>
      <c r="R964" s="112"/>
      <c r="S964" s="112"/>
      <c r="T964" s="112"/>
      <c r="U964" s="107"/>
      <c r="V964" s="107"/>
      <c r="W964" s="107"/>
      <c r="X964" s="107"/>
      <c r="Y964" s="107"/>
      <c r="Z964" s="112"/>
      <c r="AA964" s="112"/>
      <c r="AB964" s="112"/>
      <c r="AC964" s="112"/>
      <c r="AD964" s="112"/>
      <c r="AE964" s="112"/>
      <c r="AF964" s="112"/>
      <c r="AG964" s="117"/>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c r="BK964" s="124"/>
      <c r="BL964" s="124"/>
      <c r="BM964" s="124"/>
      <c r="BN964" s="124"/>
      <c r="BO964" s="124"/>
      <c r="BP964" s="124"/>
      <c r="BQ964" s="124"/>
      <c r="BR964" s="124"/>
      <c r="BS964" s="124"/>
      <c r="BT964" s="124"/>
      <c r="BU964" s="124"/>
      <c r="BV964" s="124"/>
      <c r="BW964" s="124"/>
      <c r="BX964" s="124"/>
      <c r="BY964" s="124"/>
      <c r="BZ964" s="124"/>
      <c r="CA964" s="124"/>
    </row>
    <row r="965">
      <c r="D965" s="143"/>
      <c r="E965" s="112"/>
      <c r="F965" s="112"/>
      <c r="G965" s="112"/>
      <c r="H965" s="112"/>
      <c r="I965" s="112"/>
      <c r="J965" s="112"/>
      <c r="K965" s="112"/>
      <c r="L965" s="112"/>
      <c r="M965" s="112"/>
      <c r="N965" s="112"/>
      <c r="O965" s="112"/>
      <c r="P965" s="112"/>
      <c r="Q965" s="112"/>
      <c r="R965" s="112"/>
      <c r="S965" s="112"/>
      <c r="T965" s="112"/>
      <c r="U965" s="107"/>
      <c r="V965" s="107"/>
      <c r="W965" s="107"/>
      <c r="X965" s="107"/>
      <c r="Y965" s="107"/>
      <c r="Z965" s="112"/>
      <c r="AA965" s="112"/>
      <c r="AB965" s="112"/>
      <c r="AC965" s="112"/>
      <c r="AD965" s="112"/>
      <c r="AE965" s="112"/>
      <c r="AF965" s="112"/>
      <c r="AG965" s="117"/>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c r="BK965" s="124"/>
      <c r="BL965" s="124"/>
      <c r="BM965" s="124"/>
      <c r="BN965" s="124"/>
      <c r="BO965" s="124"/>
      <c r="BP965" s="124"/>
      <c r="BQ965" s="124"/>
      <c r="BR965" s="124"/>
      <c r="BS965" s="124"/>
      <c r="BT965" s="124"/>
      <c r="BU965" s="124"/>
      <c r="BV965" s="124"/>
      <c r="BW965" s="124"/>
      <c r="BX965" s="124"/>
      <c r="BY965" s="124"/>
      <c r="BZ965" s="124"/>
      <c r="CA965" s="124"/>
    </row>
    <row r="966">
      <c r="D966" s="143"/>
      <c r="E966" s="112"/>
      <c r="F966" s="112"/>
      <c r="G966" s="112"/>
      <c r="H966" s="112"/>
      <c r="I966" s="112"/>
      <c r="J966" s="112"/>
      <c r="K966" s="112"/>
      <c r="L966" s="112"/>
      <c r="M966" s="112"/>
      <c r="N966" s="112"/>
      <c r="O966" s="112"/>
      <c r="P966" s="112"/>
      <c r="Q966" s="112"/>
      <c r="R966" s="112"/>
      <c r="S966" s="112"/>
      <c r="T966" s="112"/>
      <c r="U966" s="107"/>
      <c r="V966" s="107"/>
      <c r="W966" s="107"/>
      <c r="X966" s="107"/>
      <c r="Y966" s="107"/>
      <c r="Z966" s="112"/>
      <c r="AA966" s="112"/>
      <c r="AB966" s="112"/>
      <c r="AC966" s="112"/>
      <c r="AD966" s="112"/>
      <c r="AE966" s="112"/>
      <c r="AF966" s="112"/>
      <c r="AG966" s="117"/>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c r="BK966" s="124"/>
      <c r="BL966" s="124"/>
      <c r="BM966" s="124"/>
      <c r="BN966" s="124"/>
      <c r="BO966" s="124"/>
      <c r="BP966" s="124"/>
      <c r="BQ966" s="124"/>
      <c r="BR966" s="124"/>
      <c r="BS966" s="124"/>
      <c r="BT966" s="124"/>
      <c r="BU966" s="124"/>
      <c r="BV966" s="124"/>
      <c r="BW966" s="124"/>
      <c r="BX966" s="124"/>
      <c r="BY966" s="124"/>
      <c r="BZ966" s="124"/>
      <c r="CA966" s="124"/>
    </row>
    <row r="967">
      <c r="D967" s="143"/>
      <c r="E967" s="112"/>
      <c r="F967" s="112"/>
      <c r="G967" s="112"/>
      <c r="H967" s="112"/>
      <c r="I967" s="112"/>
      <c r="J967" s="112"/>
      <c r="K967" s="112"/>
      <c r="L967" s="112"/>
      <c r="M967" s="112"/>
      <c r="N967" s="112"/>
      <c r="O967" s="112"/>
      <c r="P967" s="112"/>
      <c r="Q967" s="112"/>
      <c r="R967" s="112"/>
      <c r="S967" s="112"/>
      <c r="T967" s="112"/>
      <c r="U967" s="107"/>
      <c r="V967" s="107"/>
      <c r="W967" s="107"/>
      <c r="X967" s="107"/>
      <c r="Y967" s="107"/>
      <c r="Z967" s="112"/>
      <c r="AA967" s="112"/>
      <c r="AB967" s="112"/>
      <c r="AC967" s="112"/>
      <c r="AD967" s="112"/>
      <c r="AE967" s="112"/>
      <c r="AF967" s="112"/>
      <c r="AG967" s="117"/>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c r="BK967" s="124"/>
      <c r="BL967" s="124"/>
      <c r="BM967" s="124"/>
      <c r="BN967" s="124"/>
      <c r="BO967" s="124"/>
      <c r="BP967" s="124"/>
      <c r="BQ967" s="124"/>
      <c r="BR967" s="124"/>
      <c r="BS967" s="124"/>
      <c r="BT967" s="124"/>
      <c r="BU967" s="124"/>
      <c r="BV967" s="124"/>
      <c r="BW967" s="124"/>
      <c r="BX967" s="124"/>
      <c r="BY967" s="124"/>
      <c r="BZ967" s="124"/>
      <c r="CA967" s="124"/>
    </row>
    <row r="968">
      <c r="D968" s="143"/>
      <c r="E968" s="112"/>
      <c r="F968" s="112"/>
      <c r="G968" s="112"/>
      <c r="H968" s="112"/>
      <c r="I968" s="112"/>
      <c r="J968" s="112"/>
      <c r="K968" s="112"/>
      <c r="L968" s="112"/>
      <c r="M968" s="112"/>
      <c r="N968" s="112"/>
      <c r="O968" s="112"/>
      <c r="P968" s="112"/>
      <c r="Q968" s="112"/>
      <c r="R968" s="112"/>
      <c r="S968" s="112"/>
      <c r="T968" s="112"/>
      <c r="U968" s="107"/>
      <c r="V968" s="107"/>
      <c r="W968" s="107"/>
      <c r="X968" s="107"/>
      <c r="Y968" s="107"/>
      <c r="Z968" s="112"/>
      <c r="AA968" s="112"/>
      <c r="AB968" s="112"/>
      <c r="AC968" s="112"/>
      <c r="AD968" s="112"/>
      <c r="AE968" s="112"/>
      <c r="AF968" s="112"/>
      <c r="AG968" s="117"/>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c r="BK968" s="124"/>
      <c r="BL968" s="124"/>
      <c r="BM968" s="124"/>
      <c r="BN968" s="124"/>
      <c r="BO968" s="124"/>
      <c r="BP968" s="124"/>
      <c r="BQ968" s="124"/>
      <c r="BR968" s="124"/>
      <c r="BS968" s="124"/>
      <c r="BT968" s="124"/>
      <c r="BU968" s="124"/>
      <c r="BV968" s="124"/>
      <c r="BW968" s="124"/>
      <c r="BX968" s="124"/>
      <c r="BY968" s="124"/>
      <c r="BZ968" s="124"/>
      <c r="CA968" s="124"/>
    </row>
    <row r="969">
      <c r="D969" s="143"/>
      <c r="E969" s="112"/>
      <c r="F969" s="112"/>
      <c r="G969" s="112"/>
      <c r="H969" s="112"/>
      <c r="I969" s="112"/>
      <c r="J969" s="112"/>
      <c r="K969" s="112"/>
      <c r="L969" s="112"/>
      <c r="M969" s="112"/>
      <c r="N969" s="112"/>
      <c r="O969" s="112"/>
      <c r="P969" s="112"/>
      <c r="Q969" s="112"/>
      <c r="R969" s="112"/>
      <c r="S969" s="112"/>
      <c r="T969" s="112"/>
      <c r="U969" s="107"/>
      <c r="V969" s="107"/>
      <c r="W969" s="107"/>
      <c r="X969" s="107"/>
      <c r="Y969" s="107"/>
      <c r="Z969" s="112"/>
      <c r="AA969" s="112"/>
      <c r="AB969" s="112"/>
      <c r="AC969" s="112"/>
      <c r="AD969" s="112"/>
      <c r="AE969" s="112"/>
      <c r="AF969" s="112"/>
      <c r="AG969" s="117"/>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c r="BK969" s="124"/>
      <c r="BL969" s="124"/>
      <c r="BM969" s="124"/>
      <c r="BN969" s="124"/>
      <c r="BO969" s="124"/>
      <c r="BP969" s="124"/>
      <c r="BQ969" s="124"/>
      <c r="BR969" s="124"/>
      <c r="BS969" s="124"/>
      <c r="BT969" s="124"/>
      <c r="BU969" s="124"/>
      <c r="BV969" s="124"/>
      <c r="BW969" s="124"/>
      <c r="BX969" s="124"/>
      <c r="BY969" s="124"/>
      <c r="BZ969" s="124"/>
      <c r="CA969" s="124"/>
    </row>
    <row r="970">
      <c r="D970" s="143"/>
      <c r="E970" s="112"/>
      <c r="F970" s="112"/>
      <c r="G970" s="112"/>
      <c r="H970" s="112"/>
      <c r="I970" s="112"/>
      <c r="J970" s="112"/>
      <c r="K970" s="112"/>
      <c r="L970" s="112"/>
      <c r="M970" s="112"/>
      <c r="N970" s="112"/>
      <c r="O970" s="112"/>
      <c r="P970" s="112"/>
      <c r="Q970" s="112"/>
      <c r="R970" s="112"/>
      <c r="S970" s="112"/>
      <c r="T970" s="112"/>
      <c r="U970" s="107"/>
      <c r="V970" s="107"/>
      <c r="W970" s="107"/>
      <c r="X970" s="107"/>
      <c r="Y970" s="107"/>
      <c r="Z970" s="112"/>
      <c r="AA970" s="112"/>
      <c r="AB970" s="112"/>
      <c r="AC970" s="112"/>
      <c r="AD970" s="112"/>
      <c r="AE970" s="112"/>
      <c r="AF970" s="112"/>
      <c r="AG970" s="117"/>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c r="BK970" s="124"/>
      <c r="BL970" s="124"/>
      <c r="BM970" s="124"/>
      <c r="BN970" s="124"/>
      <c r="BO970" s="124"/>
      <c r="BP970" s="124"/>
      <c r="BQ970" s="124"/>
      <c r="BR970" s="124"/>
      <c r="BS970" s="124"/>
      <c r="BT970" s="124"/>
      <c r="BU970" s="124"/>
      <c r="BV970" s="124"/>
      <c r="BW970" s="124"/>
      <c r="BX970" s="124"/>
      <c r="BY970" s="124"/>
      <c r="BZ970" s="124"/>
      <c r="CA970" s="124"/>
    </row>
    <row r="971">
      <c r="D971" s="143"/>
      <c r="E971" s="112"/>
      <c r="F971" s="112"/>
      <c r="G971" s="112"/>
      <c r="H971" s="112"/>
      <c r="I971" s="112"/>
      <c r="J971" s="112"/>
      <c r="K971" s="112"/>
      <c r="L971" s="112"/>
      <c r="M971" s="112"/>
      <c r="N971" s="112"/>
      <c r="O971" s="112"/>
      <c r="P971" s="112"/>
      <c r="Q971" s="112"/>
      <c r="R971" s="112"/>
      <c r="S971" s="112"/>
      <c r="T971" s="112"/>
      <c r="U971" s="107"/>
      <c r="V971" s="107"/>
      <c r="W971" s="107"/>
      <c r="X971" s="107"/>
      <c r="Y971" s="107"/>
      <c r="Z971" s="112"/>
      <c r="AA971" s="112"/>
      <c r="AB971" s="112"/>
      <c r="AC971" s="112"/>
      <c r="AD971" s="112"/>
      <c r="AE971" s="112"/>
      <c r="AF971" s="112"/>
      <c r="AG971" s="117"/>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c r="BK971" s="124"/>
      <c r="BL971" s="124"/>
      <c r="BM971" s="124"/>
      <c r="BN971" s="124"/>
      <c r="BO971" s="124"/>
      <c r="BP971" s="124"/>
      <c r="BQ971" s="124"/>
      <c r="BR971" s="124"/>
      <c r="BS971" s="124"/>
      <c r="BT971" s="124"/>
      <c r="BU971" s="124"/>
      <c r="BV971" s="124"/>
      <c r="BW971" s="124"/>
      <c r="BX971" s="124"/>
      <c r="BY971" s="124"/>
      <c r="BZ971" s="124"/>
      <c r="CA971" s="124"/>
    </row>
    <row r="972">
      <c r="D972" s="143"/>
      <c r="E972" s="112"/>
      <c r="F972" s="112"/>
      <c r="G972" s="112"/>
      <c r="H972" s="112"/>
      <c r="I972" s="112"/>
      <c r="J972" s="112"/>
      <c r="K972" s="112"/>
      <c r="L972" s="112"/>
      <c r="M972" s="112"/>
      <c r="N972" s="112"/>
      <c r="O972" s="112"/>
      <c r="P972" s="112"/>
      <c r="Q972" s="112"/>
      <c r="R972" s="112"/>
      <c r="S972" s="112"/>
      <c r="T972" s="112"/>
      <c r="U972" s="107"/>
      <c r="V972" s="107"/>
      <c r="W972" s="107"/>
      <c r="X972" s="107"/>
      <c r="Y972" s="107"/>
      <c r="Z972" s="112"/>
      <c r="AA972" s="112"/>
      <c r="AB972" s="112"/>
      <c r="AC972" s="112"/>
      <c r="AD972" s="112"/>
      <c r="AE972" s="112"/>
      <c r="AF972" s="112"/>
      <c r="AG972" s="117"/>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c r="BK972" s="124"/>
      <c r="BL972" s="124"/>
      <c r="BM972" s="124"/>
      <c r="BN972" s="124"/>
      <c r="BO972" s="124"/>
      <c r="BP972" s="124"/>
      <c r="BQ972" s="124"/>
      <c r="BR972" s="124"/>
      <c r="BS972" s="124"/>
      <c r="BT972" s="124"/>
      <c r="BU972" s="124"/>
      <c r="BV972" s="124"/>
      <c r="BW972" s="124"/>
      <c r="BX972" s="124"/>
      <c r="BY972" s="124"/>
      <c r="BZ972" s="124"/>
      <c r="CA972" s="124"/>
    </row>
    <row r="973">
      <c r="D973" s="143"/>
      <c r="E973" s="112"/>
      <c r="F973" s="112"/>
      <c r="G973" s="112"/>
      <c r="H973" s="112"/>
      <c r="I973" s="112"/>
      <c r="J973" s="112"/>
      <c r="K973" s="112"/>
      <c r="L973" s="112"/>
      <c r="M973" s="112"/>
      <c r="N973" s="112"/>
      <c r="O973" s="112"/>
      <c r="P973" s="112"/>
      <c r="Q973" s="112"/>
      <c r="R973" s="112"/>
      <c r="S973" s="112"/>
      <c r="T973" s="112"/>
      <c r="U973" s="107"/>
      <c r="V973" s="107"/>
      <c r="W973" s="107"/>
      <c r="X973" s="107"/>
      <c r="Y973" s="107"/>
      <c r="Z973" s="112"/>
      <c r="AA973" s="112"/>
      <c r="AB973" s="112"/>
      <c r="AC973" s="112"/>
      <c r="AD973" s="112"/>
      <c r="AE973" s="112"/>
      <c r="AF973" s="112"/>
      <c r="AG973" s="117"/>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c r="BK973" s="124"/>
      <c r="BL973" s="124"/>
      <c r="BM973" s="124"/>
      <c r="BN973" s="124"/>
      <c r="BO973" s="124"/>
      <c r="BP973" s="124"/>
      <c r="BQ973" s="124"/>
      <c r="BR973" s="124"/>
      <c r="BS973" s="124"/>
      <c r="BT973" s="124"/>
      <c r="BU973" s="124"/>
      <c r="BV973" s="124"/>
      <c r="BW973" s="124"/>
      <c r="BX973" s="124"/>
      <c r="BY973" s="124"/>
      <c r="BZ973" s="124"/>
      <c r="CA973" s="124"/>
    </row>
    <row r="974">
      <c r="D974" s="143"/>
      <c r="E974" s="112"/>
      <c r="F974" s="112"/>
      <c r="G974" s="112"/>
      <c r="H974" s="112"/>
      <c r="I974" s="112"/>
      <c r="J974" s="112"/>
      <c r="K974" s="112"/>
      <c r="L974" s="112"/>
      <c r="M974" s="112"/>
      <c r="N974" s="112"/>
      <c r="O974" s="112"/>
      <c r="P974" s="112"/>
      <c r="Q974" s="112"/>
      <c r="R974" s="112"/>
      <c r="S974" s="112"/>
      <c r="T974" s="112"/>
      <c r="U974" s="107"/>
      <c r="V974" s="107"/>
      <c r="W974" s="107"/>
      <c r="X974" s="107"/>
      <c r="Y974" s="107"/>
      <c r="Z974" s="112"/>
      <c r="AA974" s="112"/>
      <c r="AB974" s="112"/>
      <c r="AC974" s="112"/>
      <c r="AD974" s="112"/>
      <c r="AE974" s="112"/>
      <c r="AF974" s="112"/>
      <c r="AG974" s="117"/>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c r="BK974" s="124"/>
      <c r="BL974" s="124"/>
      <c r="BM974" s="124"/>
      <c r="BN974" s="124"/>
      <c r="BO974" s="124"/>
      <c r="BP974" s="124"/>
      <c r="BQ974" s="124"/>
      <c r="BR974" s="124"/>
      <c r="BS974" s="124"/>
      <c r="BT974" s="124"/>
      <c r="BU974" s="124"/>
      <c r="BV974" s="124"/>
      <c r="BW974" s="124"/>
      <c r="BX974" s="124"/>
      <c r="BY974" s="124"/>
      <c r="BZ974" s="124"/>
      <c r="CA974" s="124"/>
    </row>
    <row r="975">
      <c r="D975" s="143"/>
      <c r="E975" s="112"/>
      <c r="F975" s="112"/>
      <c r="G975" s="112"/>
      <c r="H975" s="112"/>
      <c r="I975" s="112"/>
      <c r="J975" s="112"/>
      <c r="K975" s="112"/>
      <c r="L975" s="112"/>
      <c r="M975" s="112"/>
      <c r="N975" s="112"/>
      <c r="O975" s="112"/>
      <c r="P975" s="112"/>
      <c r="Q975" s="112"/>
      <c r="R975" s="112"/>
      <c r="S975" s="112"/>
      <c r="T975" s="112"/>
      <c r="U975" s="107"/>
      <c r="V975" s="107"/>
      <c r="W975" s="107"/>
      <c r="X975" s="107"/>
      <c r="Y975" s="107"/>
      <c r="Z975" s="112"/>
      <c r="AA975" s="112"/>
      <c r="AB975" s="112"/>
      <c r="AC975" s="112"/>
      <c r="AD975" s="112"/>
      <c r="AE975" s="112"/>
      <c r="AF975" s="112"/>
      <c r="AG975" s="117"/>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c r="BK975" s="124"/>
      <c r="BL975" s="124"/>
      <c r="BM975" s="124"/>
      <c r="BN975" s="124"/>
      <c r="BO975" s="124"/>
      <c r="BP975" s="124"/>
      <c r="BQ975" s="124"/>
      <c r="BR975" s="124"/>
      <c r="BS975" s="124"/>
      <c r="BT975" s="124"/>
      <c r="BU975" s="124"/>
      <c r="BV975" s="124"/>
      <c r="BW975" s="124"/>
      <c r="BX975" s="124"/>
      <c r="BY975" s="124"/>
      <c r="BZ975" s="124"/>
      <c r="CA975" s="124"/>
    </row>
    <row r="976">
      <c r="D976" s="143"/>
      <c r="E976" s="112"/>
      <c r="F976" s="112"/>
      <c r="G976" s="112"/>
      <c r="H976" s="112"/>
      <c r="I976" s="112"/>
      <c r="J976" s="112"/>
      <c r="K976" s="112"/>
      <c r="L976" s="112"/>
      <c r="M976" s="112"/>
      <c r="N976" s="112"/>
      <c r="O976" s="112"/>
      <c r="P976" s="112"/>
      <c r="Q976" s="112"/>
      <c r="R976" s="112"/>
      <c r="S976" s="112"/>
      <c r="T976" s="112"/>
      <c r="U976" s="107"/>
      <c r="V976" s="107"/>
      <c r="W976" s="107"/>
      <c r="X976" s="107"/>
      <c r="Y976" s="107"/>
      <c r="Z976" s="112"/>
      <c r="AA976" s="112"/>
      <c r="AB976" s="112"/>
      <c r="AC976" s="112"/>
      <c r="AD976" s="112"/>
      <c r="AE976" s="112"/>
      <c r="AF976" s="112"/>
      <c r="AG976" s="117"/>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c r="BK976" s="124"/>
      <c r="BL976" s="124"/>
      <c r="BM976" s="124"/>
      <c r="BN976" s="124"/>
      <c r="BO976" s="124"/>
      <c r="BP976" s="124"/>
      <c r="BQ976" s="124"/>
      <c r="BR976" s="124"/>
      <c r="BS976" s="124"/>
      <c r="BT976" s="124"/>
      <c r="BU976" s="124"/>
      <c r="BV976" s="124"/>
      <c r="BW976" s="124"/>
      <c r="BX976" s="124"/>
      <c r="BY976" s="124"/>
      <c r="BZ976" s="124"/>
      <c r="CA976" s="124"/>
    </row>
    <row r="977">
      <c r="D977" s="143"/>
      <c r="E977" s="112"/>
      <c r="F977" s="112"/>
      <c r="G977" s="112"/>
      <c r="H977" s="112"/>
      <c r="I977" s="112"/>
      <c r="J977" s="112"/>
      <c r="K977" s="112"/>
      <c r="L977" s="112"/>
      <c r="M977" s="112"/>
      <c r="N977" s="112"/>
      <c r="O977" s="112"/>
      <c r="P977" s="112"/>
      <c r="Q977" s="112"/>
      <c r="R977" s="112"/>
      <c r="S977" s="112"/>
      <c r="T977" s="112"/>
      <c r="U977" s="107"/>
      <c r="V977" s="107"/>
      <c r="W977" s="107"/>
      <c r="X977" s="107"/>
      <c r="Y977" s="107"/>
      <c r="Z977" s="112"/>
      <c r="AA977" s="112"/>
      <c r="AB977" s="112"/>
      <c r="AC977" s="112"/>
      <c r="AD977" s="112"/>
      <c r="AE977" s="112"/>
      <c r="AF977" s="112"/>
      <c r="AG977" s="117"/>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c r="BK977" s="124"/>
      <c r="BL977" s="124"/>
      <c r="BM977" s="124"/>
      <c r="BN977" s="124"/>
      <c r="BO977" s="124"/>
      <c r="BP977" s="124"/>
      <c r="BQ977" s="124"/>
      <c r="BR977" s="124"/>
      <c r="BS977" s="124"/>
      <c r="BT977" s="124"/>
      <c r="BU977" s="124"/>
      <c r="BV977" s="124"/>
      <c r="BW977" s="124"/>
      <c r="BX977" s="124"/>
      <c r="BY977" s="124"/>
      <c r="BZ977" s="124"/>
      <c r="CA977" s="124"/>
    </row>
    <row r="978">
      <c r="D978" s="143"/>
      <c r="E978" s="112"/>
      <c r="F978" s="112"/>
      <c r="G978" s="112"/>
      <c r="H978" s="112"/>
      <c r="I978" s="112"/>
      <c r="J978" s="112"/>
      <c r="K978" s="112"/>
      <c r="L978" s="112"/>
      <c r="M978" s="112"/>
      <c r="N978" s="112"/>
      <c r="O978" s="112"/>
      <c r="P978" s="112"/>
      <c r="Q978" s="112"/>
      <c r="R978" s="112"/>
      <c r="S978" s="112"/>
      <c r="T978" s="112"/>
      <c r="U978" s="107"/>
      <c r="V978" s="107"/>
      <c r="W978" s="107"/>
      <c r="X978" s="107"/>
      <c r="Y978" s="107"/>
      <c r="Z978" s="112"/>
      <c r="AA978" s="112"/>
      <c r="AB978" s="112"/>
      <c r="AC978" s="112"/>
      <c r="AD978" s="112"/>
      <c r="AE978" s="112"/>
      <c r="AF978" s="112"/>
      <c r="AG978" s="117"/>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c r="BK978" s="124"/>
      <c r="BL978" s="124"/>
      <c r="BM978" s="124"/>
      <c r="BN978" s="124"/>
      <c r="BO978" s="124"/>
      <c r="BP978" s="124"/>
      <c r="BQ978" s="124"/>
      <c r="BR978" s="124"/>
      <c r="BS978" s="124"/>
      <c r="BT978" s="124"/>
      <c r="BU978" s="124"/>
      <c r="BV978" s="124"/>
      <c r="BW978" s="124"/>
      <c r="BX978" s="124"/>
      <c r="BY978" s="124"/>
      <c r="BZ978" s="124"/>
      <c r="CA978" s="124"/>
    </row>
    <row r="979">
      <c r="D979" s="143"/>
      <c r="E979" s="112"/>
      <c r="F979" s="112"/>
      <c r="G979" s="112"/>
      <c r="H979" s="112"/>
      <c r="I979" s="112"/>
      <c r="J979" s="112"/>
      <c r="K979" s="112"/>
      <c r="L979" s="112"/>
      <c r="M979" s="112"/>
      <c r="N979" s="112"/>
      <c r="O979" s="112"/>
      <c r="P979" s="112"/>
      <c r="Q979" s="112"/>
      <c r="R979" s="112"/>
      <c r="S979" s="112"/>
      <c r="T979" s="112"/>
      <c r="U979" s="107"/>
      <c r="V979" s="107"/>
      <c r="W979" s="107"/>
      <c r="X979" s="107"/>
      <c r="Y979" s="107"/>
      <c r="Z979" s="112"/>
      <c r="AA979" s="112"/>
      <c r="AB979" s="112"/>
      <c r="AC979" s="112"/>
      <c r="AD979" s="112"/>
      <c r="AE979" s="112"/>
      <c r="AF979" s="112"/>
      <c r="AG979" s="117"/>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c r="BK979" s="124"/>
      <c r="BL979" s="124"/>
      <c r="BM979" s="124"/>
      <c r="BN979" s="124"/>
      <c r="BO979" s="124"/>
      <c r="BP979" s="124"/>
      <c r="BQ979" s="124"/>
      <c r="BR979" s="124"/>
      <c r="BS979" s="124"/>
      <c r="BT979" s="124"/>
      <c r="BU979" s="124"/>
      <c r="BV979" s="124"/>
      <c r="BW979" s="124"/>
      <c r="BX979" s="124"/>
      <c r="BY979" s="124"/>
      <c r="BZ979" s="124"/>
      <c r="CA979" s="124"/>
    </row>
    <row r="980">
      <c r="D980" s="143"/>
      <c r="E980" s="112"/>
      <c r="F980" s="112"/>
      <c r="G980" s="112"/>
      <c r="H980" s="112"/>
      <c r="I980" s="112"/>
      <c r="J980" s="112"/>
      <c r="K980" s="112"/>
      <c r="L980" s="112"/>
      <c r="M980" s="112"/>
      <c r="N980" s="112"/>
      <c r="O980" s="112"/>
      <c r="P980" s="112"/>
      <c r="Q980" s="112"/>
      <c r="R980" s="112"/>
      <c r="S980" s="112"/>
      <c r="T980" s="112"/>
      <c r="U980" s="107"/>
      <c r="V980" s="107"/>
      <c r="W980" s="107"/>
      <c r="X980" s="107"/>
      <c r="Y980" s="107"/>
      <c r="Z980" s="112"/>
      <c r="AA980" s="112"/>
      <c r="AB980" s="112"/>
      <c r="AC980" s="112"/>
      <c r="AD980" s="112"/>
      <c r="AE980" s="112"/>
      <c r="AF980" s="112"/>
      <c r="AG980" s="117"/>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c r="BK980" s="124"/>
      <c r="BL980" s="124"/>
      <c r="BM980" s="124"/>
      <c r="BN980" s="124"/>
      <c r="BO980" s="124"/>
      <c r="BP980" s="124"/>
      <c r="BQ980" s="124"/>
      <c r="BR980" s="124"/>
      <c r="BS980" s="124"/>
      <c r="BT980" s="124"/>
      <c r="BU980" s="124"/>
      <c r="BV980" s="124"/>
      <c r="BW980" s="124"/>
      <c r="BX980" s="124"/>
      <c r="BY980" s="124"/>
      <c r="BZ980" s="124"/>
      <c r="CA980" s="124"/>
    </row>
    <row r="981">
      <c r="D981" s="143"/>
      <c r="E981" s="112"/>
      <c r="F981" s="112"/>
      <c r="G981" s="112"/>
      <c r="H981" s="112"/>
      <c r="I981" s="112"/>
      <c r="J981" s="112"/>
      <c r="K981" s="112"/>
      <c r="L981" s="112"/>
      <c r="M981" s="112"/>
      <c r="N981" s="112"/>
      <c r="O981" s="112"/>
      <c r="P981" s="112"/>
      <c r="Q981" s="112"/>
      <c r="R981" s="112"/>
      <c r="S981" s="112"/>
      <c r="T981" s="112"/>
      <c r="U981" s="107"/>
      <c r="V981" s="107"/>
      <c r="W981" s="107"/>
      <c r="X981" s="107"/>
      <c r="Y981" s="107"/>
      <c r="Z981" s="112"/>
      <c r="AA981" s="112"/>
      <c r="AB981" s="112"/>
      <c r="AC981" s="112"/>
      <c r="AD981" s="112"/>
      <c r="AE981" s="112"/>
      <c r="AF981" s="112"/>
      <c r="AG981" s="117"/>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c r="BK981" s="124"/>
      <c r="BL981" s="124"/>
      <c r="BM981" s="124"/>
      <c r="BN981" s="124"/>
      <c r="BO981" s="124"/>
      <c r="BP981" s="124"/>
      <c r="BQ981" s="124"/>
      <c r="BR981" s="124"/>
      <c r="BS981" s="124"/>
      <c r="BT981" s="124"/>
      <c r="BU981" s="124"/>
      <c r="BV981" s="124"/>
      <c r="BW981" s="124"/>
      <c r="BX981" s="124"/>
      <c r="BY981" s="124"/>
      <c r="BZ981" s="124"/>
      <c r="CA981" s="124"/>
    </row>
    <row r="982">
      <c r="D982" s="143"/>
      <c r="E982" s="112"/>
      <c r="F982" s="112"/>
      <c r="G982" s="112"/>
      <c r="H982" s="112"/>
      <c r="I982" s="112"/>
      <c r="J982" s="112"/>
      <c r="K982" s="112"/>
      <c r="L982" s="112"/>
      <c r="M982" s="112"/>
      <c r="N982" s="112"/>
      <c r="O982" s="112"/>
      <c r="P982" s="112"/>
      <c r="Q982" s="112"/>
      <c r="R982" s="112"/>
      <c r="S982" s="112"/>
      <c r="T982" s="112"/>
      <c r="U982" s="107"/>
      <c r="V982" s="107"/>
      <c r="W982" s="107"/>
      <c r="X982" s="107"/>
      <c r="Y982" s="107"/>
      <c r="Z982" s="112"/>
      <c r="AA982" s="112"/>
      <c r="AB982" s="112"/>
      <c r="AC982" s="112"/>
      <c r="AD982" s="112"/>
      <c r="AE982" s="112"/>
      <c r="AF982" s="112"/>
      <c r="AG982" s="117"/>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c r="BK982" s="124"/>
      <c r="BL982" s="124"/>
      <c r="BM982" s="124"/>
      <c r="BN982" s="124"/>
      <c r="BO982" s="124"/>
      <c r="BP982" s="124"/>
      <c r="BQ982" s="124"/>
      <c r="BR982" s="124"/>
      <c r="BS982" s="124"/>
      <c r="BT982" s="124"/>
      <c r="BU982" s="124"/>
      <c r="BV982" s="124"/>
      <c r="BW982" s="124"/>
      <c r="BX982" s="124"/>
      <c r="BY982" s="124"/>
      <c r="BZ982" s="124"/>
      <c r="CA982" s="124"/>
    </row>
    <row r="983">
      <c r="D983" s="143"/>
      <c r="E983" s="112"/>
      <c r="F983" s="112"/>
      <c r="G983" s="112"/>
      <c r="H983" s="112"/>
      <c r="I983" s="112"/>
      <c r="J983" s="112"/>
      <c r="K983" s="112"/>
      <c r="L983" s="112"/>
      <c r="M983" s="112"/>
      <c r="N983" s="112"/>
      <c r="O983" s="112"/>
      <c r="P983" s="112"/>
      <c r="Q983" s="112"/>
      <c r="R983" s="112"/>
      <c r="S983" s="112"/>
      <c r="T983" s="112"/>
      <c r="U983" s="107"/>
      <c r="V983" s="107"/>
      <c r="W983" s="107"/>
      <c r="X983" s="107"/>
      <c r="Y983" s="107"/>
      <c r="Z983" s="112"/>
      <c r="AA983" s="112"/>
      <c r="AB983" s="112"/>
      <c r="AC983" s="112"/>
      <c r="AD983" s="112"/>
      <c r="AE983" s="112"/>
      <c r="AF983" s="112"/>
      <c r="AG983" s="117"/>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c r="BK983" s="124"/>
      <c r="BL983" s="124"/>
      <c r="BM983" s="124"/>
      <c r="BN983" s="124"/>
      <c r="BO983" s="124"/>
      <c r="BP983" s="124"/>
      <c r="BQ983" s="124"/>
      <c r="BR983" s="124"/>
      <c r="BS983" s="124"/>
      <c r="BT983" s="124"/>
      <c r="BU983" s="124"/>
      <c r="BV983" s="124"/>
      <c r="BW983" s="124"/>
      <c r="BX983" s="124"/>
      <c r="BY983" s="124"/>
      <c r="BZ983" s="124"/>
      <c r="CA983" s="124"/>
    </row>
    <row r="984">
      <c r="D984" s="143"/>
      <c r="E984" s="112"/>
      <c r="F984" s="112"/>
      <c r="G984" s="112"/>
      <c r="H984" s="112"/>
      <c r="I984" s="112"/>
      <c r="J984" s="112"/>
      <c r="K984" s="112"/>
      <c r="L984" s="112"/>
      <c r="M984" s="112"/>
      <c r="N984" s="112"/>
      <c r="O984" s="112"/>
      <c r="P984" s="112"/>
      <c r="Q984" s="112"/>
      <c r="R984" s="112"/>
      <c r="S984" s="112"/>
      <c r="T984" s="112"/>
      <c r="U984" s="107"/>
      <c r="V984" s="107"/>
      <c r="W984" s="107"/>
      <c r="X984" s="107"/>
      <c r="Y984" s="107"/>
      <c r="Z984" s="112"/>
      <c r="AA984" s="112"/>
      <c r="AB984" s="112"/>
      <c r="AC984" s="112"/>
      <c r="AD984" s="112"/>
      <c r="AE984" s="112"/>
      <c r="AF984" s="112"/>
      <c r="AG984" s="117"/>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c r="BK984" s="124"/>
      <c r="BL984" s="124"/>
      <c r="BM984" s="124"/>
      <c r="BN984" s="124"/>
      <c r="BO984" s="124"/>
      <c r="BP984" s="124"/>
      <c r="BQ984" s="124"/>
      <c r="BR984" s="124"/>
      <c r="BS984" s="124"/>
      <c r="BT984" s="124"/>
      <c r="BU984" s="124"/>
      <c r="BV984" s="124"/>
      <c r="BW984" s="124"/>
      <c r="BX984" s="124"/>
      <c r="BY984" s="124"/>
      <c r="BZ984" s="124"/>
      <c r="CA984" s="124"/>
    </row>
    <row r="985">
      <c r="D985" s="143"/>
      <c r="E985" s="112"/>
      <c r="F985" s="112"/>
      <c r="G985" s="112"/>
      <c r="H985" s="112"/>
      <c r="I985" s="112"/>
      <c r="J985" s="112"/>
      <c r="K985" s="112"/>
      <c r="L985" s="112"/>
      <c r="M985" s="112"/>
      <c r="N985" s="112"/>
      <c r="O985" s="112"/>
      <c r="P985" s="112"/>
      <c r="Q985" s="112"/>
      <c r="R985" s="112"/>
      <c r="S985" s="112"/>
      <c r="T985" s="112"/>
      <c r="U985" s="107"/>
      <c r="V985" s="107"/>
      <c r="W985" s="107"/>
      <c r="X985" s="107"/>
      <c r="Y985" s="107"/>
      <c r="Z985" s="112"/>
      <c r="AA985" s="112"/>
      <c r="AB985" s="112"/>
      <c r="AC985" s="112"/>
      <c r="AD985" s="112"/>
      <c r="AE985" s="112"/>
      <c r="AF985" s="112"/>
      <c r="AG985" s="117"/>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c r="BK985" s="124"/>
      <c r="BL985" s="124"/>
      <c r="BM985" s="124"/>
      <c r="BN985" s="124"/>
      <c r="BO985" s="124"/>
      <c r="BP985" s="124"/>
      <c r="BQ985" s="124"/>
      <c r="BR985" s="124"/>
      <c r="BS985" s="124"/>
      <c r="BT985" s="124"/>
      <c r="BU985" s="124"/>
      <c r="BV985" s="124"/>
      <c r="BW985" s="124"/>
      <c r="BX985" s="124"/>
      <c r="BY985" s="124"/>
      <c r="BZ985" s="124"/>
      <c r="CA985" s="124"/>
    </row>
    <row r="986">
      <c r="D986" s="143"/>
      <c r="E986" s="112"/>
      <c r="F986" s="112"/>
      <c r="G986" s="112"/>
      <c r="H986" s="112"/>
      <c r="I986" s="112"/>
      <c r="J986" s="112"/>
      <c r="K986" s="112"/>
      <c r="L986" s="112"/>
      <c r="M986" s="112"/>
      <c r="N986" s="112"/>
      <c r="O986" s="112"/>
      <c r="P986" s="112"/>
      <c r="Q986" s="112"/>
      <c r="R986" s="112"/>
      <c r="S986" s="112"/>
      <c r="T986" s="112"/>
      <c r="U986" s="107"/>
      <c r="V986" s="107"/>
      <c r="W986" s="107"/>
      <c r="X986" s="107"/>
      <c r="Y986" s="107"/>
      <c r="Z986" s="112"/>
      <c r="AA986" s="112"/>
      <c r="AB986" s="112"/>
      <c r="AC986" s="112"/>
      <c r="AD986" s="112"/>
      <c r="AE986" s="112"/>
      <c r="AF986" s="112"/>
      <c r="AG986" s="117"/>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c r="BK986" s="124"/>
      <c r="BL986" s="124"/>
      <c r="BM986" s="124"/>
      <c r="BN986" s="124"/>
      <c r="BO986" s="124"/>
      <c r="BP986" s="124"/>
      <c r="BQ986" s="124"/>
      <c r="BR986" s="124"/>
      <c r="BS986" s="124"/>
      <c r="BT986" s="124"/>
      <c r="BU986" s="124"/>
      <c r="BV986" s="124"/>
      <c r="BW986" s="124"/>
      <c r="BX986" s="124"/>
      <c r="BY986" s="124"/>
      <c r="BZ986" s="124"/>
      <c r="CA986" s="124"/>
    </row>
    <row r="987">
      <c r="D987" s="143"/>
      <c r="E987" s="112"/>
      <c r="F987" s="112"/>
      <c r="G987" s="112"/>
      <c r="H987" s="112"/>
      <c r="I987" s="112"/>
      <c r="J987" s="112"/>
      <c r="K987" s="112"/>
      <c r="L987" s="112"/>
      <c r="M987" s="112"/>
      <c r="N987" s="112"/>
      <c r="O987" s="112"/>
      <c r="P987" s="112"/>
      <c r="Q987" s="112"/>
      <c r="R987" s="112"/>
      <c r="S987" s="112"/>
      <c r="T987" s="112"/>
      <c r="U987" s="107"/>
      <c r="V987" s="107"/>
      <c r="W987" s="107"/>
      <c r="X987" s="107"/>
      <c r="Y987" s="107"/>
      <c r="Z987" s="112"/>
      <c r="AA987" s="112"/>
      <c r="AB987" s="112"/>
      <c r="AC987" s="112"/>
      <c r="AD987" s="112"/>
      <c r="AE987" s="112"/>
      <c r="AF987" s="112"/>
      <c r="AG987" s="117"/>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c r="BK987" s="124"/>
      <c r="BL987" s="124"/>
      <c r="BM987" s="124"/>
      <c r="BN987" s="124"/>
      <c r="BO987" s="124"/>
      <c r="BP987" s="124"/>
      <c r="BQ987" s="124"/>
      <c r="BR987" s="124"/>
      <c r="BS987" s="124"/>
      <c r="BT987" s="124"/>
      <c r="BU987" s="124"/>
      <c r="BV987" s="124"/>
      <c r="BW987" s="124"/>
      <c r="BX987" s="124"/>
      <c r="BY987" s="124"/>
      <c r="BZ987" s="124"/>
      <c r="CA987" s="124"/>
    </row>
    <row r="988">
      <c r="D988" s="143"/>
      <c r="E988" s="112"/>
      <c r="F988" s="112"/>
      <c r="G988" s="112"/>
      <c r="H988" s="112"/>
      <c r="I988" s="112"/>
      <c r="J988" s="112"/>
      <c r="K988" s="112"/>
      <c r="L988" s="112"/>
      <c r="M988" s="112"/>
      <c r="N988" s="112"/>
      <c r="O988" s="112"/>
      <c r="P988" s="112"/>
      <c r="Q988" s="112"/>
      <c r="R988" s="112"/>
      <c r="S988" s="112"/>
      <c r="T988" s="112"/>
      <c r="U988" s="107"/>
      <c r="V988" s="107"/>
      <c r="W988" s="107"/>
      <c r="X988" s="107"/>
      <c r="Y988" s="107"/>
      <c r="Z988" s="112"/>
      <c r="AA988" s="112"/>
      <c r="AB988" s="112"/>
      <c r="AC988" s="112"/>
      <c r="AD988" s="112"/>
      <c r="AE988" s="112"/>
      <c r="AF988" s="112"/>
      <c r="AG988" s="117"/>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c r="BK988" s="124"/>
      <c r="BL988" s="124"/>
      <c r="BM988" s="124"/>
      <c r="BN988" s="124"/>
      <c r="BO988" s="124"/>
      <c r="BP988" s="124"/>
      <c r="BQ988" s="124"/>
      <c r="BR988" s="124"/>
      <c r="BS988" s="124"/>
      <c r="BT988" s="124"/>
      <c r="BU988" s="124"/>
      <c r="BV988" s="124"/>
      <c r="BW988" s="124"/>
      <c r="BX988" s="124"/>
      <c r="BY988" s="124"/>
      <c r="BZ988" s="124"/>
      <c r="CA988" s="124"/>
    </row>
    <row r="989">
      <c r="D989" s="143"/>
      <c r="E989" s="112"/>
      <c r="F989" s="112"/>
      <c r="G989" s="112"/>
      <c r="H989" s="112"/>
      <c r="I989" s="112"/>
      <c r="J989" s="112"/>
      <c r="K989" s="112"/>
      <c r="L989" s="112"/>
      <c r="M989" s="112"/>
      <c r="N989" s="112"/>
      <c r="O989" s="112"/>
      <c r="P989" s="112"/>
      <c r="Q989" s="112"/>
      <c r="R989" s="112"/>
      <c r="S989" s="112"/>
      <c r="T989" s="112"/>
      <c r="U989" s="107"/>
      <c r="V989" s="107"/>
      <c r="W989" s="107"/>
      <c r="X989" s="107"/>
      <c r="Y989" s="107"/>
      <c r="Z989" s="112"/>
      <c r="AA989" s="112"/>
      <c r="AB989" s="112"/>
      <c r="AC989" s="112"/>
      <c r="AD989" s="112"/>
      <c r="AE989" s="112"/>
      <c r="AF989" s="112"/>
      <c r="AG989" s="117"/>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c r="BK989" s="124"/>
      <c r="BL989" s="124"/>
      <c r="BM989" s="124"/>
      <c r="BN989" s="124"/>
      <c r="BO989" s="124"/>
      <c r="BP989" s="124"/>
      <c r="BQ989" s="124"/>
      <c r="BR989" s="124"/>
      <c r="BS989" s="124"/>
      <c r="BT989" s="124"/>
      <c r="BU989" s="124"/>
      <c r="BV989" s="124"/>
      <c r="BW989" s="124"/>
      <c r="BX989" s="124"/>
      <c r="BY989" s="124"/>
      <c r="BZ989" s="124"/>
      <c r="CA989" s="124"/>
    </row>
    <row r="990">
      <c r="D990" s="143"/>
      <c r="E990" s="112"/>
      <c r="F990" s="112"/>
      <c r="G990" s="112"/>
      <c r="H990" s="112"/>
      <c r="I990" s="112"/>
      <c r="J990" s="112"/>
      <c r="K990" s="112"/>
      <c r="L990" s="112"/>
      <c r="M990" s="112"/>
      <c r="N990" s="112"/>
      <c r="O990" s="112"/>
      <c r="P990" s="112"/>
      <c r="Q990" s="112"/>
      <c r="R990" s="112"/>
      <c r="S990" s="112"/>
      <c r="T990" s="112"/>
      <c r="U990" s="107"/>
      <c r="V990" s="107"/>
      <c r="W990" s="107"/>
      <c r="X990" s="107"/>
      <c r="Y990" s="107"/>
      <c r="Z990" s="112"/>
      <c r="AA990" s="112"/>
      <c r="AB990" s="112"/>
      <c r="AC990" s="112"/>
      <c r="AD990" s="112"/>
      <c r="AE990" s="112"/>
      <c r="AF990" s="112"/>
      <c r="AG990" s="117"/>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c r="BK990" s="124"/>
      <c r="BL990" s="124"/>
      <c r="BM990" s="124"/>
      <c r="BN990" s="124"/>
      <c r="BO990" s="124"/>
      <c r="BP990" s="124"/>
      <c r="BQ990" s="124"/>
      <c r="BR990" s="124"/>
      <c r="BS990" s="124"/>
      <c r="BT990" s="124"/>
      <c r="BU990" s="124"/>
      <c r="BV990" s="124"/>
      <c r="BW990" s="124"/>
      <c r="BX990" s="124"/>
      <c r="BY990" s="124"/>
      <c r="BZ990" s="124"/>
      <c r="CA990" s="124"/>
    </row>
    <row r="991">
      <c r="D991" s="143"/>
      <c r="E991" s="112"/>
      <c r="F991" s="112"/>
      <c r="G991" s="112"/>
      <c r="H991" s="112"/>
      <c r="I991" s="112"/>
      <c r="J991" s="112"/>
      <c r="K991" s="112"/>
      <c r="L991" s="112"/>
      <c r="M991" s="112"/>
      <c r="N991" s="112"/>
      <c r="O991" s="112"/>
      <c r="P991" s="112"/>
      <c r="Q991" s="112"/>
      <c r="R991" s="112"/>
      <c r="S991" s="112"/>
      <c r="T991" s="112"/>
      <c r="U991" s="107"/>
      <c r="V991" s="107"/>
      <c r="W991" s="107"/>
      <c r="X991" s="107"/>
      <c r="Y991" s="107"/>
      <c r="Z991" s="112"/>
      <c r="AA991" s="112"/>
      <c r="AB991" s="112"/>
      <c r="AC991" s="112"/>
      <c r="AD991" s="112"/>
      <c r="AE991" s="112"/>
      <c r="AF991" s="112"/>
      <c r="AG991" s="117"/>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c r="BK991" s="124"/>
      <c r="BL991" s="124"/>
      <c r="BM991" s="124"/>
      <c r="BN991" s="124"/>
      <c r="BO991" s="124"/>
      <c r="BP991" s="124"/>
      <c r="BQ991" s="124"/>
      <c r="BR991" s="124"/>
      <c r="BS991" s="124"/>
      <c r="BT991" s="124"/>
      <c r="BU991" s="124"/>
      <c r="BV991" s="124"/>
      <c r="BW991" s="124"/>
      <c r="BX991" s="124"/>
      <c r="BY991" s="124"/>
      <c r="BZ991" s="124"/>
      <c r="CA991" s="124"/>
    </row>
    <row r="992">
      <c r="D992" s="143"/>
      <c r="E992" s="112"/>
      <c r="F992" s="112"/>
      <c r="G992" s="112"/>
      <c r="H992" s="112"/>
      <c r="I992" s="112"/>
      <c r="J992" s="112"/>
      <c r="K992" s="112"/>
      <c r="L992" s="112"/>
      <c r="M992" s="112"/>
      <c r="N992" s="112"/>
      <c r="O992" s="112"/>
      <c r="P992" s="112"/>
      <c r="Q992" s="112"/>
      <c r="R992" s="112"/>
      <c r="S992" s="112"/>
      <c r="T992" s="112"/>
      <c r="U992" s="107"/>
      <c r="V992" s="107"/>
      <c r="W992" s="107"/>
      <c r="X992" s="107"/>
      <c r="Y992" s="107"/>
      <c r="Z992" s="112"/>
      <c r="AA992" s="112"/>
      <c r="AB992" s="112"/>
      <c r="AC992" s="112"/>
      <c r="AD992" s="112"/>
      <c r="AE992" s="112"/>
      <c r="AF992" s="112"/>
      <c r="AG992" s="117"/>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c r="BK992" s="124"/>
      <c r="BL992" s="124"/>
      <c r="BM992" s="124"/>
      <c r="BN992" s="124"/>
      <c r="BO992" s="124"/>
      <c r="BP992" s="124"/>
      <c r="BQ992" s="124"/>
      <c r="BR992" s="124"/>
      <c r="BS992" s="124"/>
      <c r="BT992" s="124"/>
      <c r="BU992" s="124"/>
      <c r="BV992" s="124"/>
      <c r="BW992" s="124"/>
      <c r="BX992" s="124"/>
      <c r="BY992" s="124"/>
      <c r="BZ992" s="124"/>
      <c r="CA992" s="124"/>
    </row>
    <row r="993">
      <c r="D993" s="143"/>
      <c r="E993" s="112"/>
      <c r="F993" s="112"/>
      <c r="G993" s="112"/>
      <c r="H993" s="112"/>
      <c r="I993" s="112"/>
      <c r="J993" s="112"/>
      <c r="K993" s="112"/>
      <c r="L993" s="112"/>
      <c r="M993" s="112"/>
      <c r="N993" s="112"/>
      <c r="O993" s="112"/>
      <c r="P993" s="112"/>
      <c r="Q993" s="112"/>
      <c r="R993" s="112"/>
      <c r="S993" s="112"/>
      <c r="T993" s="112"/>
      <c r="U993" s="107"/>
      <c r="V993" s="107"/>
      <c r="W993" s="107"/>
      <c r="X993" s="107"/>
      <c r="Y993" s="107"/>
      <c r="Z993" s="112"/>
      <c r="AA993" s="112"/>
      <c r="AB993" s="112"/>
      <c r="AC993" s="112"/>
      <c r="AD993" s="112"/>
      <c r="AE993" s="112"/>
      <c r="AF993" s="112"/>
      <c r="AG993" s="117"/>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c r="BK993" s="124"/>
      <c r="BL993" s="124"/>
      <c r="BM993" s="124"/>
      <c r="BN993" s="124"/>
      <c r="BO993" s="124"/>
      <c r="BP993" s="124"/>
      <c r="BQ993" s="124"/>
      <c r="BR993" s="124"/>
      <c r="BS993" s="124"/>
      <c r="BT993" s="124"/>
      <c r="BU993" s="124"/>
      <c r="BV993" s="124"/>
      <c r="BW993" s="124"/>
      <c r="BX993" s="124"/>
      <c r="BY993" s="124"/>
      <c r="BZ993" s="124"/>
      <c r="CA993" s="124"/>
    </row>
    <row r="994">
      <c r="D994" s="143"/>
      <c r="E994" s="112"/>
      <c r="F994" s="112"/>
      <c r="G994" s="112"/>
      <c r="H994" s="112"/>
      <c r="I994" s="112"/>
      <c r="J994" s="112"/>
      <c r="K994" s="112"/>
      <c r="L994" s="112"/>
      <c r="M994" s="112"/>
      <c r="N994" s="112"/>
      <c r="O994" s="112"/>
      <c r="P994" s="112"/>
      <c r="Q994" s="112"/>
      <c r="R994" s="112"/>
      <c r="S994" s="112"/>
      <c r="T994" s="112"/>
      <c r="U994" s="107"/>
      <c r="V994" s="107"/>
      <c r="W994" s="107"/>
      <c r="X994" s="107"/>
      <c r="Y994" s="107"/>
      <c r="Z994" s="112"/>
      <c r="AA994" s="112"/>
      <c r="AB994" s="112"/>
      <c r="AC994" s="112"/>
      <c r="AD994" s="112"/>
      <c r="AE994" s="112"/>
      <c r="AF994" s="112"/>
      <c r="AG994" s="117"/>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c r="BK994" s="124"/>
      <c r="BL994" s="124"/>
      <c r="BM994" s="124"/>
      <c r="BN994" s="124"/>
      <c r="BO994" s="124"/>
      <c r="BP994" s="124"/>
      <c r="BQ994" s="124"/>
      <c r="BR994" s="124"/>
      <c r="BS994" s="124"/>
      <c r="BT994" s="124"/>
      <c r="BU994" s="124"/>
      <c r="BV994" s="124"/>
      <c r="BW994" s="124"/>
      <c r="BX994" s="124"/>
      <c r="BY994" s="124"/>
      <c r="BZ994" s="124"/>
      <c r="CA994" s="124"/>
    </row>
    <row r="995">
      <c r="D995" s="143"/>
      <c r="E995" s="112"/>
      <c r="F995" s="112"/>
      <c r="G995" s="112"/>
      <c r="H995" s="112"/>
      <c r="I995" s="112"/>
      <c r="J995" s="112"/>
      <c r="K995" s="112"/>
      <c r="L995" s="112"/>
      <c r="M995" s="112"/>
      <c r="N995" s="112"/>
      <c r="O995" s="112"/>
      <c r="P995" s="112"/>
      <c r="Q995" s="112"/>
      <c r="R995" s="112"/>
      <c r="S995" s="112"/>
      <c r="T995" s="112"/>
      <c r="U995" s="107"/>
      <c r="V995" s="107"/>
      <c r="W995" s="107"/>
      <c r="X995" s="107"/>
      <c r="Y995" s="107"/>
      <c r="Z995" s="112"/>
      <c r="AA995" s="112"/>
      <c r="AB995" s="112"/>
      <c r="AC995" s="112"/>
      <c r="AD995" s="112"/>
      <c r="AE995" s="112"/>
      <c r="AF995" s="112"/>
      <c r="AG995" s="117"/>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c r="BK995" s="124"/>
      <c r="BL995" s="124"/>
      <c r="BM995" s="124"/>
      <c r="BN995" s="124"/>
      <c r="BO995" s="124"/>
      <c r="BP995" s="124"/>
      <c r="BQ995" s="124"/>
      <c r="BR995" s="124"/>
      <c r="BS995" s="124"/>
      <c r="BT995" s="124"/>
      <c r="BU995" s="124"/>
      <c r="BV995" s="124"/>
      <c r="BW995" s="124"/>
      <c r="BX995" s="124"/>
      <c r="BY995" s="124"/>
      <c r="BZ995" s="124"/>
      <c r="CA995" s="124"/>
    </row>
    <row r="996">
      <c r="D996" s="143"/>
      <c r="E996" s="112"/>
      <c r="F996" s="112"/>
      <c r="G996" s="112"/>
      <c r="H996" s="112"/>
      <c r="I996" s="112"/>
      <c r="J996" s="112"/>
      <c r="K996" s="112"/>
      <c r="L996" s="112"/>
      <c r="M996" s="112"/>
      <c r="N996" s="112"/>
      <c r="O996" s="112"/>
      <c r="P996" s="112"/>
      <c r="Q996" s="112"/>
      <c r="R996" s="112"/>
      <c r="S996" s="112"/>
      <c r="T996" s="112"/>
      <c r="U996" s="107"/>
      <c r="V996" s="107"/>
      <c r="W996" s="107"/>
      <c r="X996" s="107"/>
      <c r="Y996" s="107"/>
      <c r="Z996" s="112"/>
      <c r="AA996" s="112"/>
      <c r="AB996" s="112"/>
      <c r="AC996" s="112"/>
      <c r="AD996" s="112"/>
      <c r="AE996" s="112"/>
      <c r="AF996" s="112"/>
      <c r="AG996" s="117"/>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c r="BK996" s="124"/>
      <c r="BL996" s="124"/>
      <c r="BM996" s="124"/>
      <c r="BN996" s="124"/>
      <c r="BO996" s="124"/>
      <c r="BP996" s="124"/>
      <c r="BQ996" s="124"/>
      <c r="BR996" s="124"/>
      <c r="BS996" s="124"/>
      <c r="BT996" s="124"/>
      <c r="BU996" s="124"/>
      <c r="BV996" s="124"/>
      <c r="BW996" s="124"/>
      <c r="BX996" s="124"/>
      <c r="BY996" s="124"/>
      <c r="BZ996" s="124"/>
      <c r="CA996" s="124"/>
    </row>
    <row r="997">
      <c r="D997" s="143"/>
      <c r="E997" s="112"/>
      <c r="F997" s="112"/>
      <c r="G997" s="112"/>
      <c r="H997" s="112"/>
      <c r="I997" s="112"/>
      <c r="J997" s="112"/>
      <c r="K997" s="112"/>
      <c r="L997" s="112"/>
      <c r="M997" s="112"/>
      <c r="N997" s="112"/>
      <c r="O997" s="112"/>
      <c r="P997" s="112"/>
      <c r="Q997" s="112"/>
      <c r="R997" s="112"/>
      <c r="S997" s="112"/>
      <c r="T997" s="112"/>
      <c r="U997" s="107"/>
      <c r="V997" s="107"/>
      <c r="W997" s="107"/>
      <c r="X997" s="107"/>
      <c r="Y997" s="107"/>
      <c r="Z997" s="112"/>
      <c r="AA997" s="112"/>
      <c r="AB997" s="112"/>
      <c r="AC997" s="112"/>
      <c r="AD997" s="112"/>
      <c r="AE997" s="112"/>
      <c r="AF997" s="112"/>
      <c r="AG997" s="117"/>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c r="BK997" s="124"/>
      <c r="BL997" s="124"/>
      <c r="BM997" s="124"/>
      <c r="BN997" s="124"/>
      <c r="BO997" s="124"/>
      <c r="BP997" s="124"/>
      <c r="BQ997" s="124"/>
      <c r="BR997" s="124"/>
      <c r="BS997" s="124"/>
      <c r="BT997" s="124"/>
      <c r="BU997" s="124"/>
      <c r="BV997" s="124"/>
      <c r="BW997" s="124"/>
      <c r="BX997" s="124"/>
      <c r="BY997" s="124"/>
      <c r="BZ997" s="124"/>
      <c r="CA997" s="124"/>
    </row>
    <row r="998">
      <c r="D998" s="143"/>
      <c r="E998" s="112"/>
      <c r="F998" s="112"/>
      <c r="G998" s="112"/>
      <c r="H998" s="112"/>
      <c r="I998" s="112"/>
      <c r="J998" s="112"/>
      <c r="K998" s="112"/>
      <c r="L998" s="112"/>
      <c r="M998" s="112"/>
      <c r="N998" s="112"/>
      <c r="O998" s="112"/>
      <c r="P998" s="112"/>
      <c r="Q998" s="112"/>
      <c r="R998" s="112"/>
      <c r="S998" s="112"/>
      <c r="T998" s="112"/>
      <c r="U998" s="107"/>
      <c r="V998" s="107"/>
      <c r="W998" s="107"/>
      <c r="X998" s="107"/>
      <c r="Y998" s="107"/>
      <c r="Z998" s="112"/>
      <c r="AA998" s="112"/>
      <c r="AB998" s="112"/>
      <c r="AC998" s="112"/>
      <c r="AD998" s="112"/>
      <c r="AE998" s="112"/>
      <c r="AF998" s="112"/>
      <c r="AG998" s="117"/>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c r="BK998" s="124"/>
      <c r="BL998" s="124"/>
      <c r="BM998" s="124"/>
      <c r="BN998" s="124"/>
      <c r="BO998" s="124"/>
      <c r="BP998" s="124"/>
      <c r="BQ998" s="124"/>
      <c r="BR998" s="124"/>
      <c r="BS998" s="124"/>
      <c r="BT998" s="124"/>
      <c r="BU998" s="124"/>
      <c r="BV998" s="124"/>
      <c r="BW998" s="124"/>
      <c r="BX998" s="124"/>
      <c r="BY998" s="124"/>
      <c r="BZ998" s="124"/>
      <c r="CA998" s="124"/>
    </row>
    <row r="999">
      <c r="D999" s="143"/>
      <c r="E999" s="112"/>
      <c r="F999" s="112"/>
      <c r="G999" s="112"/>
      <c r="H999" s="112"/>
      <c r="I999" s="112"/>
      <c r="J999" s="112"/>
      <c r="K999" s="112"/>
      <c r="L999" s="112"/>
      <c r="M999" s="112"/>
      <c r="N999" s="112"/>
      <c r="O999" s="112"/>
      <c r="P999" s="112"/>
      <c r="Q999" s="112"/>
      <c r="R999" s="112"/>
      <c r="S999" s="112"/>
      <c r="T999" s="112"/>
      <c r="U999" s="107"/>
      <c r="V999" s="107"/>
      <c r="W999" s="107"/>
      <c r="X999" s="107"/>
      <c r="Y999" s="107"/>
      <c r="Z999" s="112"/>
      <c r="AA999" s="112"/>
      <c r="AB999" s="112"/>
      <c r="AC999" s="112"/>
      <c r="AD999" s="112"/>
      <c r="AE999" s="112"/>
      <c r="AF999" s="112"/>
      <c r="AG999" s="117"/>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c r="BK999" s="124"/>
      <c r="BL999" s="124"/>
      <c r="BM999" s="124"/>
      <c r="BN999" s="124"/>
      <c r="BO999" s="124"/>
      <c r="BP999" s="124"/>
      <c r="BQ999" s="124"/>
      <c r="BR999" s="124"/>
      <c r="BS999" s="124"/>
      <c r="BT999" s="124"/>
      <c r="BU999" s="124"/>
      <c r="BV999" s="124"/>
      <c r="BW999" s="124"/>
      <c r="BX999" s="124"/>
      <c r="BY999" s="124"/>
      <c r="BZ999" s="124"/>
      <c r="CA999" s="124"/>
    </row>
    <row r="1000">
      <c r="D1000" s="143"/>
      <c r="E1000" s="112"/>
      <c r="F1000" s="112"/>
      <c r="G1000" s="112"/>
      <c r="H1000" s="112"/>
      <c r="I1000" s="112"/>
      <c r="J1000" s="112"/>
      <c r="K1000" s="112"/>
      <c r="L1000" s="112"/>
      <c r="M1000" s="112"/>
      <c r="N1000" s="112"/>
      <c r="O1000" s="112"/>
      <c r="P1000" s="112"/>
      <c r="Q1000" s="112"/>
      <c r="R1000" s="112"/>
      <c r="S1000" s="112"/>
      <c r="T1000" s="112"/>
      <c r="U1000" s="107"/>
      <c r="V1000" s="107"/>
      <c r="W1000" s="107"/>
      <c r="X1000" s="107"/>
      <c r="Y1000" s="107"/>
      <c r="Z1000" s="112"/>
      <c r="AA1000" s="112"/>
      <c r="AB1000" s="112"/>
      <c r="AC1000" s="112"/>
      <c r="AD1000" s="112"/>
      <c r="AE1000" s="112"/>
      <c r="AF1000" s="112"/>
      <c r="AG1000" s="117"/>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c r="BK1000" s="124"/>
      <c r="BL1000" s="124"/>
      <c r="BM1000" s="124"/>
      <c r="BN1000" s="124"/>
      <c r="BO1000" s="124"/>
      <c r="BP1000" s="124"/>
      <c r="BQ1000" s="124"/>
      <c r="BR1000" s="124"/>
      <c r="BS1000" s="124"/>
      <c r="BT1000" s="124"/>
      <c r="BU1000" s="124"/>
      <c r="BV1000" s="124"/>
      <c r="BW1000" s="124"/>
      <c r="BX1000" s="124"/>
      <c r="BY1000" s="124"/>
      <c r="BZ1000" s="124"/>
      <c r="CA1000" s="124"/>
    </row>
    <row r="1001">
      <c r="D1001" s="143"/>
      <c r="E1001" s="112"/>
      <c r="F1001" s="112"/>
      <c r="G1001" s="112"/>
      <c r="H1001" s="112"/>
      <c r="I1001" s="112"/>
      <c r="J1001" s="112"/>
      <c r="K1001" s="112"/>
      <c r="L1001" s="112"/>
      <c r="M1001" s="112"/>
      <c r="N1001" s="112"/>
      <c r="O1001" s="112"/>
      <c r="P1001" s="112"/>
      <c r="Q1001" s="112"/>
      <c r="R1001" s="112"/>
      <c r="S1001" s="112"/>
      <c r="T1001" s="112"/>
      <c r="U1001" s="107"/>
      <c r="V1001" s="107"/>
      <c r="W1001" s="107"/>
      <c r="X1001" s="107"/>
      <c r="Y1001" s="107"/>
      <c r="Z1001" s="112"/>
      <c r="AA1001" s="112"/>
      <c r="AB1001" s="112"/>
      <c r="AC1001" s="112"/>
      <c r="AD1001" s="112"/>
      <c r="AE1001" s="112"/>
      <c r="AF1001" s="112"/>
      <c r="AG1001" s="117"/>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c r="BK1001" s="124"/>
      <c r="BL1001" s="124"/>
      <c r="BM1001" s="124"/>
      <c r="BN1001" s="124"/>
      <c r="BO1001" s="124"/>
      <c r="BP1001" s="124"/>
      <c r="BQ1001" s="124"/>
      <c r="BR1001" s="124"/>
      <c r="BS1001" s="124"/>
      <c r="BT1001" s="124"/>
      <c r="BU1001" s="124"/>
      <c r="BV1001" s="124"/>
      <c r="BW1001" s="124"/>
      <c r="BX1001" s="124"/>
      <c r="BY1001" s="124"/>
      <c r="BZ1001" s="124"/>
      <c r="CA1001" s="124"/>
    </row>
    <row r="1002">
      <c r="D1002" s="143"/>
      <c r="E1002" s="112"/>
      <c r="F1002" s="112"/>
      <c r="G1002" s="112"/>
      <c r="H1002" s="112"/>
      <c r="I1002" s="112"/>
      <c r="J1002" s="112"/>
      <c r="K1002" s="112"/>
      <c r="L1002" s="112"/>
      <c r="M1002" s="112"/>
      <c r="N1002" s="112"/>
      <c r="O1002" s="112"/>
      <c r="P1002" s="112"/>
      <c r="Q1002" s="112"/>
      <c r="R1002" s="112"/>
      <c r="S1002" s="112"/>
      <c r="T1002" s="112"/>
      <c r="U1002" s="107"/>
      <c r="V1002" s="107"/>
      <c r="W1002" s="107"/>
      <c r="X1002" s="107"/>
      <c r="Y1002" s="107"/>
      <c r="Z1002" s="112"/>
      <c r="AA1002" s="112"/>
      <c r="AB1002" s="112"/>
      <c r="AC1002" s="112"/>
      <c r="AD1002" s="112"/>
      <c r="AE1002" s="112"/>
      <c r="AF1002" s="112"/>
      <c r="AG1002" s="117"/>
      <c r="AH1002" s="117"/>
      <c r="AI1002" s="117"/>
      <c r="AJ1002" s="117"/>
      <c r="AK1002" s="117"/>
      <c r="AL1002" s="117"/>
      <c r="AM1002" s="117"/>
      <c r="AN1002" s="117"/>
      <c r="AO1002" s="117"/>
      <c r="AP1002" s="117"/>
      <c r="AQ1002" s="117"/>
      <c r="AR1002" s="117"/>
      <c r="AS1002" s="117"/>
      <c r="AT1002" s="117"/>
      <c r="AU1002" s="117"/>
      <c r="AV1002" s="117"/>
      <c r="AW1002" s="117"/>
      <c r="AX1002" s="117"/>
      <c r="AY1002" s="117"/>
      <c r="AZ1002" s="117"/>
      <c r="BA1002" s="117"/>
      <c r="BB1002" s="117"/>
      <c r="BC1002" s="117"/>
      <c r="BD1002" s="117"/>
      <c r="BE1002" s="117"/>
      <c r="BF1002" s="117"/>
      <c r="BG1002" s="117"/>
      <c r="BH1002" s="117"/>
      <c r="BI1002" s="117"/>
      <c r="BJ1002" s="117"/>
      <c r="BK1002" s="117"/>
      <c r="BL1002" s="117"/>
      <c r="BM1002" s="117"/>
      <c r="BN1002" s="117"/>
      <c r="BO1002" s="117"/>
      <c r="BP1002" s="117"/>
      <c r="BQ1002" s="117"/>
      <c r="BR1002" s="117"/>
      <c r="BS1002" s="117"/>
      <c r="BT1002" s="117"/>
      <c r="BU1002" s="117"/>
      <c r="BV1002" s="117"/>
      <c r="BW1002" s="117"/>
      <c r="BX1002" s="117"/>
      <c r="BY1002" s="117"/>
      <c r="BZ1002" s="117"/>
      <c r="CA1002" s="117"/>
    </row>
  </sheetData>
  <mergeCells count="17">
    <mergeCell ref="A1:B1"/>
    <mergeCell ref="C1:D1"/>
    <mergeCell ref="F1:T1"/>
    <mergeCell ref="V1:Y1"/>
    <mergeCell ref="Z1:AA1"/>
    <mergeCell ref="AB1:AF1"/>
    <mergeCell ref="AH1:AH2"/>
    <mergeCell ref="BN1:BP1"/>
    <mergeCell ref="BR1:BV1"/>
    <mergeCell ref="BW1:CA1"/>
    <mergeCell ref="AI1:AL1"/>
    <mergeCell ref="AM1:AP1"/>
    <mergeCell ref="AQ1:AS1"/>
    <mergeCell ref="AT1:BB1"/>
    <mergeCell ref="BD1:BF1"/>
    <mergeCell ref="BG1:BH1"/>
    <mergeCell ref="BI1:BM1"/>
  </mergeCell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7.43"/>
    <col customWidth="1" min="2" max="2" width="52.14"/>
    <col customWidth="1" min="3" max="3" width="29.0"/>
    <col customWidth="1" min="4" max="4" width="7.86"/>
    <col customWidth="1" min="5" max="5" width="9.43"/>
    <col customWidth="1" min="6" max="20" width="7.57"/>
    <col customWidth="1" min="21" max="23" width="22.71"/>
    <col customWidth="1" min="24" max="25" width="33.29"/>
    <col customWidth="1" min="26" max="26" width="3.86"/>
    <col customWidth="1" min="27" max="27" width="4.43"/>
    <col customWidth="1" min="28" max="28" width="5.57"/>
    <col customWidth="1" min="29" max="29" width="4.43"/>
    <col customWidth="1" min="30" max="30" width="4.86"/>
    <col customWidth="1" min="31" max="31" width="5.71"/>
    <col customWidth="1" min="32" max="32" width="5.14"/>
    <col customWidth="1" min="33" max="33" width="43.14"/>
    <col customWidth="1" min="34" max="35" width="4.0"/>
    <col customWidth="1" min="36" max="37" width="4.29"/>
    <col customWidth="1" min="38" max="68" width="4.43"/>
    <col customWidth="1" min="69" max="69" width="2.0"/>
    <col customWidth="1" min="70" max="79" width="4.43"/>
  </cols>
  <sheetData>
    <row r="1">
      <c r="A1" s="144" t="s">
        <v>0</v>
      </c>
      <c r="C1" s="145" t="s">
        <v>1</v>
      </c>
      <c r="E1" s="4"/>
      <c r="F1" s="146" t="s">
        <v>2</v>
      </c>
      <c r="U1" s="23" t="s">
        <v>3</v>
      </c>
      <c r="Z1" s="147" t="s">
        <v>4</v>
      </c>
      <c r="AB1" s="148" t="s">
        <v>5</v>
      </c>
      <c r="AG1" s="149"/>
      <c r="AH1" s="10" t="s">
        <v>6</v>
      </c>
      <c r="AI1" s="11" t="s">
        <v>7</v>
      </c>
      <c r="AM1" s="12" t="s">
        <v>8</v>
      </c>
      <c r="AQ1" s="13" t="s">
        <v>9</v>
      </c>
      <c r="AT1" s="14" t="s">
        <v>10</v>
      </c>
      <c r="BC1" s="15"/>
      <c r="BD1" s="16" t="s">
        <v>11</v>
      </c>
      <c r="BG1" s="17" t="s">
        <v>4348</v>
      </c>
      <c r="BI1" s="18" t="s">
        <v>12</v>
      </c>
      <c r="BN1" s="19" t="s">
        <v>13</v>
      </c>
      <c r="BQ1" s="21"/>
      <c r="BR1" s="22" t="s">
        <v>14</v>
      </c>
      <c r="BW1" s="23" t="s">
        <v>15</v>
      </c>
    </row>
    <row r="2" ht="24.0" customHeight="1">
      <c r="A2" s="25" t="s">
        <v>17</v>
      </c>
      <c r="B2" s="26" t="s">
        <v>18</v>
      </c>
      <c r="C2" s="27" t="s">
        <v>19</v>
      </c>
      <c r="D2" s="28" t="s">
        <v>20</v>
      </c>
      <c r="E2" s="4" t="s">
        <v>21</v>
      </c>
      <c r="F2" s="15" t="s">
        <v>22</v>
      </c>
      <c r="G2" s="15" t="s">
        <v>23</v>
      </c>
      <c r="H2" s="15" t="s">
        <v>24</v>
      </c>
      <c r="I2" s="15" t="s">
        <v>25</v>
      </c>
      <c r="J2" s="15" t="s">
        <v>26</v>
      </c>
      <c r="K2" s="15" t="s">
        <v>27</v>
      </c>
      <c r="L2" s="15" t="s">
        <v>28</v>
      </c>
      <c r="M2" s="15" t="s">
        <v>29</v>
      </c>
      <c r="N2" s="15" t="s">
        <v>30</v>
      </c>
      <c r="O2" s="15" t="s">
        <v>31</v>
      </c>
      <c r="P2" s="15" t="s">
        <v>32</v>
      </c>
      <c r="Q2" s="15" t="s">
        <v>33</v>
      </c>
      <c r="R2" s="15" t="s">
        <v>34</v>
      </c>
      <c r="S2" s="15" t="s">
        <v>35</v>
      </c>
      <c r="T2" s="15" t="s">
        <v>36</v>
      </c>
      <c r="U2" s="150" t="s">
        <v>37</v>
      </c>
      <c r="V2" s="150" t="s">
        <v>38</v>
      </c>
      <c r="W2" s="150" t="s">
        <v>39</v>
      </c>
      <c r="X2" s="150" t="s">
        <v>40</v>
      </c>
      <c r="Y2" s="150" t="s">
        <v>41</v>
      </c>
      <c r="Z2" s="31" t="s">
        <v>42</v>
      </c>
      <c r="AA2" s="31" t="s">
        <v>43</v>
      </c>
      <c r="AB2" s="32" t="s">
        <v>44</v>
      </c>
      <c r="AC2" s="32" t="s">
        <v>45</v>
      </c>
      <c r="AD2" s="32" t="s">
        <v>46</v>
      </c>
      <c r="AE2" s="32" t="s">
        <v>47</v>
      </c>
      <c r="AF2" s="32" t="s">
        <v>48</v>
      </c>
      <c r="AG2" s="9" t="s">
        <v>49</v>
      </c>
      <c r="AI2" s="33" t="s">
        <v>7</v>
      </c>
      <c r="AJ2" s="33" t="s">
        <v>50</v>
      </c>
      <c r="AK2" s="33" t="s">
        <v>51</v>
      </c>
      <c r="AL2" s="33" t="s">
        <v>52</v>
      </c>
      <c r="AM2" s="34" t="s">
        <v>8</v>
      </c>
      <c r="AN2" s="34" t="s">
        <v>53</v>
      </c>
      <c r="AO2" s="34" t="s">
        <v>54</v>
      </c>
      <c r="AP2" s="34" t="s">
        <v>55</v>
      </c>
      <c r="AQ2" s="35" t="s">
        <v>9</v>
      </c>
      <c r="AR2" s="35" t="s">
        <v>56</v>
      </c>
      <c r="AS2" s="35" t="s">
        <v>57</v>
      </c>
      <c r="AT2" s="36" t="s">
        <v>10</v>
      </c>
      <c r="AU2" s="36" t="s">
        <v>58</v>
      </c>
      <c r="AV2" s="36" t="s">
        <v>59</v>
      </c>
      <c r="AW2" s="36" t="s">
        <v>60</v>
      </c>
      <c r="AX2" s="36" t="s">
        <v>61</v>
      </c>
      <c r="AY2" s="36" t="s">
        <v>62</v>
      </c>
      <c r="AZ2" s="36" t="s">
        <v>63</v>
      </c>
      <c r="BA2" s="36" t="s">
        <v>64</v>
      </c>
      <c r="BB2" s="36" t="s">
        <v>65</v>
      </c>
      <c r="BC2" s="37" t="s">
        <v>66</v>
      </c>
      <c r="BD2" s="38" t="s">
        <v>67</v>
      </c>
      <c r="BE2" s="38" t="s">
        <v>68</v>
      </c>
      <c r="BF2" s="38" t="s">
        <v>69</v>
      </c>
      <c r="BG2" s="39" t="s">
        <v>4348</v>
      </c>
      <c r="BH2" s="39" t="s">
        <v>70</v>
      </c>
      <c r="BI2" s="40" t="s">
        <v>71</v>
      </c>
      <c r="BJ2" s="40" t="s">
        <v>72</v>
      </c>
      <c r="BK2" s="40" t="s">
        <v>73</v>
      </c>
      <c r="BL2" s="40" t="s">
        <v>74</v>
      </c>
      <c r="BM2" s="40" t="s">
        <v>75</v>
      </c>
      <c r="BN2" s="41" t="s">
        <v>76</v>
      </c>
      <c r="BO2" s="41" t="s">
        <v>4349</v>
      </c>
      <c r="BP2" s="41" t="s">
        <v>4350</v>
      </c>
      <c r="BQ2" s="43"/>
      <c r="BR2" s="44" t="s">
        <v>78</v>
      </c>
      <c r="BS2" s="44" t="s">
        <v>79</v>
      </c>
      <c r="BT2" s="44" t="s">
        <v>80</v>
      </c>
      <c r="BU2" s="44" t="s">
        <v>81</v>
      </c>
      <c r="BV2" s="44" t="s">
        <v>82</v>
      </c>
      <c r="BW2" s="45" t="s">
        <v>83</v>
      </c>
      <c r="BX2" s="45" t="s">
        <v>84</v>
      </c>
      <c r="BY2" s="45" t="s">
        <v>85</v>
      </c>
      <c r="BZ2" s="45" t="s">
        <v>86</v>
      </c>
      <c r="CA2" s="45" t="s">
        <v>87</v>
      </c>
    </row>
    <row r="3">
      <c r="A3" s="88" t="str">
        <f>HYPERLINK("https://drive.google.com/open?id=0B1GMAYMj9v6rMVpCMmtwNlFRdUU","Thomas2012")</f>
        <v>Thomas2012</v>
      </c>
      <c r="B3" s="161" t="s">
        <v>4573</v>
      </c>
      <c r="C3" s="189" t="s">
        <v>4574</v>
      </c>
      <c r="D3" s="190">
        <v>2012.0</v>
      </c>
      <c r="E3" s="111">
        <v>1.0</v>
      </c>
      <c r="F3" s="111"/>
      <c r="G3" s="111"/>
      <c r="H3" s="112"/>
      <c r="I3" s="112"/>
      <c r="J3" s="112"/>
      <c r="K3" s="112"/>
      <c r="L3" s="112"/>
      <c r="M3" s="112"/>
      <c r="N3" s="111"/>
      <c r="O3" s="112"/>
      <c r="P3" s="112"/>
      <c r="Q3" s="112"/>
      <c r="R3" s="112"/>
      <c r="S3" s="112"/>
      <c r="T3" s="112"/>
      <c r="U3" s="115"/>
      <c r="V3" s="115"/>
      <c r="W3" s="115"/>
      <c r="X3" s="115"/>
      <c r="Y3" s="115"/>
      <c r="Z3" s="111"/>
      <c r="AA3" s="112"/>
      <c r="AB3" s="112"/>
      <c r="AC3" s="111"/>
      <c r="AD3" s="112"/>
      <c r="AE3" s="112"/>
      <c r="AF3" s="112"/>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c r="BS3" s="115"/>
      <c r="BT3" s="115"/>
      <c r="BU3" s="115"/>
      <c r="BV3" s="115"/>
      <c r="BW3" s="115"/>
      <c r="BX3" s="115"/>
      <c r="BY3" s="115"/>
      <c r="BZ3" s="115"/>
      <c r="CA3" s="115"/>
    </row>
    <row r="4">
      <c r="A4" s="88" t="str">
        <f>HYPERLINK("https://drive.google.com/open?id=0B1GMAYMj9v6rSi1OYkZvQWNWaE0","Chotisarn2013")</f>
        <v>Chotisarn2013</v>
      </c>
      <c r="B4" s="161" t="s">
        <v>332</v>
      </c>
      <c r="C4" s="189" t="s">
        <v>333</v>
      </c>
      <c r="D4" s="110">
        <v>2013.0</v>
      </c>
      <c r="E4" s="111"/>
      <c r="F4" s="111">
        <v>1.0</v>
      </c>
      <c r="G4" s="112"/>
      <c r="H4" s="112"/>
      <c r="I4" s="111"/>
      <c r="J4" s="112"/>
      <c r="K4" s="112"/>
      <c r="L4" s="111"/>
      <c r="M4" s="112"/>
      <c r="N4" s="112"/>
      <c r="O4" s="111"/>
      <c r="P4" s="112"/>
      <c r="Q4" s="112"/>
      <c r="R4" s="112"/>
      <c r="S4" s="112"/>
      <c r="T4" s="112"/>
      <c r="U4" s="115" t="s">
        <v>70</v>
      </c>
      <c r="V4" s="115" t="s">
        <v>334</v>
      </c>
      <c r="W4" s="115" t="s">
        <v>335</v>
      </c>
      <c r="X4" s="115" t="s">
        <v>336</v>
      </c>
      <c r="Y4" s="115" t="s">
        <v>100</v>
      </c>
      <c r="Z4" s="112"/>
      <c r="AA4" s="111">
        <v>1.0</v>
      </c>
      <c r="AB4" s="112"/>
      <c r="AC4" s="111">
        <v>1.0</v>
      </c>
      <c r="AD4" s="112"/>
      <c r="AE4" s="112"/>
      <c r="AF4" s="112"/>
      <c r="AG4" s="115" t="s">
        <v>337</v>
      </c>
      <c r="AH4" s="115">
        <v>1.0</v>
      </c>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v>1.0</v>
      </c>
      <c r="BI4" s="115"/>
      <c r="BJ4" s="115"/>
      <c r="BK4" s="115"/>
      <c r="BL4" s="115"/>
      <c r="BM4" s="115"/>
      <c r="BN4" s="115"/>
      <c r="BO4" s="115"/>
      <c r="BP4" s="115"/>
      <c r="BQ4" s="115"/>
      <c r="BR4" s="115"/>
      <c r="BS4" s="115"/>
      <c r="BT4" s="115"/>
      <c r="BU4" s="115"/>
      <c r="BV4" s="115"/>
      <c r="BW4" s="115"/>
      <c r="BX4" s="115"/>
      <c r="BY4" s="115"/>
      <c r="BZ4" s="115">
        <v>1.0</v>
      </c>
      <c r="CA4" s="115"/>
    </row>
    <row r="5">
      <c r="A5" s="180" t="str">
        <f>HYPERLINK("https://drive.google.com/open?id=0B1GMAYMj9v6rbm95cHhBZ1lCTk0","Leite2015")</f>
        <v>Leite2015</v>
      </c>
      <c r="B5" s="161" t="s">
        <v>674</v>
      </c>
      <c r="C5" s="161" t="s">
        <v>675</v>
      </c>
      <c r="D5" s="110">
        <v>2015.0</v>
      </c>
      <c r="E5" s="111"/>
      <c r="F5" s="111"/>
      <c r="G5" s="111"/>
      <c r="H5" s="111">
        <v>1.0</v>
      </c>
      <c r="I5" s="111"/>
      <c r="J5" s="111">
        <v>1.0</v>
      </c>
      <c r="K5" s="111">
        <v>1.0</v>
      </c>
      <c r="L5" s="111"/>
      <c r="M5" s="111">
        <v>1.0</v>
      </c>
      <c r="N5" s="112"/>
      <c r="O5" s="112"/>
      <c r="P5" s="112"/>
      <c r="Q5" s="112"/>
      <c r="R5" s="112"/>
      <c r="S5" s="112"/>
      <c r="T5" s="112"/>
      <c r="U5" s="115"/>
      <c r="V5" s="115" t="s">
        <v>676</v>
      </c>
      <c r="W5" s="115" t="s">
        <v>677</v>
      </c>
      <c r="X5" s="115" t="s">
        <v>678</v>
      </c>
      <c r="Y5" s="115" t="s">
        <v>679</v>
      </c>
      <c r="Z5" s="112"/>
      <c r="AA5" s="111">
        <v>1.0</v>
      </c>
      <c r="AB5" s="112"/>
      <c r="AC5" s="111">
        <v>1.0</v>
      </c>
      <c r="AD5" s="112"/>
      <c r="AE5" s="112"/>
      <c r="AF5" s="112"/>
      <c r="AG5" s="115" t="s">
        <v>680</v>
      </c>
      <c r="AH5" s="115">
        <v>1.0</v>
      </c>
      <c r="AI5" s="115" t="s">
        <v>1240</v>
      </c>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v>1.0</v>
      </c>
      <c r="CA5" s="115"/>
    </row>
    <row r="6">
      <c r="A6" s="88" t="str">
        <f>HYPERLINK("https://drive.google.com/open?id=0B1GMAYMj9v6rRUFVTUlUbjBpMlU","Shull2013")</f>
        <v>Shull2013</v>
      </c>
      <c r="B6" s="161" t="s">
        <v>969</v>
      </c>
      <c r="C6" s="161" t="s">
        <v>560</v>
      </c>
      <c r="D6" s="190">
        <v>2013.0</v>
      </c>
      <c r="E6" s="111"/>
      <c r="F6" s="111">
        <v>1.0</v>
      </c>
      <c r="G6" s="111">
        <v>1.0</v>
      </c>
      <c r="H6" s="111">
        <v>1.0</v>
      </c>
      <c r="I6" s="112"/>
      <c r="J6" s="111"/>
      <c r="K6" s="112"/>
      <c r="L6" s="111"/>
      <c r="M6" s="112"/>
      <c r="N6" s="112"/>
      <c r="O6" s="112"/>
      <c r="P6" s="112"/>
      <c r="Q6" s="111"/>
      <c r="R6" s="112"/>
      <c r="S6" s="112"/>
      <c r="T6" s="111"/>
      <c r="U6" s="115"/>
      <c r="V6" s="115" t="s">
        <v>70</v>
      </c>
      <c r="W6" s="115"/>
      <c r="X6" s="115"/>
      <c r="Y6" s="115"/>
      <c r="Z6" s="111"/>
      <c r="AA6" s="111"/>
      <c r="AB6" s="112"/>
      <c r="AC6" s="111"/>
      <c r="AD6" s="112"/>
      <c r="AE6" s="111"/>
      <c r="AF6" s="111">
        <v>1.0</v>
      </c>
      <c r="AG6" s="115" t="s">
        <v>970</v>
      </c>
      <c r="AH6" s="115">
        <v>1.0</v>
      </c>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v>1.0</v>
      </c>
      <c r="BI6" s="115"/>
      <c r="BJ6" s="115"/>
      <c r="BK6" s="115"/>
      <c r="BL6" s="115"/>
      <c r="BM6" s="115"/>
      <c r="BN6" s="115"/>
      <c r="BO6" s="115"/>
      <c r="BP6" s="115"/>
      <c r="BQ6" s="115"/>
      <c r="BR6" s="115"/>
      <c r="BS6" s="115"/>
      <c r="BT6" s="115"/>
      <c r="BU6" s="115"/>
      <c r="BV6" s="115"/>
      <c r="BW6" s="115"/>
      <c r="BX6" s="115"/>
      <c r="BY6" s="115"/>
      <c r="BZ6" s="115"/>
      <c r="CA6" s="115"/>
    </row>
    <row r="7">
      <c r="A7" s="88" t="str">
        <f>HYPERLINK("https://drive.google.com/open?id=0B1GMAYMj9v6rRTlRblZFRjA1SGs","Kirs2001")</f>
        <v>Kirs2001</v>
      </c>
      <c r="B7" s="161" t="s">
        <v>628</v>
      </c>
      <c r="C7" s="153" t="s">
        <v>629</v>
      </c>
      <c r="D7" s="110">
        <v>2001.0</v>
      </c>
      <c r="E7" s="111"/>
      <c r="F7" s="112"/>
      <c r="G7" s="111">
        <v>1.0</v>
      </c>
      <c r="H7" s="111"/>
      <c r="I7" s="112"/>
      <c r="J7" s="112"/>
      <c r="K7" s="112"/>
      <c r="L7" s="112"/>
      <c r="M7" s="112"/>
      <c r="N7" s="112"/>
      <c r="O7" s="111"/>
      <c r="P7" s="112"/>
      <c r="Q7" s="112"/>
      <c r="R7" s="112"/>
      <c r="S7" s="112"/>
      <c r="T7" s="112"/>
      <c r="U7" s="115"/>
      <c r="V7" s="115" t="s">
        <v>70</v>
      </c>
      <c r="W7" s="115"/>
      <c r="X7" s="115"/>
      <c r="Y7" s="115" t="s">
        <v>630</v>
      </c>
      <c r="Z7" s="112"/>
      <c r="AA7" s="111">
        <v>1.0</v>
      </c>
      <c r="AB7" s="112"/>
      <c r="AC7" s="111"/>
      <c r="AD7" s="112"/>
      <c r="AE7" s="111">
        <v>1.0</v>
      </c>
      <c r="AF7" s="112"/>
      <c r="AG7" s="115" t="s">
        <v>631</v>
      </c>
      <c r="AH7" s="115">
        <v>1.0</v>
      </c>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v>1.0</v>
      </c>
      <c r="BI7" s="115"/>
      <c r="BJ7" s="115"/>
      <c r="BK7" s="115"/>
      <c r="BL7" s="115"/>
      <c r="BM7" s="115"/>
      <c r="BN7" s="115"/>
      <c r="BO7" s="115"/>
      <c r="BP7" s="115"/>
      <c r="BQ7" s="115"/>
      <c r="BR7" s="115"/>
      <c r="BS7" s="115"/>
      <c r="BT7" s="115"/>
      <c r="BU7" s="115"/>
      <c r="BV7" s="115"/>
      <c r="BW7" s="115"/>
      <c r="BX7" s="115"/>
      <c r="BY7" s="115"/>
      <c r="BZ7" s="115"/>
      <c r="CA7" s="115"/>
    </row>
    <row r="8">
      <c r="A8" s="154" t="str">
        <f>HYPERLINK("https://drive.google.com/open?id=0B1GMAYMj9v6rNU9FLS1yWG5lT2c","Boralv1994")</f>
        <v>Boralv1994</v>
      </c>
      <c r="B8" s="161" t="s">
        <v>4575</v>
      </c>
      <c r="C8" s="161" t="s">
        <v>4576</v>
      </c>
      <c r="D8" s="110">
        <v>1994.0</v>
      </c>
      <c r="E8" s="111">
        <v>1.0</v>
      </c>
      <c r="F8" s="112"/>
      <c r="G8" s="112"/>
      <c r="H8" s="111"/>
      <c r="I8" s="112"/>
      <c r="J8" s="111"/>
      <c r="K8" s="112"/>
      <c r="L8" s="112"/>
      <c r="M8" s="112"/>
      <c r="N8" s="112"/>
      <c r="O8" s="112"/>
      <c r="P8" s="112"/>
      <c r="Q8" s="112"/>
      <c r="R8" s="112"/>
      <c r="S8" s="112"/>
      <c r="T8" s="112"/>
      <c r="U8" s="124"/>
      <c r="V8" s="115"/>
      <c r="W8" s="115"/>
      <c r="X8" s="115"/>
      <c r="Y8" s="115"/>
      <c r="Z8" s="111"/>
      <c r="AA8" s="111"/>
      <c r="AB8" s="112"/>
      <c r="AC8" s="111"/>
      <c r="AD8" s="112"/>
      <c r="AE8" s="112"/>
      <c r="AF8" s="112"/>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c r="A9" s="154" t="str">
        <f>HYPERLINK("https://drive.google.com/open?id=0B1GMAYMj9v6reExGYko0NVU3eTQ","Xiao2008")</f>
        <v>Xiao2008</v>
      </c>
      <c r="B9" s="153" t="s">
        <v>4577</v>
      </c>
      <c r="C9" s="161" t="s">
        <v>4578</v>
      </c>
      <c r="D9" s="110">
        <v>2008.0</v>
      </c>
      <c r="E9" s="111">
        <v>1.0</v>
      </c>
      <c r="F9" s="112"/>
      <c r="G9" s="112"/>
      <c r="H9" s="112"/>
      <c r="I9" s="112"/>
      <c r="J9" s="112"/>
      <c r="K9" s="112"/>
      <c r="L9" s="112"/>
      <c r="M9" s="112"/>
      <c r="N9" s="112"/>
      <c r="O9" s="112"/>
      <c r="P9" s="112"/>
      <c r="Q9" s="112"/>
      <c r="R9" s="112"/>
      <c r="S9" s="112"/>
      <c r="T9" s="112"/>
      <c r="U9" s="124"/>
      <c r="V9" s="115"/>
      <c r="W9" s="115"/>
      <c r="X9" s="115"/>
      <c r="Y9" s="115"/>
      <c r="Z9" s="112"/>
      <c r="AA9" s="112"/>
      <c r="AB9" s="112"/>
      <c r="AC9" s="112"/>
      <c r="AD9" s="112"/>
      <c r="AE9" s="111"/>
      <c r="AF9" s="112"/>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row>
    <row r="10">
      <c r="A10" s="154" t="str">
        <f>HYPERLINK("https://drive.google.com/open?id=0B1GMAYMj9v6rMXR6dVNGYW9QTVk","Ley2008")</f>
        <v>Ley2008</v>
      </c>
      <c r="B10" s="153" t="s">
        <v>696</v>
      </c>
      <c r="C10" s="48" t="s">
        <v>697</v>
      </c>
      <c r="D10" s="110">
        <v>2008.0</v>
      </c>
      <c r="E10" s="111"/>
      <c r="F10" s="111">
        <v>1.0</v>
      </c>
      <c r="G10" s="112"/>
      <c r="H10" s="112"/>
      <c r="I10" s="112"/>
      <c r="J10" s="112"/>
      <c r="K10" s="112"/>
      <c r="L10" s="112"/>
      <c r="M10" s="112"/>
      <c r="N10" s="112"/>
      <c r="O10" s="112"/>
      <c r="P10" s="112"/>
      <c r="Q10" s="112"/>
      <c r="R10" s="112"/>
      <c r="S10" s="112"/>
      <c r="T10" s="112"/>
      <c r="U10" s="115" t="s">
        <v>698</v>
      </c>
      <c r="V10" s="191" t="s">
        <v>699</v>
      </c>
      <c r="W10" s="191" t="s">
        <v>700</v>
      </c>
      <c r="X10" s="191" t="s">
        <v>701</v>
      </c>
      <c r="Y10" s="191" t="s">
        <v>702</v>
      </c>
      <c r="Z10" s="112"/>
      <c r="AA10" s="112"/>
      <c r="AB10" s="111">
        <v>1.0</v>
      </c>
      <c r="AC10" s="112"/>
      <c r="AD10" s="112"/>
      <c r="AE10" s="111"/>
      <c r="AF10" s="112"/>
      <c r="AG10" s="115" t="s">
        <v>703</v>
      </c>
      <c r="AH10" s="115">
        <v>1.0</v>
      </c>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15">
        <v>1.0</v>
      </c>
      <c r="BJ10" s="124"/>
      <c r="BK10" s="124"/>
      <c r="BL10" s="124"/>
      <c r="BM10" s="124"/>
      <c r="BN10" s="124"/>
      <c r="BO10" s="124"/>
      <c r="BP10" s="124"/>
      <c r="BQ10" s="124"/>
      <c r="BR10" s="124"/>
      <c r="BS10" s="124"/>
      <c r="BT10" s="115">
        <v>1.0</v>
      </c>
      <c r="BU10" s="124"/>
      <c r="BV10" s="124"/>
      <c r="BW10" s="124"/>
      <c r="BX10" s="124"/>
      <c r="BY10" s="124"/>
      <c r="BZ10" s="124"/>
      <c r="CA10" s="124"/>
    </row>
    <row r="11">
      <c r="A11" s="88" t="str">
        <f>HYPERLINK("https://drive.google.com/open?id=0B1GMAYMj9v6rLTZod2w2VEtxY1U","Berndt2003")</f>
        <v>Berndt2003</v>
      </c>
      <c r="B11" s="161" t="s">
        <v>4579</v>
      </c>
      <c r="C11" s="161" t="s">
        <v>4580</v>
      </c>
      <c r="D11" s="110">
        <v>2003.0</v>
      </c>
      <c r="E11" s="111">
        <v>1.0</v>
      </c>
      <c r="F11" s="112"/>
      <c r="G11" s="112"/>
      <c r="H11" s="111"/>
      <c r="I11" s="112"/>
      <c r="J11" s="112"/>
      <c r="K11" s="112"/>
      <c r="L11" s="112"/>
      <c r="M11" s="112"/>
      <c r="N11" s="112"/>
      <c r="O11" s="112"/>
      <c r="P11" s="112"/>
      <c r="Q11" s="112"/>
      <c r="R11" s="112"/>
      <c r="S11" s="112"/>
      <c r="T11" s="112"/>
      <c r="U11" s="124"/>
      <c r="V11" s="115"/>
      <c r="W11" s="115"/>
      <c r="X11" s="115"/>
      <c r="Y11" s="115"/>
      <c r="Z11" s="111"/>
      <c r="AA11" s="112"/>
      <c r="AB11" s="111"/>
      <c r="AC11" s="111"/>
      <c r="AD11" s="112"/>
      <c r="AE11" s="112"/>
      <c r="AF11" s="112"/>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c r="A12" s="88" t="str">
        <f>HYPERLINK("https://drive.google.com/open?id=0B1GMAYMj9v6rWEhaTFdjaXFrajA","Read2011")</f>
        <v>Read2011</v>
      </c>
      <c r="B12" s="161" t="s">
        <v>881</v>
      </c>
      <c r="C12" s="161" t="s">
        <v>252</v>
      </c>
      <c r="D12" s="110">
        <v>2011.0</v>
      </c>
      <c r="E12" s="112"/>
      <c r="F12" s="111">
        <v>1.0</v>
      </c>
      <c r="G12" s="112"/>
      <c r="H12" s="112"/>
      <c r="I12" s="112"/>
      <c r="J12" s="111"/>
      <c r="K12" s="112"/>
      <c r="L12" s="111">
        <v>1.0</v>
      </c>
      <c r="M12" s="111">
        <v>1.0</v>
      </c>
      <c r="N12" s="112"/>
      <c r="O12" s="112"/>
      <c r="P12" s="111">
        <v>1.0</v>
      </c>
      <c r="Q12" s="112"/>
      <c r="R12" s="112"/>
      <c r="S12" s="112"/>
      <c r="T12" s="112"/>
      <c r="U12" s="115" t="s">
        <v>882</v>
      </c>
      <c r="V12" s="115"/>
      <c r="W12" s="115" t="s">
        <v>883</v>
      </c>
      <c r="X12" s="115" t="s">
        <v>884</v>
      </c>
      <c r="Y12" s="115" t="s">
        <v>885</v>
      </c>
      <c r="Z12" s="111"/>
      <c r="AA12" s="111">
        <v>1.0</v>
      </c>
      <c r="AB12" s="111"/>
      <c r="AC12" s="111">
        <v>1.0</v>
      </c>
      <c r="AD12" s="112"/>
      <c r="AE12" s="112"/>
      <c r="AF12" s="112"/>
      <c r="AG12" s="115" t="s">
        <v>886</v>
      </c>
      <c r="AH12" s="115">
        <v>1.0</v>
      </c>
      <c r="AI12" s="115"/>
      <c r="AJ12" s="115"/>
      <c r="AK12" s="115"/>
      <c r="AL12" s="115"/>
      <c r="AM12" s="115"/>
      <c r="AN12" s="115"/>
      <c r="AO12" s="115"/>
      <c r="AP12" s="115"/>
      <c r="AQ12" s="115">
        <v>1.0</v>
      </c>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v>1.0</v>
      </c>
      <c r="BU12" s="115"/>
      <c r="BV12" s="115"/>
      <c r="BW12" s="115"/>
      <c r="BX12" s="115"/>
      <c r="BY12" s="115"/>
      <c r="BZ12" s="115"/>
      <c r="CA12" s="115"/>
    </row>
    <row r="13">
      <c r="A13" s="180" t="str">
        <f>HYPERLINK("https://drive.google.com/open?id=0B1GMAYMj9v6rdTZxdU9CSElObzA","Piri2012")</f>
        <v>Piri2012</v>
      </c>
      <c r="B13" s="161" t="s">
        <v>864</v>
      </c>
      <c r="C13" s="161" t="s">
        <v>865</v>
      </c>
      <c r="D13" s="110">
        <v>2012.0</v>
      </c>
      <c r="E13" s="111"/>
      <c r="F13" s="112"/>
      <c r="G13" s="112"/>
      <c r="H13" s="111"/>
      <c r="I13" s="112"/>
      <c r="J13" s="112"/>
      <c r="K13" s="112"/>
      <c r="L13" s="111">
        <v>1.0</v>
      </c>
      <c r="M13" s="112"/>
      <c r="N13" s="112"/>
      <c r="O13" s="112"/>
      <c r="P13" s="111">
        <v>1.0</v>
      </c>
      <c r="Q13" s="111">
        <v>1.0</v>
      </c>
      <c r="R13" s="112"/>
      <c r="S13" s="112"/>
      <c r="T13" s="112"/>
      <c r="V13" s="115" t="s">
        <v>745</v>
      </c>
      <c r="W13" s="115" t="s">
        <v>563</v>
      </c>
      <c r="X13" s="115" t="s">
        <v>121</v>
      </c>
      <c r="Y13" s="115" t="s">
        <v>866</v>
      </c>
      <c r="Z13" s="112"/>
      <c r="AA13" s="111">
        <v>1.0</v>
      </c>
      <c r="AB13" s="112"/>
      <c r="AC13" s="111">
        <v>1.0</v>
      </c>
      <c r="AD13" s="112"/>
      <c r="AE13" s="111"/>
      <c r="AF13" s="112"/>
      <c r="AG13" s="115" t="s">
        <v>867</v>
      </c>
      <c r="AH13" s="115">
        <v>1.0</v>
      </c>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v>1.0</v>
      </c>
      <c r="BU13" s="115"/>
      <c r="BV13" s="115"/>
      <c r="BW13" s="115"/>
      <c r="BX13" s="115"/>
      <c r="BY13" s="115"/>
      <c r="BZ13" s="115"/>
      <c r="CA13" s="115"/>
    </row>
    <row r="14">
      <c r="A14" s="88" t="str">
        <f>HYPERLINK("https://drive.google.com/open?id=0B1GMAYMj9v6rWDBYWG94dno3WVU","WaguespackJr.1987")</f>
        <v>WaguespackJr.1987</v>
      </c>
      <c r="B14" s="161" t="s">
        <v>4581</v>
      </c>
      <c r="C14" s="161" t="s">
        <v>4582</v>
      </c>
      <c r="D14" s="110">
        <v>1987.0</v>
      </c>
      <c r="E14" s="111">
        <v>1.0</v>
      </c>
      <c r="F14" s="112"/>
      <c r="G14" s="111"/>
      <c r="H14" s="112"/>
      <c r="I14" s="112"/>
      <c r="J14" s="112"/>
      <c r="K14" s="112"/>
      <c r="L14" s="112"/>
      <c r="M14" s="112"/>
      <c r="N14" s="112"/>
      <c r="O14" s="112"/>
      <c r="P14" s="112"/>
      <c r="Q14" s="112"/>
      <c r="R14" s="112"/>
      <c r="S14" s="112"/>
      <c r="T14" s="112"/>
      <c r="U14" s="115"/>
      <c r="V14" s="115"/>
      <c r="W14" s="115"/>
      <c r="X14" s="115"/>
      <c r="Y14" s="115"/>
      <c r="Z14" s="112"/>
      <c r="AA14" s="112"/>
      <c r="AB14" s="112"/>
      <c r="AC14" s="112"/>
      <c r="AD14" s="112"/>
      <c r="AE14" s="111"/>
      <c r="AF14" s="112"/>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c r="A15" s="88" t="str">
        <f>HYPERLINK("https://drive.google.com/open?id=0B1GMAYMj9v6rSlVqdGlDZm5VWDQ","Wu2016")</f>
        <v>Wu2016</v>
      </c>
      <c r="B15" s="161" t="s">
        <v>2169</v>
      </c>
      <c r="C15" s="161" t="s">
        <v>588</v>
      </c>
      <c r="D15" s="110">
        <v>2016.0</v>
      </c>
      <c r="E15" s="111">
        <v>1.0</v>
      </c>
      <c r="F15" s="112"/>
      <c r="G15" s="112"/>
      <c r="H15" s="112"/>
      <c r="I15" s="112"/>
      <c r="J15" s="112"/>
      <c r="K15" s="112"/>
      <c r="L15" s="112"/>
      <c r="M15" s="112"/>
      <c r="N15" s="112"/>
      <c r="O15" s="112"/>
      <c r="P15" s="112"/>
      <c r="Q15" s="112"/>
      <c r="R15" s="112"/>
      <c r="S15" s="112"/>
      <c r="T15" s="112"/>
      <c r="U15" s="124"/>
      <c r="V15" s="124"/>
      <c r="W15" s="124"/>
      <c r="X15" s="124"/>
      <c r="Y15" s="124"/>
      <c r="Z15" s="112"/>
      <c r="AA15" s="112"/>
      <c r="AB15" s="112"/>
      <c r="AC15" s="112"/>
      <c r="AD15" s="112"/>
      <c r="AE15" s="112"/>
      <c r="AF15" s="112"/>
      <c r="AG15" s="124"/>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c r="A16" s="180" t="str">
        <f>HYPERLINK("https://drive.google.com/open?id=0B1GMAYMj9v6raXVlejY2RzkwbUE","Aranda2006")</f>
        <v>Aranda2006</v>
      </c>
      <c r="B16" s="161" t="s">
        <v>150</v>
      </c>
      <c r="C16" s="161" t="s">
        <v>151</v>
      </c>
      <c r="D16" s="110">
        <v>2006.0</v>
      </c>
      <c r="E16" s="112"/>
      <c r="F16" s="111">
        <v>1.0</v>
      </c>
      <c r="G16" s="112"/>
      <c r="H16" s="112"/>
      <c r="I16" s="112"/>
      <c r="J16" s="112"/>
      <c r="K16" s="112"/>
      <c r="L16" s="111">
        <v>1.0</v>
      </c>
      <c r="M16" s="112"/>
      <c r="N16" s="112"/>
      <c r="O16" s="112"/>
      <c r="P16" s="112"/>
      <c r="Q16" s="112"/>
      <c r="R16" s="112"/>
      <c r="S16" s="112"/>
      <c r="T16" s="112"/>
      <c r="U16" s="115" t="s">
        <v>152</v>
      </c>
      <c r="V16" s="115" t="s">
        <v>153</v>
      </c>
      <c r="W16" s="115" t="s">
        <v>154</v>
      </c>
      <c r="X16" s="115" t="s">
        <v>155</v>
      </c>
      <c r="Y16" s="115" t="s">
        <v>156</v>
      </c>
      <c r="Z16" s="111">
        <v>1.0</v>
      </c>
      <c r="AA16" s="111">
        <v>1.0</v>
      </c>
      <c r="AB16" s="112"/>
      <c r="AC16" s="111">
        <v>1.0</v>
      </c>
      <c r="AD16" s="112"/>
      <c r="AE16" s="112"/>
      <c r="AF16" s="112"/>
      <c r="AG16" s="115" t="s">
        <v>157</v>
      </c>
      <c r="AH16" s="115" t="s">
        <v>1240</v>
      </c>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v>1.0</v>
      </c>
      <c r="CA16" s="115"/>
    </row>
    <row r="17">
      <c r="A17" s="192" t="str">
        <f>HYPERLINK("https://drive.google.com/open?id=0B1GMAYMj9v6rekp2WkxkWjd2bmM","Storrle2011")</f>
        <v>Storrle2011</v>
      </c>
      <c r="B17" s="161" t="s">
        <v>1070</v>
      </c>
      <c r="C17" s="161" t="s">
        <v>1071</v>
      </c>
      <c r="D17" s="110">
        <v>2011.0</v>
      </c>
      <c r="E17" s="112"/>
      <c r="F17" s="111">
        <v>1.0</v>
      </c>
      <c r="G17" s="111"/>
      <c r="H17" s="112"/>
      <c r="I17" s="112"/>
      <c r="J17" s="112"/>
      <c r="K17" s="112"/>
      <c r="L17" s="112"/>
      <c r="M17" s="112"/>
      <c r="N17" s="111">
        <v>1.0</v>
      </c>
      <c r="O17" s="112"/>
      <c r="P17" s="112"/>
      <c r="Q17" s="112"/>
      <c r="R17" s="112"/>
      <c r="S17" s="112"/>
      <c r="T17" s="112"/>
      <c r="U17" s="115" t="s">
        <v>9</v>
      </c>
      <c r="V17" s="115"/>
      <c r="W17" s="115" t="s">
        <v>1072</v>
      </c>
      <c r="X17" s="115" t="s">
        <v>1073</v>
      </c>
      <c r="Y17" s="115" t="s">
        <v>122</v>
      </c>
      <c r="Z17" s="111">
        <v>1.0</v>
      </c>
      <c r="AA17" s="112"/>
      <c r="AB17" s="112"/>
      <c r="AC17" s="111">
        <v>1.0</v>
      </c>
      <c r="AD17" s="112"/>
      <c r="AE17" s="112"/>
      <c r="AF17" s="112"/>
      <c r="AG17" s="115" t="s">
        <v>1074</v>
      </c>
      <c r="AH17" s="115">
        <v>1.0</v>
      </c>
      <c r="AI17" s="115"/>
      <c r="AJ17" s="115"/>
      <c r="AK17" s="115"/>
      <c r="AL17" s="115"/>
      <c r="AM17" s="115"/>
      <c r="AN17" s="115"/>
      <c r="AO17" s="115"/>
      <c r="AP17" s="115"/>
      <c r="AQ17" s="115">
        <v>1.0</v>
      </c>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v>1.0</v>
      </c>
      <c r="CA17" s="115"/>
    </row>
    <row r="18">
      <c r="A18" s="180" t="str">
        <f>HYPERLINK("https://drive.google.com/open?id=0B1GMAYMj9v6rOTZBRmRkcUt5LWM","Ralph2016")</f>
        <v>Ralph2016</v>
      </c>
      <c r="B18" s="161" t="s">
        <v>874</v>
      </c>
      <c r="C18" s="161" t="s">
        <v>278</v>
      </c>
      <c r="D18" s="110">
        <v>2016.0</v>
      </c>
      <c r="E18" s="112"/>
      <c r="F18" s="111">
        <v>1.0</v>
      </c>
      <c r="G18" s="111">
        <v>1.0</v>
      </c>
      <c r="H18" s="112"/>
      <c r="I18" s="112"/>
      <c r="J18" s="112"/>
      <c r="K18" s="112"/>
      <c r="L18" s="111">
        <v>1.0</v>
      </c>
      <c r="M18" s="112"/>
      <c r="N18" s="112"/>
      <c r="O18" s="112"/>
      <c r="P18" s="111">
        <v>1.0</v>
      </c>
      <c r="Q18" s="112"/>
      <c r="R18" s="112"/>
      <c r="S18" s="112"/>
      <c r="T18" s="111">
        <v>1.0</v>
      </c>
      <c r="U18" s="115" t="s">
        <v>875</v>
      </c>
      <c r="V18" s="115" t="s">
        <v>876</v>
      </c>
      <c r="W18" s="115" t="s">
        <v>877</v>
      </c>
      <c r="X18" s="115" t="s">
        <v>878</v>
      </c>
      <c r="Y18" s="115" t="s">
        <v>879</v>
      </c>
      <c r="Z18" s="112"/>
      <c r="AA18" s="111">
        <v>1.0</v>
      </c>
      <c r="AB18" s="112"/>
      <c r="AC18" s="111">
        <v>1.0</v>
      </c>
      <c r="AD18" s="112"/>
      <c r="AE18" s="112"/>
      <c r="AF18" s="112"/>
      <c r="AG18" s="115" t="s">
        <v>880</v>
      </c>
      <c r="AH18" s="115">
        <v>1.0</v>
      </c>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15">
        <v>1.0</v>
      </c>
      <c r="BI18" s="124"/>
      <c r="BJ18" s="124"/>
      <c r="BK18" s="124"/>
      <c r="BL18" s="124"/>
      <c r="BM18" s="124"/>
      <c r="BN18" s="124"/>
      <c r="BO18" s="124"/>
      <c r="BP18" s="124"/>
      <c r="BQ18" s="124"/>
      <c r="BR18" s="124"/>
      <c r="BS18" s="115">
        <v>1.0</v>
      </c>
      <c r="BT18" s="124"/>
      <c r="BU18" s="124"/>
      <c r="BV18" s="124"/>
      <c r="BW18" s="124"/>
      <c r="BX18" s="124"/>
      <c r="BY18" s="124"/>
      <c r="BZ18" s="124"/>
      <c r="CA18" s="124"/>
    </row>
    <row r="19">
      <c r="A19" s="88" t="str">
        <f>HYPERLINK("https://drive.google.com/open?id=0B1GMAYMj9v6rUVVFaEFyNk9QaGM","Dunn2005")</f>
        <v>Dunn2005</v>
      </c>
      <c r="B19" s="161" t="s">
        <v>435</v>
      </c>
      <c r="C19" s="161" t="s">
        <v>436</v>
      </c>
      <c r="D19" s="110">
        <v>2005.0</v>
      </c>
      <c r="E19" s="112"/>
      <c r="F19" s="111">
        <v>1.0</v>
      </c>
      <c r="G19" s="111">
        <v>1.0</v>
      </c>
      <c r="H19" s="112"/>
      <c r="I19" s="112"/>
      <c r="J19" s="112"/>
      <c r="K19" s="112"/>
      <c r="L19" s="112"/>
      <c r="M19" s="112"/>
      <c r="N19" s="111">
        <v>1.0</v>
      </c>
      <c r="O19" s="112"/>
      <c r="P19" s="112"/>
      <c r="Q19" s="112"/>
      <c r="R19" s="112"/>
      <c r="S19" s="112"/>
      <c r="T19" s="112"/>
      <c r="U19" s="115"/>
      <c r="V19" s="115" t="s">
        <v>437</v>
      </c>
      <c r="W19" s="115" t="s">
        <v>438</v>
      </c>
      <c r="X19" s="115" t="s">
        <v>439</v>
      </c>
      <c r="Y19" s="115" t="s">
        <v>122</v>
      </c>
      <c r="Z19" s="111">
        <v>1.0</v>
      </c>
      <c r="AA19" s="111">
        <v>1.0</v>
      </c>
      <c r="AB19" s="112"/>
      <c r="AC19" s="111">
        <v>1.0</v>
      </c>
      <c r="AD19" s="112"/>
      <c r="AE19" s="112"/>
      <c r="AF19" s="112"/>
      <c r="AG19" s="115" t="s">
        <v>440</v>
      </c>
      <c r="AH19" s="115">
        <v>1.0</v>
      </c>
      <c r="AI19" s="115"/>
      <c r="AJ19" s="115"/>
      <c r="AK19" s="115"/>
      <c r="AL19" s="115"/>
      <c r="AM19" s="115"/>
      <c r="AN19" s="115"/>
      <c r="AO19" s="115"/>
      <c r="AP19" s="115"/>
      <c r="AQ19" s="115">
        <v>1.0</v>
      </c>
      <c r="AR19" s="115"/>
      <c r="AS19" s="115"/>
      <c r="AT19" s="115"/>
      <c r="AU19" s="115"/>
      <c r="AV19" s="115"/>
      <c r="AW19" s="115"/>
      <c r="AX19" s="115"/>
      <c r="AY19" s="115"/>
      <c r="AZ19" s="115"/>
      <c r="BA19" s="115"/>
      <c r="BB19" s="115"/>
      <c r="BC19" s="115"/>
      <c r="BD19" s="115"/>
      <c r="BE19" s="115"/>
      <c r="BF19" s="115"/>
      <c r="BG19" s="115"/>
      <c r="BH19" s="115">
        <v>1.0</v>
      </c>
      <c r="BI19" s="115"/>
      <c r="BJ19" s="115"/>
      <c r="BK19" s="115"/>
      <c r="BL19" s="115"/>
      <c r="BM19" s="115"/>
      <c r="BN19" s="115"/>
      <c r="BO19" s="115"/>
      <c r="BP19" s="115"/>
      <c r="BQ19" s="115"/>
      <c r="BR19" s="115"/>
      <c r="BS19" s="115"/>
      <c r="BT19" s="115"/>
      <c r="BU19" s="115"/>
      <c r="BV19" s="115"/>
      <c r="BW19" s="115"/>
      <c r="BX19" s="115">
        <v>1.0</v>
      </c>
      <c r="BY19" s="115"/>
      <c r="BZ19" s="115"/>
      <c r="CA19" s="115"/>
    </row>
    <row r="20">
      <c r="A20" s="180" t="str">
        <f>HYPERLINK("https://drive.google.com/open?id=0B1GMAYMj9v6ra3ZOUEtKcU9zS28","Aranda2006b")</f>
        <v>Aranda2006b</v>
      </c>
      <c r="B20" s="161" t="s">
        <v>158</v>
      </c>
      <c r="C20" s="161" t="s">
        <v>159</v>
      </c>
      <c r="D20" s="110">
        <v>2006.0</v>
      </c>
      <c r="E20" s="112"/>
      <c r="F20" s="111">
        <v>1.0</v>
      </c>
      <c r="G20" s="112"/>
      <c r="H20" s="112"/>
      <c r="I20" s="112"/>
      <c r="J20" s="112"/>
      <c r="K20" s="112"/>
      <c r="L20" s="111">
        <v>1.0</v>
      </c>
      <c r="M20" s="112"/>
      <c r="N20" s="112"/>
      <c r="O20" s="112"/>
      <c r="P20" s="112"/>
      <c r="Q20" s="112"/>
      <c r="R20" s="112"/>
      <c r="S20" s="112"/>
      <c r="T20" s="112"/>
      <c r="U20" s="115" t="s">
        <v>160</v>
      </c>
      <c r="V20" s="115" t="s">
        <v>161</v>
      </c>
      <c r="W20" s="115" t="s">
        <v>162</v>
      </c>
      <c r="X20" s="115" t="s">
        <v>163</v>
      </c>
      <c r="Y20" s="115" t="s">
        <v>156</v>
      </c>
      <c r="Z20" s="111">
        <v>1.0</v>
      </c>
      <c r="AA20" s="111">
        <v>1.0</v>
      </c>
      <c r="AB20" s="112"/>
      <c r="AC20" s="111">
        <v>1.0</v>
      </c>
      <c r="AD20" s="112"/>
      <c r="AE20" s="112"/>
      <c r="AF20" s="112"/>
      <c r="AG20" s="115" t="s">
        <v>164</v>
      </c>
      <c r="AH20" s="115" t="s">
        <v>1240</v>
      </c>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15">
        <v>1.0</v>
      </c>
      <c r="CA20" s="124"/>
    </row>
    <row r="21">
      <c r="A21" s="88" t="str">
        <f>HYPERLINK("https://drive.google.com/open?id=0B1GMAYMj9v6rOUM0aldXN3FfTTg","DaCunha2015")</f>
        <v>DaCunha2015</v>
      </c>
      <c r="B21" s="161" t="s">
        <v>385</v>
      </c>
      <c r="C21" s="161" t="s">
        <v>386</v>
      </c>
      <c r="D21" s="110">
        <v>2015.0</v>
      </c>
      <c r="E21" s="112"/>
      <c r="F21" s="112"/>
      <c r="G21" s="112"/>
      <c r="H21" s="112"/>
      <c r="I21" s="112"/>
      <c r="J21" s="112"/>
      <c r="K21" s="112"/>
      <c r="L21" s="111">
        <v>1.0</v>
      </c>
      <c r="M21" s="112"/>
      <c r="N21" s="112"/>
      <c r="O21" s="112"/>
      <c r="P21" s="111">
        <v>1.0</v>
      </c>
      <c r="Q21" s="111">
        <v>1.0</v>
      </c>
      <c r="R21" s="112"/>
      <c r="S21" s="112"/>
      <c r="T21" s="112"/>
      <c r="U21" s="115" t="s">
        <v>70</v>
      </c>
      <c r="V21" s="115" t="s">
        <v>387</v>
      </c>
      <c r="W21" s="115" t="s">
        <v>388</v>
      </c>
      <c r="X21" s="115" t="s">
        <v>389</v>
      </c>
      <c r="Y21" s="115" t="s">
        <v>122</v>
      </c>
      <c r="Z21" s="112"/>
      <c r="AA21" s="111">
        <v>1.0</v>
      </c>
      <c r="AB21" s="112"/>
      <c r="AC21" s="111">
        <v>1.0</v>
      </c>
      <c r="AD21" s="112"/>
      <c r="AE21" s="112"/>
      <c r="AF21" s="112"/>
      <c r="AG21" s="115" t="s">
        <v>390</v>
      </c>
      <c r="AH21" s="115">
        <v>1.0</v>
      </c>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15">
        <v>1.0</v>
      </c>
      <c r="BI21" s="124"/>
      <c r="BJ21" s="124"/>
      <c r="BK21" s="124"/>
      <c r="BL21" s="124"/>
      <c r="BM21" s="124"/>
      <c r="BN21" s="124"/>
      <c r="BO21" s="124"/>
      <c r="BP21" s="124"/>
      <c r="BQ21" s="124"/>
      <c r="BR21" s="124"/>
      <c r="BS21" s="124"/>
      <c r="BT21" s="115">
        <v>1.0</v>
      </c>
      <c r="BU21" s="124"/>
      <c r="BV21" s="124"/>
      <c r="BW21" s="124"/>
      <c r="BX21" s="124"/>
      <c r="BY21" s="124"/>
      <c r="BZ21" s="124"/>
      <c r="CA21" s="124"/>
    </row>
    <row r="22">
      <c r="A22" s="180" t="str">
        <f>HYPERLINK("https://drive.google.com/open?id=0B1GMAYMj9v6rY3U1Z1ZTdjdLaU0","Duseau2012")</f>
        <v>Duseau2012</v>
      </c>
      <c r="B22" s="161" t="s">
        <v>441</v>
      </c>
      <c r="C22" s="161" t="s">
        <v>442</v>
      </c>
      <c r="D22" s="110">
        <v>2012.0</v>
      </c>
      <c r="E22" s="112"/>
      <c r="F22" s="112"/>
      <c r="G22" s="112"/>
      <c r="H22" s="111">
        <v>1.0</v>
      </c>
      <c r="I22" s="112"/>
      <c r="J22" s="111">
        <v>1.0</v>
      </c>
      <c r="K22" s="112"/>
      <c r="L22" s="112"/>
      <c r="M22" s="112"/>
      <c r="N22" s="112"/>
      <c r="O22" s="112"/>
      <c r="P22" s="112"/>
      <c r="Q22" s="112"/>
      <c r="R22" s="112"/>
      <c r="S22" s="112"/>
      <c r="T22" s="112"/>
      <c r="U22" s="124"/>
      <c r="V22" s="115" t="s">
        <v>197</v>
      </c>
      <c r="W22" s="115" t="s">
        <v>443</v>
      </c>
      <c r="X22" s="115" t="s">
        <v>444</v>
      </c>
      <c r="Y22" s="115" t="s">
        <v>445</v>
      </c>
      <c r="Z22" s="111">
        <v>1.0</v>
      </c>
      <c r="AA22" s="112"/>
      <c r="AB22" s="112"/>
      <c r="AC22" s="111">
        <v>1.0</v>
      </c>
      <c r="AD22" s="112"/>
      <c r="AE22" s="112"/>
      <c r="AF22" s="112"/>
      <c r="AG22" s="115" t="s">
        <v>446</v>
      </c>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c r="A23" s="180" t="str">
        <f>HYPERLINK("https://drive.google.com/open?id=0B1GMAYMj9v6rb0V4TEo3VzJaRmc","Chou2011")</f>
        <v>Chou2011</v>
      </c>
      <c r="B23" s="161" t="s">
        <v>338</v>
      </c>
      <c r="C23" s="161" t="s">
        <v>181</v>
      </c>
      <c r="D23" s="110">
        <v>2011.0</v>
      </c>
      <c r="E23" s="112"/>
      <c r="F23" s="112"/>
      <c r="G23" s="112"/>
      <c r="H23" s="112"/>
      <c r="I23" s="112"/>
      <c r="J23" s="112"/>
      <c r="K23" s="112"/>
      <c r="L23" s="112"/>
      <c r="M23" s="112"/>
      <c r="N23" s="112"/>
      <c r="O23" s="112"/>
      <c r="P23" s="111">
        <v>1.0</v>
      </c>
      <c r="Q23" s="112"/>
      <c r="R23" s="112"/>
      <c r="S23" s="112"/>
      <c r="T23" s="112"/>
      <c r="U23" s="115" t="s">
        <v>339</v>
      </c>
      <c r="V23" s="115" t="s">
        <v>340</v>
      </c>
      <c r="W23" s="115" t="s">
        <v>341</v>
      </c>
      <c r="X23" s="115" t="s">
        <v>342</v>
      </c>
      <c r="Y23" s="115" t="s">
        <v>343</v>
      </c>
      <c r="Z23" s="112"/>
      <c r="AA23" s="111">
        <v>1.0</v>
      </c>
      <c r="AB23" s="112"/>
      <c r="AC23" s="111">
        <v>1.0</v>
      </c>
      <c r="AD23" s="112"/>
      <c r="AE23" s="112"/>
      <c r="AF23" s="112"/>
      <c r="AG23" s="115" t="s">
        <v>344</v>
      </c>
      <c r="AH23" s="115">
        <v>1.0</v>
      </c>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15">
        <v>1.0</v>
      </c>
      <c r="BJ23" s="124"/>
      <c r="BK23" s="124"/>
      <c r="BL23" s="124"/>
      <c r="BM23" s="124"/>
      <c r="BN23" s="124"/>
      <c r="BO23" s="124"/>
      <c r="BP23" s="124"/>
      <c r="BQ23" s="124"/>
      <c r="BR23" s="124"/>
      <c r="BS23" s="124"/>
      <c r="BT23" s="124"/>
      <c r="BU23" s="124"/>
      <c r="BV23" s="124"/>
      <c r="BW23" s="124"/>
      <c r="BX23" s="124"/>
      <c r="BY23" s="124"/>
      <c r="BZ23" s="115">
        <v>1.0</v>
      </c>
      <c r="CA23" s="124"/>
    </row>
    <row r="24">
      <c r="A24" s="180" t="str">
        <f>HYPERLINK("https://drive.google.com/open?id=0B1GMAYMj9v6ra2xYWjdZS2F3V2M","Liu2015")</f>
        <v>Liu2015</v>
      </c>
      <c r="B24" s="161" t="s">
        <v>2264</v>
      </c>
      <c r="C24" s="161" t="s">
        <v>2265</v>
      </c>
      <c r="D24" s="110">
        <v>2015.0</v>
      </c>
      <c r="E24" s="111">
        <v>1.0</v>
      </c>
      <c r="F24" s="112"/>
      <c r="G24" s="112"/>
      <c r="H24" s="112"/>
      <c r="I24" s="112"/>
      <c r="J24" s="112"/>
      <c r="K24" s="112"/>
      <c r="L24" s="111">
        <v>1.0</v>
      </c>
      <c r="M24" s="112"/>
      <c r="N24" s="112"/>
      <c r="O24" s="112"/>
      <c r="P24" s="111">
        <v>1.0</v>
      </c>
      <c r="Q24" s="112"/>
      <c r="R24" s="112"/>
      <c r="S24" s="112"/>
      <c r="T24" s="112"/>
      <c r="U24" s="124"/>
      <c r="V24" s="115" t="s">
        <v>4583</v>
      </c>
      <c r="W24" s="115" t="s">
        <v>4584</v>
      </c>
      <c r="X24" s="115" t="s">
        <v>4585</v>
      </c>
      <c r="Y24" s="115" t="s">
        <v>4586</v>
      </c>
      <c r="Z24" s="112"/>
      <c r="AA24" s="112"/>
      <c r="AB24" s="112"/>
      <c r="AC24" s="111">
        <v>1.0</v>
      </c>
      <c r="AD24" s="112"/>
      <c r="AE24" s="112"/>
      <c r="AF24" s="112"/>
      <c r="AG24" s="115" t="s">
        <v>4587</v>
      </c>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row>
    <row r="25">
      <c r="A25" s="180" t="str">
        <f>HYPERLINK("https://drive.google.com/open?id=0B1GMAYMj9v6rZGVNMkVUUEoyZEE","White2005")</f>
        <v>White2005</v>
      </c>
      <c r="B25" s="161" t="s">
        <v>1228</v>
      </c>
      <c r="C25" s="161" t="s">
        <v>1229</v>
      </c>
      <c r="D25" s="110">
        <v>2005.0</v>
      </c>
      <c r="E25" s="112"/>
      <c r="F25" s="112"/>
      <c r="G25" s="112"/>
      <c r="H25" s="111">
        <v>1.0</v>
      </c>
      <c r="I25" s="112"/>
      <c r="J25" s="112"/>
      <c r="K25" s="112"/>
      <c r="L25" s="112"/>
      <c r="M25" s="112"/>
      <c r="N25" s="112"/>
      <c r="O25" s="112"/>
      <c r="P25" s="112"/>
      <c r="Q25" s="112"/>
      <c r="R25" s="112"/>
      <c r="S25" s="112"/>
      <c r="T25" s="112"/>
      <c r="U25" s="124"/>
      <c r="V25" s="115" t="s">
        <v>1230</v>
      </c>
      <c r="W25" s="115" t="s">
        <v>1231</v>
      </c>
      <c r="X25" s="115" t="s">
        <v>1232</v>
      </c>
      <c r="Y25" s="115" t="s">
        <v>122</v>
      </c>
      <c r="Z25" s="111">
        <v>1.0</v>
      </c>
      <c r="AA25" s="112"/>
      <c r="AB25" s="112"/>
      <c r="AC25" s="111">
        <v>1.0</v>
      </c>
      <c r="AD25" s="112"/>
      <c r="AE25" s="112"/>
      <c r="AF25" s="112"/>
      <c r="AG25" s="115" t="s">
        <v>1233</v>
      </c>
      <c r="AH25" s="115">
        <v>1.0</v>
      </c>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t="s">
        <v>1240</v>
      </c>
      <c r="BE25" s="115"/>
      <c r="BF25" s="115"/>
      <c r="BG25" s="115"/>
      <c r="BH25" s="115"/>
      <c r="BI25" s="115"/>
      <c r="BJ25" s="115"/>
      <c r="BK25" s="115"/>
      <c r="BL25" s="115"/>
      <c r="BM25" s="115"/>
      <c r="BN25" s="115"/>
      <c r="BO25" s="115"/>
      <c r="BP25" s="115"/>
      <c r="BQ25" s="115"/>
      <c r="BR25" s="115"/>
      <c r="BS25" s="115"/>
      <c r="BT25" s="115"/>
      <c r="BU25" s="115"/>
      <c r="BV25" s="115"/>
      <c r="BW25" s="115"/>
      <c r="BX25" s="115" t="s">
        <v>1240</v>
      </c>
      <c r="BY25" s="115"/>
      <c r="BZ25" s="115"/>
      <c r="CA25" s="115"/>
    </row>
    <row r="26">
      <c r="A26" s="180" t="str">
        <f>HYPERLINK("https://drive.google.com/open?id=0B1GMAYMj9v6rdkVkcVg0SktoeWs","Moody2010")</f>
        <v>Moody2010</v>
      </c>
      <c r="B26" s="161" t="s">
        <v>776</v>
      </c>
      <c r="C26" s="161" t="s">
        <v>777</v>
      </c>
      <c r="D26" s="110">
        <v>2010.0</v>
      </c>
      <c r="E26" s="112"/>
      <c r="F26" s="111">
        <v>1.0</v>
      </c>
      <c r="G26" s="112"/>
      <c r="H26" s="112"/>
      <c r="I26" s="112"/>
      <c r="J26" s="112"/>
      <c r="K26" s="112"/>
      <c r="L26" s="112"/>
      <c r="M26" s="112"/>
      <c r="N26" s="112"/>
      <c r="O26" s="112"/>
      <c r="P26" s="112"/>
      <c r="Q26" s="112"/>
      <c r="R26" s="112"/>
      <c r="S26" s="112"/>
      <c r="T26" s="112"/>
      <c r="U26" s="115" t="s">
        <v>778</v>
      </c>
      <c r="V26" s="115" t="s">
        <v>774</v>
      </c>
      <c r="W26" s="115" t="s">
        <v>779</v>
      </c>
      <c r="X26" s="115" t="s">
        <v>780</v>
      </c>
      <c r="Y26" s="115" t="s">
        <v>122</v>
      </c>
      <c r="Z26" s="112"/>
      <c r="AA26" s="112"/>
      <c r="AB26" s="112"/>
      <c r="AC26" s="111">
        <v>1.0</v>
      </c>
      <c r="AD26" s="112"/>
      <c r="AE26" s="112"/>
      <c r="AF26" s="112"/>
      <c r="AG26" s="115" t="s">
        <v>781</v>
      </c>
      <c r="AH26" s="115">
        <v>1.0</v>
      </c>
      <c r="AI26" s="124"/>
      <c r="AJ26" s="124"/>
      <c r="AK26" s="124"/>
      <c r="AL26" s="124"/>
      <c r="AM26" s="124"/>
      <c r="AN26" s="124"/>
      <c r="AO26" s="124"/>
      <c r="AP26" s="124"/>
      <c r="AQ26" s="115" t="s">
        <v>1240</v>
      </c>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row>
    <row r="27">
      <c r="A27" s="88" t="str">
        <f>HYPERLINK("https://drive.google.com/open?id=0B1GMAYMj9v6rV2hrT0I1ZDFFQVk","Walia2013")</f>
        <v>Walia2013</v>
      </c>
      <c r="B27" s="161" t="s">
        <v>1194</v>
      </c>
      <c r="C27" s="161" t="s">
        <v>268</v>
      </c>
      <c r="D27" s="110">
        <v>2013.0</v>
      </c>
      <c r="E27" s="112"/>
      <c r="F27" s="111">
        <v>1.0</v>
      </c>
      <c r="G27" s="112"/>
      <c r="H27" s="112"/>
      <c r="I27" s="112"/>
      <c r="J27" s="112"/>
      <c r="K27" s="112"/>
      <c r="L27" s="112"/>
      <c r="M27" s="112"/>
      <c r="N27" s="112"/>
      <c r="O27" s="112"/>
      <c r="P27" s="112"/>
      <c r="Q27" s="112"/>
      <c r="R27" s="112"/>
      <c r="S27" s="112"/>
      <c r="T27" s="112"/>
      <c r="U27" s="124"/>
      <c r="V27" s="115" t="s">
        <v>1195</v>
      </c>
      <c r="W27" s="115" t="s">
        <v>1196</v>
      </c>
      <c r="X27" s="115" t="s">
        <v>1197</v>
      </c>
      <c r="Y27" s="115" t="s">
        <v>1198</v>
      </c>
      <c r="Z27" s="111">
        <v>1.0</v>
      </c>
      <c r="AA27" s="112"/>
      <c r="AB27" s="112"/>
      <c r="AC27" s="111">
        <v>1.0</v>
      </c>
      <c r="AD27" s="112"/>
      <c r="AE27" s="112"/>
      <c r="AF27" s="112"/>
      <c r="AG27" s="115" t="s">
        <v>1199</v>
      </c>
      <c r="AH27" s="115">
        <v>1.0</v>
      </c>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v>1.0</v>
      </c>
      <c r="BH27" s="115"/>
      <c r="BI27" s="115"/>
      <c r="BJ27" s="115"/>
      <c r="BK27" s="115"/>
      <c r="BL27" s="115"/>
      <c r="BM27" s="115"/>
      <c r="BN27" s="115"/>
      <c r="BO27" s="115"/>
      <c r="BP27" s="115"/>
      <c r="BQ27" s="115"/>
      <c r="BR27" s="115"/>
      <c r="BS27" s="115"/>
      <c r="BT27" s="115"/>
      <c r="BU27" s="115"/>
      <c r="BV27" s="115"/>
      <c r="BW27" s="115"/>
      <c r="BX27" s="115">
        <v>1.0</v>
      </c>
      <c r="BY27" s="115"/>
      <c r="BZ27" s="115"/>
      <c r="CA27" s="115"/>
    </row>
    <row r="28">
      <c r="A28" s="161" t="s">
        <v>4588</v>
      </c>
      <c r="B28" s="161" t="s">
        <v>4589</v>
      </c>
      <c r="C28" s="161" t="s">
        <v>4590</v>
      </c>
      <c r="D28" s="110">
        <v>1991.0</v>
      </c>
      <c r="E28" s="111">
        <v>1.0</v>
      </c>
      <c r="F28" s="112"/>
      <c r="G28" s="112"/>
      <c r="H28" s="112"/>
      <c r="I28" s="112"/>
      <c r="J28" s="112"/>
      <c r="K28" s="112"/>
      <c r="L28" s="112"/>
      <c r="M28" s="112"/>
      <c r="N28" s="112"/>
      <c r="O28" s="112"/>
      <c r="P28" s="112"/>
      <c r="Q28" s="112"/>
      <c r="R28" s="112"/>
      <c r="S28" s="112"/>
      <c r="T28" s="112"/>
      <c r="U28" s="124"/>
      <c r="V28" s="124"/>
      <c r="W28" s="124"/>
      <c r="X28" s="124"/>
      <c r="Y28" s="124"/>
      <c r="Z28" s="112"/>
      <c r="AA28" s="112"/>
      <c r="AB28" s="112"/>
      <c r="AC28" s="112"/>
      <c r="AD28" s="112"/>
      <c r="AE28" s="112"/>
      <c r="AF28" s="112"/>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row>
    <row r="29">
      <c r="A29" s="180" t="str">
        <f>HYPERLINK("https://drive.google.com/open?id=0B1GMAYMj9v6rNkJYWGVjeGZ1TnM","Nelson2008")</f>
        <v>Nelson2008</v>
      </c>
      <c r="B29" s="161" t="s">
        <v>807</v>
      </c>
      <c r="C29" s="161" t="s">
        <v>321</v>
      </c>
      <c r="D29" s="110">
        <v>2008.0</v>
      </c>
      <c r="E29" s="112"/>
      <c r="F29" s="112"/>
      <c r="G29" s="112"/>
      <c r="H29" s="111">
        <v>1.0</v>
      </c>
      <c r="I29" s="112"/>
      <c r="J29" s="112"/>
      <c r="K29" s="112"/>
      <c r="L29" s="112"/>
      <c r="M29" s="112"/>
      <c r="N29" s="112"/>
      <c r="O29" s="112"/>
      <c r="P29" s="111">
        <v>1.0</v>
      </c>
      <c r="Q29" s="112"/>
      <c r="R29" s="112"/>
      <c r="S29" s="112"/>
      <c r="T29" s="112"/>
      <c r="U29" s="115" t="s">
        <v>808</v>
      </c>
      <c r="V29" s="124"/>
      <c r="W29" s="115" t="s">
        <v>809</v>
      </c>
      <c r="X29" s="115" t="s">
        <v>810</v>
      </c>
      <c r="Y29" s="115" t="s">
        <v>811</v>
      </c>
      <c r="Z29" s="112"/>
      <c r="AA29" s="111">
        <v>1.0</v>
      </c>
      <c r="AB29" s="112"/>
      <c r="AC29" s="111">
        <v>1.0</v>
      </c>
      <c r="AD29" s="112"/>
      <c r="AE29" s="112"/>
      <c r="AF29" s="112"/>
      <c r="AG29" s="115" t="s">
        <v>812</v>
      </c>
      <c r="AH29" s="115">
        <v>1.0</v>
      </c>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15" t="s">
        <v>1240</v>
      </c>
      <c r="BJ29" s="124"/>
      <c r="BK29" s="124"/>
      <c r="BL29" s="124"/>
      <c r="BM29" s="124"/>
      <c r="BN29" s="124"/>
      <c r="BO29" s="124"/>
      <c r="BP29" s="124"/>
      <c r="BQ29" s="124"/>
      <c r="BR29" s="124"/>
      <c r="BS29" s="124"/>
      <c r="BT29" s="124"/>
      <c r="BU29" s="124"/>
      <c r="BV29" s="124"/>
      <c r="BW29" s="124"/>
      <c r="BX29" s="124"/>
      <c r="BY29" s="124"/>
      <c r="BZ29" s="115">
        <v>1.0</v>
      </c>
      <c r="CA29" s="124"/>
    </row>
    <row r="30">
      <c r="A30" s="88" t="str">
        <f>HYPERLINK("https://drive.google.com/open?id=0B1GMAYMj9v6rZUt1U1o1VG1RcUU","Salman2016")</f>
        <v>Salman2016</v>
      </c>
      <c r="B30" s="161" t="s">
        <v>2129</v>
      </c>
      <c r="C30" s="153" t="s">
        <v>4591</v>
      </c>
      <c r="D30" s="110">
        <v>2016.0</v>
      </c>
      <c r="E30" s="111">
        <v>1.0</v>
      </c>
      <c r="F30" s="112"/>
      <c r="G30" s="112"/>
      <c r="H30" s="112"/>
      <c r="I30" s="111">
        <v>1.0</v>
      </c>
      <c r="J30" s="112"/>
      <c r="K30" s="112"/>
      <c r="L30" s="112"/>
      <c r="M30" s="112"/>
      <c r="N30" s="112"/>
      <c r="O30" s="111">
        <v>1.0</v>
      </c>
      <c r="P30" s="112"/>
      <c r="Q30" s="112"/>
      <c r="R30" s="112"/>
      <c r="S30" s="112"/>
      <c r="T30" s="112"/>
      <c r="U30" s="115" t="s">
        <v>70</v>
      </c>
      <c r="V30" s="115" t="s">
        <v>304</v>
      </c>
      <c r="W30" s="115" t="s">
        <v>92</v>
      </c>
      <c r="X30" s="115" t="s">
        <v>92</v>
      </c>
      <c r="Y30" s="115" t="s">
        <v>100</v>
      </c>
      <c r="Z30" s="112"/>
      <c r="AA30" s="112"/>
      <c r="AB30" s="112"/>
      <c r="AC30" s="112"/>
      <c r="AD30" s="112"/>
      <c r="AE30" s="112"/>
      <c r="AF30" s="111">
        <v>1.0</v>
      </c>
      <c r="AG30" s="115" t="s">
        <v>4592</v>
      </c>
      <c r="AH30" s="115">
        <v>1.0</v>
      </c>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15">
        <v>1.0</v>
      </c>
      <c r="BI30" s="124"/>
      <c r="BJ30" s="124"/>
      <c r="BK30" s="124"/>
      <c r="BL30" s="124"/>
      <c r="BM30" s="124"/>
      <c r="BN30" s="124"/>
      <c r="BO30" s="124"/>
      <c r="BP30" s="124"/>
      <c r="BQ30" s="124"/>
      <c r="BR30" s="124"/>
      <c r="BS30" s="124"/>
      <c r="BT30" s="124"/>
      <c r="BU30" s="124"/>
      <c r="BV30" s="124"/>
      <c r="BW30" s="124"/>
      <c r="BX30" s="124"/>
      <c r="BY30" s="124"/>
      <c r="BZ30" s="124"/>
      <c r="CA30" s="124"/>
    </row>
    <row r="31">
      <c r="A31" s="180" t="str">
        <f>HYPERLINK("https://drive.google.com/open?id=0B1GMAYMj9v6rX3pLSm9qRU9zd2M","Gruhn2007")</f>
        <v>Gruhn2007</v>
      </c>
      <c r="B31" s="161" t="s">
        <v>528</v>
      </c>
      <c r="C31" s="161" t="s">
        <v>529</v>
      </c>
      <c r="D31" s="110">
        <v>2007.0</v>
      </c>
      <c r="E31" s="111"/>
      <c r="F31" s="112"/>
      <c r="G31" s="112"/>
      <c r="H31" s="112"/>
      <c r="I31" s="112"/>
      <c r="J31" s="112"/>
      <c r="K31" s="112"/>
      <c r="L31" s="112"/>
      <c r="M31" s="111">
        <v>1.0</v>
      </c>
      <c r="N31" s="112"/>
      <c r="O31" s="112"/>
      <c r="P31" s="112"/>
      <c r="Q31" s="112"/>
      <c r="R31" s="112"/>
      <c r="S31" s="112"/>
      <c r="T31" s="112"/>
      <c r="U31" s="124"/>
      <c r="V31" s="115" t="s">
        <v>525</v>
      </c>
      <c r="W31" s="115" t="s">
        <v>92</v>
      </c>
      <c r="X31" s="115" t="s">
        <v>92</v>
      </c>
      <c r="Y31" s="115" t="s">
        <v>100</v>
      </c>
      <c r="Z31" s="112"/>
      <c r="AA31" s="112"/>
      <c r="AB31" s="111">
        <v>1.0</v>
      </c>
      <c r="AC31" s="112"/>
      <c r="AD31" s="112"/>
      <c r="AE31" s="112"/>
      <c r="AF31" s="112"/>
      <c r="AG31" s="115" t="s">
        <v>530</v>
      </c>
      <c r="AH31" s="115">
        <v>1.0</v>
      </c>
      <c r="AI31" s="124"/>
      <c r="AJ31" s="124"/>
      <c r="AK31" s="124"/>
      <c r="AL31" s="124"/>
      <c r="AM31" s="124"/>
      <c r="AN31" s="124"/>
      <c r="AO31" s="124"/>
      <c r="AP31" s="124"/>
      <c r="AQ31" s="115" t="s">
        <v>1240</v>
      </c>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row>
    <row r="32">
      <c r="A32" s="88" t="str">
        <f>HYPERLINK("https://drive.google.com/open?id=0B1GMAYMj9v6rZXZ6MERzb1o2R1E","Cunha2016")</f>
        <v>Cunha2016</v>
      </c>
      <c r="B32" s="161" t="s">
        <v>2157</v>
      </c>
      <c r="C32" s="161" t="s">
        <v>1814</v>
      </c>
      <c r="D32" s="110">
        <v>2016.0</v>
      </c>
      <c r="E32" s="111">
        <v>1.0</v>
      </c>
      <c r="F32" s="112"/>
      <c r="G32" s="112"/>
      <c r="H32" s="112"/>
      <c r="I32" s="112"/>
      <c r="J32" s="112"/>
      <c r="K32" s="112"/>
      <c r="L32" s="112"/>
      <c r="M32" s="112"/>
      <c r="N32" s="112"/>
      <c r="O32" s="112"/>
      <c r="P32" s="112"/>
      <c r="Q32" s="112"/>
      <c r="R32" s="112"/>
      <c r="S32" s="112"/>
      <c r="T32" s="112"/>
      <c r="U32" s="124"/>
      <c r="V32" s="124"/>
      <c r="W32" s="124"/>
      <c r="X32" s="124"/>
      <c r="Y32" s="124"/>
      <c r="Z32" s="112"/>
      <c r="AA32" s="112"/>
      <c r="AB32" s="112"/>
      <c r="AC32" s="112"/>
      <c r="AD32" s="112"/>
      <c r="AE32" s="112"/>
      <c r="AF32" s="112"/>
      <c r="AG32" s="124"/>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c r="A33" s="88" t="str">
        <f>HYPERLINK("https://drive.google.com/open?id=0B1GMAYMj9v6rLXZRSWNiNk82Nms","Zayour2013")</f>
        <v>Zayour2013</v>
      </c>
      <c r="B33" s="161" t="s">
        <v>1279</v>
      </c>
      <c r="C33" s="161" t="s">
        <v>187</v>
      </c>
      <c r="D33" s="110">
        <v>2013.0</v>
      </c>
      <c r="E33" s="112"/>
      <c r="F33" s="112"/>
      <c r="G33" s="112"/>
      <c r="H33" s="111">
        <v>1.0</v>
      </c>
      <c r="I33" s="112"/>
      <c r="J33" s="111">
        <v>1.0</v>
      </c>
      <c r="K33" s="112"/>
      <c r="L33" s="112"/>
      <c r="M33" s="112"/>
      <c r="N33" s="112"/>
      <c r="O33" s="112"/>
      <c r="P33" s="111">
        <v>1.0</v>
      </c>
      <c r="Q33" s="112"/>
      <c r="R33" s="112"/>
      <c r="S33" s="112"/>
      <c r="T33" s="112"/>
      <c r="U33" s="115" t="s">
        <v>9</v>
      </c>
      <c r="V33" s="115" t="s">
        <v>53</v>
      </c>
      <c r="W33" s="115" t="s">
        <v>1280</v>
      </c>
      <c r="X33" s="115" t="s">
        <v>1281</v>
      </c>
      <c r="Y33" s="115" t="s">
        <v>122</v>
      </c>
      <c r="Z33" s="112"/>
      <c r="AA33" s="111">
        <v>1.0</v>
      </c>
      <c r="AB33" s="112"/>
      <c r="AC33" s="111">
        <v>1.0</v>
      </c>
      <c r="AD33" s="112"/>
      <c r="AE33" s="112"/>
      <c r="AF33" s="112"/>
      <c r="AG33" s="115" t="s">
        <v>1282</v>
      </c>
      <c r="AH33" s="115">
        <v>1.0</v>
      </c>
      <c r="AI33" s="115"/>
      <c r="AJ33" s="115"/>
      <c r="AK33" s="115"/>
      <c r="AL33" s="115"/>
      <c r="AM33" s="115"/>
      <c r="AN33" s="115">
        <v>1.0</v>
      </c>
      <c r="AO33" s="115"/>
      <c r="AP33" s="115"/>
      <c r="AQ33" s="115">
        <v>1.0</v>
      </c>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v>1.0</v>
      </c>
      <c r="BV33" s="115"/>
      <c r="BW33" s="115"/>
      <c r="BX33" s="115"/>
      <c r="BY33" s="115"/>
      <c r="BZ33" s="115"/>
      <c r="CA33" s="115"/>
    </row>
    <row r="34">
      <c r="A34" s="161" t="s">
        <v>2402</v>
      </c>
      <c r="B34" s="161" t="s">
        <v>4593</v>
      </c>
      <c r="C34" s="161" t="s">
        <v>4594</v>
      </c>
      <c r="D34" s="110">
        <v>2008.0</v>
      </c>
      <c r="E34" s="111">
        <v>1.0</v>
      </c>
      <c r="F34" s="112"/>
      <c r="G34" s="112"/>
      <c r="H34" s="112"/>
      <c r="I34" s="112"/>
      <c r="J34" s="112"/>
      <c r="K34" s="112"/>
      <c r="L34" s="112"/>
      <c r="M34" s="112"/>
      <c r="N34" s="112"/>
      <c r="O34" s="112"/>
      <c r="P34" s="112"/>
      <c r="Q34" s="112"/>
      <c r="R34" s="112"/>
      <c r="S34" s="112"/>
      <c r="T34" s="112"/>
      <c r="U34" s="124"/>
      <c r="V34" s="124"/>
      <c r="W34" s="124"/>
      <c r="X34" s="124"/>
      <c r="Y34" s="124"/>
      <c r="Z34" s="112"/>
      <c r="AA34" s="112"/>
      <c r="AB34" s="112"/>
      <c r="AC34" s="112"/>
      <c r="AD34" s="112"/>
      <c r="AE34" s="112"/>
      <c r="AF34" s="112"/>
      <c r="AG34" s="124"/>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c r="A35" s="88" t="str">
        <f>HYPERLINK("https://drive.google.com/open?id=0B1GMAYMj9v6rTU9zZ2NfcWd1ZVk","Wanderley2015")</f>
        <v>Wanderley2015</v>
      </c>
      <c r="B35" s="161" t="s">
        <v>1200</v>
      </c>
      <c r="C35" s="161" t="s">
        <v>1201</v>
      </c>
      <c r="D35" s="110">
        <v>2015.0</v>
      </c>
      <c r="E35" s="111"/>
      <c r="F35" s="111">
        <v>1.0</v>
      </c>
      <c r="G35" s="112"/>
      <c r="H35" s="112"/>
      <c r="I35" s="112"/>
      <c r="J35" s="112"/>
      <c r="K35" s="112"/>
      <c r="L35" s="112"/>
      <c r="M35" s="112"/>
      <c r="N35" s="112"/>
      <c r="O35" s="112"/>
      <c r="P35" s="112"/>
      <c r="Q35" s="112"/>
      <c r="R35" s="112"/>
      <c r="S35" s="112"/>
      <c r="T35" s="112"/>
      <c r="U35" s="115" t="s">
        <v>9</v>
      </c>
      <c r="V35" s="115" t="s">
        <v>197</v>
      </c>
      <c r="W35" s="115" t="s">
        <v>197</v>
      </c>
      <c r="X35" s="115" t="s">
        <v>1202</v>
      </c>
      <c r="Y35" s="115" t="s">
        <v>122</v>
      </c>
      <c r="Z35" s="111" t="s">
        <v>1203</v>
      </c>
      <c r="AA35" s="111" t="s">
        <v>1203</v>
      </c>
      <c r="AB35" s="112"/>
      <c r="AC35" s="111">
        <v>1.0</v>
      </c>
      <c r="AD35" s="112"/>
      <c r="AE35" s="112"/>
      <c r="AF35" s="112"/>
      <c r="AG35" s="115" t="s">
        <v>1204</v>
      </c>
      <c r="AH35" s="115">
        <v>1.0</v>
      </c>
      <c r="AI35" s="115"/>
      <c r="AJ35" s="115"/>
      <c r="AK35" s="115"/>
      <c r="AL35" s="115"/>
      <c r="AM35" s="115"/>
      <c r="AN35" s="115"/>
      <c r="AO35" s="115"/>
      <c r="AP35" s="115"/>
      <c r="AQ35" s="115">
        <v>1.0</v>
      </c>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v>1.0</v>
      </c>
      <c r="CA35" s="115"/>
    </row>
    <row r="36">
      <c r="A36" s="161" t="s">
        <v>2359</v>
      </c>
      <c r="B36" s="161" t="s">
        <v>4595</v>
      </c>
      <c r="C36" s="161" t="s">
        <v>4596</v>
      </c>
      <c r="D36" s="110">
        <v>2006.0</v>
      </c>
      <c r="E36" s="111" t="s">
        <v>1203</v>
      </c>
      <c r="F36" s="112"/>
      <c r="G36" s="112"/>
      <c r="H36" s="112"/>
      <c r="I36" s="112"/>
      <c r="J36" s="112"/>
      <c r="K36" s="112"/>
      <c r="L36" s="112"/>
      <c r="M36" s="112"/>
      <c r="N36" s="112"/>
      <c r="O36" s="112"/>
      <c r="P36" s="112"/>
      <c r="Q36" s="112"/>
      <c r="R36" s="112"/>
      <c r="S36" s="112"/>
      <c r="T36" s="112"/>
      <c r="U36" s="124"/>
      <c r="V36" s="124"/>
      <c r="W36" s="124"/>
      <c r="X36" s="124"/>
      <c r="Y36" s="124"/>
      <c r="Z36" s="112"/>
      <c r="AA36" s="112"/>
      <c r="AB36" s="112"/>
      <c r="AC36" s="112"/>
      <c r="AD36" s="112"/>
      <c r="AE36" s="112"/>
      <c r="AF36" s="112"/>
      <c r="AG36" s="124"/>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c r="A37" s="88" t="str">
        <f>HYPERLINK("https://drive.google.com/open?id=0B1GMAYMj9v6rdmRhdWVFcFRpTFE","Hundhausen2007")</f>
        <v>Hundhausen2007</v>
      </c>
      <c r="B37" s="161" t="s">
        <v>4597</v>
      </c>
      <c r="C37" s="161" t="s">
        <v>1950</v>
      </c>
      <c r="D37" s="110">
        <v>2007.0</v>
      </c>
      <c r="E37" s="111">
        <v>1.0</v>
      </c>
      <c r="F37" s="111">
        <v>1.0</v>
      </c>
      <c r="G37" s="111">
        <v>1.0</v>
      </c>
      <c r="H37" s="112"/>
      <c r="I37" s="112"/>
      <c r="J37" s="112"/>
      <c r="K37" s="112"/>
      <c r="L37" s="112"/>
      <c r="M37" s="112"/>
      <c r="N37" s="112"/>
      <c r="O37" s="112"/>
      <c r="P37" s="112"/>
      <c r="Q37" s="112"/>
      <c r="R37" s="112"/>
      <c r="S37" s="112"/>
      <c r="T37" s="112"/>
      <c r="U37" s="115" t="s">
        <v>9</v>
      </c>
      <c r="V37" s="115" t="s">
        <v>9</v>
      </c>
      <c r="W37" s="124"/>
      <c r="X37" s="124"/>
      <c r="Y37" s="115" t="s">
        <v>4598</v>
      </c>
      <c r="Z37" s="112"/>
      <c r="AA37" s="112"/>
      <c r="AB37" s="111">
        <v>1.0</v>
      </c>
      <c r="AC37" s="112"/>
      <c r="AD37" s="112"/>
      <c r="AE37" s="112"/>
      <c r="AF37" s="112"/>
      <c r="AG37" s="115" t="s">
        <v>4599</v>
      </c>
      <c r="AH37" s="115">
        <v>1.0</v>
      </c>
      <c r="AI37" s="124"/>
      <c r="AJ37" s="124"/>
      <c r="AK37" s="124"/>
      <c r="AL37" s="124"/>
      <c r="AM37" s="124"/>
      <c r="AN37" s="124"/>
      <c r="AO37" s="124"/>
      <c r="AP37" s="124"/>
      <c r="AQ37" s="115">
        <v>1.0</v>
      </c>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row>
    <row r="38">
      <c r="A38" s="88" t="str">
        <f>HYPERLINK("https://drive.google.com/open?id=0B1GMAYMj9v6rVmExenZuQzBKam8","Avellis1993")</f>
        <v>Avellis1993</v>
      </c>
      <c r="B38" s="161" t="s">
        <v>4600</v>
      </c>
      <c r="C38" s="161" t="s">
        <v>4601</v>
      </c>
      <c r="D38" s="110">
        <v>1993.0</v>
      </c>
      <c r="E38" s="111">
        <v>1.0</v>
      </c>
      <c r="F38" s="112"/>
      <c r="G38" s="112"/>
      <c r="H38" s="112"/>
      <c r="I38" s="112"/>
      <c r="J38" s="111"/>
      <c r="K38" s="112"/>
      <c r="L38" s="112"/>
      <c r="M38" s="112"/>
      <c r="N38" s="112"/>
      <c r="O38" s="112"/>
      <c r="P38" s="112"/>
      <c r="Q38" s="112"/>
      <c r="R38" s="112"/>
      <c r="S38" s="112"/>
      <c r="T38" s="112"/>
      <c r="U38" s="124"/>
      <c r="V38" s="124"/>
      <c r="W38" s="124"/>
      <c r="X38" s="124"/>
      <c r="Y38" s="124"/>
      <c r="Z38" s="112"/>
      <c r="AA38" s="112"/>
      <c r="AB38" s="112"/>
      <c r="AC38" s="112"/>
      <c r="AD38" s="112"/>
      <c r="AE38" s="112"/>
      <c r="AF38" s="112"/>
      <c r="AG38" s="124"/>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c r="A39" s="88" t="str">
        <f>HYPERLINK("https://drive.google.com/open?id=0B1GMAYMj9v6rN1lFRVpJb0tIN00","Shum2006")</f>
        <v>Shum2006</v>
      </c>
      <c r="B39" s="161" t="s">
        <v>975</v>
      </c>
      <c r="C39" s="161" t="s">
        <v>976</v>
      </c>
      <c r="D39" s="110">
        <v>2006.0</v>
      </c>
      <c r="E39" s="111"/>
      <c r="F39" s="112"/>
      <c r="G39" s="111">
        <v>1.0</v>
      </c>
      <c r="H39" s="112"/>
      <c r="I39" s="112"/>
      <c r="J39" s="112"/>
      <c r="K39" s="112"/>
      <c r="L39" s="112"/>
      <c r="M39" s="112"/>
      <c r="N39" s="112"/>
      <c r="O39" s="112"/>
      <c r="P39" s="111">
        <v>1.0</v>
      </c>
      <c r="Q39" s="112"/>
      <c r="R39" s="112"/>
      <c r="S39" s="112"/>
      <c r="T39" s="112"/>
      <c r="U39" s="115" t="s">
        <v>977</v>
      </c>
      <c r="V39" s="124"/>
      <c r="W39" s="124"/>
      <c r="X39" s="124"/>
      <c r="Y39" s="115" t="s">
        <v>978</v>
      </c>
      <c r="Z39" s="112"/>
      <c r="AA39" s="112"/>
      <c r="AB39" s="111">
        <v>1.0</v>
      </c>
      <c r="AC39" s="112"/>
      <c r="AD39" s="112"/>
      <c r="AE39" s="112"/>
      <c r="AF39" s="112"/>
      <c r="AG39" s="115" t="s">
        <v>979</v>
      </c>
      <c r="AH39" s="115">
        <v>1.0</v>
      </c>
      <c r="AI39" s="124"/>
      <c r="AJ39" s="124"/>
      <c r="AK39" s="124"/>
      <c r="AL39" s="124"/>
      <c r="AM39" s="124"/>
      <c r="AN39" s="124"/>
      <c r="AO39" s="124"/>
      <c r="AP39" s="124"/>
      <c r="AQ39" s="115">
        <v>1.0</v>
      </c>
      <c r="AR39" s="124"/>
      <c r="AS39" s="124"/>
      <c r="AT39" s="124"/>
      <c r="AU39" s="124"/>
      <c r="AV39" s="124"/>
      <c r="AW39" s="124"/>
      <c r="AX39" s="124"/>
      <c r="AY39" s="124"/>
      <c r="AZ39" s="124"/>
      <c r="BA39" s="124"/>
      <c r="BB39" s="124"/>
      <c r="BC39" s="124"/>
      <c r="BD39" s="124"/>
      <c r="BE39" s="115">
        <v>1.0</v>
      </c>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row>
    <row r="40">
      <c r="A40" s="88" t="str">
        <f>HYPERLINK("https://drive.google.com/open?id=0B1GMAYMj9v6rc2xFZ3JoU1J5czg","Wein1992")</f>
        <v>Wein1992</v>
      </c>
      <c r="B40" s="161" t="s">
        <v>1214</v>
      </c>
      <c r="C40" s="161" t="s">
        <v>1215</v>
      </c>
      <c r="D40" s="110">
        <v>1992.0</v>
      </c>
      <c r="E40" s="112"/>
      <c r="F40" s="112"/>
      <c r="G40" s="112"/>
      <c r="H40" s="112"/>
      <c r="I40" s="112"/>
      <c r="J40" s="112"/>
      <c r="K40" s="111">
        <v>1.0</v>
      </c>
      <c r="L40" s="112"/>
      <c r="M40" s="112"/>
      <c r="N40" s="112"/>
      <c r="O40" s="112"/>
      <c r="P40" s="112"/>
      <c r="Q40" s="112"/>
      <c r="R40" s="112"/>
      <c r="S40" s="112"/>
      <c r="T40" s="112"/>
      <c r="U40" s="115" t="s">
        <v>9</v>
      </c>
      <c r="V40" s="124"/>
      <c r="W40" s="124"/>
      <c r="X40" s="124"/>
      <c r="Y40" s="115" t="s">
        <v>1216</v>
      </c>
      <c r="Z40" s="112"/>
      <c r="AA40" s="112"/>
      <c r="AB40" s="111">
        <v>1.0</v>
      </c>
      <c r="AC40" s="112"/>
      <c r="AD40" s="112"/>
      <c r="AE40" s="112"/>
      <c r="AF40" s="112"/>
      <c r="AG40" s="115" t="s">
        <v>1217</v>
      </c>
      <c r="AH40" s="115">
        <v>1.0</v>
      </c>
      <c r="AI40" s="124"/>
      <c r="AJ40" s="124"/>
      <c r="AK40" s="124"/>
      <c r="AL40" s="124"/>
      <c r="AM40" s="124"/>
      <c r="AN40" s="124"/>
      <c r="AO40" s="124"/>
      <c r="AP40" s="124"/>
      <c r="AQ40" s="115">
        <v>1.0</v>
      </c>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row>
    <row r="41">
      <c r="A41" s="88" t="str">
        <f>HYPERLINK("https://drive.google.com/open?id=0B1GMAYMj9v6reUtQU0ZFWDNOMUk","Parviainen2014")</f>
        <v>Parviainen2014</v>
      </c>
      <c r="B41" s="161" t="s">
        <v>834</v>
      </c>
      <c r="C41" s="161" t="s">
        <v>835</v>
      </c>
      <c r="D41" s="110">
        <v>2014.0</v>
      </c>
      <c r="E41" s="112"/>
      <c r="F41" s="112"/>
      <c r="G41" s="112"/>
      <c r="H41" s="112"/>
      <c r="I41" s="112"/>
      <c r="J41" s="112"/>
      <c r="K41" s="112"/>
      <c r="L41" s="112"/>
      <c r="M41" s="112"/>
      <c r="N41" s="112"/>
      <c r="O41" s="112"/>
      <c r="P41" s="111">
        <v>1.0</v>
      </c>
      <c r="Q41" s="111">
        <v>1.0</v>
      </c>
      <c r="R41" s="112"/>
      <c r="S41" s="112"/>
      <c r="T41" s="112"/>
      <c r="U41" s="115" t="s">
        <v>836</v>
      </c>
      <c r="V41" s="115" t="s">
        <v>71</v>
      </c>
      <c r="W41" s="115" t="s">
        <v>837</v>
      </c>
      <c r="X41" s="115" t="s">
        <v>838</v>
      </c>
      <c r="Y41" s="115" t="s">
        <v>122</v>
      </c>
      <c r="Z41" s="112"/>
      <c r="AA41" s="111">
        <v>1.0</v>
      </c>
      <c r="AB41" s="112"/>
      <c r="AC41" s="111">
        <v>1.0</v>
      </c>
      <c r="AD41" s="112"/>
      <c r="AE41" s="112"/>
      <c r="AF41" s="112"/>
      <c r="AG41" s="115" t="s">
        <v>839</v>
      </c>
      <c r="AH41" s="115">
        <v>1.0</v>
      </c>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15">
        <v>1.0</v>
      </c>
      <c r="BJ41" s="124"/>
      <c r="BK41" s="124"/>
      <c r="BL41" s="124"/>
      <c r="BM41" s="124"/>
      <c r="BN41" s="124"/>
      <c r="BO41" s="124"/>
      <c r="BP41" s="124"/>
      <c r="BQ41" s="124"/>
      <c r="BR41" s="124"/>
      <c r="BS41" s="124"/>
      <c r="BT41" s="115">
        <v>1.0</v>
      </c>
      <c r="BU41" s="124"/>
      <c r="BV41" s="124"/>
      <c r="BW41" s="124"/>
      <c r="BX41" s="124"/>
      <c r="BY41" s="124"/>
      <c r="BZ41" s="124"/>
      <c r="CA41" s="124"/>
    </row>
    <row r="42">
      <c r="A42" s="88" t="str">
        <f>HYPERLINK("https://drive.google.com/open?id=0B1GMAYMj9v6rUjNEb25DZGFWSEU","Alexandron2014")</f>
        <v>Alexandron2014</v>
      </c>
      <c r="B42" s="161" t="s">
        <v>117</v>
      </c>
      <c r="C42" s="161" t="s">
        <v>118</v>
      </c>
      <c r="D42" s="110">
        <v>2014.0</v>
      </c>
      <c r="E42" s="112"/>
      <c r="F42" s="112"/>
      <c r="G42" s="112"/>
      <c r="H42" s="111">
        <v>1.0</v>
      </c>
      <c r="I42" s="112"/>
      <c r="J42" s="112"/>
      <c r="K42" s="112"/>
      <c r="L42" s="112"/>
      <c r="M42" s="112"/>
      <c r="N42" s="112"/>
      <c r="O42" s="112"/>
      <c r="P42" s="112"/>
      <c r="Q42" s="112"/>
      <c r="R42" s="112"/>
      <c r="S42" s="112"/>
      <c r="T42" s="112"/>
      <c r="U42" s="115" t="s">
        <v>9</v>
      </c>
      <c r="V42" s="115" t="s">
        <v>119</v>
      </c>
      <c r="W42" s="115" t="s">
        <v>120</v>
      </c>
      <c r="X42" s="115" t="s">
        <v>121</v>
      </c>
      <c r="Y42" s="115" t="s">
        <v>122</v>
      </c>
      <c r="Z42" s="111">
        <v>1.0</v>
      </c>
      <c r="AA42" s="112"/>
      <c r="AB42" s="112"/>
      <c r="AC42" s="111">
        <v>1.0</v>
      </c>
      <c r="AD42" s="112"/>
      <c r="AE42" s="112"/>
      <c r="AF42" s="112"/>
      <c r="AG42" s="115" t="s">
        <v>123</v>
      </c>
      <c r="AH42" s="115">
        <v>1.0</v>
      </c>
      <c r="AI42" s="115"/>
      <c r="AJ42" s="115"/>
      <c r="AK42" s="115"/>
      <c r="AL42" s="115"/>
      <c r="AM42" s="115"/>
      <c r="AN42" s="115"/>
      <c r="AO42" s="115"/>
      <c r="AP42" s="115"/>
      <c r="AQ42" s="115">
        <v>1.0</v>
      </c>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v>1.0</v>
      </c>
      <c r="BU42" s="115"/>
      <c r="BV42" s="115"/>
      <c r="BW42" s="115"/>
      <c r="BX42" s="115"/>
      <c r="BY42" s="115"/>
      <c r="BZ42" s="115"/>
      <c r="CA42" s="115"/>
    </row>
    <row r="43">
      <c r="A43" s="88" t="str">
        <f>HYPERLINK("https://drive.google.com/open?id=0B1GMAYMj9v6rSTY1YWRkVjBlOVE","Ralph2011")</f>
        <v>Ralph2011</v>
      </c>
      <c r="B43" s="161" t="s">
        <v>871</v>
      </c>
      <c r="C43" s="161" t="s">
        <v>661</v>
      </c>
      <c r="D43" s="110">
        <v>2011.0</v>
      </c>
      <c r="E43" s="112"/>
      <c r="F43" s="111">
        <v>1.0</v>
      </c>
      <c r="G43" s="111">
        <v>1.0</v>
      </c>
      <c r="H43" s="112"/>
      <c r="I43" s="112"/>
      <c r="J43" s="112"/>
      <c r="K43" s="112"/>
      <c r="L43" s="111">
        <v>1.0</v>
      </c>
      <c r="M43" s="111">
        <v>1.0</v>
      </c>
      <c r="N43" s="112"/>
      <c r="O43" s="112"/>
      <c r="P43" s="111">
        <v>1.0</v>
      </c>
      <c r="Q43" s="112"/>
      <c r="R43" s="112"/>
      <c r="S43" s="112"/>
      <c r="T43" s="112"/>
      <c r="U43" s="115" t="s">
        <v>70</v>
      </c>
      <c r="V43" s="115" t="s">
        <v>872</v>
      </c>
      <c r="W43" s="124"/>
      <c r="X43" s="124"/>
      <c r="Y43" s="115" t="s">
        <v>122</v>
      </c>
      <c r="Z43" s="112"/>
      <c r="AA43" s="112"/>
      <c r="AB43" s="112"/>
      <c r="AC43" s="112"/>
      <c r="AD43" s="112"/>
      <c r="AE43" s="111">
        <v>1.0</v>
      </c>
      <c r="AF43" s="112"/>
      <c r="AG43" s="115" t="s">
        <v>873</v>
      </c>
      <c r="AH43" s="115">
        <v>1.0</v>
      </c>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15">
        <v>1.0</v>
      </c>
      <c r="BI43" s="124"/>
      <c r="BJ43" s="124"/>
      <c r="BK43" s="124"/>
      <c r="BL43" s="124"/>
      <c r="BM43" s="124"/>
      <c r="BN43" s="124"/>
      <c r="BO43" s="124"/>
      <c r="BP43" s="124"/>
      <c r="BQ43" s="124"/>
      <c r="BR43" s="124"/>
      <c r="BS43" s="124"/>
      <c r="BT43" s="124"/>
      <c r="BU43" s="124"/>
      <c r="BV43" s="124"/>
      <c r="BW43" s="124"/>
      <c r="BX43" s="124"/>
      <c r="BY43" s="124"/>
      <c r="BZ43" s="124"/>
      <c r="CA43" s="124"/>
    </row>
    <row r="44">
      <c r="A44" s="88" t="str">
        <f>HYPERLINK("https://drive.google.com/open?id=0B1GMAYMj9v6rN0VDM0VLbHpmckU","Bergin2004")</f>
        <v>Bergin2004</v>
      </c>
      <c r="B44" s="161" t="s">
        <v>4602</v>
      </c>
      <c r="C44" s="161" t="s">
        <v>4603</v>
      </c>
      <c r="D44" s="110">
        <v>2004.0</v>
      </c>
      <c r="E44" s="111">
        <v>1.0</v>
      </c>
      <c r="F44" s="112"/>
      <c r="G44" s="112"/>
      <c r="H44" s="112"/>
      <c r="I44" s="112"/>
      <c r="J44" s="112"/>
      <c r="K44" s="112"/>
      <c r="L44" s="111"/>
      <c r="M44" s="111"/>
      <c r="N44" s="111"/>
      <c r="O44" s="112"/>
      <c r="P44" s="112"/>
      <c r="Q44" s="112"/>
      <c r="R44" s="112"/>
      <c r="S44" s="112"/>
      <c r="T44" s="112"/>
      <c r="U44" s="124"/>
      <c r="V44" s="124"/>
      <c r="W44" s="124"/>
      <c r="X44" s="124"/>
      <c r="Y44" s="124"/>
      <c r="Z44" s="112"/>
      <c r="AA44" s="112"/>
      <c r="AB44" s="112"/>
      <c r="AC44" s="112"/>
      <c r="AD44" s="112"/>
      <c r="AE44" s="112"/>
      <c r="AF44" s="112"/>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row>
    <row r="45">
      <c r="A45" s="88" t="str">
        <f>HYPERLINK("https://drive.google.com/open?id=0B1GMAYMj9v6rdDNmclVjQnI5V28","Potter2014")</f>
        <v>Potter2014</v>
      </c>
      <c r="B45" s="161" t="s">
        <v>4604</v>
      </c>
      <c r="C45" s="161" t="s">
        <v>4605</v>
      </c>
      <c r="D45" s="110">
        <v>2014.0</v>
      </c>
      <c r="E45" s="111">
        <v>1.0</v>
      </c>
      <c r="F45" s="112"/>
      <c r="G45" s="112"/>
      <c r="H45" s="112"/>
      <c r="I45" s="112"/>
      <c r="J45" s="112"/>
      <c r="K45" s="112"/>
      <c r="L45" s="112"/>
      <c r="M45" s="112"/>
      <c r="N45" s="112"/>
      <c r="O45" s="112"/>
      <c r="P45" s="112"/>
      <c r="Q45" s="112"/>
      <c r="R45" s="112"/>
      <c r="S45" s="112"/>
      <c r="T45" s="112"/>
      <c r="U45" s="124"/>
      <c r="V45" s="124"/>
      <c r="W45" s="124"/>
      <c r="X45" s="124"/>
      <c r="Y45" s="124"/>
      <c r="Z45" s="112"/>
      <c r="AA45" s="112"/>
      <c r="AB45" s="112"/>
      <c r="AC45" s="112"/>
      <c r="AD45" s="112"/>
      <c r="AE45" s="112"/>
      <c r="AF45" s="112"/>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row>
    <row r="46">
      <c r="A46" s="88" t="str">
        <f>HYPERLINK("https://drive.google.com/open?id=0B1GMAYMj9v6rUVdjZGU2VEJVQzg","Ayalew2016")</f>
        <v>Ayalew2016</v>
      </c>
      <c r="B46" s="161" t="s">
        <v>2166</v>
      </c>
      <c r="C46" s="161" t="s">
        <v>2167</v>
      </c>
      <c r="D46" s="110">
        <v>2016.0</v>
      </c>
      <c r="E46" s="111">
        <v>1.0</v>
      </c>
      <c r="F46" s="112"/>
      <c r="G46" s="112"/>
      <c r="H46" s="112"/>
      <c r="I46" s="112"/>
      <c r="J46" s="112"/>
      <c r="K46" s="112"/>
      <c r="L46" s="112"/>
      <c r="M46" s="112"/>
      <c r="N46" s="112"/>
      <c r="O46" s="112"/>
      <c r="P46" s="112"/>
      <c r="Q46" s="112"/>
      <c r="R46" s="112"/>
      <c r="S46" s="112"/>
      <c r="T46" s="112"/>
      <c r="U46" s="124"/>
      <c r="V46" s="124"/>
      <c r="W46" s="124"/>
      <c r="X46" s="124"/>
      <c r="Y46" s="124"/>
      <c r="Z46" s="112"/>
      <c r="AA46" s="112"/>
      <c r="AB46" s="112"/>
      <c r="AC46" s="112"/>
      <c r="AD46" s="112"/>
      <c r="AE46" s="112"/>
      <c r="AF46" s="112"/>
      <c r="AG46" s="124"/>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c r="A47" s="88" t="str">
        <f>HYPERLINK("https://drive.google.com/open?id=0B1GMAYMj9v6rdm5BYVh1emNhOUE","Fritz2014")</f>
        <v>Fritz2014</v>
      </c>
      <c r="B47" s="161" t="s">
        <v>472</v>
      </c>
      <c r="C47" s="161" t="s">
        <v>196</v>
      </c>
      <c r="D47" s="110">
        <v>2014.0</v>
      </c>
      <c r="E47" s="112"/>
      <c r="F47" s="112"/>
      <c r="G47" s="112"/>
      <c r="H47" s="111">
        <v>1.0</v>
      </c>
      <c r="I47" s="112"/>
      <c r="J47" s="112"/>
      <c r="K47" s="112"/>
      <c r="L47" s="112"/>
      <c r="M47" s="112"/>
      <c r="N47" s="112"/>
      <c r="O47" s="112"/>
      <c r="P47" s="112"/>
      <c r="Q47" s="112"/>
      <c r="R47" s="112"/>
      <c r="S47" s="112"/>
      <c r="T47" s="112"/>
      <c r="U47" s="115" t="s">
        <v>473</v>
      </c>
      <c r="V47" s="124"/>
      <c r="W47" s="140" t="s">
        <v>474</v>
      </c>
      <c r="X47" s="115" t="s">
        <v>475</v>
      </c>
      <c r="Y47" s="115" t="s">
        <v>122</v>
      </c>
      <c r="Z47" s="112"/>
      <c r="AA47" s="111">
        <v>1.0</v>
      </c>
      <c r="AB47" s="112"/>
      <c r="AC47" s="111">
        <v>1.0</v>
      </c>
      <c r="AD47" s="112"/>
      <c r="AE47" s="112"/>
      <c r="AF47" s="112"/>
      <c r="AG47" s="115" t="s">
        <v>476</v>
      </c>
      <c r="AH47" s="115">
        <v>1.0</v>
      </c>
      <c r="AI47" s="115">
        <v>1.0</v>
      </c>
      <c r="AJ47" s="115"/>
      <c r="AK47" s="115"/>
      <c r="AL47" s="115"/>
      <c r="AM47" s="115"/>
      <c r="AN47" s="115"/>
      <c r="AO47" s="115"/>
      <c r="AP47" s="115"/>
      <c r="AQ47" s="115">
        <v>1.0</v>
      </c>
      <c r="AR47" s="115"/>
      <c r="AS47" s="115"/>
      <c r="AT47" s="115"/>
      <c r="AU47" s="115"/>
      <c r="AV47" s="115"/>
      <c r="AW47" s="115"/>
      <c r="AX47" s="115"/>
      <c r="AY47" s="115"/>
      <c r="AZ47" s="115"/>
      <c r="BA47" s="115">
        <v>1.0</v>
      </c>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v>1.0</v>
      </c>
      <c r="BZ47" s="115"/>
      <c r="CA47" s="115">
        <v>1.0</v>
      </c>
    </row>
    <row r="48">
      <c r="A48" s="88" t="str">
        <f>HYPERLINK("https://drive.google.com/open?id=0B1GMAYMj9v6rRk1EOGtidVRIekE","Burnett2009")</f>
        <v>Burnett2009</v>
      </c>
      <c r="B48" s="161" t="s">
        <v>4606</v>
      </c>
      <c r="C48" s="161" t="s">
        <v>4607</v>
      </c>
      <c r="D48" s="110">
        <v>2009.0</v>
      </c>
      <c r="E48" s="111">
        <v>1.0</v>
      </c>
      <c r="F48" s="112"/>
      <c r="G48" s="112"/>
      <c r="H48" s="112"/>
      <c r="I48" s="112"/>
      <c r="J48" s="112"/>
      <c r="K48" s="112"/>
      <c r="L48" s="112"/>
      <c r="M48" s="112"/>
      <c r="N48" s="112"/>
      <c r="O48" s="112"/>
      <c r="P48" s="112"/>
      <c r="Q48" s="112"/>
      <c r="R48" s="112"/>
      <c r="S48" s="112"/>
      <c r="T48" s="112"/>
      <c r="U48" s="124"/>
      <c r="V48" s="124"/>
      <c r="W48" s="124"/>
      <c r="X48" s="124"/>
      <c r="Y48" s="124"/>
      <c r="Z48" s="112"/>
      <c r="AA48" s="112"/>
      <c r="AB48" s="112"/>
      <c r="AC48" s="112"/>
      <c r="AD48" s="112"/>
      <c r="AE48" s="112"/>
      <c r="AF48" s="112"/>
      <c r="AG48" s="124"/>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c r="A49" s="88" t="str">
        <f>HYPERLINK("https://drive.google.com/open?id=0B1GMAYMj9v6rQ2FRY0REYVFHQ1E","Mohan2008")</f>
        <v>Mohan2008</v>
      </c>
      <c r="B49" s="161" t="s">
        <v>750</v>
      </c>
      <c r="C49" s="161" t="s">
        <v>751</v>
      </c>
      <c r="D49" s="110">
        <v>2008.0</v>
      </c>
      <c r="E49" s="112"/>
      <c r="F49" s="111">
        <v>1.0</v>
      </c>
      <c r="G49" s="111">
        <v>1.0</v>
      </c>
      <c r="H49" s="112"/>
      <c r="I49" s="112"/>
      <c r="J49" s="112"/>
      <c r="K49" s="112"/>
      <c r="L49" s="112"/>
      <c r="M49" s="112"/>
      <c r="N49" s="112"/>
      <c r="O49" s="112"/>
      <c r="P49" s="111">
        <v>1.0</v>
      </c>
      <c r="Q49" s="112"/>
      <c r="R49" s="112"/>
      <c r="S49" s="112"/>
      <c r="T49" s="112"/>
      <c r="U49" s="115" t="s">
        <v>70</v>
      </c>
      <c r="V49" s="115" t="s">
        <v>752</v>
      </c>
      <c r="W49" s="115" t="s">
        <v>753</v>
      </c>
      <c r="X49" s="115" t="s">
        <v>754</v>
      </c>
      <c r="Y49" s="115" t="s">
        <v>122</v>
      </c>
      <c r="Z49" s="112"/>
      <c r="AA49" s="111">
        <v>1.0</v>
      </c>
      <c r="AB49" s="112"/>
      <c r="AC49" s="111">
        <v>1.0</v>
      </c>
      <c r="AD49" s="112"/>
      <c r="AE49" s="112"/>
      <c r="AF49" s="112"/>
      <c r="AG49" s="115" t="s">
        <v>755</v>
      </c>
      <c r="AH49" s="115">
        <v>1.0</v>
      </c>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v>1.0</v>
      </c>
      <c r="BI49" s="115"/>
      <c r="BJ49" s="115"/>
      <c r="BK49" s="115"/>
      <c r="BL49" s="115"/>
      <c r="BM49" s="115"/>
      <c r="BN49" s="115"/>
      <c r="BO49" s="115"/>
      <c r="BP49" s="115"/>
      <c r="BQ49" s="115"/>
      <c r="BR49" s="115"/>
      <c r="BS49" s="115"/>
      <c r="BT49" s="115"/>
      <c r="BU49" s="115">
        <v>1.0</v>
      </c>
      <c r="BV49" s="115"/>
      <c r="BW49" s="115"/>
      <c r="BX49" s="115"/>
      <c r="BY49" s="115"/>
      <c r="BZ49" s="115"/>
      <c r="CA49" s="115"/>
    </row>
    <row r="50">
      <c r="A50" s="88" t="str">
        <f>HYPERLINK("https://drive.google.com/open?id=0B1GMAYMj9v6rdVV0MUVRUDVBcUU","Schots2012")</f>
        <v>Schots2012</v>
      </c>
      <c r="B50" s="161" t="s">
        <v>4608</v>
      </c>
      <c r="C50" s="161" t="s">
        <v>4609</v>
      </c>
      <c r="D50" s="110">
        <v>2012.0</v>
      </c>
      <c r="E50" s="111">
        <v>1.0</v>
      </c>
      <c r="F50" s="112"/>
      <c r="G50" s="112"/>
      <c r="H50" s="112"/>
      <c r="I50" s="112"/>
      <c r="J50" s="112"/>
      <c r="K50" s="112"/>
      <c r="L50" s="112"/>
      <c r="M50" s="112"/>
      <c r="N50" s="112"/>
      <c r="O50" s="112"/>
      <c r="P50" s="112"/>
      <c r="Q50" s="112"/>
      <c r="R50" s="112"/>
      <c r="S50" s="112"/>
      <c r="T50" s="112"/>
      <c r="U50" s="124"/>
      <c r="V50" s="124"/>
      <c r="W50" s="124"/>
      <c r="X50" s="124"/>
      <c r="Y50" s="124"/>
      <c r="Z50" s="112"/>
      <c r="AA50" s="112"/>
      <c r="AB50" s="112"/>
      <c r="AC50" s="112"/>
      <c r="AD50" s="112"/>
      <c r="AE50" s="112"/>
      <c r="AF50" s="112"/>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row>
    <row r="51">
      <c r="A51" s="88" t="str">
        <f>HYPERLINK("https://drive.google.com/open?id=0B1GMAYMj9v6rLXdidkRrUl9jcUk","Williams2012")</f>
        <v>Williams2012</v>
      </c>
      <c r="B51" s="161" t="s">
        <v>4610</v>
      </c>
      <c r="C51" s="161" t="s">
        <v>4543</v>
      </c>
      <c r="D51" s="110">
        <v>2012.0</v>
      </c>
      <c r="E51" s="111">
        <v>1.0</v>
      </c>
      <c r="F51" s="112"/>
      <c r="G51" s="112"/>
      <c r="H51" s="112"/>
      <c r="I51" s="112"/>
      <c r="J51" s="112"/>
      <c r="K51" s="112"/>
      <c r="L51" s="112"/>
      <c r="M51" s="112"/>
      <c r="N51" s="112"/>
      <c r="O51" s="112"/>
      <c r="P51" s="112"/>
      <c r="Q51" s="112"/>
      <c r="R51" s="112"/>
      <c r="S51" s="112"/>
      <c r="T51" s="112"/>
      <c r="U51" s="124"/>
      <c r="V51" s="124"/>
      <c r="W51" s="124"/>
      <c r="X51" s="124"/>
      <c r="Y51" s="124"/>
      <c r="Z51" s="112"/>
      <c r="AA51" s="112"/>
      <c r="AB51" s="112"/>
      <c r="AC51" s="112"/>
      <c r="AD51" s="112"/>
      <c r="AE51" s="112"/>
      <c r="AF51" s="112"/>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row>
    <row r="52">
      <c r="A52" s="88" t="str">
        <f>HYPERLINK("https://drive.google.com/open?id=0B1GMAYMj9v6rM1oxX0hPTWZiVk0","Shin2016")</f>
        <v>Shin2016</v>
      </c>
      <c r="B52" s="161" t="s">
        <v>2092</v>
      </c>
      <c r="C52" s="161" t="s">
        <v>2093</v>
      </c>
      <c r="D52" s="110">
        <v>2016.0</v>
      </c>
      <c r="E52" s="111">
        <v>1.0</v>
      </c>
      <c r="F52" s="112"/>
      <c r="G52" s="112"/>
      <c r="H52" s="112"/>
      <c r="I52" s="112"/>
      <c r="J52" s="112"/>
      <c r="K52" s="112"/>
      <c r="L52" s="112"/>
      <c r="M52" s="112"/>
      <c r="N52" s="112"/>
      <c r="O52" s="112"/>
      <c r="P52" s="112"/>
      <c r="Q52" s="112"/>
      <c r="R52" s="112"/>
      <c r="S52" s="112"/>
      <c r="T52" s="112"/>
      <c r="U52" s="124"/>
      <c r="V52" s="124"/>
      <c r="W52" s="124"/>
      <c r="X52" s="124"/>
      <c r="Y52" s="124"/>
      <c r="Z52" s="112"/>
      <c r="AA52" s="112"/>
      <c r="AB52" s="112"/>
      <c r="AC52" s="112"/>
      <c r="AD52" s="112"/>
      <c r="AE52" s="112"/>
      <c r="AF52" s="112"/>
      <c r="AG52" s="124"/>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c r="A53" s="88" t="str">
        <f>HYPERLINK("https://drive.google.com/open?id=0B1GMAYMj9v6rUTB5eU43TDVMVGc","Leveson1998")</f>
        <v>Leveson1998</v>
      </c>
      <c r="B53" s="161" t="s">
        <v>687</v>
      </c>
      <c r="C53" s="161" t="s">
        <v>688</v>
      </c>
      <c r="D53" s="110">
        <v>1998.0</v>
      </c>
      <c r="E53" s="112"/>
      <c r="F53" s="111">
        <v>1.0</v>
      </c>
      <c r="G53" s="111">
        <v>1.0</v>
      </c>
      <c r="H53" s="111">
        <v>1.0</v>
      </c>
      <c r="I53" s="112"/>
      <c r="J53" s="112"/>
      <c r="K53" s="112"/>
      <c r="L53" s="112"/>
      <c r="M53" s="112"/>
      <c r="N53" s="111">
        <v>1.0</v>
      </c>
      <c r="O53" s="112"/>
      <c r="P53" s="111">
        <v>1.0</v>
      </c>
      <c r="Q53" s="112"/>
      <c r="R53" s="112"/>
      <c r="S53" s="112"/>
      <c r="T53" s="112"/>
      <c r="U53" s="124"/>
      <c r="V53" s="115" t="s">
        <v>689</v>
      </c>
      <c r="W53" s="124"/>
      <c r="X53" s="124"/>
      <c r="Y53" s="115" t="s">
        <v>690</v>
      </c>
      <c r="Z53" s="112"/>
      <c r="AA53" s="112"/>
      <c r="AB53" s="112"/>
      <c r="AC53" s="112"/>
      <c r="AD53" s="112"/>
      <c r="AE53" s="111">
        <v>1.0</v>
      </c>
      <c r="AF53" s="112"/>
      <c r="AG53" s="115" t="s">
        <v>691</v>
      </c>
      <c r="AH53" s="115">
        <v>1.0</v>
      </c>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15">
        <v>1.0</v>
      </c>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row>
    <row r="54">
      <c r="A54" s="88" t="str">
        <f>HYPERLINK("https://drive.google.com/open?id=0B1GMAYMj9v6rcURHdDZRcE4xaVU","Marsan2012")</f>
        <v>Marsan2012</v>
      </c>
      <c r="B54" s="161" t="s">
        <v>4611</v>
      </c>
      <c r="C54" s="161" t="s">
        <v>4612</v>
      </c>
      <c r="D54" s="110">
        <v>2012.0</v>
      </c>
      <c r="E54" s="111">
        <v>1.0</v>
      </c>
      <c r="F54" s="112"/>
      <c r="G54" s="112"/>
      <c r="H54" s="112"/>
      <c r="I54" s="112"/>
      <c r="J54" s="112"/>
      <c r="K54" s="112"/>
      <c r="L54" s="112"/>
      <c r="M54" s="112"/>
      <c r="N54" s="112"/>
      <c r="O54" s="112"/>
      <c r="P54" s="112"/>
      <c r="Q54" s="112"/>
      <c r="R54" s="112"/>
      <c r="S54" s="112"/>
      <c r="T54" s="112"/>
      <c r="U54" s="124"/>
      <c r="V54" s="124"/>
      <c r="W54" s="124"/>
      <c r="X54" s="124"/>
      <c r="Y54" s="124"/>
      <c r="Z54" s="112"/>
      <c r="AA54" s="112"/>
      <c r="AB54" s="112"/>
      <c r="AC54" s="112"/>
      <c r="AD54" s="112"/>
      <c r="AE54" s="112"/>
      <c r="AF54" s="112"/>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row>
    <row r="55">
      <c r="A55" s="180" t="str">
        <f>HYPERLINK("https://drive.google.com/open?id=0B1GMAYMj9v6rMS1DZGlCNXV1VTQ","Urbach2010")</f>
        <v>Urbach2010</v>
      </c>
      <c r="B55" s="161" t="s">
        <v>1142</v>
      </c>
      <c r="C55" s="161" t="s">
        <v>1058</v>
      </c>
      <c r="D55" s="110">
        <v>2010.0</v>
      </c>
      <c r="E55" s="112"/>
      <c r="F55" s="112"/>
      <c r="G55" s="112"/>
      <c r="H55" s="112"/>
      <c r="I55" s="112"/>
      <c r="J55" s="112"/>
      <c r="K55" s="112"/>
      <c r="L55" s="112"/>
      <c r="M55" s="112"/>
      <c r="N55" s="112"/>
      <c r="O55" s="112"/>
      <c r="P55" s="111">
        <v>1.0</v>
      </c>
      <c r="Q55" s="112"/>
      <c r="R55" s="112"/>
      <c r="S55" s="112"/>
      <c r="T55" s="112"/>
      <c r="V55" s="115" t="s">
        <v>1143</v>
      </c>
      <c r="W55" s="115" t="s">
        <v>1144</v>
      </c>
      <c r="X55" s="115" t="s">
        <v>336</v>
      </c>
      <c r="Y55" s="115" t="s">
        <v>122</v>
      </c>
      <c r="Z55" s="112"/>
      <c r="AA55" s="111">
        <v>1.0</v>
      </c>
      <c r="AB55" s="112"/>
      <c r="AC55" s="111">
        <v>1.0</v>
      </c>
      <c r="AD55" s="112"/>
      <c r="AE55" s="112"/>
      <c r="AF55" s="112"/>
      <c r="AG55" s="115" t="s">
        <v>1145</v>
      </c>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row>
    <row r="56">
      <c r="A56" s="180" t="str">
        <f>HYPERLINK("https://drive.google.com/open?id=0B1GMAYMj9v6rSnFQdjVMX25kcEk","Belk2013")</f>
        <v>Belk2013</v>
      </c>
      <c r="B56" s="161" t="s">
        <v>210</v>
      </c>
      <c r="C56" s="161" t="s">
        <v>211</v>
      </c>
      <c r="D56" s="110">
        <v>2013.0</v>
      </c>
      <c r="E56" s="111"/>
      <c r="F56" s="111">
        <v>1.0</v>
      </c>
      <c r="G56" s="111">
        <v>1.0</v>
      </c>
      <c r="H56" s="112"/>
      <c r="I56" s="112"/>
      <c r="J56" s="112"/>
      <c r="K56" s="112"/>
      <c r="L56" s="112"/>
      <c r="M56" s="112"/>
      <c r="N56" s="112"/>
      <c r="O56" s="112"/>
      <c r="P56" s="112"/>
      <c r="Q56" s="112"/>
      <c r="R56" s="112"/>
      <c r="S56" s="112"/>
      <c r="T56" s="112"/>
      <c r="U56" s="115" t="s">
        <v>212</v>
      </c>
      <c r="V56" s="115" t="s">
        <v>160</v>
      </c>
      <c r="W56" s="115" t="s">
        <v>213</v>
      </c>
      <c r="X56" s="115" t="s">
        <v>214</v>
      </c>
      <c r="Y56" s="115" t="s">
        <v>215</v>
      </c>
      <c r="Z56" s="111">
        <v>1.0</v>
      </c>
      <c r="AA56" s="112"/>
      <c r="AB56" s="112"/>
      <c r="AC56" s="111">
        <v>1.0</v>
      </c>
      <c r="AD56" s="112"/>
      <c r="AE56" s="112"/>
      <c r="AF56" s="112"/>
      <c r="AG56" s="115" t="s">
        <v>216</v>
      </c>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c r="A57" s="136" t="s">
        <v>4409</v>
      </c>
      <c r="C57" s="141"/>
      <c r="D57" s="137"/>
      <c r="E57" s="112" t="str">
        <f>ROWS(E3:E56)&amp;" ("&amp;ROWS(E3:E56)-sum(E3:E56)&amp;"/"&amp;sum(E3:E56)&amp;")"</f>
        <v>54 (33/21)</v>
      </c>
      <c r="F57" s="112"/>
      <c r="G57" s="112"/>
      <c r="H57" s="112"/>
      <c r="I57" s="112"/>
      <c r="J57" s="112"/>
      <c r="K57" s="112"/>
      <c r="L57" s="112"/>
      <c r="M57" s="112"/>
      <c r="N57" s="112"/>
      <c r="O57" s="112"/>
      <c r="P57" s="112"/>
      <c r="Q57" s="112"/>
      <c r="R57" s="112"/>
      <c r="S57" s="112"/>
      <c r="T57" s="112"/>
      <c r="U57" s="124"/>
      <c r="V57" s="124"/>
      <c r="W57" s="124"/>
      <c r="X57" s="124"/>
      <c r="Y57" s="124"/>
      <c r="Z57" s="112"/>
      <c r="AA57" s="112"/>
      <c r="AB57" s="112"/>
      <c r="AC57" s="112"/>
      <c r="AD57" s="112"/>
      <c r="AE57" s="112"/>
      <c r="AF57" s="112"/>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row>
    <row r="58">
      <c r="A58" s="46" t="s">
        <v>4613</v>
      </c>
      <c r="B58" s="153" t="s">
        <v>472</v>
      </c>
      <c r="C58" s="193" t="s">
        <v>4614</v>
      </c>
      <c r="D58" s="110">
        <v>2014.0</v>
      </c>
      <c r="E58" s="111">
        <v>1.0</v>
      </c>
      <c r="F58" s="112"/>
      <c r="G58" s="112"/>
      <c r="H58" s="112"/>
      <c r="I58" s="112"/>
      <c r="J58" s="112"/>
      <c r="K58" s="112"/>
      <c r="L58" s="112"/>
      <c r="M58" s="112"/>
      <c r="N58" s="112"/>
      <c r="O58" s="112"/>
      <c r="P58" s="112"/>
      <c r="Q58" s="112"/>
      <c r="R58" s="112"/>
      <c r="S58" s="112"/>
      <c r="T58" s="112"/>
      <c r="U58" s="124"/>
      <c r="V58" s="124"/>
      <c r="W58" s="124"/>
      <c r="X58" s="124"/>
      <c r="Y58" s="124"/>
      <c r="Z58" s="112"/>
      <c r="AA58" s="112"/>
      <c r="AB58" s="112"/>
      <c r="AC58" s="112"/>
      <c r="AD58" s="112"/>
      <c r="AE58" s="112"/>
      <c r="AF58" s="112"/>
      <c r="AG58" s="124"/>
      <c r="AH58" s="124"/>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24"/>
      <c r="BE58" s="124"/>
      <c r="BF58" s="124"/>
      <c r="BG58" s="124"/>
      <c r="BH58" s="124"/>
      <c r="BI58" s="124"/>
      <c r="BJ58" s="124"/>
      <c r="BK58" s="124"/>
      <c r="BL58" s="124"/>
      <c r="BM58" s="124"/>
      <c r="BN58" s="124"/>
      <c r="BO58" s="124"/>
      <c r="BP58" s="124"/>
      <c r="BQ58" s="124"/>
      <c r="BR58" s="124"/>
      <c r="BS58" s="124"/>
      <c r="BT58" s="124"/>
      <c r="BU58" s="124"/>
      <c r="BV58" s="124"/>
      <c r="BW58" s="124"/>
      <c r="BX58" s="124"/>
      <c r="BY58" s="124"/>
      <c r="BZ58" s="124"/>
      <c r="CA58" s="124"/>
    </row>
    <row r="59">
      <c r="A59" s="138" t="str">
        <f>HYPERLINK("https://drive.google.com/open?id=1Fhmlo8O5-dpsIegZS6zEMGeeYHMhFgau","Benbasat1982")</f>
        <v>Benbasat1982</v>
      </c>
      <c r="B59" s="188" t="s">
        <v>217</v>
      </c>
      <c r="C59" s="188" t="s">
        <v>218</v>
      </c>
      <c r="D59" s="110">
        <v>1982.0</v>
      </c>
      <c r="E59" s="111"/>
      <c r="F59" s="111">
        <v>1.0</v>
      </c>
      <c r="G59" s="112"/>
      <c r="H59" s="112"/>
      <c r="I59" s="112"/>
      <c r="J59" s="112"/>
      <c r="K59" s="112"/>
      <c r="L59" s="112"/>
      <c r="M59" s="112"/>
      <c r="N59" s="112"/>
      <c r="O59" s="112"/>
      <c r="P59" s="112"/>
      <c r="Q59" s="112"/>
      <c r="R59" s="112"/>
      <c r="S59" s="112"/>
      <c r="T59" s="112"/>
      <c r="U59" s="115" t="s">
        <v>219</v>
      </c>
      <c r="V59" s="115" t="s">
        <v>220</v>
      </c>
      <c r="W59" s="115" t="s">
        <v>221</v>
      </c>
      <c r="X59" s="115" t="s">
        <v>221</v>
      </c>
      <c r="Y59" s="115" t="s">
        <v>222</v>
      </c>
      <c r="Z59" s="112"/>
      <c r="AA59" s="112"/>
      <c r="AB59" s="112"/>
      <c r="AC59" s="112"/>
      <c r="AD59" s="112"/>
      <c r="AE59" s="111">
        <v>1.0</v>
      </c>
      <c r="AF59" s="112"/>
      <c r="AG59" s="115" t="s">
        <v>223</v>
      </c>
      <c r="AH59" s="115">
        <v>1.0</v>
      </c>
      <c r="AI59" s="124"/>
      <c r="AJ59" s="124"/>
      <c r="AK59" s="124"/>
      <c r="AL59" s="124"/>
      <c r="AM59" s="124"/>
      <c r="AN59" s="124"/>
      <c r="AO59" s="124"/>
      <c r="AP59" s="124"/>
      <c r="AQ59" s="115">
        <v>1.0</v>
      </c>
      <c r="AR59" s="124"/>
      <c r="AS59" s="124"/>
      <c r="AT59" s="124"/>
      <c r="AU59" s="124"/>
      <c r="AV59" s="124"/>
      <c r="AW59" s="124"/>
      <c r="AX59" s="124"/>
      <c r="AY59" s="124"/>
      <c r="AZ59" s="124"/>
      <c r="BA59" s="124"/>
      <c r="BB59" s="124"/>
      <c r="BC59" s="124"/>
      <c r="BD59" s="124"/>
      <c r="BE59" s="124"/>
      <c r="BF59" s="115">
        <v>1.0</v>
      </c>
      <c r="BG59" s="124"/>
      <c r="BH59" s="115">
        <v>1.0</v>
      </c>
      <c r="BI59" s="124"/>
      <c r="BJ59" s="124"/>
      <c r="BK59" s="124"/>
      <c r="BL59" s="124"/>
      <c r="BM59" s="124"/>
      <c r="BN59" s="124"/>
      <c r="BO59" s="124"/>
      <c r="BP59" s="124"/>
      <c r="BQ59" s="124"/>
      <c r="BR59" s="124"/>
      <c r="BS59" s="124"/>
      <c r="BT59" s="124"/>
      <c r="BU59" s="124"/>
      <c r="BV59" s="124"/>
      <c r="BW59" s="124"/>
      <c r="BX59" s="124"/>
      <c r="BY59" s="124"/>
      <c r="BZ59" s="124"/>
      <c r="CA59" s="124"/>
    </row>
    <row r="60">
      <c r="A60" s="139" t="str">
        <f>HYPERLINK("https://drive.google.com/open?id=1g07QiLAU4hmS6bqWeu5I-BhgMFgc8HRn","Biehl2007")</f>
        <v>Biehl2007</v>
      </c>
      <c r="B60" s="188" t="s">
        <v>230</v>
      </c>
      <c r="C60" s="188" t="s">
        <v>231</v>
      </c>
      <c r="D60" s="110">
        <v>2007.0</v>
      </c>
      <c r="E60" s="112"/>
      <c r="F60" s="112"/>
      <c r="G60" s="111">
        <v>1.0</v>
      </c>
      <c r="H60" s="111">
        <v>1.0</v>
      </c>
      <c r="I60" s="112"/>
      <c r="J60" s="111">
        <v>1.0</v>
      </c>
      <c r="K60" s="112"/>
      <c r="L60" s="112"/>
      <c r="M60" s="112"/>
      <c r="N60" s="112"/>
      <c r="O60" s="112"/>
      <c r="P60" s="112"/>
      <c r="Q60" s="112"/>
      <c r="R60" s="112"/>
      <c r="S60" s="112"/>
      <c r="T60" s="112"/>
      <c r="U60" s="115" t="s">
        <v>92</v>
      </c>
      <c r="V60" s="115" t="s">
        <v>232</v>
      </c>
      <c r="W60" s="115" t="s">
        <v>233</v>
      </c>
      <c r="X60" s="115" t="s">
        <v>234</v>
      </c>
      <c r="Y60" s="115" t="s">
        <v>122</v>
      </c>
      <c r="Z60" s="112"/>
      <c r="AA60" s="111">
        <v>1.0</v>
      </c>
      <c r="AB60" s="112"/>
      <c r="AC60" s="111">
        <v>1.0</v>
      </c>
      <c r="AD60" s="112"/>
      <c r="AE60" s="112"/>
      <c r="AF60" s="112"/>
      <c r="AG60" s="115" t="s">
        <v>235</v>
      </c>
      <c r="AH60" s="115">
        <v>1.0</v>
      </c>
      <c r="AI60" s="115" t="s">
        <v>1240</v>
      </c>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24"/>
      <c r="BV60" s="124"/>
      <c r="BW60" s="124"/>
      <c r="BX60" s="124"/>
      <c r="BY60" s="124"/>
      <c r="BZ60" s="115">
        <v>1.0</v>
      </c>
      <c r="CA60" s="124"/>
    </row>
    <row r="61">
      <c r="A61" s="139" t="str">
        <f>HYPERLINK("https://drive.google.com/open?id=1YLOWAy-JwNL4ZOiKKYW7KjXODvbMqS-1","Binkley2002")</f>
        <v>Binkley2002</v>
      </c>
      <c r="B61" s="188" t="s">
        <v>236</v>
      </c>
      <c r="C61" s="188" t="s">
        <v>237</v>
      </c>
      <c r="D61" s="110">
        <v>2002.0</v>
      </c>
      <c r="E61" s="112"/>
      <c r="F61" s="112"/>
      <c r="G61" s="112"/>
      <c r="H61" s="111">
        <v>1.0</v>
      </c>
      <c r="I61" s="112"/>
      <c r="J61" s="111">
        <v>1.0</v>
      </c>
      <c r="K61" s="112"/>
      <c r="L61" s="112"/>
      <c r="M61" s="112"/>
      <c r="N61" s="112"/>
      <c r="O61" s="112"/>
      <c r="P61" s="112"/>
      <c r="Q61" s="112"/>
      <c r="R61" s="112"/>
      <c r="S61" s="112"/>
      <c r="T61" s="112"/>
      <c r="U61" s="115" t="s">
        <v>92</v>
      </c>
      <c r="V61" s="115" t="s">
        <v>238</v>
      </c>
      <c r="W61" s="115" t="s">
        <v>239</v>
      </c>
      <c r="X61" s="115" t="s">
        <v>240</v>
      </c>
      <c r="Y61" s="115" t="s">
        <v>122</v>
      </c>
      <c r="Z61" s="111">
        <v>1.0</v>
      </c>
      <c r="AA61" s="112"/>
      <c r="AB61" s="112"/>
      <c r="AC61" s="111">
        <v>1.0</v>
      </c>
      <c r="AD61" s="112"/>
      <c r="AE61" s="112"/>
      <c r="AF61" s="112"/>
      <c r="AG61" s="115" t="s">
        <v>241</v>
      </c>
      <c r="AH61" s="115">
        <v>1.0</v>
      </c>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24"/>
      <c r="BE61" s="124"/>
      <c r="BF61" s="124"/>
      <c r="BG61" s="124"/>
      <c r="BH61" s="124"/>
      <c r="BI61" s="124"/>
      <c r="BJ61" s="124"/>
      <c r="BK61" s="124"/>
      <c r="BL61" s="115" t="s">
        <v>1240</v>
      </c>
      <c r="BM61" s="124"/>
      <c r="BN61" s="124"/>
      <c r="BO61" s="124"/>
      <c r="BP61" s="124"/>
      <c r="BQ61" s="124"/>
      <c r="BR61" s="124"/>
      <c r="BS61" s="124"/>
      <c r="BT61" s="124"/>
      <c r="BU61" s="124"/>
      <c r="BV61" s="124"/>
      <c r="BW61" s="124"/>
      <c r="BX61" s="115">
        <v>1.0</v>
      </c>
      <c r="BY61" s="124"/>
      <c r="BZ61" s="124"/>
      <c r="CA61" s="124"/>
    </row>
    <row r="62">
      <c r="A62" s="138" t="str">
        <f>HYPERLINK("https://drive.google.com/open?id=1BgWEQ71X4EDCQ7BBFpGxFsYp3ybs0ay8","Bisantz2003")</f>
        <v>Bisantz2003</v>
      </c>
      <c r="B62" s="188" t="s">
        <v>4615</v>
      </c>
      <c r="C62" s="188" t="s">
        <v>4616</v>
      </c>
      <c r="D62" s="110">
        <v>2003.0</v>
      </c>
      <c r="E62" s="111">
        <v>1.0</v>
      </c>
      <c r="F62" s="112"/>
      <c r="G62" s="112"/>
      <c r="H62" s="112"/>
      <c r="I62" s="112"/>
      <c r="J62" s="112"/>
      <c r="K62" s="112"/>
      <c r="L62" s="112"/>
      <c r="M62" s="112"/>
      <c r="N62" s="112"/>
      <c r="O62" s="112"/>
      <c r="P62" s="112"/>
      <c r="Q62" s="112"/>
      <c r="R62" s="112"/>
      <c r="S62" s="112"/>
      <c r="T62" s="112"/>
      <c r="U62" s="124"/>
      <c r="V62" s="124"/>
      <c r="W62" s="124"/>
      <c r="X62" s="124"/>
      <c r="Y62" s="124"/>
      <c r="Z62" s="112"/>
      <c r="AA62" s="112"/>
      <c r="AB62" s="112"/>
      <c r="AC62" s="112"/>
      <c r="AD62" s="112"/>
      <c r="AE62" s="112"/>
      <c r="AF62" s="112"/>
      <c r="AG62" s="124"/>
      <c r="AH62" s="124"/>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24"/>
      <c r="BE62" s="124"/>
      <c r="BF62" s="124"/>
      <c r="BG62" s="124"/>
      <c r="BH62" s="124"/>
      <c r="BI62" s="124"/>
      <c r="BJ62" s="124"/>
      <c r="BK62" s="124"/>
      <c r="BL62" s="124"/>
      <c r="BM62" s="124"/>
      <c r="BN62" s="124"/>
      <c r="BO62" s="124"/>
      <c r="BP62" s="124"/>
      <c r="BQ62" s="124"/>
      <c r="BR62" s="124"/>
      <c r="BS62" s="124"/>
      <c r="BT62" s="124"/>
      <c r="BU62" s="124"/>
      <c r="BV62" s="124"/>
      <c r="BW62" s="124"/>
      <c r="BX62" s="124"/>
      <c r="BY62" s="124"/>
      <c r="BZ62" s="124"/>
      <c r="CA62" s="124"/>
    </row>
    <row r="63">
      <c r="A63" s="139" t="str">
        <f>HYPERLINK("https://drive.google.com/open?id=1-Vad87wDwpbuylTwzpdOzAM_HZXSa8T7","DeLucia2008")</f>
        <v>DeLucia2008</v>
      </c>
      <c r="B63" s="188" t="s">
        <v>413</v>
      </c>
      <c r="C63" s="188" t="s">
        <v>414</v>
      </c>
      <c r="D63" s="110">
        <v>2008.0</v>
      </c>
      <c r="E63" s="112"/>
      <c r="F63" s="112"/>
      <c r="G63" s="111">
        <v>1.0</v>
      </c>
      <c r="H63" s="112"/>
      <c r="I63" s="112"/>
      <c r="J63" s="112"/>
      <c r="K63" s="112"/>
      <c r="L63" s="112"/>
      <c r="M63" s="112"/>
      <c r="N63" s="112"/>
      <c r="O63" s="112"/>
      <c r="P63" s="112"/>
      <c r="Q63" s="112"/>
      <c r="R63" s="112"/>
      <c r="S63" s="112"/>
      <c r="T63" s="112"/>
      <c r="U63" s="115" t="s">
        <v>92</v>
      </c>
      <c r="V63" s="115" t="s">
        <v>415</v>
      </c>
      <c r="W63" s="115" t="s">
        <v>416</v>
      </c>
      <c r="X63" s="115" t="s">
        <v>417</v>
      </c>
      <c r="Y63" s="115" t="s">
        <v>122</v>
      </c>
      <c r="Z63" s="111">
        <v>1.0</v>
      </c>
      <c r="AA63" s="112"/>
      <c r="AB63" s="112"/>
      <c r="AC63" s="111">
        <v>1.0</v>
      </c>
      <c r="AD63" s="112"/>
      <c r="AE63" s="112"/>
      <c r="AF63" s="112"/>
      <c r="AG63" s="115" t="s">
        <v>418</v>
      </c>
      <c r="AH63" s="115">
        <v>1.0</v>
      </c>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15" t="s">
        <v>1240</v>
      </c>
      <c r="BM63" s="124"/>
      <c r="BN63" s="124"/>
      <c r="BO63" s="124"/>
      <c r="BP63" s="124"/>
      <c r="BQ63" s="124"/>
      <c r="BR63" s="124"/>
      <c r="BS63" s="124"/>
      <c r="BT63" s="124"/>
      <c r="BU63" s="124"/>
      <c r="BV63" s="124"/>
      <c r="BW63" s="124"/>
      <c r="BX63" s="115">
        <v>1.0</v>
      </c>
      <c r="BY63" s="124"/>
      <c r="BZ63" s="124"/>
      <c r="CA63" s="124"/>
    </row>
    <row r="64">
      <c r="A64" s="139" t="str">
        <f>HYPERLINK("https://drive.google.com/open?id=1anJWToRq3TTA_1Kp14KKsA0NeCxW6s3B","Feigenspan2012")</f>
        <v>Feigenspan2012</v>
      </c>
      <c r="B64" s="188" t="s">
        <v>447</v>
      </c>
      <c r="C64" s="188" t="s">
        <v>448</v>
      </c>
      <c r="D64" s="110">
        <v>2012.0</v>
      </c>
      <c r="E64" s="112"/>
      <c r="F64" s="112"/>
      <c r="G64" s="112"/>
      <c r="H64" s="111">
        <v>1.0</v>
      </c>
      <c r="I64" s="112"/>
      <c r="J64" s="111">
        <v>1.0</v>
      </c>
      <c r="K64" s="112"/>
      <c r="L64" s="112"/>
      <c r="M64" s="112"/>
      <c r="N64" s="112"/>
      <c r="O64" s="112"/>
      <c r="P64" s="112"/>
      <c r="Q64" s="112"/>
      <c r="R64" s="112"/>
      <c r="S64" s="112"/>
      <c r="T64" s="112"/>
      <c r="U64" s="115" t="s">
        <v>92</v>
      </c>
      <c r="V64" s="115" t="s">
        <v>449</v>
      </c>
      <c r="W64" s="115" t="s">
        <v>449</v>
      </c>
      <c r="X64" s="115" t="s">
        <v>450</v>
      </c>
      <c r="Y64" s="115" t="s">
        <v>122</v>
      </c>
      <c r="Z64" s="111">
        <v>1.0</v>
      </c>
      <c r="AA64" s="112"/>
      <c r="AB64" s="112"/>
      <c r="AC64" s="111">
        <v>1.0</v>
      </c>
      <c r="AD64" s="112"/>
      <c r="AE64" s="112"/>
      <c r="AF64" s="112"/>
      <c r="AG64" s="115" t="s">
        <v>451</v>
      </c>
      <c r="AH64" s="115">
        <v>1.0</v>
      </c>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c r="BF64" s="124"/>
      <c r="BG64" s="124"/>
      <c r="BH64" s="124"/>
      <c r="BI64" s="124"/>
      <c r="BJ64" s="124"/>
      <c r="BK64" s="124"/>
      <c r="BL64" s="115" t="s">
        <v>1240</v>
      </c>
      <c r="BM64" s="124"/>
      <c r="BN64" s="124"/>
      <c r="BO64" s="124"/>
      <c r="BP64" s="124"/>
      <c r="BQ64" s="124"/>
      <c r="BR64" s="124"/>
      <c r="BS64" s="124"/>
      <c r="BT64" s="124"/>
      <c r="BU64" s="124"/>
      <c r="BV64" s="124"/>
      <c r="BW64" s="124"/>
      <c r="BX64" s="124"/>
      <c r="BY64" s="124"/>
      <c r="BZ64" s="115">
        <v>1.0</v>
      </c>
      <c r="CA64" s="124"/>
    </row>
    <row r="65">
      <c r="A65" s="138" t="str">
        <f>HYPERLINK("https://drive.google.com/open?id=1_qv_1iPfnVLKY3SyL2X6jrwnNZE-3Gj_","Figl2012")</f>
        <v>Figl2012</v>
      </c>
      <c r="B65" s="188" t="s">
        <v>452</v>
      </c>
      <c r="C65" s="188" t="s">
        <v>453</v>
      </c>
      <c r="D65" s="110">
        <v>2012.0</v>
      </c>
      <c r="E65" s="112"/>
      <c r="F65" s="111">
        <v>1.0</v>
      </c>
      <c r="G65" s="111">
        <v>1.0</v>
      </c>
      <c r="H65" s="112"/>
      <c r="I65" s="112"/>
      <c r="J65" s="112"/>
      <c r="K65" s="112"/>
      <c r="L65" s="112"/>
      <c r="M65" s="112"/>
      <c r="N65" s="112"/>
      <c r="O65" s="112"/>
      <c r="P65" s="112"/>
      <c r="Q65" s="112"/>
      <c r="R65" s="112"/>
      <c r="S65" s="112"/>
      <c r="T65" s="112"/>
      <c r="U65" s="115" t="s">
        <v>454</v>
      </c>
      <c r="V65" s="115" t="s">
        <v>455</v>
      </c>
      <c r="W65" s="115" t="s">
        <v>456</v>
      </c>
      <c r="X65" s="115" t="s">
        <v>457</v>
      </c>
      <c r="Y65" s="115" t="s">
        <v>122</v>
      </c>
      <c r="Z65" s="111">
        <v>1.0</v>
      </c>
      <c r="AA65" s="112"/>
      <c r="AB65" s="112"/>
      <c r="AC65" s="111">
        <v>1.0</v>
      </c>
      <c r="AD65" s="112"/>
      <c r="AE65" s="112"/>
      <c r="AF65" s="112"/>
      <c r="AG65" s="115" t="s">
        <v>458</v>
      </c>
      <c r="AH65" s="115">
        <v>1.0</v>
      </c>
      <c r="AI65" s="115"/>
      <c r="AJ65" s="115"/>
      <c r="AK65" s="115"/>
      <c r="AL65" s="115"/>
      <c r="AM65" s="115">
        <v>1.0</v>
      </c>
      <c r="AN65" s="115">
        <v>1.0</v>
      </c>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v>1.0</v>
      </c>
      <c r="BY65" s="115"/>
      <c r="BZ65" s="115"/>
      <c r="CA65" s="115"/>
    </row>
    <row r="66">
      <c r="A66" s="139" t="str">
        <f>HYPERLINK("https://drive.google.com/open?id=1l6kx0sfDNdR1ARYSSvsUwRvHP56R6rgN","Fisher2006")</f>
        <v>Fisher2006</v>
      </c>
      <c r="B66" s="188" t="s">
        <v>459</v>
      </c>
      <c r="C66" s="188" t="s">
        <v>460</v>
      </c>
      <c r="D66" s="110">
        <v>2006.0</v>
      </c>
      <c r="E66" s="112"/>
      <c r="F66" s="112"/>
      <c r="G66" s="112"/>
      <c r="H66" s="111">
        <v>1.0</v>
      </c>
      <c r="I66" s="112"/>
      <c r="J66" s="111">
        <v>1.0</v>
      </c>
      <c r="K66" s="112"/>
      <c r="L66" s="112"/>
      <c r="M66" s="112"/>
      <c r="N66" s="112"/>
      <c r="O66" s="112"/>
      <c r="P66" s="112"/>
      <c r="Q66" s="112"/>
      <c r="R66" s="112"/>
      <c r="S66" s="112"/>
      <c r="T66" s="112"/>
      <c r="U66" s="115" t="s">
        <v>461</v>
      </c>
      <c r="V66" s="115" t="s">
        <v>462</v>
      </c>
      <c r="W66" s="115" t="s">
        <v>463</v>
      </c>
      <c r="X66" s="115" t="s">
        <v>464</v>
      </c>
      <c r="Y66" s="115" t="s">
        <v>122</v>
      </c>
      <c r="Z66" s="111">
        <v>1.0</v>
      </c>
      <c r="AA66" s="112"/>
      <c r="AB66" s="112"/>
      <c r="AC66" s="111">
        <v>1.0</v>
      </c>
      <c r="AD66" s="112"/>
      <c r="AE66" s="112"/>
      <c r="AF66" s="112"/>
      <c r="AG66" s="115" t="s">
        <v>465</v>
      </c>
      <c r="AH66" s="115">
        <v>1.0</v>
      </c>
      <c r="AI66" s="115"/>
      <c r="AJ66" s="115"/>
      <c r="AK66" s="115"/>
      <c r="AL66" s="115"/>
      <c r="AM66" s="115">
        <v>1.0</v>
      </c>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t="s">
        <v>1240</v>
      </c>
      <c r="BM66" s="115"/>
      <c r="BN66" s="115"/>
      <c r="BO66" s="115"/>
      <c r="BP66" s="115"/>
      <c r="BQ66" s="115"/>
      <c r="BR66" s="115"/>
      <c r="BS66" s="115"/>
      <c r="BT66" s="115"/>
      <c r="BU66" s="115"/>
      <c r="BV66" s="115"/>
      <c r="BW66" s="115"/>
      <c r="BX66" s="115">
        <v>1.0</v>
      </c>
      <c r="BY66" s="115"/>
      <c r="BZ66" s="115"/>
      <c r="CA66" s="115"/>
    </row>
    <row r="67">
      <c r="A67" s="139" t="str">
        <f>HYPERLINK("https://drive.google.com/open?id=1KSrFo0m5Vpe8PJP54ZN_t_-bYtjf-iV8","Fletcher1984")</f>
        <v>Fletcher1984</v>
      </c>
      <c r="B67" s="188" t="s">
        <v>466</v>
      </c>
      <c r="C67" s="188" t="s">
        <v>467</v>
      </c>
      <c r="D67" s="110">
        <v>1984.0</v>
      </c>
      <c r="E67" s="112"/>
      <c r="F67" s="112"/>
      <c r="G67" s="112"/>
      <c r="H67" s="111">
        <v>1.0</v>
      </c>
      <c r="I67" s="112"/>
      <c r="J67" s="112"/>
      <c r="K67" s="112"/>
      <c r="L67" s="112"/>
      <c r="M67" s="112"/>
      <c r="N67" s="112"/>
      <c r="O67" s="112"/>
      <c r="P67" s="112"/>
      <c r="Q67" s="112"/>
      <c r="R67" s="112"/>
      <c r="S67" s="112"/>
      <c r="T67" s="112"/>
      <c r="U67" s="115" t="s">
        <v>92</v>
      </c>
      <c r="V67" s="115" t="s">
        <v>468</v>
      </c>
      <c r="W67" s="115" t="s">
        <v>469</v>
      </c>
      <c r="X67" s="115" t="s">
        <v>470</v>
      </c>
      <c r="Y67" s="115" t="s">
        <v>122</v>
      </c>
      <c r="Z67" s="111">
        <v>1.0</v>
      </c>
      <c r="AA67" s="112"/>
      <c r="AB67" s="112"/>
      <c r="AC67" s="111">
        <v>1.0</v>
      </c>
      <c r="AD67" s="112"/>
      <c r="AE67" s="112"/>
      <c r="AF67" s="112"/>
      <c r="AG67" s="115" t="s">
        <v>471</v>
      </c>
      <c r="AH67" s="115">
        <v>1.0</v>
      </c>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v>1.0</v>
      </c>
      <c r="BF67" s="115"/>
      <c r="BG67" s="115"/>
      <c r="BH67" s="115"/>
      <c r="BI67" s="115"/>
      <c r="BJ67" s="115"/>
      <c r="BK67" s="115"/>
      <c r="BL67" s="115" t="s">
        <v>1240</v>
      </c>
      <c r="BM67" s="115"/>
      <c r="BN67" s="115"/>
      <c r="BO67" s="115"/>
      <c r="BP67" s="115"/>
      <c r="BQ67" s="115"/>
      <c r="BR67" s="115"/>
      <c r="BS67" s="115"/>
      <c r="BT67" s="115"/>
      <c r="BU67" s="115"/>
      <c r="BV67" s="115"/>
      <c r="BW67" s="115"/>
      <c r="BX67" s="115">
        <v>1.0</v>
      </c>
      <c r="BY67" s="115"/>
      <c r="BZ67" s="115"/>
      <c r="CA67" s="115"/>
    </row>
    <row r="68">
      <c r="A68" s="139" t="str">
        <f>HYPERLINK("https://drive.google.com/open?id=1qmphNBUezbS0H2hNHbvruAFo7F0HuqEr","Hatton1998")</f>
        <v>Hatton1998</v>
      </c>
      <c r="B68" s="188" t="s">
        <v>559</v>
      </c>
      <c r="C68" s="188" t="s">
        <v>560</v>
      </c>
      <c r="D68" s="110">
        <v>1998.0</v>
      </c>
      <c r="E68" s="112"/>
      <c r="F68" s="112"/>
      <c r="G68" s="111"/>
      <c r="H68" s="111">
        <v>1.0</v>
      </c>
      <c r="I68" s="111">
        <v>1.0</v>
      </c>
      <c r="J68" s="111">
        <v>1.0</v>
      </c>
      <c r="K68" s="112"/>
      <c r="L68" s="112"/>
      <c r="M68" s="112"/>
      <c r="N68" s="112"/>
      <c r="O68" s="112"/>
      <c r="P68" s="112"/>
      <c r="Q68" s="112"/>
      <c r="R68" s="112"/>
      <c r="S68" s="112"/>
      <c r="T68" s="112"/>
      <c r="U68" s="124"/>
      <c r="V68" s="115" t="s">
        <v>561</v>
      </c>
      <c r="W68" s="115" t="s">
        <v>562</v>
      </c>
      <c r="X68" s="115" t="s">
        <v>563</v>
      </c>
      <c r="Y68" s="115" t="s">
        <v>564</v>
      </c>
      <c r="Z68" s="112"/>
      <c r="AA68" s="112"/>
      <c r="AB68" s="112"/>
      <c r="AC68" s="111">
        <v>1.0</v>
      </c>
      <c r="AD68" s="112"/>
      <c r="AE68" s="111">
        <v>1.0</v>
      </c>
      <c r="AF68" s="112"/>
      <c r="AG68" s="115" t="s">
        <v>565</v>
      </c>
      <c r="AH68" s="115">
        <v>1.0</v>
      </c>
      <c r="AI68" s="124"/>
      <c r="AJ68" s="124"/>
      <c r="AK68" s="124"/>
      <c r="AL68" s="124"/>
      <c r="AM68" s="124"/>
      <c r="AN68" s="124"/>
      <c r="AO68" s="115">
        <v>1.0</v>
      </c>
      <c r="AP68" s="115">
        <v>1.0</v>
      </c>
      <c r="AQ68" s="115">
        <v>1.0</v>
      </c>
      <c r="AR68" s="124"/>
      <c r="AS68" s="124"/>
      <c r="AT68" s="124"/>
      <c r="AU68" s="124"/>
      <c r="AV68" s="124"/>
      <c r="AW68" s="124"/>
      <c r="AX68" s="124"/>
      <c r="AY68" s="124"/>
      <c r="AZ68" s="124"/>
      <c r="BA68" s="124"/>
      <c r="BB68" s="124"/>
      <c r="BC68" s="124"/>
      <c r="BD68" s="124"/>
      <c r="BE68" s="124"/>
      <c r="BF68" s="124"/>
      <c r="BG68" s="124"/>
      <c r="BH68" s="124"/>
      <c r="BI68" s="124"/>
      <c r="BJ68" s="124"/>
      <c r="BK68" s="124"/>
      <c r="BL68" s="124"/>
      <c r="BM68" s="124"/>
      <c r="BN68" s="124"/>
      <c r="BO68" s="124"/>
      <c r="BP68" s="124"/>
      <c r="BQ68" s="124"/>
      <c r="BR68" s="124"/>
      <c r="BS68" s="124"/>
      <c r="BT68" s="124"/>
      <c r="BU68" s="124"/>
      <c r="BV68" s="124"/>
      <c r="BW68" s="124"/>
      <c r="BX68" s="124"/>
      <c r="BY68" s="124"/>
      <c r="BZ68" s="124"/>
      <c r="CA68" s="124"/>
    </row>
    <row r="69">
      <c r="A69" s="139" t="str">
        <f>HYPERLINK("https://drive.google.com/open?id=1aMTy6YdJb8Z3UPHtqSOXEDqOypjGVmQQ","Hendrix2002")</f>
        <v>Hendrix2002</v>
      </c>
      <c r="B69" s="188" t="s">
        <v>571</v>
      </c>
      <c r="C69" s="188" t="s">
        <v>503</v>
      </c>
      <c r="D69" s="110">
        <v>2002.0</v>
      </c>
      <c r="E69" s="112"/>
      <c r="F69" s="112"/>
      <c r="G69" s="112"/>
      <c r="H69" s="111">
        <v>1.0</v>
      </c>
      <c r="I69" s="112"/>
      <c r="J69" s="111">
        <v>1.0</v>
      </c>
      <c r="K69" s="112"/>
      <c r="L69" s="112"/>
      <c r="M69" s="112"/>
      <c r="N69" s="112"/>
      <c r="O69" s="112"/>
      <c r="P69" s="112"/>
      <c r="Q69" s="112"/>
      <c r="R69" s="112"/>
      <c r="S69" s="112"/>
      <c r="T69" s="112"/>
      <c r="U69" s="124"/>
      <c r="V69" s="115" t="s">
        <v>239</v>
      </c>
      <c r="W69" s="115" t="s">
        <v>239</v>
      </c>
      <c r="X69" s="115" t="s">
        <v>572</v>
      </c>
      <c r="Y69" s="115" t="s">
        <v>122</v>
      </c>
      <c r="Z69" s="111">
        <v>1.0</v>
      </c>
      <c r="AA69" s="112"/>
      <c r="AB69" s="112"/>
      <c r="AC69" s="111">
        <v>1.0</v>
      </c>
      <c r="AD69" s="112"/>
      <c r="AE69" s="112"/>
      <c r="AF69" s="112"/>
      <c r="AG69" s="115" t="s">
        <v>573</v>
      </c>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c r="A70" s="138" t="str">
        <f>HYPERLINK("https://drive.google.com/open?id=1wWq3iCrJ0LkhHt8fAHt4C8uN_NzLpg8V","Jeffries1981")</f>
        <v>Jeffries1981</v>
      </c>
      <c r="B70" s="188" t="s">
        <v>599</v>
      </c>
      <c r="C70" s="188" t="s">
        <v>600</v>
      </c>
      <c r="D70" s="110">
        <v>1981.0</v>
      </c>
      <c r="E70" s="112"/>
      <c r="F70" s="112"/>
      <c r="G70" s="111">
        <v>1.0</v>
      </c>
      <c r="H70" s="111">
        <v>1.0</v>
      </c>
      <c r="I70" s="112"/>
      <c r="J70" s="112"/>
      <c r="K70" s="112"/>
      <c r="L70" s="112"/>
      <c r="M70" s="112"/>
      <c r="N70" s="112"/>
      <c r="O70" s="112"/>
      <c r="P70" s="112"/>
      <c r="Q70" s="112"/>
      <c r="R70" s="112"/>
      <c r="S70" s="112"/>
      <c r="T70" s="112"/>
      <c r="U70" s="124"/>
      <c r="V70" s="115" t="s">
        <v>601</v>
      </c>
      <c r="W70" s="115" t="s">
        <v>602</v>
      </c>
      <c r="X70" s="115" t="s">
        <v>603</v>
      </c>
      <c r="Y70" s="115" t="s">
        <v>564</v>
      </c>
      <c r="Z70" s="111">
        <v>1.0</v>
      </c>
      <c r="AA70" s="111">
        <v>1.0</v>
      </c>
      <c r="AB70" s="112"/>
      <c r="AC70" s="111">
        <v>1.0</v>
      </c>
      <c r="AD70" s="112"/>
      <c r="AE70" s="111">
        <v>1.0</v>
      </c>
      <c r="AF70" s="112"/>
      <c r="AG70" s="115" t="s">
        <v>604</v>
      </c>
      <c r="AH70" s="115">
        <v>1.0</v>
      </c>
      <c r="AI70" s="115"/>
      <c r="AJ70" s="115"/>
      <c r="AK70" s="115"/>
      <c r="AL70" s="115"/>
      <c r="AM70" s="115">
        <v>1.0</v>
      </c>
      <c r="AN70" s="115"/>
      <c r="AO70" s="115"/>
      <c r="AP70" s="115"/>
      <c r="AQ70" s="115"/>
      <c r="AR70" s="115"/>
      <c r="AS70" s="115"/>
      <c r="AT70" s="115"/>
      <c r="AU70" s="115"/>
      <c r="AV70" s="115"/>
      <c r="AW70" s="115"/>
      <c r="AX70" s="115"/>
      <c r="AY70" s="115"/>
      <c r="AZ70" s="115"/>
      <c r="BA70" s="115"/>
      <c r="BB70" s="115"/>
      <c r="BC70" s="115"/>
      <c r="BD70" s="115">
        <v>1.0</v>
      </c>
      <c r="BE70" s="115"/>
      <c r="BF70" s="115"/>
      <c r="BG70" s="115"/>
      <c r="BH70" s="115"/>
      <c r="BI70" s="115">
        <v>1.0</v>
      </c>
      <c r="BJ70" s="115"/>
      <c r="BK70" s="115"/>
      <c r="BL70" s="115"/>
      <c r="BM70" s="115"/>
      <c r="BN70" s="115"/>
      <c r="BO70" s="115"/>
      <c r="BP70" s="115"/>
      <c r="BQ70" s="115"/>
      <c r="BR70" s="115"/>
      <c r="BS70" s="115"/>
      <c r="BT70" s="115"/>
      <c r="BU70" s="115">
        <v>1.0</v>
      </c>
      <c r="BV70" s="115"/>
      <c r="BW70" s="115"/>
      <c r="BX70" s="115"/>
      <c r="BY70" s="115"/>
      <c r="BZ70" s="115"/>
      <c r="CA70" s="115"/>
    </row>
    <row r="71">
      <c r="A71" s="139" t="str">
        <f>HYPERLINK("https://drive.google.com/open?id=17VHhhFhlgMIu7V6nuMEZfC4eMdnglotf","Jorgensen2009")</f>
        <v>Jorgensen2009</v>
      </c>
      <c r="B71" s="188" t="s">
        <v>605</v>
      </c>
      <c r="C71" s="188" t="s">
        <v>606</v>
      </c>
      <c r="D71" s="110">
        <v>2009.0</v>
      </c>
      <c r="E71" s="112"/>
      <c r="F71" s="112"/>
      <c r="G71" s="112"/>
      <c r="H71" s="112"/>
      <c r="I71" s="112"/>
      <c r="J71" s="112"/>
      <c r="K71" s="112"/>
      <c r="L71" s="111">
        <v>1.0</v>
      </c>
      <c r="M71" s="112"/>
      <c r="N71" s="112"/>
      <c r="O71" s="112"/>
      <c r="P71" s="112"/>
      <c r="Q71" s="111"/>
      <c r="R71" s="112"/>
      <c r="S71" s="112"/>
      <c r="T71" s="112"/>
      <c r="U71" s="115" t="s">
        <v>607</v>
      </c>
      <c r="V71" s="115" t="s">
        <v>608</v>
      </c>
      <c r="W71" s="115" t="s">
        <v>609</v>
      </c>
      <c r="X71" s="115" t="s">
        <v>610</v>
      </c>
      <c r="Y71" s="115" t="s">
        <v>122</v>
      </c>
      <c r="Z71" s="112"/>
      <c r="AA71" s="111">
        <v>1.0</v>
      </c>
      <c r="AB71" s="112"/>
      <c r="AC71" s="111">
        <v>1.0</v>
      </c>
      <c r="AD71" s="112"/>
      <c r="AE71" s="112"/>
      <c r="AF71" s="112"/>
      <c r="AG71" s="115" t="s">
        <v>611</v>
      </c>
      <c r="AH71" s="115">
        <v>1.0</v>
      </c>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t="s">
        <v>1240</v>
      </c>
      <c r="BJ71" s="115"/>
      <c r="BK71" s="115"/>
      <c r="BL71" s="115"/>
      <c r="BM71" s="115"/>
      <c r="BN71" s="115"/>
      <c r="BO71" s="115"/>
      <c r="BP71" s="115"/>
      <c r="BQ71" s="115"/>
      <c r="BR71" s="115"/>
      <c r="BS71" s="115"/>
      <c r="BT71" s="115"/>
      <c r="BU71" s="115"/>
      <c r="BV71" s="115"/>
      <c r="BW71" s="115"/>
      <c r="BX71" s="115">
        <v>1.0</v>
      </c>
      <c r="BY71" s="115"/>
      <c r="BZ71" s="115"/>
      <c r="CA71" s="115"/>
    </row>
    <row r="72">
      <c r="A72" s="138" t="str">
        <f>HYPERLINK("https://drive.google.com/open?id=1Rzj_aX-HHsg2AmZpG7UVrlHHedFLDjXN","Khatri2006")</f>
        <v>Khatri2006</v>
      </c>
      <c r="B72" s="188" t="s">
        <v>621</v>
      </c>
      <c r="C72" s="188" t="s">
        <v>622</v>
      </c>
      <c r="D72" s="110">
        <v>2006.0</v>
      </c>
      <c r="E72" s="111"/>
      <c r="F72" s="111">
        <v>1.0</v>
      </c>
      <c r="G72" s="112"/>
      <c r="H72" s="112"/>
      <c r="I72" s="112"/>
      <c r="J72" s="112"/>
      <c r="K72" s="112"/>
      <c r="L72" s="112"/>
      <c r="M72" s="112"/>
      <c r="N72" s="112"/>
      <c r="O72" s="112"/>
      <c r="P72" s="112"/>
      <c r="Q72" s="112"/>
      <c r="R72" s="112"/>
      <c r="S72" s="112"/>
      <c r="T72" s="112"/>
      <c r="U72" s="115" t="s">
        <v>623</v>
      </c>
      <c r="V72" s="115" t="s">
        <v>624</v>
      </c>
      <c r="W72" s="115" t="s">
        <v>625</v>
      </c>
      <c r="X72" s="115" t="s">
        <v>626</v>
      </c>
      <c r="Y72" s="115" t="s">
        <v>122</v>
      </c>
      <c r="Z72" s="111">
        <v>1.0</v>
      </c>
      <c r="AA72" s="112"/>
      <c r="AB72" s="112"/>
      <c r="AC72" s="111">
        <v>1.0</v>
      </c>
      <c r="AD72" s="112"/>
      <c r="AE72" s="112"/>
      <c r="AF72" s="112"/>
      <c r="AG72" s="115" t="s">
        <v>627</v>
      </c>
      <c r="AH72" s="115">
        <v>1.0</v>
      </c>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v>1.0</v>
      </c>
      <c r="BE72" s="115"/>
      <c r="BF72" s="115"/>
      <c r="BG72" s="115"/>
      <c r="BH72" s="115"/>
      <c r="BI72" s="115">
        <v>1.0</v>
      </c>
      <c r="BJ72" s="115"/>
      <c r="BK72" s="115"/>
      <c r="BL72" s="115"/>
      <c r="BM72" s="115"/>
      <c r="BN72" s="115"/>
      <c r="BO72" s="115"/>
      <c r="BP72" s="115"/>
      <c r="BQ72" s="115"/>
      <c r="BR72" s="115"/>
      <c r="BS72" s="115"/>
      <c r="BT72" s="115"/>
      <c r="BU72" s="115"/>
      <c r="BV72" s="115"/>
      <c r="BW72" s="115"/>
      <c r="BX72" s="115">
        <v>1.0</v>
      </c>
      <c r="BY72" s="115"/>
      <c r="BZ72" s="115">
        <v>1.0</v>
      </c>
      <c r="CA72" s="115"/>
    </row>
    <row r="73">
      <c r="A73" s="139" t="str">
        <f>HYPERLINK("https://drive.google.com/open?id=11Z3p7gDkJUxlh0gZAbm-__jK7uBIbgsq","Miller2004")</f>
        <v>Miller2004</v>
      </c>
      <c r="B73" s="188" t="s">
        <v>738</v>
      </c>
      <c r="C73" s="188" t="s">
        <v>503</v>
      </c>
      <c r="D73" s="110">
        <v>2004.0</v>
      </c>
      <c r="E73" s="112"/>
      <c r="F73" s="112"/>
      <c r="G73" s="112"/>
      <c r="H73" s="112"/>
      <c r="I73" s="112"/>
      <c r="J73" s="112"/>
      <c r="K73" s="112"/>
      <c r="L73" s="112"/>
      <c r="M73" s="112"/>
      <c r="N73" s="112"/>
      <c r="O73" s="111">
        <v>1.0</v>
      </c>
      <c r="P73" s="112"/>
      <c r="Q73" s="112"/>
      <c r="R73" s="112"/>
      <c r="S73" s="112"/>
      <c r="T73" s="112"/>
      <c r="U73" s="124"/>
      <c r="V73" s="115" t="s">
        <v>739</v>
      </c>
      <c r="W73" s="115" t="s">
        <v>740</v>
      </c>
      <c r="X73" s="115" t="s">
        <v>741</v>
      </c>
      <c r="Y73" s="115" t="s">
        <v>122</v>
      </c>
      <c r="Z73" s="112"/>
      <c r="AA73" s="111">
        <v>1.0</v>
      </c>
      <c r="AB73" s="112"/>
      <c r="AC73" s="111">
        <v>1.0</v>
      </c>
      <c r="AD73" s="112"/>
      <c r="AE73" s="112"/>
      <c r="AF73" s="112"/>
      <c r="AG73" s="115" t="s">
        <v>742</v>
      </c>
      <c r="AH73" s="115">
        <v>1.0</v>
      </c>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c r="A74" s="138" t="str">
        <f>HYPERLINK("https://drive.google.com/open?id=1stBKykgzbLlGMSlBRLOsYZ1Abc7JLvwD","Moody2006")</f>
        <v>Moody2006</v>
      </c>
      <c r="B74" s="188" t="s">
        <v>763</v>
      </c>
      <c r="C74" s="188" t="s">
        <v>764</v>
      </c>
      <c r="D74" s="110">
        <v>2006.0</v>
      </c>
      <c r="E74" s="112"/>
      <c r="F74" s="111">
        <v>1.0</v>
      </c>
      <c r="G74" s="111">
        <v>1.0</v>
      </c>
      <c r="H74" s="112"/>
      <c r="I74" s="112"/>
      <c r="J74" s="112"/>
      <c r="K74" s="112"/>
      <c r="L74" s="112"/>
      <c r="M74" s="112"/>
      <c r="N74" s="112"/>
      <c r="O74" s="112"/>
      <c r="P74" s="112"/>
      <c r="Q74" s="112"/>
      <c r="R74" s="112"/>
      <c r="S74" s="112"/>
      <c r="T74" s="112"/>
      <c r="U74" s="124"/>
      <c r="V74" s="115" t="s">
        <v>765</v>
      </c>
      <c r="W74" s="115" t="s">
        <v>92</v>
      </c>
      <c r="X74" s="115" t="s">
        <v>92</v>
      </c>
      <c r="Y74" s="115" t="s">
        <v>564</v>
      </c>
      <c r="Z74" s="112"/>
      <c r="AA74" s="112"/>
      <c r="AB74" s="112"/>
      <c r="AC74" s="112"/>
      <c r="AD74" s="112"/>
      <c r="AE74" s="111">
        <v>1.0</v>
      </c>
      <c r="AF74" s="112"/>
      <c r="AG74" s="115" t="s">
        <v>766</v>
      </c>
      <c r="AH74" s="115">
        <v>1.0</v>
      </c>
      <c r="AI74" s="115"/>
      <c r="AJ74" s="115"/>
      <c r="AK74" s="115"/>
      <c r="AL74" s="115"/>
      <c r="AM74" s="115"/>
      <c r="AN74" s="115">
        <v>1.0</v>
      </c>
      <c r="AO74" s="115"/>
      <c r="AP74" s="115">
        <v>1.0</v>
      </c>
      <c r="AQ74" s="115"/>
      <c r="AR74" s="115"/>
      <c r="AS74" s="115"/>
      <c r="AT74" s="115"/>
      <c r="AU74" s="115"/>
      <c r="AV74" s="115"/>
      <c r="AW74" s="115"/>
      <c r="AX74" s="115"/>
      <c r="AY74" s="115"/>
      <c r="AZ74" s="115"/>
      <c r="BA74" s="115"/>
      <c r="BB74" s="115"/>
      <c r="BC74" s="115">
        <v>1.0</v>
      </c>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c r="A75" s="139" t="str">
        <f>HYPERLINK("https://drive.google.com/open?id=1uhJ5HcG4Z1JqJUUA1mHRDHhoU2yGJUyq","Moody2008")</f>
        <v>Moody2008</v>
      </c>
      <c r="B75" s="188" t="s">
        <v>767</v>
      </c>
      <c r="C75" s="188" t="s">
        <v>768</v>
      </c>
      <c r="D75" s="110">
        <v>2008.0</v>
      </c>
      <c r="E75" s="112"/>
      <c r="F75" s="112"/>
      <c r="G75" s="111">
        <v>1.0</v>
      </c>
      <c r="H75" s="112"/>
      <c r="I75" s="112"/>
      <c r="J75" s="112"/>
      <c r="K75" s="112"/>
      <c r="L75" s="112"/>
      <c r="M75" s="112"/>
      <c r="N75" s="112"/>
      <c r="O75" s="112"/>
      <c r="P75" s="112"/>
      <c r="Q75" s="112"/>
      <c r="R75" s="112"/>
      <c r="S75" s="112"/>
      <c r="T75" s="112"/>
      <c r="U75" s="124"/>
      <c r="V75" s="115" t="s">
        <v>769</v>
      </c>
      <c r="W75" s="115" t="s">
        <v>770</v>
      </c>
      <c r="X75" s="115" t="s">
        <v>771</v>
      </c>
      <c r="Y75" s="115" t="s">
        <v>122</v>
      </c>
      <c r="Z75" s="112"/>
      <c r="AA75" s="112"/>
      <c r="AB75" s="112"/>
      <c r="AC75" s="112"/>
      <c r="AD75" s="112"/>
      <c r="AE75" s="111">
        <v>1.0</v>
      </c>
      <c r="AF75" s="112"/>
      <c r="AG75" s="115" t="s">
        <v>772</v>
      </c>
      <c r="AH75" s="115">
        <v>1.0</v>
      </c>
      <c r="AI75" s="115"/>
      <c r="AJ75" s="115"/>
      <c r="AK75" s="115"/>
      <c r="AL75" s="115"/>
      <c r="AM75" s="115"/>
      <c r="AN75" s="115"/>
      <c r="AO75" s="115"/>
      <c r="AP75" s="115"/>
      <c r="AQ75" s="115" t="s">
        <v>1240</v>
      </c>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v>1.0</v>
      </c>
      <c r="BX75" s="115"/>
      <c r="BY75" s="115"/>
      <c r="BZ75" s="115"/>
      <c r="CA75" s="115"/>
    </row>
    <row r="76">
      <c r="A76" s="139" t="str">
        <f>HYPERLINK("https://drive.google.com/open?id=1IXVz3XvH97spVMg3e7LtUiM5dq11nlG4","Moody2009")</f>
        <v>Moody2009</v>
      </c>
      <c r="B76" s="188" t="s">
        <v>773</v>
      </c>
      <c r="C76" s="188" t="s">
        <v>503</v>
      </c>
      <c r="D76" s="110">
        <v>2009.0</v>
      </c>
      <c r="E76" s="112"/>
      <c r="F76" s="112"/>
      <c r="G76" s="111">
        <v>1.0</v>
      </c>
      <c r="H76" s="112"/>
      <c r="I76" s="112"/>
      <c r="J76" s="112"/>
      <c r="K76" s="112"/>
      <c r="L76" s="112"/>
      <c r="M76" s="112"/>
      <c r="N76" s="112"/>
      <c r="O76" s="112"/>
      <c r="P76" s="112"/>
      <c r="Q76" s="112"/>
      <c r="R76" s="112"/>
      <c r="S76" s="112"/>
      <c r="T76" s="112"/>
      <c r="U76" s="124"/>
      <c r="V76" s="115" t="s">
        <v>774</v>
      </c>
      <c r="W76" s="115" t="s">
        <v>774</v>
      </c>
      <c r="X76" s="115" t="s">
        <v>92</v>
      </c>
      <c r="Y76" s="115" t="s">
        <v>122</v>
      </c>
      <c r="Z76" s="112"/>
      <c r="AA76" s="112"/>
      <c r="AB76" s="111">
        <v>1.0</v>
      </c>
      <c r="AC76" s="112"/>
      <c r="AD76" s="112"/>
      <c r="AE76" s="112"/>
      <c r="AF76" s="112"/>
      <c r="AG76" s="115" t="s">
        <v>775</v>
      </c>
      <c r="AH76" s="115">
        <v>1.0</v>
      </c>
      <c r="AI76" s="115"/>
      <c r="AJ76" s="115"/>
      <c r="AK76" s="115"/>
      <c r="AL76" s="115"/>
      <c r="AM76" s="115"/>
      <c r="AN76" s="115"/>
      <c r="AO76" s="115"/>
      <c r="AP76" s="115"/>
      <c r="AQ76" s="115" t="s">
        <v>1240</v>
      </c>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c r="A77" s="138" t="str">
        <f>HYPERLINK("https://drive.google.com/open?id=1X_nJpa-bk1qgkpjvnpOLQwURUbQj6RNl","Navarro-Prieto1999")</f>
        <v>Navarro-Prieto1999</v>
      </c>
      <c r="B77" s="188" t="s">
        <v>4617</v>
      </c>
      <c r="C77" s="188" t="s">
        <v>4618</v>
      </c>
      <c r="D77" s="110">
        <v>1999.0</v>
      </c>
      <c r="E77" s="111">
        <v>1.0</v>
      </c>
      <c r="F77" s="112"/>
      <c r="G77" s="112"/>
      <c r="H77" s="112"/>
      <c r="I77" s="112"/>
      <c r="J77" s="112"/>
      <c r="K77" s="112"/>
      <c r="L77" s="112"/>
      <c r="M77" s="112"/>
      <c r="N77" s="112"/>
      <c r="O77" s="112"/>
      <c r="P77" s="112"/>
      <c r="Q77" s="112"/>
      <c r="R77" s="112"/>
      <c r="S77" s="112"/>
      <c r="T77" s="112"/>
      <c r="U77" s="124"/>
      <c r="V77" s="124"/>
      <c r="W77" s="124"/>
      <c r="X77" s="124"/>
      <c r="Y77" s="124"/>
      <c r="Z77" s="112"/>
      <c r="AA77" s="112"/>
      <c r="AB77" s="112"/>
      <c r="AC77" s="112"/>
      <c r="AD77" s="112"/>
      <c r="AE77" s="112"/>
      <c r="AF77" s="112"/>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124"/>
      <c r="BG77" s="124"/>
      <c r="BH77" s="124"/>
      <c r="BI77" s="124"/>
      <c r="BJ77" s="124"/>
      <c r="BK77" s="124"/>
      <c r="BL77" s="124"/>
      <c r="BM77" s="124"/>
      <c r="BN77" s="124"/>
      <c r="BO77" s="124"/>
      <c r="BP77" s="124"/>
      <c r="BQ77" s="124"/>
      <c r="BR77" s="124"/>
      <c r="BS77" s="124"/>
      <c r="BT77" s="124"/>
      <c r="BU77" s="124"/>
      <c r="BV77" s="124"/>
      <c r="BW77" s="124"/>
      <c r="BX77" s="124"/>
      <c r="BY77" s="124"/>
      <c r="BZ77" s="124"/>
      <c r="CA77" s="124"/>
    </row>
    <row r="78">
      <c r="A78" s="138" t="str">
        <f>HYPERLINK("https://drive.google.com/open?id=1JjJoxYuNp_KZu5_C0NuBMH3nZX3N1Sao","Rosson1996")</f>
        <v>Rosson1996</v>
      </c>
      <c r="B78" s="188" t="s">
        <v>4619</v>
      </c>
      <c r="C78" s="188" t="s">
        <v>4620</v>
      </c>
      <c r="D78" s="110">
        <v>1996.0</v>
      </c>
      <c r="E78" s="111">
        <v>1.0</v>
      </c>
      <c r="F78" s="112"/>
      <c r="G78" s="112"/>
      <c r="H78" s="111"/>
      <c r="I78" s="112"/>
      <c r="J78" s="112"/>
      <c r="K78" s="112"/>
      <c r="L78" s="112"/>
      <c r="M78" s="112"/>
      <c r="N78" s="112"/>
      <c r="O78" s="112"/>
      <c r="P78" s="112"/>
      <c r="Q78" s="112"/>
      <c r="R78" s="112"/>
      <c r="S78" s="112"/>
      <c r="T78" s="112"/>
      <c r="U78" s="124"/>
      <c r="V78" s="124"/>
      <c r="W78" s="124"/>
      <c r="X78" s="124"/>
      <c r="Y78" s="124"/>
      <c r="Z78" s="112"/>
      <c r="AA78" s="112"/>
      <c r="AB78" s="112"/>
      <c r="AC78" s="112"/>
      <c r="AD78" s="112"/>
      <c r="AE78" s="112"/>
      <c r="AF78" s="112"/>
      <c r="AG78" s="124"/>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c r="A79" s="138" t="str">
        <f>HYPERLINK("https://drive.google.com/open?id=1Yv_UBIcPdV5nX5riIT-BbXydKQKJM4up","Sage1981")</f>
        <v>Sage1981</v>
      </c>
      <c r="B79" s="188" t="s">
        <v>4621</v>
      </c>
      <c r="C79" s="188" t="s">
        <v>218</v>
      </c>
      <c r="D79" s="110">
        <v>1981.0</v>
      </c>
      <c r="E79" s="111">
        <v>1.0</v>
      </c>
      <c r="F79" s="112"/>
      <c r="G79" s="112"/>
      <c r="H79" s="112"/>
      <c r="I79" s="112"/>
      <c r="J79" s="112"/>
      <c r="K79" s="112"/>
      <c r="L79" s="112"/>
      <c r="M79" s="112"/>
      <c r="N79" s="112"/>
      <c r="O79" s="112"/>
      <c r="P79" s="112"/>
      <c r="Q79" s="112"/>
      <c r="R79" s="112"/>
      <c r="S79" s="112"/>
      <c r="T79" s="112"/>
      <c r="U79" s="124"/>
      <c r="V79" s="124"/>
      <c r="W79" s="124"/>
      <c r="X79" s="124"/>
      <c r="Y79" s="124"/>
      <c r="Z79" s="112"/>
      <c r="AA79" s="112"/>
      <c r="AB79" s="112"/>
      <c r="AC79" s="112"/>
      <c r="AD79" s="112"/>
      <c r="AE79" s="112"/>
      <c r="AF79" s="112"/>
      <c r="AG79" s="124"/>
      <c r="AH79" s="124"/>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24"/>
      <c r="BI79" s="124"/>
      <c r="BJ79" s="124"/>
      <c r="BK79" s="124"/>
      <c r="BL79" s="124"/>
      <c r="BM79" s="124"/>
      <c r="BN79" s="124"/>
      <c r="BO79" s="124"/>
      <c r="BP79" s="124"/>
      <c r="BQ79" s="124"/>
      <c r="BR79" s="124"/>
      <c r="BS79" s="124"/>
      <c r="BT79" s="124"/>
      <c r="BU79" s="124"/>
      <c r="BV79" s="124"/>
      <c r="BW79" s="124"/>
      <c r="BX79" s="124"/>
      <c r="BY79" s="124"/>
      <c r="BZ79" s="124"/>
      <c r="CA79" s="124"/>
    </row>
    <row r="80">
      <c r="A80" s="138" t="str">
        <f>HYPERLINK("https://drive.google.com/open?id=11X0vA1uM-IcNV3FYu-tvy2akLnL4vZsb","Shneiderman1979")</f>
        <v>Shneiderman1979</v>
      </c>
      <c r="B80" s="188" t="s">
        <v>963</v>
      </c>
      <c r="C80" s="188" t="s">
        <v>964</v>
      </c>
      <c r="D80" s="110">
        <v>1979.0</v>
      </c>
      <c r="E80" s="112"/>
      <c r="F80" s="112"/>
      <c r="G80" s="112"/>
      <c r="H80" s="111">
        <v>1.0</v>
      </c>
      <c r="I80" s="111">
        <v>1.0</v>
      </c>
      <c r="J80" s="111">
        <v>1.0</v>
      </c>
      <c r="K80" s="112"/>
      <c r="L80" s="112"/>
      <c r="M80" s="112"/>
      <c r="N80" s="112"/>
      <c r="O80" s="112"/>
      <c r="P80" s="112"/>
      <c r="Q80" s="112"/>
      <c r="R80" s="112"/>
      <c r="S80" s="112"/>
      <c r="T80" s="112"/>
      <c r="U80" s="124"/>
      <c r="V80" s="115" t="s">
        <v>965</v>
      </c>
      <c r="W80" s="115" t="s">
        <v>966</v>
      </c>
      <c r="X80" s="115" t="s">
        <v>967</v>
      </c>
      <c r="Y80" s="115" t="s">
        <v>122</v>
      </c>
      <c r="Z80" s="111">
        <v>1.0</v>
      </c>
      <c r="AA80" s="111">
        <v>1.0</v>
      </c>
      <c r="AB80" s="112"/>
      <c r="AC80" s="111">
        <v>1.0</v>
      </c>
      <c r="AD80" s="112"/>
      <c r="AE80" s="112"/>
      <c r="AF80" s="112"/>
      <c r="AG80" s="115" t="s">
        <v>968</v>
      </c>
      <c r="AH80" s="115">
        <v>1.0</v>
      </c>
      <c r="AI80" s="115"/>
      <c r="AJ80" s="115"/>
      <c r="AK80" s="115"/>
      <c r="AL80" s="115"/>
      <c r="AM80" s="115"/>
      <c r="AN80" s="115">
        <v>1.0</v>
      </c>
      <c r="AO80" s="115">
        <v>1.0</v>
      </c>
      <c r="AP80" s="115">
        <v>1.0</v>
      </c>
      <c r="AQ80" s="115"/>
      <c r="AR80" s="115"/>
      <c r="AS80" s="115"/>
      <c r="AT80" s="115"/>
      <c r="AU80" s="115"/>
      <c r="AV80" s="115"/>
      <c r="AW80" s="115"/>
      <c r="AX80" s="115"/>
      <c r="AY80" s="115"/>
      <c r="AZ80" s="115"/>
      <c r="BA80" s="115"/>
      <c r="BB80" s="115"/>
      <c r="BC80" s="115"/>
      <c r="BD80" s="115">
        <v>1.0</v>
      </c>
      <c r="BE80" s="115"/>
      <c r="BF80" s="115"/>
      <c r="BG80" s="115"/>
      <c r="BH80" s="115"/>
      <c r="BI80" s="115">
        <v>1.0</v>
      </c>
      <c r="BJ80" s="115"/>
      <c r="BK80" s="115"/>
      <c r="BL80" s="115"/>
      <c r="BM80" s="115"/>
      <c r="BN80" s="115"/>
      <c r="BO80" s="115"/>
      <c r="BP80" s="115"/>
      <c r="BQ80" s="115"/>
      <c r="BR80" s="115"/>
      <c r="BS80" s="115"/>
      <c r="BT80" s="115"/>
      <c r="BU80" s="115"/>
      <c r="BV80" s="115"/>
      <c r="BW80" s="115"/>
      <c r="BX80" s="115">
        <v>1.0</v>
      </c>
      <c r="BY80" s="115"/>
      <c r="BZ80" s="115"/>
      <c r="CA80" s="115"/>
    </row>
    <row r="81">
      <c r="A81" s="139" t="str">
        <f>HYPERLINK("https://drive.google.com/open?id=1yVyN4VblbfQzXhFRaSYno1I20E7Yq2Zr","Shaffer2015")</f>
        <v>Shaffer2015</v>
      </c>
      <c r="B81" s="188" t="s">
        <v>903</v>
      </c>
      <c r="C81" s="188" t="s">
        <v>904</v>
      </c>
      <c r="D81" s="110">
        <v>2015.0</v>
      </c>
      <c r="E81" s="112"/>
      <c r="F81" s="112"/>
      <c r="G81" s="112"/>
      <c r="H81" s="111">
        <v>1.0</v>
      </c>
      <c r="I81" s="112"/>
      <c r="J81" s="111">
        <v>1.0</v>
      </c>
      <c r="K81" s="112"/>
      <c r="L81" s="112"/>
      <c r="M81" s="112"/>
      <c r="N81" s="112"/>
      <c r="O81" s="112"/>
      <c r="P81" s="112"/>
      <c r="Q81" s="112"/>
      <c r="R81" s="112"/>
      <c r="S81" s="112"/>
      <c r="T81" s="112"/>
      <c r="U81" s="124"/>
      <c r="V81" s="115" t="s">
        <v>905</v>
      </c>
      <c r="W81" s="115" t="s">
        <v>906</v>
      </c>
      <c r="X81" s="124"/>
      <c r="Y81" s="115" t="s">
        <v>122</v>
      </c>
      <c r="Z81" s="112"/>
      <c r="AA81" s="112"/>
      <c r="AB81" s="111">
        <v>1.0</v>
      </c>
      <c r="AC81" s="112"/>
      <c r="AD81" s="112"/>
      <c r="AE81" s="112"/>
      <c r="AF81" s="112"/>
      <c r="AG81" s="115" t="s">
        <v>907</v>
      </c>
      <c r="AH81" s="115">
        <v>1.0</v>
      </c>
      <c r="AI81" s="124"/>
      <c r="AJ81" s="124"/>
      <c r="AK81" s="124"/>
      <c r="AL81" s="124"/>
      <c r="AM81" s="124"/>
      <c r="AN81" s="124"/>
      <c r="AO81" s="124"/>
      <c r="AP81" s="124"/>
      <c r="AQ81" s="124"/>
      <c r="AR81" s="124"/>
      <c r="AS81" s="124"/>
      <c r="AT81" s="124"/>
      <c r="AU81" s="124"/>
      <c r="AV81" s="124"/>
      <c r="AW81" s="124"/>
      <c r="AX81" s="124"/>
      <c r="AY81" s="124"/>
      <c r="AZ81" s="124"/>
      <c r="BA81" s="124"/>
      <c r="BB81" s="124"/>
      <c r="BC81" s="124"/>
      <c r="BD81" s="115" t="s">
        <v>1240</v>
      </c>
      <c r="BE81" s="124"/>
      <c r="BF81" s="124"/>
      <c r="BG81" s="124"/>
      <c r="BH81" s="124"/>
      <c r="BI81" s="124"/>
      <c r="BJ81" s="124"/>
      <c r="BK81" s="124"/>
      <c r="BL81" s="124"/>
      <c r="BM81" s="124"/>
      <c r="BN81" s="124"/>
      <c r="BO81" s="124"/>
      <c r="BP81" s="124"/>
      <c r="BQ81" s="124"/>
      <c r="BR81" s="124"/>
      <c r="BS81" s="124"/>
      <c r="BT81" s="124"/>
      <c r="BU81" s="124"/>
      <c r="BV81" s="124"/>
      <c r="BW81" s="124"/>
      <c r="BX81" s="124"/>
      <c r="BY81" s="124"/>
      <c r="BZ81" s="124"/>
      <c r="CA81" s="115">
        <v>1.0</v>
      </c>
    </row>
    <row r="82">
      <c r="A82" s="139" t="str">
        <f>HYPERLINK("https://drive.google.com/open?id=1QWfHsa38Rz0Hq7wi2vtW3FggtVMBA2-V","Shao2003")</f>
        <v>Shao2003</v>
      </c>
      <c r="B82" s="188" t="s">
        <v>916</v>
      </c>
      <c r="C82" s="188" t="s">
        <v>917</v>
      </c>
      <c r="D82" s="110">
        <v>2003.0</v>
      </c>
      <c r="E82" s="112"/>
      <c r="F82" s="112"/>
      <c r="G82" s="112"/>
      <c r="H82" s="111">
        <v>1.0</v>
      </c>
      <c r="I82" s="112"/>
      <c r="J82" s="111">
        <v>1.0</v>
      </c>
      <c r="K82" s="112"/>
      <c r="L82" s="112"/>
      <c r="M82" s="112"/>
      <c r="N82" s="112"/>
      <c r="O82" s="112"/>
      <c r="P82" s="112"/>
      <c r="Q82" s="112"/>
      <c r="R82" s="112"/>
      <c r="S82" s="112"/>
      <c r="T82" s="112"/>
      <c r="U82" s="115" t="s">
        <v>918</v>
      </c>
      <c r="V82" s="115" t="s">
        <v>919</v>
      </c>
      <c r="W82" s="115" t="s">
        <v>920</v>
      </c>
      <c r="X82" s="115" t="s">
        <v>921</v>
      </c>
      <c r="Y82" s="115" t="s">
        <v>122</v>
      </c>
      <c r="Z82" s="112"/>
      <c r="AA82" s="112"/>
      <c r="AB82" s="112"/>
      <c r="AC82" s="111">
        <v>1.0</v>
      </c>
      <c r="AD82" s="112"/>
      <c r="AE82" s="112"/>
      <c r="AF82" s="112"/>
      <c r="AG82" s="115" t="s">
        <v>922</v>
      </c>
      <c r="AH82" s="115">
        <v>1.0</v>
      </c>
      <c r="AI82" s="124"/>
      <c r="AJ82" s="124"/>
      <c r="AK82" s="124"/>
      <c r="AL82" s="124"/>
      <c r="AM82" s="124"/>
      <c r="AN82" s="124"/>
      <c r="AO82" s="124"/>
      <c r="AP82" s="124"/>
      <c r="AQ82" s="115" t="s">
        <v>1240</v>
      </c>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15">
        <v>1.0</v>
      </c>
      <c r="BX82" s="124"/>
      <c r="BY82" s="124"/>
      <c r="BZ82" s="124"/>
      <c r="CA82" s="124"/>
    </row>
    <row r="83">
      <c r="A83" s="138" t="str">
        <f>HYPERLINK("https://drive.google.com/open?id=1a5fyu6gI5BaVZw8S5nyXzy99-Y9gNm6f","Sime1973")</f>
        <v>Sime1973</v>
      </c>
      <c r="B83" s="188" t="s">
        <v>1013</v>
      </c>
      <c r="C83" s="188" t="s">
        <v>1014</v>
      </c>
      <c r="D83" s="110">
        <v>1973.0</v>
      </c>
      <c r="E83" s="112"/>
      <c r="F83" s="112"/>
      <c r="G83" s="112"/>
      <c r="H83" s="111">
        <v>1.0</v>
      </c>
      <c r="I83" s="112"/>
      <c r="J83" s="112"/>
      <c r="K83" s="112"/>
      <c r="L83" s="112"/>
      <c r="M83" s="112"/>
      <c r="N83" s="112"/>
      <c r="O83" s="112"/>
      <c r="P83" s="112"/>
      <c r="Q83" s="112"/>
      <c r="R83" s="112"/>
      <c r="S83" s="112"/>
      <c r="T83" s="112"/>
      <c r="U83" s="124"/>
      <c r="V83" s="115" t="s">
        <v>1015</v>
      </c>
      <c r="W83" s="115" t="s">
        <v>1016</v>
      </c>
      <c r="X83" s="115" t="s">
        <v>1017</v>
      </c>
      <c r="Y83" s="115" t="s">
        <v>122</v>
      </c>
      <c r="Z83" s="111">
        <v>1.0</v>
      </c>
      <c r="AA83" s="112"/>
      <c r="AB83" s="112"/>
      <c r="AC83" s="111">
        <v>1.0</v>
      </c>
      <c r="AD83" s="112"/>
      <c r="AE83" s="112"/>
      <c r="AF83" s="112"/>
      <c r="AG83" s="115" t="s">
        <v>1018</v>
      </c>
      <c r="AH83" s="115">
        <v>1.0</v>
      </c>
      <c r="AI83" s="124"/>
      <c r="AJ83" s="124"/>
      <c r="AK83" s="124"/>
      <c r="AL83" s="124"/>
      <c r="AM83" s="115">
        <v>1.0</v>
      </c>
      <c r="AN83" s="124"/>
      <c r="AO83" s="115">
        <v>1.0</v>
      </c>
      <c r="AP83" s="124"/>
      <c r="AQ83" s="124"/>
      <c r="AR83" s="124"/>
      <c r="AS83" s="124"/>
      <c r="AT83" s="124"/>
      <c r="AU83" s="124"/>
      <c r="AV83" s="124"/>
      <c r="AW83" s="124"/>
      <c r="AX83" s="124"/>
      <c r="AY83" s="124"/>
      <c r="AZ83" s="124"/>
      <c r="BA83" s="124"/>
      <c r="BB83" s="124"/>
      <c r="BC83" s="124"/>
      <c r="BD83" s="124"/>
      <c r="BE83" s="124"/>
      <c r="BF83" s="124"/>
      <c r="BG83" s="124"/>
      <c r="BH83" s="124"/>
      <c r="BI83" s="124"/>
      <c r="BJ83" s="124"/>
      <c r="BK83" s="124"/>
      <c r="BL83" s="124"/>
      <c r="BM83" s="124"/>
      <c r="BN83" s="124"/>
      <c r="BO83" s="124"/>
      <c r="BP83" s="124"/>
      <c r="BQ83" s="124"/>
      <c r="BR83" s="124"/>
      <c r="BS83" s="124"/>
      <c r="BT83" s="124"/>
      <c r="BU83" s="124"/>
      <c r="BV83" s="124"/>
      <c r="BW83" s="124"/>
      <c r="BX83" s="115">
        <v>1.0</v>
      </c>
      <c r="BY83" s="124"/>
      <c r="BZ83" s="124"/>
      <c r="CA83" s="124"/>
    </row>
    <row r="84">
      <c r="A84" s="139" t="str">
        <f>HYPERLINK("https://drive.google.com/open?id=1G4SMkm62vmvZlE_IjLUt_ERomg689lZD","Sinha1992")</f>
        <v>Sinha1992</v>
      </c>
      <c r="B84" s="188" t="s">
        <v>1019</v>
      </c>
      <c r="C84" s="188" t="s">
        <v>1020</v>
      </c>
      <c r="D84" s="110">
        <v>1992.0</v>
      </c>
      <c r="E84" s="112"/>
      <c r="F84" s="112"/>
      <c r="G84" s="112"/>
      <c r="H84" s="111">
        <v>1.0</v>
      </c>
      <c r="I84" s="112"/>
      <c r="J84" s="112"/>
      <c r="K84" s="112"/>
      <c r="L84" s="112"/>
      <c r="M84" s="112"/>
      <c r="N84" s="112"/>
      <c r="O84" s="112"/>
      <c r="P84" s="112"/>
      <c r="Q84" s="112"/>
      <c r="R84" s="112"/>
      <c r="S84" s="112"/>
      <c r="T84" s="112"/>
      <c r="U84" s="115" t="s">
        <v>1021</v>
      </c>
      <c r="V84" s="115" t="s">
        <v>1022</v>
      </c>
      <c r="W84" s="115" t="s">
        <v>1023</v>
      </c>
      <c r="X84" s="115" t="s">
        <v>1024</v>
      </c>
      <c r="Y84" s="115" t="s">
        <v>122</v>
      </c>
      <c r="Z84" s="111">
        <v>1.0</v>
      </c>
      <c r="AA84" s="112"/>
      <c r="AB84" s="112"/>
      <c r="AC84" s="111">
        <v>1.0</v>
      </c>
      <c r="AD84" s="112"/>
      <c r="AE84" s="112"/>
      <c r="AF84" s="112"/>
      <c r="AG84" s="115" t="s">
        <v>1025</v>
      </c>
      <c r="AH84" s="115">
        <v>1.0</v>
      </c>
      <c r="AI84" s="124"/>
      <c r="AJ84" s="124"/>
      <c r="AK84" s="124"/>
      <c r="AL84" s="124"/>
      <c r="AM84" s="124"/>
      <c r="AN84" s="124"/>
      <c r="AO84" s="124"/>
      <c r="AP84" s="124"/>
      <c r="AQ84" s="124"/>
      <c r="AR84" s="124"/>
      <c r="AS84" s="124"/>
      <c r="AT84" s="124"/>
      <c r="AU84" s="124"/>
      <c r="AV84" s="124"/>
      <c r="AW84" s="124"/>
      <c r="AX84" s="124"/>
      <c r="AY84" s="124"/>
      <c r="AZ84" s="124"/>
      <c r="BA84" s="124"/>
      <c r="BB84" s="124"/>
      <c r="BC84" s="124"/>
      <c r="BD84" s="115">
        <v>1.0</v>
      </c>
      <c r="BE84" s="124"/>
      <c r="BF84" s="124"/>
      <c r="BG84" s="124"/>
      <c r="BH84" s="124"/>
      <c r="BI84" s="124"/>
      <c r="BJ84" s="124"/>
      <c r="BK84" s="124"/>
      <c r="BL84" s="124"/>
      <c r="BM84" s="124"/>
      <c r="BN84" s="124"/>
      <c r="BO84" s="124"/>
      <c r="BP84" s="124"/>
      <c r="BQ84" s="124"/>
      <c r="BR84" s="124"/>
      <c r="BS84" s="124"/>
      <c r="BT84" s="124"/>
      <c r="BU84" s="124"/>
      <c r="BV84" s="124"/>
      <c r="BW84" s="124"/>
      <c r="BX84" s="115">
        <v>1.0</v>
      </c>
      <c r="BY84" s="124"/>
      <c r="BZ84" s="124"/>
      <c r="CA84" s="124"/>
    </row>
    <row r="85">
      <c r="A85" s="138" t="str">
        <f>HYPERLINK("https://drive.google.com/open?id=1YNAhWbsOTQ3uetHX_hdz9ARMniaWr0pY","Smith1989")</f>
        <v>Smith1989</v>
      </c>
      <c r="B85" s="188" t="s">
        <v>4622</v>
      </c>
      <c r="C85" s="188" t="s">
        <v>4623</v>
      </c>
      <c r="D85" s="110">
        <v>1989.0</v>
      </c>
      <c r="E85" s="111">
        <v>1.0</v>
      </c>
      <c r="F85" s="112"/>
      <c r="G85" s="112"/>
      <c r="H85" s="112"/>
      <c r="I85" s="112"/>
      <c r="J85" s="112"/>
      <c r="K85" s="112"/>
      <c r="L85" s="112"/>
      <c r="M85" s="112"/>
      <c r="N85" s="112"/>
      <c r="O85" s="112"/>
      <c r="P85" s="112"/>
      <c r="Q85" s="112"/>
      <c r="R85" s="112"/>
      <c r="S85" s="112"/>
      <c r="T85" s="112"/>
      <c r="U85" s="124"/>
      <c r="V85" s="124"/>
      <c r="W85" s="124"/>
      <c r="X85" s="124"/>
      <c r="Y85" s="124"/>
      <c r="Z85" s="112"/>
      <c r="AA85" s="112"/>
      <c r="AB85" s="112"/>
      <c r="AC85" s="112"/>
      <c r="AD85" s="112"/>
      <c r="AE85" s="112"/>
      <c r="AF85" s="112"/>
      <c r="AG85" s="124"/>
      <c r="AH85" s="124"/>
      <c r="AI85" s="124"/>
      <c r="AJ85" s="124"/>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c r="BK85" s="124"/>
      <c r="BL85" s="124"/>
      <c r="BM85" s="124"/>
      <c r="BN85" s="124"/>
      <c r="BO85" s="124"/>
      <c r="BP85" s="124"/>
      <c r="BQ85" s="124"/>
      <c r="BR85" s="124"/>
      <c r="BS85" s="124"/>
      <c r="BT85" s="124"/>
      <c r="BU85" s="124"/>
      <c r="BV85" s="124"/>
      <c r="BW85" s="124"/>
      <c r="BX85" s="124"/>
      <c r="BY85" s="124"/>
      <c r="BZ85" s="124"/>
      <c r="CA85" s="124"/>
    </row>
    <row r="86">
      <c r="A86" s="139" t="str">
        <f>HYPERLINK("https://drive.google.com/open?id=1AIQ_UPI0BDhrlQigcGGESRFSXoOpbBa5","Snow2007")</f>
        <v>Snow2007</v>
      </c>
      <c r="B86" s="188" t="s">
        <v>1038</v>
      </c>
      <c r="C86" s="188" t="s">
        <v>261</v>
      </c>
      <c r="D86" s="110">
        <v>2007.0</v>
      </c>
      <c r="E86" s="112"/>
      <c r="F86" s="112"/>
      <c r="G86" s="112"/>
      <c r="H86" s="112"/>
      <c r="I86" s="112"/>
      <c r="J86" s="112"/>
      <c r="K86" s="112"/>
      <c r="L86" s="111">
        <v>1.0</v>
      </c>
      <c r="M86" s="112"/>
      <c r="N86" s="112"/>
      <c r="O86" s="112"/>
      <c r="P86" s="112"/>
      <c r="Q86" s="112"/>
      <c r="R86" s="112"/>
      <c r="S86" s="112"/>
      <c r="T86" s="112"/>
      <c r="U86" s="115"/>
      <c r="V86" s="115" t="s">
        <v>1039</v>
      </c>
      <c r="W86" s="115" t="s">
        <v>1040</v>
      </c>
      <c r="X86" s="115" t="s">
        <v>1041</v>
      </c>
      <c r="Y86" s="124"/>
      <c r="Z86" s="112"/>
      <c r="AA86" s="111">
        <v>1.0</v>
      </c>
      <c r="AB86" s="112"/>
      <c r="AC86" s="111">
        <v>1.0</v>
      </c>
      <c r="AD86" s="112"/>
      <c r="AE86" s="112"/>
      <c r="AF86" s="112"/>
      <c r="AG86" s="115" t="s">
        <v>1042</v>
      </c>
      <c r="AH86" s="115">
        <v>1.0</v>
      </c>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15" t="s">
        <v>1240</v>
      </c>
      <c r="BI86" s="124"/>
      <c r="BJ86" s="124"/>
      <c r="BK86" s="124"/>
      <c r="BL86" s="124"/>
      <c r="BM86" s="124"/>
      <c r="BN86" s="124"/>
      <c r="BO86" s="124"/>
      <c r="BP86" s="124"/>
      <c r="BQ86" s="124"/>
      <c r="BR86" s="124"/>
      <c r="BS86" s="124"/>
      <c r="BT86" s="115"/>
      <c r="BU86" s="124"/>
      <c r="BV86" s="124"/>
      <c r="BW86" s="124"/>
      <c r="BX86" s="124"/>
      <c r="BY86" s="124"/>
      <c r="BZ86" s="124"/>
      <c r="CA86" s="124"/>
    </row>
    <row r="87">
      <c r="A87" s="139" t="str">
        <f>HYPERLINK("https://drive.google.com/open?id=1clK8ZshWd4s51QYTtFGtEJqImlpE4uiz","Soloway1983")</f>
        <v>Soloway1983</v>
      </c>
      <c r="B87" s="188" t="s">
        <v>1043</v>
      </c>
      <c r="C87" s="188" t="s">
        <v>1044</v>
      </c>
      <c r="D87" s="110">
        <v>1983.0</v>
      </c>
      <c r="E87" s="112"/>
      <c r="F87" s="112"/>
      <c r="G87" s="112"/>
      <c r="H87" s="111">
        <v>1.0</v>
      </c>
      <c r="I87" s="112"/>
      <c r="J87" s="112"/>
      <c r="K87" s="112"/>
      <c r="L87" s="112"/>
      <c r="M87" s="112"/>
      <c r="N87" s="112"/>
      <c r="O87" s="112"/>
      <c r="P87" s="112"/>
      <c r="Q87" s="112"/>
      <c r="R87" s="112"/>
      <c r="S87" s="112"/>
      <c r="T87" s="112"/>
      <c r="U87" s="124"/>
      <c r="V87" s="115" t="s">
        <v>1045</v>
      </c>
      <c r="W87" s="115" t="s">
        <v>1046</v>
      </c>
      <c r="X87" s="115" t="s">
        <v>1047</v>
      </c>
      <c r="Y87" s="115" t="s">
        <v>122</v>
      </c>
      <c r="Z87" s="111">
        <v>1.0</v>
      </c>
      <c r="AA87" s="112"/>
      <c r="AB87" s="112"/>
      <c r="AC87" s="111">
        <v>1.0</v>
      </c>
      <c r="AD87" s="112"/>
      <c r="AE87" s="112"/>
      <c r="AF87" s="112"/>
      <c r="AG87" s="115" t="s">
        <v>1048</v>
      </c>
      <c r="AH87" s="115">
        <v>1.0</v>
      </c>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15">
        <v>1.0</v>
      </c>
      <c r="BY87" s="124"/>
      <c r="BZ87" s="124"/>
      <c r="CA87" s="124"/>
    </row>
    <row r="88">
      <c r="A88" s="46" t="s">
        <v>4624</v>
      </c>
      <c r="B88" s="188" t="s">
        <v>4625</v>
      </c>
      <c r="C88" s="188" t="s">
        <v>4626</v>
      </c>
      <c r="D88" s="110">
        <v>1990.0</v>
      </c>
      <c r="E88" s="111">
        <v>1.0</v>
      </c>
      <c r="F88" s="112"/>
      <c r="G88" s="112"/>
      <c r="H88" s="112"/>
      <c r="I88" s="112"/>
      <c r="J88" s="112"/>
      <c r="K88" s="112"/>
      <c r="L88" s="112"/>
      <c r="M88" s="112"/>
      <c r="N88" s="112"/>
      <c r="O88" s="112"/>
      <c r="P88" s="112"/>
      <c r="Q88" s="112"/>
      <c r="R88" s="112"/>
      <c r="S88" s="112"/>
      <c r="T88" s="112"/>
      <c r="U88" s="124"/>
      <c r="V88" s="124"/>
      <c r="W88" s="124"/>
      <c r="X88" s="124"/>
      <c r="Y88" s="124"/>
      <c r="Z88" s="112"/>
      <c r="AA88" s="112"/>
      <c r="AB88" s="112"/>
      <c r="AC88" s="112"/>
      <c r="AD88" s="112"/>
      <c r="AE88" s="112"/>
      <c r="AF88" s="112"/>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row>
    <row r="89">
      <c r="A89" s="139" t="str">
        <f>HYPERLINK("https://drive.google.com/open?id=1ArI5I0hor3NTQ2JEVcOKsegsClGWDyXD","vonMayrhauser1993a")</f>
        <v>vonMayrhauser1993a</v>
      </c>
      <c r="B89" s="188" t="s">
        <v>1154</v>
      </c>
      <c r="C89" s="188" t="s">
        <v>1155</v>
      </c>
      <c r="D89" s="110">
        <v>1993.0</v>
      </c>
      <c r="E89" s="112"/>
      <c r="F89" s="112"/>
      <c r="G89" s="112"/>
      <c r="H89" s="112"/>
      <c r="I89" s="112"/>
      <c r="J89" s="111">
        <v>1.0</v>
      </c>
      <c r="K89" s="112"/>
      <c r="L89" s="112"/>
      <c r="M89" s="112"/>
      <c r="N89" s="112"/>
      <c r="O89" s="112"/>
      <c r="P89" s="112"/>
      <c r="Q89" s="112"/>
      <c r="R89" s="112"/>
      <c r="S89" s="112"/>
      <c r="T89" s="112"/>
      <c r="U89" s="124"/>
      <c r="V89" s="115" t="s">
        <v>1156</v>
      </c>
      <c r="W89" s="115" t="s">
        <v>1157</v>
      </c>
      <c r="X89" s="115" t="s">
        <v>1158</v>
      </c>
      <c r="Y89" s="115" t="s">
        <v>1159</v>
      </c>
      <c r="Z89" s="112"/>
      <c r="AA89" s="111">
        <v>1.0</v>
      </c>
      <c r="AB89" s="112"/>
      <c r="AC89" s="111">
        <v>1.0</v>
      </c>
      <c r="AD89" s="112"/>
      <c r="AE89" s="112"/>
      <c r="AF89" s="112"/>
      <c r="AG89" s="115" t="s">
        <v>1160</v>
      </c>
      <c r="AH89" s="115">
        <v>1.0</v>
      </c>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15" t="s">
        <v>1240</v>
      </c>
      <c r="BE89" s="124"/>
      <c r="BF89" s="124"/>
      <c r="BG89" s="124"/>
      <c r="BH89" s="124"/>
      <c r="BI89" s="115" t="s">
        <v>1240</v>
      </c>
      <c r="BJ89" s="124"/>
      <c r="BK89" s="124"/>
      <c r="BL89" s="124"/>
      <c r="BM89" s="124"/>
      <c r="BN89" s="124"/>
      <c r="BO89" s="124"/>
      <c r="BP89" s="124"/>
      <c r="BQ89" s="124"/>
      <c r="BR89" s="124"/>
      <c r="BS89" s="124"/>
      <c r="BT89" s="124"/>
      <c r="BU89" s="115">
        <v>1.0</v>
      </c>
      <c r="BV89" s="124"/>
      <c r="BW89" s="124"/>
      <c r="BX89" s="124"/>
      <c r="BY89" s="124"/>
      <c r="BZ89" s="124"/>
      <c r="CA89" s="124"/>
    </row>
    <row r="90">
      <c r="A90" s="139" t="str">
        <f>HYPERLINK("https://drive.google.com/open?id=1na5oZrTItTlW8gJSpUkUpYbX5TFQAvlJ","vonMayrhauser1993b")</f>
        <v>vonMayrhauser1993b</v>
      </c>
      <c r="B90" s="188" t="s">
        <v>4627</v>
      </c>
      <c r="C90" s="188" t="s">
        <v>4628</v>
      </c>
      <c r="D90" s="110">
        <v>1993.0</v>
      </c>
      <c r="E90" s="111" t="s">
        <v>1203</v>
      </c>
      <c r="F90" s="112"/>
      <c r="G90" s="112"/>
      <c r="H90" s="112"/>
      <c r="I90" s="112"/>
      <c r="J90" s="111">
        <v>1.0</v>
      </c>
      <c r="K90" s="112"/>
      <c r="L90" s="112"/>
      <c r="M90" s="112"/>
      <c r="N90" s="112"/>
      <c r="O90" s="112"/>
      <c r="P90" s="112"/>
      <c r="Q90" s="112"/>
      <c r="R90" s="112"/>
      <c r="S90" s="112"/>
      <c r="T90" s="112"/>
      <c r="U90" s="124"/>
      <c r="V90" s="115" t="s">
        <v>1156</v>
      </c>
      <c r="W90" s="115" t="s">
        <v>1157</v>
      </c>
      <c r="X90" s="115" t="s">
        <v>1158</v>
      </c>
      <c r="Y90" s="115" t="s">
        <v>1159</v>
      </c>
      <c r="Z90" s="112"/>
      <c r="AA90" s="111">
        <v>1.0</v>
      </c>
      <c r="AB90" s="112"/>
      <c r="AC90" s="111">
        <v>1.0</v>
      </c>
      <c r="AD90" s="112"/>
      <c r="AE90" s="112"/>
      <c r="AF90" s="112"/>
      <c r="AG90" s="115" t="s">
        <v>1160</v>
      </c>
      <c r="AH90" s="115">
        <v>1.0</v>
      </c>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15" t="s">
        <v>1240</v>
      </c>
      <c r="BE90" s="124"/>
      <c r="BF90" s="124"/>
      <c r="BG90" s="124"/>
      <c r="BH90" s="124"/>
      <c r="BI90" s="115" t="s">
        <v>1240</v>
      </c>
      <c r="BJ90" s="124"/>
      <c r="BK90" s="124"/>
      <c r="BL90" s="124"/>
      <c r="BM90" s="124"/>
      <c r="BN90" s="124"/>
      <c r="BO90" s="124"/>
      <c r="BP90" s="124"/>
      <c r="BQ90" s="124"/>
      <c r="BR90" s="124"/>
      <c r="BS90" s="124"/>
      <c r="BT90" s="124"/>
      <c r="BU90" s="115">
        <v>1.0</v>
      </c>
      <c r="BV90" s="124"/>
      <c r="BW90" s="124"/>
      <c r="BX90" s="124"/>
      <c r="BY90" s="124"/>
      <c r="BZ90" s="124"/>
      <c r="CA90" s="124"/>
    </row>
    <row r="91">
      <c r="A91" s="139" t="str">
        <f>HYPERLINK("https://drive.google.com/open?id=1HUnekh2ZZQt8nP5LS2oeqbswNhqfmVfP","vonMayrhauser1994")</f>
        <v>vonMayrhauser1994</v>
      </c>
      <c r="B91" s="188" t="s">
        <v>1161</v>
      </c>
      <c r="C91" s="188" t="s">
        <v>1162</v>
      </c>
      <c r="D91" s="110">
        <v>1994.0</v>
      </c>
      <c r="E91" s="111"/>
      <c r="F91" s="112"/>
      <c r="G91" s="112"/>
      <c r="H91" s="112"/>
      <c r="I91" s="112"/>
      <c r="J91" s="111">
        <v>1.0</v>
      </c>
      <c r="K91" s="112"/>
      <c r="L91" s="112"/>
      <c r="M91" s="112"/>
      <c r="N91" s="112"/>
      <c r="O91" s="112"/>
      <c r="P91" s="112"/>
      <c r="Q91" s="112"/>
      <c r="R91" s="112"/>
      <c r="S91" s="112"/>
      <c r="T91" s="112"/>
      <c r="U91" s="124"/>
      <c r="V91" s="115" t="s">
        <v>1163</v>
      </c>
      <c r="W91" s="115" t="s">
        <v>1157</v>
      </c>
      <c r="X91" s="115" t="s">
        <v>1158</v>
      </c>
      <c r="Y91" s="115" t="s">
        <v>1159</v>
      </c>
      <c r="Z91" s="112"/>
      <c r="AA91" s="111">
        <v>1.0</v>
      </c>
      <c r="AB91" s="112"/>
      <c r="AC91" s="111">
        <v>1.0</v>
      </c>
      <c r="AD91" s="112"/>
      <c r="AE91" s="112"/>
      <c r="AF91" s="112"/>
      <c r="AG91" s="115" t="s">
        <v>1164</v>
      </c>
      <c r="AH91" s="115">
        <v>1.0</v>
      </c>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15" t="s">
        <v>1240</v>
      </c>
      <c r="BE91" s="124"/>
      <c r="BF91" s="124"/>
      <c r="BG91" s="124"/>
      <c r="BH91" s="124"/>
      <c r="BI91" s="115" t="s">
        <v>1240</v>
      </c>
      <c r="BJ91" s="124"/>
      <c r="BK91" s="124"/>
      <c r="BL91" s="124"/>
      <c r="BM91" s="124"/>
      <c r="BN91" s="124"/>
      <c r="BO91" s="124"/>
      <c r="BP91" s="124"/>
      <c r="BQ91" s="124"/>
      <c r="BR91" s="124"/>
      <c r="BS91" s="124"/>
      <c r="BT91" s="124"/>
      <c r="BU91" s="115">
        <v>1.0</v>
      </c>
      <c r="BV91" s="124"/>
      <c r="BW91" s="124"/>
      <c r="BX91" s="124"/>
      <c r="BY91" s="124"/>
      <c r="BZ91" s="124"/>
      <c r="CA91" s="124"/>
    </row>
    <row r="92">
      <c r="A92" s="138" t="str">
        <f>HYPERLINK("https://drive.google.com/open?id=1ChC7k06HrQhiMkCXPRGrZFf-P9aee0Np","vonMayrhauser1995b")</f>
        <v>vonMayrhauser1995b</v>
      </c>
      <c r="B92" s="188" t="s">
        <v>4629</v>
      </c>
      <c r="C92" s="188" t="s">
        <v>4630</v>
      </c>
      <c r="D92" s="110">
        <v>1995.0</v>
      </c>
      <c r="E92" s="111">
        <v>1.0</v>
      </c>
      <c r="F92" s="112"/>
      <c r="G92" s="112"/>
      <c r="H92" s="112"/>
      <c r="I92" s="112"/>
      <c r="J92" s="111"/>
      <c r="K92" s="112"/>
      <c r="L92" s="112"/>
      <c r="M92" s="112"/>
      <c r="N92" s="112"/>
      <c r="O92" s="112"/>
      <c r="P92" s="112"/>
      <c r="Q92" s="112"/>
      <c r="R92" s="112"/>
      <c r="S92" s="112"/>
      <c r="T92" s="112"/>
      <c r="U92" s="124"/>
      <c r="V92" s="124"/>
      <c r="W92" s="124"/>
      <c r="X92" s="124"/>
      <c r="Y92" s="124"/>
      <c r="Z92" s="112"/>
      <c r="AA92" s="112"/>
      <c r="AB92" s="112"/>
      <c r="AC92" s="112"/>
      <c r="AD92" s="112"/>
      <c r="AE92" s="112"/>
      <c r="AF92" s="112"/>
      <c r="AG92" s="124"/>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row>
    <row r="93">
      <c r="A93" s="138" t="str">
        <f>HYPERLINK("https://drive.google.com/open?id=1HfQaS7e9itPw6QWB201mKxIuLAcfNg1l","White2002a")</f>
        <v>White2002a</v>
      </c>
      <c r="B93" s="188" t="s">
        <v>4631</v>
      </c>
      <c r="C93" s="188" t="s">
        <v>4632</v>
      </c>
      <c r="D93" s="110">
        <v>2002.0</v>
      </c>
      <c r="E93" s="111">
        <v>1.0</v>
      </c>
      <c r="F93" s="112"/>
      <c r="G93" s="112"/>
      <c r="H93" s="112"/>
      <c r="I93" s="112"/>
      <c r="J93" s="112"/>
      <c r="K93" s="112"/>
      <c r="L93" s="112"/>
      <c r="M93" s="112"/>
      <c r="N93" s="112"/>
      <c r="O93" s="112"/>
      <c r="P93" s="112"/>
      <c r="Q93" s="112"/>
      <c r="R93" s="112"/>
      <c r="S93" s="112"/>
      <c r="T93" s="112"/>
      <c r="U93" s="124"/>
      <c r="V93" s="115"/>
      <c r="W93" s="115"/>
      <c r="X93" s="115"/>
      <c r="Y93" s="124"/>
      <c r="Z93" s="112"/>
      <c r="AA93" s="112"/>
      <c r="AB93" s="112"/>
      <c r="AC93" s="112"/>
      <c r="AD93" s="112"/>
      <c r="AE93" s="112"/>
      <c r="AF93" s="112"/>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row>
    <row r="94">
      <c r="A94" s="138" t="str">
        <f>HYPERLINK("https://drive.google.com/open?id=1gdH66z-EzY4T-OGAKLPzPDf9xW8NDLay","Wiedenbeck1993")</f>
        <v>Wiedenbeck1993</v>
      </c>
      <c r="B94" s="188" t="s">
        <v>1234</v>
      </c>
      <c r="C94" s="188" t="s">
        <v>1235</v>
      </c>
      <c r="D94" s="110">
        <v>1993.0</v>
      </c>
      <c r="E94" s="112"/>
      <c r="F94" s="112"/>
      <c r="G94" s="112"/>
      <c r="H94" s="112"/>
      <c r="I94" s="112"/>
      <c r="J94" s="112"/>
      <c r="K94" s="112"/>
      <c r="L94" s="112"/>
      <c r="M94" s="112"/>
      <c r="N94" s="112"/>
      <c r="O94" s="112"/>
      <c r="P94" s="111">
        <v>1.0</v>
      </c>
      <c r="Q94" s="112"/>
      <c r="R94" s="112"/>
      <c r="S94" s="112"/>
      <c r="T94" s="112"/>
      <c r="U94" s="124"/>
      <c r="V94" s="115" t="s">
        <v>1236</v>
      </c>
      <c r="W94" s="115" t="s">
        <v>1237</v>
      </c>
      <c r="X94" s="115" t="s">
        <v>1238</v>
      </c>
      <c r="Y94" s="115" t="s">
        <v>122</v>
      </c>
      <c r="Z94" s="111">
        <v>1.0</v>
      </c>
      <c r="AA94" s="111">
        <v>1.0</v>
      </c>
      <c r="AB94" s="112"/>
      <c r="AC94" s="111">
        <v>1.0</v>
      </c>
      <c r="AD94" s="112"/>
      <c r="AE94" s="112"/>
      <c r="AF94" s="112"/>
      <c r="AG94" s="115" t="s">
        <v>1239</v>
      </c>
      <c r="AH94" s="115">
        <v>1.0</v>
      </c>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15" t="s">
        <v>1240</v>
      </c>
      <c r="BE94" s="124"/>
      <c r="BF94" s="124"/>
      <c r="BG94" s="124"/>
      <c r="BH94" s="124"/>
      <c r="BI94" s="124"/>
      <c r="BJ94" s="124"/>
      <c r="BK94" s="124"/>
      <c r="BL94" s="124"/>
      <c r="BM94" s="124"/>
      <c r="BN94" s="124"/>
      <c r="BO94" s="124"/>
      <c r="BP94" s="124"/>
      <c r="BQ94" s="124"/>
      <c r="BR94" s="124"/>
      <c r="BS94" s="124"/>
      <c r="BT94" s="124"/>
      <c r="BU94" s="124"/>
      <c r="BV94" s="124"/>
      <c r="BW94" s="124"/>
      <c r="BX94" s="115">
        <v>1.0</v>
      </c>
      <c r="BY94" s="124"/>
      <c r="BZ94" s="124"/>
      <c r="CA94" s="124"/>
    </row>
    <row r="95">
      <c r="A95" s="138" t="str">
        <f>HYPERLINK("https://drive.google.com/open?id=1Wh75j21c7F84HooWAXw1zCsCdB3owCm9","Wong2006")</f>
        <v>Wong2006</v>
      </c>
      <c r="B95" s="188" t="s">
        <v>1243</v>
      </c>
      <c r="C95" s="188" t="s">
        <v>1244</v>
      </c>
      <c r="D95" s="110">
        <v>2006.0</v>
      </c>
      <c r="E95" s="112"/>
      <c r="F95" s="112"/>
      <c r="G95" s="112"/>
      <c r="H95" s="112"/>
      <c r="I95" s="112"/>
      <c r="J95" s="112"/>
      <c r="K95" s="112"/>
      <c r="L95" s="112"/>
      <c r="M95" s="112"/>
      <c r="N95" s="112"/>
      <c r="O95" s="112"/>
      <c r="P95" s="111">
        <v>1.0</v>
      </c>
      <c r="Q95" s="112"/>
      <c r="R95" s="112"/>
      <c r="S95" s="112"/>
      <c r="T95" s="112"/>
      <c r="U95" s="115" t="s">
        <v>1245</v>
      </c>
      <c r="V95" s="115" t="s">
        <v>1246</v>
      </c>
      <c r="W95" s="115" t="s">
        <v>1247</v>
      </c>
      <c r="X95" s="115" t="s">
        <v>1248</v>
      </c>
      <c r="Y95" s="115" t="s">
        <v>122</v>
      </c>
      <c r="Z95" s="112"/>
      <c r="AA95" s="112"/>
      <c r="AB95" s="112"/>
      <c r="AC95" s="112"/>
      <c r="AD95" s="112"/>
      <c r="AE95" s="111">
        <v>1.0</v>
      </c>
      <c r="AF95" s="112"/>
      <c r="AG95" s="115" t="s">
        <v>1249</v>
      </c>
      <c r="AH95" s="115">
        <v>1.0</v>
      </c>
      <c r="AI95" s="124"/>
      <c r="AJ95" s="124"/>
      <c r="AK95" s="124"/>
      <c r="AL95" s="124"/>
      <c r="AM95" s="124"/>
      <c r="AN95" s="124"/>
      <c r="AO95" s="124"/>
      <c r="AP95" s="124"/>
      <c r="AQ95" s="124"/>
      <c r="AR95" s="124"/>
      <c r="AS95" s="124"/>
      <c r="AT95" s="124"/>
      <c r="AU95" s="124"/>
      <c r="AV95" s="124"/>
      <c r="AW95" s="124"/>
      <c r="AX95" s="124"/>
      <c r="AY95" s="124"/>
      <c r="AZ95" s="124"/>
      <c r="BA95" s="124"/>
      <c r="BB95" s="124"/>
      <c r="BC95" s="115">
        <v>1.0</v>
      </c>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15">
        <v>1.0</v>
      </c>
      <c r="CA95" s="124"/>
    </row>
    <row r="96">
      <c r="A96" s="138" t="str">
        <f>HYPERLINK("https://drive.google.com/open?id=1dgu6zAwNGX0U0nLRdAZ6dGhk6NFLZa53","Woods1995")</f>
        <v>Woods1995</v>
      </c>
      <c r="B96" s="188" t="s">
        <v>4633</v>
      </c>
      <c r="C96" s="188" t="s">
        <v>4634</v>
      </c>
      <c r="D96" s="110">
        <v>1995.0</v>
      </c>
      <c r="E96" s="111">
        <v>1.0</v>
      </c>
      <c r="F96" s="112"/>
      <c r="G96" s="112"/>
      <c r="H96" s="112"/>
      <c r="I96" s="112"/>
      <c r="J96" s="112"/>
      <c r="K96" s="112"/>
      <c r="L96" s="112"/>
      <c r="M96" s="112"/>
      <c r="N96" s="112"/>
      <c r="O96" s="112"/>
      <c r="P96" s="111"/>
      <c r="Q96" s="112"/>
      <c r="R96" s="112"/>
      <c r="S96" s="112"/>
      <c r="T96" s="112"/>
      <c r="Z96" s="112"/>
      <c r="AA96" s="112"/>
      <c r="AB96" s="112"/>
      <c r="AC96" s="111"/>
      <c r="AD96" s="112"/>
      <c r="AF96" s="112"/>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row>
    <row r="97">
      <c r="A97" s="138" t="str">
        <f>HYPERLINK("https://drive.google.com/open?id=1xTLMCTyQCfJRGYVn1cL6KOF050P4M8oG","Xu2005")</f>
        <v>Xu2005</v>
      </c>
      <c r="B97" s="188" t="s">
        <v>4635</v>
      </c>
      <c r="C97" s="188" t="s">
        <v>4636</v>
      </c>
      <c r="D97" s="110">
        <v>2005.0</v>
      </c>
      <c r="E97" s="111">
        <v>1.0</v>
      </c>
      <c r="F97" s="112"/>
      <c r="G97" s="112"/>
      <c r="H97" s="112"/>
      <c r="I97" s="112"/>
      <c r="J97" s="112"/>
      <c r="K97" s="112"/>
      <c r="L97" s="112"/>
      <c r="M97" s="112"/>
      <c r="N97" s="112"/>
      <c r="O97" s="112"/>
      <c r="P97" s="111"/>
      <c r="Q97" s="112"/>
      <c r="R97" s="112"/>
      <c r="S97" s="112"/>
      <c r="T97" s="112"/>
      <c r="U97" s="124"/>
      <c r="V97" s="124"/>
      <c r="W97" s="124"/>
      <c r="X97" s="124"/>
      <c r="Y97" s="124"/>
      <c r="Z97" s="112"/>
      <c r="AA97" s="112"/>
      <c r="AB97" s="112"/>
      <c r="AC97" s="112"/>
      <c r="AD97" s="112"/>
      <c r="AE97" s="112"/>
      <c r="AF97" s="112"/>
      <c r="AG97" s="124"/>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c r="BK97" s="124"/>
      <c r="BL97" s="124"/>
      <c r="BM97" s="124"/>
      <c r="BN97" s="124"/>
      <c r="BO97" s="124"/>
      <c r="BP97" s="124"/>
      <c r="BQ97" s="124"/>
      <c r="BR97" s="124"/>
      <c r="BS97" s="124"/>
      <c r="BT97" s="124"/>
      <c r="BU97" s="124"/>
      <c r="BV97" s="124"/>
      <c r="BW97" s="124"/>
      <c r="BX97" s="124"/>
      <c r="BY97" s="124"/>
      <c r="BZ97" s="124"/>
      <c r="CA97" s="124"/>
    </row>
    <row r="98">
      <c r="A98" s="141"/>
      <c r="B98" s="141"/>
      <c r="C98" s="141"/>
      <c r="D98" s="137"/>
      <c r="E98" s="142" t="str">
        <f>ROWS(E58:E97)&amp;" ("&amp;ROWS(E58:E97)-sum(E58:E97)&amp;"/"&amp;sum(E58:E97)&amp;")"</f>
        <v>40 (29/11)</v>
      </c>
      <c r="F98" s="112"/>
      <c r="G98" s="112"/>
      <c r="H98" s="112"/>
      <c r="I98" s="112"/>
      <c r="J98" s="112"/>
      <c r="K98" s="112"/>
      <c r="L98" s="112"/>
      <c r="M98" s="112"/>
      <c r="N98" s="112"/>
      <c r="O98" s="112"/>
      <c r="P98" s="112"/>
      <c r="Q98" s="112"/>
      <c r="R98" s="112"/>
      <c r="S98" s="112"/>
      <c r="T98" s="112"/>
      <c r="U98" s="124"/>
      <c r="V98" s="124"/>
      <c r="W98" s="124"/>
      <c r="X98" s="124"/>
      <c r="Y98" s="124"/>
      <c r="Z98" s="112"/>
      <c r="AA98" s="112"/>
      <c r="AB98" s="112"/>
      <c r="AC98" s="112"/>
      <c r="AD98" s="112"/>
      <c r="AE98" s="112"/>
      <c r="AF98" s="112"/>
      <c r="AG98" s="124"/>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c r="BK98" s="124"/>
      <c r="BL98" s="124"/>
      <c r="BM98" s="124"/>
      <c r="BN98" s="124"/>
      <c r="BO98" s="124"/>
      <c r="BP98" s="124"/>
      <c r="BQ98" s="124"/>
      <c r="BR98" s="124"/>
      <c r="BS98" s="124"/>
      <c r="BT98" s="124"/>
      <c r="BU98" s="124"/>
      <c r="BV98" s="124"/>
      <c r="BW98" s="124"/>
      <c r="BX98" s="124"/>
      <c r="BY98" s="124"/>
      <c r="BZ98" s="124"/>
      <c r="CA98" s="124"/>
    </row>
    <row r="99">
      <c r="A99" s="141"/>
      <c r="B99" s="141"/>
      <c r="C99" s="141"/>
      <c r="D99" s="137"/>
      <c r="E99" s="112"/>
      <c r="F99" s="112"/>
      <c r="G99" s="112"/>
      <c r="H99" s="112"/>
      <c r="I99" s="112"/>
      <c r="J99" s="112"/>
      <c r="K99" s="112"/>
      <c r="L99" s="112"/>
      <c r="M99" s="112"/>
      <c r="N99" s="112"/>
      <c r="O99" s="112"/>
      <c r="P99" s="112"/>
      <c r="Q99" s="112"/>
      <c r="R99" s="112"/>
      <c r="S99" s="112"/>
      <c r="T99" s="112"/>
      <c r="U99" s="124"/>
      <c r="V99" s="124"/>
      <c r="W99" s="124"/>
      <c r="X99" s="124"/>
      <c r="Y99" s="124"/>
      <c r="Z99" s="112"/>
      <c r="AA99" s="112"/>
      <c r="AB99" s="112"/>
      <c r="AC99" s="112"/>
      <c r="AD99" s="112"/>
      <c r="AE99" s="112"/>
      <c r="AF99" s="112"/>
      <c r="AG99" s="124"/>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c r="BK99" s="124"/>
      <c r="BL99" s="124"/>
      <c r="BM99" s="124"/>
      <c r="BN99" s="124"/>
      <c r="BO99" s="124"/>
      <c r="BP99" s="124"/>
      <c r="BQ99" s="124"/>
      <c r="BR99" s="124"/>
      <c r="BS99" s="124"/>
      <c r="BT99" s="124"/>
      <c r="BU99" s="124"/>
      <c r="BV99" s="124"/>
      <c r="BW99" s="124"/>
      <c r="BX99" s="124"/>
      <c r="BY99" s="124"/>
      <c r="BZ99" s="124"/>
      <c r="CA99" s="124"/>
    </row>
    <row r="100">
      <c r="A100" s="141"/>
      <c r="B100" s="141"/>
      <c r="C100" s="141"/>
      <c r="D100" s="137"/>
      <c r="E100" s="112"/>
      <c r="F100" s="112"/>
      <c r="G100" s="112"/>
      <c r="H100" s="112"/>
      <c r="I100" s="112"/>
      <c r="J100" s="112"/>
      <c r="K100" s="112"/>
      <c r="L100" s="112"/>
      <c r="M100" s="112"/>
      <c r="N100" s="112"/>
      <c r="O100" s="112"/>
      <c r="P100" s="112"/>
      <c r="Q100" s="112"/>
      <c r="R100" s="112"/>
      <c r="S100" s="112"/>
      <c r="T100" s="112"/>
      <c r="U100" s="124"/>
      <c r="V100" s="124"/>
      <c r="W100" s="124"/>
      <c r="X100" s="124"/>
      <c r="Y100" s="124"/>
      <c r="Z100" s="112"/>
      <c r="AA100" s="112"/>
      <c r="AB100" s="112"/>
      <c r="AC100" s="112"/>
      <c r="AD100" s="112"/>
      <c r="AE100" s="112"/>
      <c r="AF100" s="112"/>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row>
    <row r="101">
      <c r="A101" s="141"/>
      <c r="B101" s="141"/>
      <c r="C101" s="141"/>
      <c r="D101" s="137"/>
      <c r="E101" s="112"/>
      <c r="F101" s="112"/>
      <c r="G101" s="112"/>
      <c r="H101" s="112"/>
      <c r="I101" s="112"/>
      <c r="J101" s="112"/>
      <c r="K101" s="112"/>
      <c r="L101" s="112"/>
      <c r="M101" s="112"/>
      <c r="N101" s="112"/>
      <c r="O101" s="112"/>
      <c r="P101" s="112"/>
      <c r="Q101" s="112"/>
      <c r="R101" s="112"/>
      <c r="S101" s="112"/>
      <c r="T101" s="112"/>
      <c r="U101" s="124"/>
      <c r="V101" s="124"/>
      <c r="W101" s="124"/>
      <c r="X101" s="124"/>
      <c r="Y101" s="124"/>
      <c r="Z101" s="112"/>
      <c r="AA101" s="112"/>
      <c r="AB101" s="112"/>
      <c r="AC101" s="112"/>
      <c r="AD101" s="112"/>
      <c r="AE101" s="112"/>
      <c r="AF101" s="112"/>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row>
    <row r="102">
      <c r="A102" s="141"/>
      <c r="B102" s="141"/>
      <c r="C102" s="141"/>
      <c r="D102" s="137"/>
      <c r="E102" s="112"/>
      <c r="F102" s="112"/>
      <c r="G102" s="112"/>
      <c r="H102" s="112"/>
      <c r="I102" s="112"/>
      <c r="J102" s="112"/>
      <c r="K102" s="112"/>
      <c r="L102" s="112"/>
      <c r="M102" s="112"/>
      <c r="N102" s="112"/>
      <c r="O102" s="112"/>
      <c r="P102" s="112"/>
      <c r="Q102" s="112"/>
      <c r="R102" s="112"/>
      <c r="S102" s="112"/>
      <c r="T102" s="112"/>
      <c r="U102" s="124"/>
      <c r="V102" s="124"/>
      <c r="W102" s="124"/>
      <c r="X102" s="124"/>
      <c r="Y102" s="124"/>
      <c r="Z102" s="112"/>
      <c r="AA102" s="112"/>
      <c r="AB102" s="112"/>
      <c r="AC102" s="112"/>
      <c r="AD102" s="112"/>
      <c r="AE102" s="112"/>
      <c r="AF102" s="112"/>
      <c r="AG102" s="124"/>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c r="BK102" s="124"/>
      <c r="BL102" s="124"/>
      <c r="BM102" s="124"/>
      <c r="BN102" s="124"/>
      <c r="BO102" s="124"/>
      <c r="BP102" s="124"/>
      <c r="BQ102" s="124"/>
      <c r="BR102" s="124"/>
      <c r="BS102" s="124"/>
      <c r="BT102" s="124"/>
      <c r="BU102" s="124"/>
      <c r="BV102" s="124"/>
      <c r="BW102" s="124"/>
      <c r="BX102" s="124"/>
      <c r="BY102" s="124"/>
      <c r="BZ102" s="124"/>
      <c r="CA102" s="124"/>
    </row>
    <row r="103">
      <c r="A103" s="141"/>
      <c r="B103" s="141"/>
      <c r="C103" s="141"/>
      <c r="D103" s="137"/>
      <c r="E103" s="112"/>
      <c r="F103" s="112"/>
      <c r="G103" s="112"/>
      <c r="H103" s="112"/>
      <c r="I103" s="112"/>
      <c r="J103" s="112"/>
      <c r="K103" s="112"/>
      <c r="L103" s="112"/>
      <c r="M103" s="112"/>
      <c r="N103" s="112"/>
      <c r="O103" s="112"/>
      <c r="P103" s="112"/>
      <c r="Q103" s="112"/>
      <c r="R103" s="112"/>
      <c r="S103" s="112"/>
      <c r="T103" s="112"/>
      <c r="U103" s="124"/>
      <c r="V103" s="124"/>
      <c r="W103" s="124"/>
      <c r="X103" s="124"/>
      <c r="Y103" s="124"/>
      <c r="Z103" s="112"/>
      <c r="AA103" s="112"/>
      <c r="AB103" s="112"/>
      <c r="AC103" s="112"/>
      <c r="AD103" s="112"/>
      <c r="AE103" s="112"/>
      <c r="AF103" s="112"/>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row>
    <row r="104">
      <c r="A104" s="141"/>
      <c r="B104" s="141"/>
      <c r="C104" s="141"/>
      <c r="D104" s="137"/>
      <c r="E104" s="112"/>
      <c r="F104" s="112"/>
      <c r="G104" s="112"/>
      <c r="H104" s="112"/>
      <c r="I104" s="112"/>
      <c r="J104" s="112"/>
      <c r="K104" s="112"/>
      <c r="L104" s="112"/>
      <c r="M104" s="112"/>
      <c r="N104" s="112"/>
      <c r="O104" s="112"/>
      <c r="P104" s="112"/>
      <c r="Q104" s="112"/>
      <c r="R104" s="112"/>
      <c r="S104" s="112"/>
      <c r="T104" s="112"/>
      <c r="U104" s="124"/>
      <c r="V104" s="124"/>
      <c r="W104" s="124"/>
      <c r="X104" s="124"/>
      <c r="Y104" s="124"/>
      <c r="Z104" s="112"/>
      <c r="AA104" s="112"/>
      <c r="AB104" s="112"/>
      <c r="AC104" s="112"/>
      <c r="AD104" s="112"/>
      <c r="AE104" s="112"/>
      <c r="AF104" s="112"/>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c r="BK104" s="124"/>
      <c r="BL104" s="124"/>
      <c r="BM104" s="124"/>
      <c r="BN104" s="124"/>
      <c r="BO104" s="124"/>
      <c r="BP104" s="124"/>
      <c r="BQ104" s="124"/>
      <c r="BR104" s="124"/>
      <c r="BS104" s="124"/>
      <c r="BT104" s="124"/>
      <c r="BU104" s="124"/>
      <c r="BV104" s="124"/>
      <c r="BW104" s="124"/>
      <c r="BX104" s="124"/>
      <c r="BY104" s="124"/>
      <c r="BZ104" s="124"/>
      <c r="CA104" s="124"/>
    </row>
    <row r="105">
      <c r="A105" s="141"/>
      <c r="B105" s="141"/>
      <c r="C105" s="141"/>
      <c r="D105" s="137"/>
      <c r="E105" s="112"/>
      <c r="F105" s="112"/>
      <c r="G105" s="112"/>
      <c r="H105" s="112"/>
      <c r="I105" s="112"/>
      <c r="J105" s="112"/>
      <c r="K105" s="112"/>
      <c r="L105" s="112"/>
      <c r="M105" s="112"/>
      <c r="N105" s="112"/>
      <c r="O105" s="112"/>
      <c r="P105" s="112"/>
      <c r="Q105" s="112"/>
      <c r="R105" s="112"/>
      <c r="S105" s="112"/>
      <c r="T105" s="112"/>
      <c r="U105" s="124"/>
      <c r="V105" s="124"/>
      <c r="W105" s="124"/>
      <c r="X105" s="124"/>
      <c r="Y105" s="124"/>
      <c r="Z105" s="112"/>
      <c r="AA105" s="112"/>
      <c r="AB105" s="112"/>
      <c r="AC105" s="112"/>
      <c r="AD105" s="112"/>
      <c r="AE105" s="112"/>
      <c r="AF105" s="112"/>
      <c r="AG105" s="124"/>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row>
    <row r="106">
      <c r="A106" s="141"/>
      <c r="B106" s="141"/>
      <c r="C106" s="141"/>
      <c r="D106" s="137"/>
      <c r="E106" s="112"/>
      <c r="F106" s="112"/>
      <c r="G106" s="112"/>
      <c r="H106" s="112"/>
      <c r="I106" s="112"/>
      <c r="J106" s="112"/>
      <c r="K106" s="112"/>
      <c r="L106" s="112"/>
      <c r="M106" s="112"/>
      <c r="N106" s="112"/>
      <c r="O106" s="112"/>
      <c r="P106" s="112"/>
      <c r="Q106" s="112"/>
      <c r="R106" s="112"/>
      <c r="S106" s="112"/>
      <c r="T106" s="112"/>
      <c r="U106" s="124"/>
      <c r="V106" s="124"/>
      <c r="W106" s="124"/>
      <c r="X106" s="124"/>
      <c r="Y106" s="124"/>
      <c r="Z106" s="112"/>
      <c r="AA106" s="112"/>
      <c r="AB106" s="112"/>
      <c r="AC106" s="112"/>
      <c r="AD106" s="112"/>
      <c r="AE106" s="112"/>
      <c r="AF106" s="112"/>
      <c r="AG106" s="124"/>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row>
    <row r="107">
      <c r="A107" s="141"/>
      <c r="B107" s="141"/>
      <c r="C107" s="141"/>
      <c r="D107" s="137"/>
      <c r="E107" s="112"/>
      <c r="F107" s="112"/>
      <c r="G107" s="112"/>
      <c r="H107" s="112"/>
      <c r="I107" s="112"/>
      <c r="J107" s="112"/>
      <c r="K107" s="112"/>
      <c r="L107" s="112"/>
      <c r="M107" s="112"/>
      <c r="N107" s="112"/>
      <c r="O107" s="112"/>
      <c r="P107" s="112"/>
      <c r="Q107" s="112"/>
      <c r="R107" s="112"/>
      <c r="S107" s="112"/>
      <c r="T107" s="112"/>
      <c r="U107" s="124"/>
      <c r="V107" s="124"/>
      <c r="W107" s="124"/>
      <c r="X107" s="124"/>
      <c r="Y107" s="124"/>
      <c r="Z107" s="112"/>
      <c r="AA107" s="112"/>
      <c r="AB107" s="112"/>
      <c r="AC107" s="112"/>
      <c r="AD107" s="112"/>
      <c r="AE107" s="112"/>
      <c r="AF107" s="112"/>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row>
    <row r="108">
      <c r="A108" s="141"/>
      <c r="B108" s="141"/>
      <c r="C108" s="141"/>
      <c r="D108" s="137"/>
      <c r="E108" s="112"/>
      <c r="F108" s="112"/>
      <c r="G108" s="112"/>
      <c r="H108" s="112"/>
      <c r="I108" s="112"/>
      <c r="J108" s="112"/>
      <c r="K108" s="112"/>
      <c r="L108" s="112"/>
      <c r="M108" s="112"/>
      <c r="N108" s="112"/>
      <c r="O108" s="112"/>
      <c r="P108" s="112"/>
      <c r="Q108" s="112"/>
      <c r="R108" s="112"/>
      <c r="S108" s="112"/>
      <c r="T108" s="112"/>
      <c r="U108" s="124"/>
      <c r="V108" s="124"/>
      <c r="W108" s="124"/>
      <c r="X108" s="124"/>
      <c r="Y108" s="124"/>
      <c r="Z108" s="112"/>
      <c r="AA108" s="112"/>
      <c r="AB108" s="112"/>
      <c r="AC108" s="112"/>
      <c r="AD108" s="112"/>
      <c r="AE108" s="112"/>
      <c r="AF108" s="112"/>
      <c r="AG108" s="124"/>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c r="BK108" s="124"/>
      <c r="BL108" s="124"/>
      <c r="BM108" s="124"/>
      <c r="BN108" s="124"/>
      <c r="BO108" s="124"/>
      <c r="BP108" s="124"/>
      <c r="BQ108" s="124"/>
      <c r="BR108" s="124"/>
      <c r="BS108" s="124"/>
      <c r="BT108" s="124"/>
      <c r="BU108" s="124"/>
      <c r="BV108" s="124"/>
      <c r="BW108" s="124"/>
      <c r="BX108" s="124"/>
      <c r="BY108" s="124"/>
      <c r="BZ108" s="124"/>
      <c r="CA108" s="124"/>
    </row>
    <row r="109">
      <c r="A109" s="141"/>
      <c r="B109" s="141"/>
      <c r="C109" s="141"/>
      <c r="D109" s="137"/>
      <c r="E109" s="112"/>
      <c r="F109" s="112"/>
      <c r="G109" s="112"/>
      <c r="H109" s="112"/>
      <c r="I109" s="112"/>
      <c r="J109" s="112"/>
      <c r="K109" s="112"/>
      <c r="L109" s="112"/>
      <c r="M109" s="112"/>
      <c r="N109" s="112"/>
      <c r="O109" s="112"/>
      <c r="P109" s="112"/>
      <c r="Q109" s="112"/>
      <c r="R109" s="112"/>
      <c r="S109" s="112"/>
      <c r="T109" s="112"/>
      <c r="U109" s="124"/>
      <c r="V109" s="124"/>
      <c r="W109" s="124"/>
      <c r="X109" s="124"/>
      <c r="Y109" s="124"/>
      <c r="Z109" s="112"/>
      <c r="AA109" s="112"/>
      <c r="AB109" s="112"/>
      <c r="AC109" s="112"/>
      <c r="AD109" s="112"/>
      <c r="AE109" s="112"/>
      <c r="AF109" s="112"/>
      <c r="AG109" s="124"/>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4"/>
      <c r="BR109" s="124"/>
      <c r="BS109" s="124"/>
      <c r="BT109" s="124"/>
      <c r="BU109" s="124"/>
      <c r="BV109" s="124"/>
      <c r="BW109" s="124"/>
      <c r="BX109" s="124"/>
      <c r="BY109" s="124"/>
      <c r="BZ109" s="124"/>
      <c r="CA109" s="124"/>
    </row>
    <row r="110">
      <c r="A110" s="141"/>
      <c r="B110" s="141"/>
      <c r="C110" s="141"/>
      <c r="D110" s="137"/>
      <c r="E110" s="112"/>
      <c r="F110" s="112"/>
      <c r="G110" s="112"/>
      <c r="H110" s="112"/>
      <c r="I110" s="112"/>
      <c r="J110" s="112"/>
      <c r="K110" s="112"/>
      <c r="L110" s="112"/>
      <c r="M110" s="112"/>
      <c r="N110" s="112"/>
      <c r="O110" s="112"/>
      <c r="P110" s="112"/>
      <c r="Q110" s="112"/>
      <c r="R110" s="112"/>
      <c r="S110" s="112"/>
      <c r="T110" s="112"/>
      <c r="U110" s="124"/>
      <c r="V110" s="124"/>
      <c r="W110" s="124"/>
      <c r="X110" s="124"/>
      <c r="Y110" s="124"/>
      <c r="Z110" s="112"/>
      <c r="AA110" s="112"/>
      <c r="AB110" s="112"/>
      <c r="AC110" s="112"/>
      <c r="AD110" s="112"/>
      <c r="AE110" s="112"/>
      <c r="AF110" s="112"/>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row>
    <row r="111">
      <c r="A111" s="141"/>
      <c r="B111" s="141"/>
      <c r="C111" s="141"/>
      <c r="D111" s="137"/>
      <c r="E111" s="112"/>
      <c r="F111" s="112"/>
      <c r="G111" s="112"/>
      <c r="H111" s="112"/>
      <c r="I111" s="112"/>
      <c r="J111" s="112"/>
      <c r="K111" s="112"/>
      <c r="L111" s="112"/>
      <c r="M111" s="112"/>
      <c r="N111" s="112"/>
      <c r="O111" s="112"/>
      <c r="P111" s="112"/>
      <c r="Q111" s="112"/>
      <c r="R111" s="112"/>
      <c r="S111" s="112"/>
      <c r="T111" s="112"/>
      <c r="U111" s="124"/>
      <c r="V111" s="124"/>
      <c r="W111" s="124"/>
      <c r="X111" s="124"/>
      <c r="Y111" s="124"/>
      <c r="Z111" s="112"/>
      <c r="AA111" s="112"/>
      <c r="AB111" s="112"/>
      <c r="AC111" s="112"/>
      <c r="AD111" s="112"/>
      <c r="AE111" s="112"/>
      <c r="AF111" s="112"/>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c r="BK111" s="124"/>
      <c r="BL111" s="124"/>
      <c r="BM111" s="124"/>
      <c r="BN111" s="124"/>
      <c r="BO111" s="124"/>
      <c r="BP111" s="124"/>
      <c r="BQ111" s="124"/>
      <c r="BR111" s="124"/>
      <c r="BS111" s="124"/>
      <c r="BT111" s="124"/>
      <c r="BU111" s="124"/>
      <c r="BV111" s="124"/>
      <c r="BW111" s="124"/>
      <c r="BX111" s="124"/>
      <c r="BY111" s="124"/>
      <c r="BZ111" s="124"/>
      <c r="CA111" s="124"/>
    </row>
    <row r="112">
      <c r="A112" s="141"/>
      <c r="B112" s="141"/>
      <c r="C112" s="141"/>
      <c r="D112" s="137"/>
      <c r="E112" s="112"/>
      <c r="F112" s="112"/>
      <c r="G112" s="112"/>
      <c r="H112" s="112"/>
      <c r="I112" s="112"/>
      <c r="J112" s="112"/>
      <c r="K112" s="112"/>
      <c r="L112" s="112"/>
      <c r="M112" s="112"/>
      <c r="N112" s="112"/>
      <c r="O112" s="112"/>
      <c r="P112" s="112"/>
      <c r="Q112" s="112"/>
      <c r="R112" s="112"/>
      <c r="S112" s="112"/>
      <c r="T112" s="112"/>
      <c r="U112" s="124"/>
      <c r="V112" s="124"/>
      <c r="W112" s="124"/>
      <c r="X112" s="124"/>
      <c r="Y112" s="124"/>
      <c r="Z112" s="112"/>
      <c r="AA112" s="112"/>
      <c r="AB112" s="112"/>
      <c r="AC112" s="112"/>
      <c r="AD112" s="112"/>
      <c r="AE112" s="112"/>
      <c r="AF112" s="112"/>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row>
    <row r="113">
      <c r="A113" s="141"/>
      <c r="B113" s="141"/>
      <c r="C113" s="141"/>
      <c r="D113" s="137"/>
      <c r="E113" s="112"/>
      <c r="F113" s="112"/>
      <c r="G113" s="112"/>
      <c r="H113" s="112"/>
      <c r="I113" s="112"/>
      <c r="J113" s="112"/>
      <c r="K113" s="112"/>
      <c r="L113" s="112"/>
      <c r="M113" s="112"/>
      <c r="N113" s="112"/>
      <c r="O113" s="112"/>
      <c r="P113" s="112"/>
      <c r="Q113" s="112"/>
      <c r="R113" s="112"/>
      <c r="S113" s="112"/>
      <c r="T113" s="112"/>
      <c r="U113" s="124"/>
      <c r="V113" s="124"/>
      <c r="W113" s="124"/>
      <c r="X113" s="124"/>
      <c r="Y113" s="124"/>
      <c r="Z113" s="112"/>
      <c r="AA113" s="112"/>
      <c r="AB113" s="112"/>
      <c r="AC113" s="112"/>
      <c r="AD113" s="112"/>
      <c r="AE113" s="112"/>
      <c r="AF113" s="112"/>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row>
    <row r="114">
      <c r="A114" s="141"/>
      <c r="B114" s="141"/>
      <c r="C114" s="141"/>
      <c r="D114" s="137"/>
      <c r="E114" s="112"/>
      <c r="F114" s="112"/>
      <c r="G114" s="112"/>
      <c r="H114" s="112"/>
      <c r="I114" s="112"/>
      <c r="J114" s="112"/>
      <c r="K114" s="112"/>
      <c r="L114" s="112"/>
      <c r="M114" s="112"/>
      <c r="N114" s="112"/>
      <c r="O114" s="112"/>
      <c r="P114" s="112"/>
      <c r="Q114" s="112"/>
      <c r="R114" s="112"/>
      <c r="S114" s="112"/>
      <c r="T114" s="112"/>
      <c r="U114" s="124"/>
      <c r="V114" s="124"/>
      <c r="W114" s="124"/>
      <c r="X114" s="124"/>
      <c r="Y114" s="124"/>
      <c r="Z114" s="112"/>
      <c r="AA114" s="112"/>
      <c r="AB114" s="112"/>
      <c r="AC114" s="112"/>
      <c r="AD114" s="112"/>
      <c r="AE114" s="112"/>
      <c r="AF114" s="112"/>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c r="BZ114" s="124"/>
      <c r="CA114" s="124"/>
    </row>
    <row r="115">
      <c r="A115" s="141"/>
      <c r="B115" s="141"/>
      <c r="C115" s="141"/>
      <c r="D115" s="137"/>
      <c r="E115" s="112"/>
      <c r="F115" s="112"/>
      <c r="G115" s="112"/>
      <c r="H115" s="112"/>
      <c r="I115" s="112"/>
      <c r="J115" s="112"/>
      <c r="K115" s="112"/>
      <c r="L115" s="112"/>
      <c r="M115" s="112"/>
      <c r="N115" s="112"/>
      <c r="O115" s="112"/>
      <c r="P115" s="112"/>
      <c r="Q115" s="112"/>
      <c r="R115" s="112"/>
      <c r="S115" s="112"/>
      <c r="T115" s="112"/>
      <c r="U115" s="124"/>
      <c r="V115" s="124"/>
      <c r="W115" s="124"/>
      <c r="X115" s="124"/>
      <c r="Y115" s="124"/>
      <c r="Z115" s="112"/>
      <c r="AA115" s="112"/>
      <c r="AB115" s="112"/>
      <c r="AC115" s="112"/>
      <c r="AD115" s="112"/>
      <c r="AE115" s="112"/>
      <c r="AF115" s="112"/>
      <c r="AG115" s="124"/>
      <c r="AH115" s="124"/>
      <c r="AI115" s="124"/>
      <c r="AJ115" s="124"/>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c r="BK115" s="124"/>
      <c r="BL115" s="124"/>
      <c r="BM115" s="124"/>
      <c r="BN115" s="124"/>
      <c r="BO115" s="124"/>
      <c r="BP115" s="124"/>
      <c r="BQ115" s="124"/>
      <c r="BR115" s="124"/>
      <c r="BS115" s="124"/>
      <c r="BT115" s="124"/>
      <c r="BU115" s="124"/>
      <c r="BV115" s="124"/>
      <c r="BW115" s="124"/>
      <c r="BX115" s="124"/>
      <c r="BY115" s="124"/>
      <c r="BZ115" s="124"/>
      <c r="CA115" s="124"/>
    </row>
    <row r="116">
      <c r="A116" s="141"/>
      <c r="B116" s="141"/>
      <c r="C116" s="141"/>
      <c r="D116" s="137"/>
      <c r="E116" s="112"/>
      <c r="F116" s="112"/>
      <c r="G116" s="112"/>
      <c r="H116" s="112"/>
      <c r="I116" s="112"/>
      <c r="J116" s="112"/>
      <c r="K116" s="112"/>
      <c r="L116" s="112"/>
      <c r="M116" s="112"/>
      <c r="N116" s="112"/>
      <c r="O116" s="112"/>
      <c r="P116" s="112"/>
      <c r="Q116" s="112"/>
      <c r="R116" s="112"/>
      <c r="S116" s="112"/>
      <c r="T116" s="112"/>
      <c r="U116" s="124"/>
      <c r="V116" s="124"/>
      <c r="W116" s="124"/>
      <c r="X116" s="124"/>
      <c r="Y116" s="124"/>
      <c r="Z116" s="112"/>
      <c r="AA116" s="112"/>
      <c r="AB116" s="112"/>
      <c r="AC116" s="112"/>
      <c r="AD116" s="112"/>
      <c r="AE116" s="112"/>
      <c r="AF116" s="112"/>
      <c r="AG116" s="124"/>
      <c r="AH116" s="124"/>
      <c r="AI116" s="124"/>
      <c r="AJ116" s="124"/>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c r="BK116" s="124"/>
      <c r="BL116" s="124"/>
      <c r="BM116" s="124"/>
      <c r="BN116" s="124"/>
      <c r="BO116" s="124"/>
      <c r="BP116" s="124"/>
      <c r="BQ116" s="124"/>
      <c r="BR116" s="124"/>
      <c r="BS116" s="124"/>
      <c r="BT116" s="124"/>
      <c r="BU116" s="124"/>
      <c r="BV116" s="124"/>
      <c r="BW116" s="124"/>
      <c r="BX116" s="124"/>
      <c r="BY116" s="124"/>
      <c r="BZ116" s="124"/>
      <c r="CA116" s="124"/>
    </row>
    <row r="117">
      <c r="A117" s="141"/>
      <c r="B117" s="141"/>
      <c r="C117" s="141"/>
      <c r="D117" s="137"/>
      <c r="E117" s="112"/>
      <c r="F117" s="112"/>
      <c r="G117" s="112"/>
      <c r="H117" s="112"/>
      <c r="I117" s="112"/>
      <c r="J117" s="112"/>
      <c r="K117" s="112"/>
      <c r="L117" s="112"/>
      <c r="M117" s="112"/>
      <c r="N117" s="112"/>
      <c r="O117" s="112"/>
      <c r="P117" s="112"/>
      <c r="Q117" s="112"/>
      <c r="R117" s="112"/>
      <c r="S117" s="112"/>
      <c r="T117" s="112"/>
      <c r="U117" s="124"/>
      <c r="V117" s="124"/>
      <c r="W117" s="124"/>
      <c r="X117" s="124"/>
      <c r="Y117" s="124"/>
      <c r="Z117" s="112"/>
      <c r="AA117" s="112"/>
      <c r="AB117" s="112"/>
      <c r="AC117" s="112"/>
      <c r="AD117" s="112"/>
      <c r="AE117" s="112"/>
      <c r="AF117" s="112"/>
      <c r="AG117" s="124"/>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c r="BK117" s="124"/>
      <c r="BL117" s="124"/>
      <c r="BM117" s="124"/>
      <c r="BN117" s="124"/>
      <c r="BO117" s="124"/>
      <c r="BP117" s="124"/>
      <c r="BQ117" s="124"/>
      <c r="BR117" s="124"/>
      <c r="BS117" s="124"/>
      <c r="BT117" s="124"/>
      <c r="BU117" s="124"/>
      <c r="BV117" s="124"/>
      <c r="BW117" s="124"/>
      <c r="BX117" s="124"/>
      <c r="BY117" s="124"/>
      <c r="BZ117" s="124"/>
      <c r="CA117" s="124"/>
    </row>
    <row r="118">
      <c r="A118" s="141"/>
      <c r="B118" s="141"/>
      <c r="C118" s="141"/>
      <c r="D118" s="137"/>
      <c r="E118" s="112"/>
      <c r="F118" s="112"/>
      <c r="G118" s="112"/>
      <c r="H118" s="112"/>
      <c r="I118" s="112"/>
      <c r="J118" s="112"/>
      <c r="K118" s="112"/>
      <c r="L118" s="112"/>
      <c r="M118" s="112"/>
      <c r="N118" s="112"/>
      <c r="O118" s="112"/>
      <c r="P118" s="112"/>
      <c r="Q118" s="112"/>
      <c r="R118" s="112"/>
      <c r="S118" s="112"/>
      <c r="T118" s="112"/>
      <c r="U118" s="124"/>
      <c r="V118" s="124"/>
      <c r="W118" s="124"/>
      <c r="X118" s="124"/>
      <c r="Y118" s="124"/>
      <c r="Z118" s="112"/>
      <c r="AA118" s="112"/>
      <c r="AB118" s="112"/>
      <c r="AC118" s="112"/>
      <c r="AD118" s="112"/>
      <c r="AE118" s="112"/>
      <c r="AF118" s="112"/>
      <c r="AG118" s="124"/>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row>
    <row r="119">
      <c r="A119" s="141"/>
      <c r="B119" s="141"/>
      <c r="C119" s="141"/>
      <c r="D119" s="137"/>
      <c r="E119" s="112"/>
      <c r="F119" s="112"/>
      <c r="G119" s="112"/>
      <c r="H119" s="112"/>
      <c r="I119" s="112"/>
      <c r="J119" s="112"/>
      <c r="K119" s="112"/>
      <c r="L119" s="112"/>
      <c r="M119" s="112"/>
      <c r="N119" s="112"/>
      <c r="O119" s="112"/>
      <c r="P119" s="112"/>
      <c r="Q119" s="112"/>
      <c r="R119" s="112"/>
      <c r="S119" s="112"/>
      <c r="T119" s="112"/>
      <c r="U119" s="124"/>
      <c r="V119" s="124"/>
      <c r="W119" s="124"/>
      <c r="X119" s="124"/>
      <c r="Y119" s="124"/>
      <c r="Z119" s="112"/>
      <c r="AA119" s="112"/>
      <c r="AB119" s="112"/>
      <c r="AC119" s="112"/>
      <c r="AD119" s="112"/>
      <c r="AE119" s="112"/>
      <c r="AF119" s="112"/>
      <c r="AG119" s="124"/>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c r="BK119" s="124"/>
      <c r="BL119" s="124"/>
      <c r="BM119" s="124"/>
      <c r="BN119" s="124"/>
      <c r="BO119" s="124"/>
      <c r="BP119" s="124"/>
      <c r="BQ119" s="124"/>
      <c r="BR119" s="124"/>
      <c r="BS119" s="124"/>
      <c r="BT119" s="124"/>
      <c r="BU119" s="124"/>
      <c r="BV119" s="124"/>
      <c r="BW119" s="124"/>
      <c r="BX119" s="124"/>
      <c r="BY119" s="124"/>
      <c r="BZ119" s="124"/>
      <c r="CA119" s="124"/>
    </row>
    <row r="120">
      <c r="A120" s="141"/>
      <c r="B120" s="141"/>
      <c r="C120" s="141"/>
      <c r="D120" s="137"/>
      <c r="E120" s="112"/>
      <c r="F120" s="112"/>
      <c r="G120" s="112"/>
      <c r="H120" s="112"/>
      <c r="I120" s="112"/>
      <c r="J120" s="112"/>
      <c r="K120" s="112"/>
      <c r="L120" s="112"/>
      <c r="M120" s="112"/>
      <c r="N120" s="112"/>
      <c r="O120" s="112"/>
      <c r="P120" s="112"/>
      <c r="Q120" s="112"/>
      <c r="R120" s="112"/>
      <c r="S120" s="112"/>
      <c r="T120" s="112"/>
      <c r="U120" s="124"/>
      <c r="V120" s="124"/>
      <c r="W120" s="124"/>
      <c r="X120" s="124"/>
      <c r="Y120" s="124"/>
      <c r="Z120" s="112"/>
      <c r="AA120" s="112"/>
      <c r="AB120" s="112"/>
      <c r="AC120" s="112"/>
      <c r="AD120" s="112"/>
      <c r="AE120" s="112"/>
      <c r="AF120" s="112"/>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row>
    <row r="121">
      <c r="A121" s="141"/>
      <c r="B121" s="141"/>
      <c r="C121" s="141"/>
      <c r="D121" s="137"/>
      <c r="E121" s="112"/>
      <c r="F121" s="112"/>
      <c r="G121" s="112"/>
      <c r="H121" s="112"/>
      <c r="I121" s="112"/>
      <c r="J121" s="112"/>
      <c r="K121" s="112"/>
      <c r="L121" s="112"/>
      <c r="M121" s="112"/>
      <c r="N121" s="112"/>
      <c r="O121" s="112"/>
      <c r="P121" s="112"/>
      <c r="Q121" s="112"/>
      <c r="R121" s="112"/>
      <c r="S121" s="112"/>
      <c r="T121" s="112"/>
      <c r="U121" s="124"/>
      <c r="V121" s="124"/>
      <c r="W121" s="124"/>
      <c r="X121" s="124"/>
      <c r="Y121" s="124"/>
      <c r="Z121" s="112"/>
      <c r="AA121" s="112"/>
      <c r="AB121" s="112"/>
      <c r="AC121" s="112"/>
      <c r="AD121" s="112"/>
      <c r="AE121" s="112"/>
      <c r="AF121" s="112"/>
      <c r="AG121" s="124"/>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c r="BS121" s="124"/>
      <c r="BT121" s="124"/>
      <c r="BU121" s="124"/>
      <c r="BV121" s="124"/>
      <c r="BW121" s="124"/>
      <c r="BX121" s="124"/>
      <c r="BY121" s="124"/>
      <c r="BZ121" s="124"/>
      <c r="CA121" s="124"/>
    </row>
    <row r="122">
      <c r="A122" s="141"/>
      <c r="B122" s="141"/>
      <c r="C122" s="141"/>
      <c r="D122" s="137"/>
      <c r="E122" s="112"/>
      <c r="F122" s="112"/>
      <c r="G122" s="112"/>
      <c r="H122" s="112"/>
      <c r="I122" s="112"/>
      <c r="J122" s="112"/>
      <c r="K122" s="112"/>
      <c r="L122" s="112"/>
      <c r="M122" s="112"/>
      <c r="N122" s="112"/>
      <c r="O122" s="112"/>
      <c r="P122" s="112"/>
      <c r="Q122" s="112"/>
      <c r="R122" s="112"/>
      <c r="S122" s="112"/>
      <c r="T122" s="112"/>
      <c r="U122" s="124"/>
      <c r="V122" s="124"/>
      <c r="W122" s="124"/>
      <c r="X122" s="124"/>
      <c r="Y122" s="124"/>
      <c r="Z122" s="112"/>
      <c r="AA122" s="112"/>
      <c r="AB122" s="112"/>
      <c r="AC122" s="112"/>
      <c r="AD122" s="112"/>
      <c r="AE122" s="112"/>
      <c r="AF122" s="112"/>
      <c r="AG122" s="124"/>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row>
    <row r="123">
      <c r="A123" s="141"/>
      <c r="B123" s="141"/>
      <c r="C123" s="141"/>
      <c r="D123" s="137"/>
      <c r="E123" s="112"/>
      <c r="F123" s="112"/>
      <c r="G123" s="112"/>
      <c r="H123" s="112"/>
      <c r="I123" s="112"/>
      <c r="J123" s="112"/>
      <c r="K123" s="112"/>
      <c r="L123" s="112"/>
      <c r="M123" s="112"/>
      <c r="N123" s="112"/>
      <c r="O123" s="112"/>
      <c r="P123" s="112"/>
      <c r="Q123" s="112"/>
      <c r="R123" s="112"/>
      <c r="S123" s="112"/>
      <c r="T123" s="112"/>
      <c r="U123" s="124"/>
      <c r="V123" s="124"/>
      <c r="W123" s="124"/>
      <c r="X123" s="124"/>
      <c r="Y123" s="124"/>
      <c r="Z123" s="112"/>
      <c r="AA123" s="112"/>
      <c r="AB123" s="112"/>
      <c r="AC123" s="112"/>
      <c r="AD123" s="112"/>
      <c r="AE123" s="112"/>
      <c r="AF123" s="112"/>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row>
    <row r="124">
      <c r="A124" s="141"/>
      <c r="B124" s="141"/>
      <c r="C124" s="141"/>
      <c r="D124" s="137"/>
      <c r="E124" s="112"/>
      <c r="F124" s="112"/>
      <c r="G124" s="112"/>
      <c r="H124" s="112"/>
      <c r="I124" s="112"/>
      <c r="J124" s="112"/>
      <c r="K124" s="112"/>
      <c r="L124" s="112"/>
      <c r="M124" s="112"/>
      <c r="N124" s="112"/>
      <c r="O124" s="112"/>
      <c r="P124" s="112"/>
      <c r="Q124" s="112"/>
      <c r="R124" s="112"/>
      <c r="S124" s="112"/>
      <c r="T124" s="112"/>
      <c r="U124" s="124"/>
      <c r="V124" s="124"/>
      <c r="W124" s="124"/>
      <c r="X124" s="124"/>
      <c r="Y124" s="124"/>
      <c r="Z124" s="112"/>
      <c r="AA124" s="112"/>
      <c r="AB124" s="112"/>
      <c r="AC124" s="112"/>
      <c r="AD124" s="112"/>
      <c r="AE124" s="112"/>
      <c r="AF124" s="112"/>
      <c r="AG124" s="124"/>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c r="BK124" s="124"/>
      <c r="BL124" s="124"/>
      <c r="BM124" s="124"/>
      <c r="BN124" s="124"/>
      <c r="BO124" s="124"/>
      <c r="BP124" s="124"/>
      <c r="BQ124" s="124"/>
      <c r="BR124" s="124"/>
      <c r="BS124" s="124"/>
      <c r="BT124" s="124"/>
      <c r="BU124" s="124"/>
      <c r="BV124" s="124"/>
      <c r="BW124" s="124"/>
      <c r="BX124" s="124"/>
      <c r="BY124" s="124"/>
      <c r="BZ124" s="124"/>
      <c r="CA124" s="124"/>
    </row>
    <row r="125">
      <c r="A125" s="141"/>
      <c r="B125" s="141"/>
      <c r="C125" s="141"/>
      <c r="D125" s="137"/>
      <c r="E125" s="112"/>
      <c r="F125" s="112"/>
      <c r="G125" s="112"/>
      <c r="H125" s="112"/>
      <c r="I125" s="112"/>
      <c r="J125" s="112"/>
      <c r="K125" s="112"/>
      <c r="L125" s="112"/>
      <c r="M125" s="112"/>
      <c r="N125" s="112"/>
      <c r="O125" s="112"/>
      <c r="P125" s="112"/>
      <c r="Q125" s="112"/>
      <c r="R125" s="112"/>
      <c r="S125" s="112"/>
      <c r="T125" s="112"/>
      <c r="U125" s="124"/>
      <c r="V125" s="124"/>
      <c r="W125" s="124"/>
      <c r="X125" s="124"/>
      <c r="Y125" s="124"/>
      <c r="Z125" s="112"/>
      <c r="AA125" s="112"/>
      <c r="AB125" s="112"/>
      <c r="AC125" s="112"/>
      <c r="AD125" s="112"/>
      <c r="AE125" s="112"/>
      <c r="AF125" s="112"/>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row>
    <row r="126">
      <c r="A126" s="141"/>
      <c r="B126" s="141"/>
      <c r="C126" s="141"/>
      <c r="D126" s="137"/>
      <c r="E126" s="112"/>
      <c r="F126" s="112"/>
      <c r="G126" s="112"/>
      <c r="H126" s="112"/>
      <c r="I126" s="112"/>
      <c r="J126" s="112"/>
      <c r="K126" s="112"/>
      <c r="L126" s="112"/>
      <c r="M126" s="112"/>
      <c r="N126" s="112"/>
      <c r="O126" s="112"/>
      <c r="P126" s="112"/>
      <c r="Q126" s="112"/>
      <c r="R126" s="112"/>
      <c r="S126" s="112"/>
      <c r="T126" s="112"/>
      <c r="U126" s="124"/>
      <c r="V126" s="124"/>
      <c r="W126" s="124"/>
      <c r="X126" s="124"/>
      <c r="Y126" s="124"/>
      <c r="Z126" s="112"/>
      <c r="AA126" s="112"/>
      <c r="AB126" s="112"/>
      <c r="AC126" s="112"/>
      <c r="AD126" s="112"/>
      <c r="AE126" s="112"/>
      <c r="AF126" s="112"/>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row>
    <row r="127">
      <c r="A127" s="141"/>
      <c r="B127" s="141"/>
      <c r="C127" s="141"/>
      <c r="D127" s="137"/>
      <c r="E127" s="112"/>
      <c r="F127" s="112"/>
      <c r="G127" s="112"/>
      <c r="H127" s="112"/>
      <c r="I127" s="112"/>
      <c r="J127" s="112"/>
      <c r="K127" s="112"/>
      <c r="L127" s="112"/>
      <c r="M127" s="112"/>
      <c r="N127" s="112"/>
      <c r="O127" s="112"/>
      <c r="P127" s="112"/>
      <c r="Q127" s="112"/>
      <c r="R127" s="112"/>
      <c r="S127" s="112"/>
      <c r="T127" s="112"/>
      <c r="U127" s="124"/>
      <c r="V127" s="124"/>
      <c r="W127" s="124"/>
      <c r="X127" s="124"/>
      <c r="Y127" s="124"/>
      <c r="Z127" s="112"/>
      <c r="AA127" s="112"/>
      <c r="AB127" s="112"/>
      <c r="AC127" s="112"/>
      <c r="AD127" s="112"/>
      <c r="AE127" s="112"/>
      <c r="AF127" s="112"/>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row>
    <row r="128">
      <c r="A128" s="141"/>
      <c r="B128" s="141"/>
      <c r="C128" s="141"/>
      <c r="D128" s="137"/>
      <c r="E128" s="112"/>
      <c r="F128" s="112"/>
      <c r="G128" s="112"/>
      <c r="H128" s="112"/>
      <c r="I128" s="112"/>
      <c r="J128" s="112"/>
      <c r="K128" s="112"/>
      <c r="L128" s="112"/>
      <c r="M128" s="112"/>
      <c r="N128" s="112"/>
      <c r="O128" s="112"/>
      <c r="P128" s="112"/>
      <c r="Q128" s="112"/>
      <c r="R128" s="112"/>
      <c r="S128" s="112"/>
      <c r="T128" s="112"/>
      <c r="U128" s="124"/>
      <c r="V128" s="124"/>
      <c r="W128" s="124"/>
      <c r="X128" s="124"/>
      <c r="Y128" s="124"/>
      <c r="Z128" s="112"/>
      <c r="AA128" s="112"/>
      <c r="AB128" s="112"/>
      <c r="AC128" s="112"/>
      <c r="AD128" s="112"/>
      <c r="AE128" s="112"/>
      <c r="AF128" s="112"/>
      <c r="AG128" s="124"/>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row>
    <row r="129">
      <c r="A129" s="141"/>
      <c r="B129" s="141"/>
      <c r="C129" s="141"/>
      <c r="D129" s="137"/>
      <c r="E129" s="112"/>
      <c r="F129" s="112"/>
      <c r="G129" s="112"/>
      <c r="H129" s="112"/>
      <c r="I129" s="112"/>
      <c r="J129" s="112"/>
      <c r="K129" s="112"/>
      <c r="L129" s="112"/>
      <c r="M129" s="112"/>
      <c r="N129" s="112"/>
      <c r="O129" s="112"/>
      <c r="P129" s="112"/>
      <c r="Q129" s="112"/>
      <c r="R129" s="112"/>
      <c r="S129" s="112"/>
      <c r="T129" s="112"/>
      <c r="U129" s="124"/>
      <c r="V129" s="124"/>
      <c r="W129" s="124"/>
      <c r="X129" s="124"/>
      <c r="Y129" s="124"/>
      <c r="Z129" s="112"/>
      <c r="AA129" s="112"/>
      <c r="AB129" s="112"/>
      <c r="AC129" s="112"/>
      <c r="AD129" s="112"/>
      <c r="AE129" s="112"/>
      <c r="AF129" s="112"/>
      <c r="AG129" s="124"/>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row>
    <row r="130">
      <c r="A130" s="141"/>
      <c r="B130" s="141"/>
      <c r="C130" s="141"/>
      <c r="D130" s="137"/>
      <c r="E130" s="112"/>
      <c r="F130" s="112"/>
      <c r="G130" s="112"/>
      <c r="H130" s="112"/>
      <c r="I130" s="112"/>
      <c r="J130" s="112"/>
      <c r="K130" s="112"/>
      <c r="L130" s="112"/>
      <c r="M130" s="112"/>
      <c r="N130" s="112"/>
      <c r="O130" s="112"/>
      <c r="P130" s="112"/>
      <c r="Q130" s="112"/>
      <c r="R130" s="112"/>
      <c r="S130" s="112"/>
      <c r="T130" s="112"/>
      <c r="U130" s="124"/>
      <c r="V130" s="124"/>
      <c r="W130" s="124"/>
      <c r="X130" s="124"/>
      <c r="Y130" s="124"/>
      <c r="Z130" s="112"/>
      <c r="AA130" s="112"/>
      <c r="AB130" s="112"/>
      <c r="AC130" s="112"/>
      <c r="AD130" s="112"/>
      <c r="AE130" s="112"/>
      <c r="AF130" s="112"/>
      <c r="AG130" s="124"/>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row>
    <row r="131">
      <c r="D131" s="143"/>
      <c r="E131" s="129"/>
      <c r="F131" s="112"/>
      <c r="G131" s="112"/>
      <c r="H131" s="112"/>
      <c r="I131" s="112"/>
      <c r="J131" s="112"/>
      <c r="K131" s="112"/>
      <c r="L131" s="112"/>
      <c r="M131" s="112"/>
      <c r="N131" s="112"/>
      <c r="O131" s="112"/>
      <c r="P131" s="112"/>
      <c r="Q131" s="112"/>
      <c r="R131" s="112"/>
      <c r="S131" s="112"/>
      <c r="T131" s="112"/>
      <c r="U131" s="124"/>
      <c r="V131" s="124"/>
      <c r="W131" s="124"/>
      <c r="X131" s="124"/>
      <c r="Y131" s="124"/>
      <c r="Z131" s="112"/>
      <c r="AA131" s="112"/>
      <c r="AB131" s="112"/>
      <c r="AC131" s="112"/>
      <c r="AD131" s="112"/>
      <c r="AE131" s="112"/>
      <c r="AF131" s="112"/>
      <c r="AG131" s="124"/>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row>
    <row r="132">
      <c r="D132" s="143"/>
      <c r="E132" s="129"/>
      <c r="F132" s="112"/>
      <c r="G132" s="112"/>
      <c r="H132" s="112"/>
      <c r="I132" s="112"/>
      <c r="J132" s="112"/>
      <c r="K132" s="112"/>
      <c r="L132" s="112"/>
      <c r="M132" s="112"/>
      <c r="N132" s="112"/>
      <c r="O132" s="112"/>
      <c r="P132" s="112"/>
      <c r="Q132" s="112"/>
      <c r="R132" s="112"/>
      <c r="S132" s="112"/>
      <c r="T132" s="112"/>
      <c r="U132" s="124"/>
      <c r="V132" s="124"/>
      <c r="W132" s="124"/>
      <c r="X132" s="124"/>
      <c r="Y132" s="124"/>
      <c r="Z132" s="112"/>
      <c r="AA132" s="112"/>
      <c r="AB132" s="112"/>
      <c r="AC132" s="112"/>
      <c r="AD132" s="112"/>
      <c r="AE132" s="112"/>
      <c r="AF132" s="112"/>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row>
    <row r="133">
      <c r="D133" s="143"/>
      <c r="E133" s="129"/>
      <c r="F133" s="112"/>
      <c r="G133" s="112"/>
      <c r="H133" s="112"/>
      <c r="I133" s="112"/>
      <c r="J133" s="112"/>
      <c r="K133" s="112"/>
      <c r="L133" s="112"/>
      <c r="M133" s="112"/>
      <c r="N133" s="112"/>
      <c r="O133" s="112"/>
      <c r="P133" s="112"/>
      <c r="Q133" s="112"/>
      <c r="R133" s="112"/>
      <c r="S133" s="112"/>
      <c r="T133" s="112"/>
      <c r="U133" s="124"/>
      <c r="V133" s="124"/>
      <c r="W133" s="124"/>
      <c r="X133" s="124"/>
      <c r="Y133" s="124"/>
      <c r="Z133" s="112"/>
      <c r="AA133" s="112"/>
      <c r="AB133" s="112"/>
      <c r="AC133" s="112"/>
      <c r="AD133" s="112"/>
      <c r="AE133" s="112"/>
      <c r="AF133" s="112"/>
      <c r="AG133" s="124"/>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row>
    <row r="134">
      <c r="D134" s="143"/>
      <c r="E134" s="129"/>
      <c r="F134" s="112"/>
      <c r="G134" s="112"/>
      <c r="H134" s="112"/>
      <c r="I134" s="112"/>
      <c r="J134" s="112"/>
      <c r="K134" s="112"/>
      <c r="L134" s="112"/>
      <c r="M134" s="112"/>
      <c r="N134" s="112"/>
      <c r="O134" s="112"/>
      <c r="P134" s="112"/>
      <c r="Q134" s="112"/>
      <c r="R134" s="112"/>
      <c r="S134" s="112"/>
      <c r="T134" s="112"/>
      <c r="U134" s="124"/>
      <c r="V134" s="124"/>
      <c r="W134" s="124"/>
      <c r="X134" s="124"/>
      <c r="Y134" s="124"/>
      <c r="Z134" s="112"/>
      <c r="AA134" s="112"/>
      <c r="AB134" s="112"/>
      <c r="AC134" s="112"/>
      <c r="AD134" s="112"/>
      <c r="AE134" s="112"/>
      <c r="AF134" s="112"/>
      <c r="AG134" s="124"/>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row>
    <row r="135">
      <c r="D135" s="143"/>
      <c r="E135" s="129"/>
      <c r="F135" s="112"/>
      <c r="G135" s="112"/>
      <c r="H135" s="112"/>
      <c r="I135" s="112"/>
      <c r="J135" s="112"/>
      <c r="K135" s="112"/>
      <c r="L135" s="112"/>
      <c r="M135" s="112"/>
      <c r="N135" s="112"/>
      <c r="O135" s="112"/>
      <c r="P135" s="112"/>
      <c r="Q135" s="112"/>
      <c r="R135" s="112"/>
      <c r="S135" s="112"/>
      <c r="T135" s="112"/>
      <c r="U135" s="124"/>
      <c r="V135" s="124"/>
      <c r="W135" s="124"/>
      <c r="X135" s="124"/>
      <c r="Y135" s="124"/>
      <c r="Z135" s="112"/>
      <c r="AA135" s="112"/>
      <c r="AB135" s="112"/>
      <c r="AC135" s="112"/>
      <c r="AD135" s="112"/>
      <c r="AE135" s="112"/>
      <c r="AF135" s="112"/>
      <c r="AG135" s="124"/>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c r="BK135" s="124"/>
      <c r="BL135" s="124"/>
      <c r="BM135" s="124"/>
      <c r="BN135" s="124"/>
      <c r="BO135" s="124"/>
      <c r="BP135" s="124"/>
      <c r="BQ135" s="124"/>
      <c r="BR135" s="124"/>
      <c r="BS135" s="124"/>
      <c r="BT135" s="124"/>
      <c r="BU135" s="124"/>
      <c r="BV135" s="124"/>
      <c r="BW135" s="124"/>
      <c r="BX135" s="124"/>
      <c r="BY135" s="124"/>
      <c r="BZ135" s="124"/>
      <c r="CA135" s="124"/>
    </row>
    <row r="136">
      <c r="D136" s="143"/>
      <c r="E136" s="129"/>
      <c r="F136" s="112"/>
      <c r="G136" s="112"/>
      <c r="H136" s="112"/>
      <c r="I136" s="112"/>
      <c r="J136" s="112"/>
      <c r="K136" s="112"/>
      <c r="L136" s="112"/>
      <c r="M136" s="112"/>
      <c r="N136" s="112"/>
      <c r="O136" s="112"/>
      <c r="P136" s="112"/>
      <c r="Q136" s="112"/>
      <c r="R136" s="112"/>
      <c r="S136" s="112"/>
      <c r="T136" s="112"/>
      <c r="U136" s="124"/>
      <c r="V136" s="124"/>
      <c r="W136" s="124"/>
      <c r="X136" s="124"/>
      <c r="Y136" s="124"/>
      <c r="Z136" s="112"/>
      <c r="AA136" s="112"/>
      <c r="AB136" s="112"/>
      <c r="AC136" s="112"/>
      <c r="AD136" s="112"/>
      <c r="AE136" s="112"/>
      <c r="AF136" s="112"/>
      <c r="AG136" s="124"/>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row>
    <row r="137">
      <c r="D137" s="143"/>
      <c r="E137" s="129"/>
      <c r="F137" s="112"/>
      <c r="G137" s="112"/>
      <c r="H137" s="112"/>
      <c r="I137" s="112"/>
      <c r="J137" s="112"/>
      <c r="K137" s="112"/>
      <c r="L137" s="112"/>
      <c r="M137" s="112"/>
      <c r="N137" s="112"/>
      <c r="O137" s="112"/>
      <c r="P137" s="112"/>
      <c r="Q137" s="112"/>
      <c r="R137" s="112"/>
      <c r="S137" s="112"/>
      <c r="T137" s="112"/>
      <c r="U137" s="124"/>
      <c r="V137" s="124"/>
      <c r="W137" s="124"/>
      <c r="X137" s="124"/>
      <c r="Y137" s="124"/>
      <c r="Z137" s="112"/>
      <c r="AA137" s="112"/>
      <c r="AB137" s="112"/>
      <c r="AC137" s="112"/>
      <c r="AD137" s="112"/>
      <c r="AE137" s="112"/>
      <c r="AF137" s="112"/>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row>
    <row r="138">
      <c r="D138" s="143"/>
      <c r="E138" s="129"/>
      <c r="F138" s="112"/>
      <c r="G138" s="112"/>
      <c r="H138" s="112"/>
      <c r="I138" s="112"/>
      <c r="J138" s="112"/>
      <c r="K138" s="112"/>
      <c r="L138" s="112"/>
      <c r="M138" s="112"/>
      <c r="N138" s="112"/>
      <c r="O138" s="112"/>
      <c r="P138" s="112"/>
      <c r="Q138" s="112"/>
      <c r="R138" s="112"/>
      <c r="S138" s="112"/>
      <c r="T138" s="112"/>
      <c r="U138" s="124"/>
      <c r="V138" s="124"/>
      <c r="W138" s="124"/>
      <c r="X138" s="124"/>
      <c r="Y138" s="124"/>
      <c r="Z138" s="112"/>
      <c r="AA138" s="112"/>
      <c r="AB138" s="112"/>
      <c r="AC138" s="112"/>
      <c r="AD138" s="112"/>
      <c r="AE138" s="112"/>
      <c r="AF138" s="112"/>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row>
    <row r="139">
      <c r="D139" s="143"/>
      <c r="E139" s="129"/>
      <c r="F139" s="112"/>
      <c r="G139" s="112"/>
      <c r="H139" s="112"/>
      <c r="I139" s="112"/>
      <c r="J139" s="112"/>
      <c r="K139" s="112"/>
      <c r="L139" s="112"/>
      <c r="M139" s="112"/>
      <c r="N139" s="112"/>
      <c r="O139" s="112"/>
      <c r="P139" s="112"/>
      <c r="Q139" s="112"/>
      <c r="R139" s="112"/>
      <c r="S139" s="112"/>
      <c r="T139" s="112"/>
      <c r="U139" s="124"/>
      <c r="V139" s="124"/>
      <c r="W139" s="124"/>
      <c r="X139" s="124"/>
      <c r="Y139" s="124"/>
      <c r="Z139" s="112"/>
      <c r="AA139" s="112"/>
      <c r="AB139" s="112"/>
      <c r="AC139" s="112"/>
      <c r="AD139" s="112"/>
      <c r="AE139" s="112"/>
      <c r="AF139" s="112"/>
      <c r="AG139" s="124"/>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row>
    <row r="140">
      <c r="D140" s="143"/>
      <c r="E140" s="129"/>
      <c r="F140" s="112"/>
      <c r="G140" s="112"/>
      <c r="H140" s="112"/>
      <c r="I140" s="112"/>
      <c r="J140" s="112"/>
      <c r="K140" s="112"/>
      <c r="L140" s="112"/>
      <c r="M140" s="112"/>
      <c r="N140" s="112"/>
      <c r="O140" s="112"/>
      <c r="P140" s="112"/>
      <c r="Q140" s="112"/>
      <c r="R140" s="112"/>
      <c r="S140" s="112"/>
      <c r="T140" s="112"/>
      <c r="U140" s="124"/>
      <c r="V140" s="124"/>
      <c r="W140" s="124"/>
      <c r="X140" s="124"/>
      <c r="Y140" s="124"/>
      <c r="Z140" s="112"/>
      <c r="AA140" s="112"/>
      <c r="AB140" s="112"/>
      <c r="AC140" s="112"/>
      <c r="AD140" s="112"/>
      <c r="AE140" s="112"/>
      <c r="AF140" s="112"/>
      <c r="AG140" s="124"/>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row>
    <row r="141">
      <c r="D141" s="143"/>
      <c r="E141" s="129"/>
      <c r="F141" s="112"/>
      <c r="G141" s="112"/>
      <c r="H141" s="112"/>
      <c r="I141" s="112"/>
      <c r="J141" s="112"/>
      <c r="K141" s="112"/>
      <c r="L141" s="112"/>
      <c r="M141" s="112"/>
      <c r="N141" s="112"/>
      <c r="O141" s="112"/>
      <c r="P141" s="112"/>
      <c r="Q141" s="112"/>
      <c r="R141" s="112"/>
      <c r="S141" s="112"/>
      <c r="T141" s="112"/>
      <c r="U141" s="124"/>
      <c r="V141" s="124"/>
      <c r="W141" s="124"/>
      <c r="X141" s="124"/>
      <c r="Y141" s="124"/>
      <c r="Z141" s="112"/>
      <c r="AA141" s="112"/>
      <c r="AB141" s="112"/>
      <c r="AC141" s="112"/>
      <c r="AD141" s="112"/>
      <c r="AE141" s="112"/>
      <c r="AF141" s="112"/>
      <c r="AG141" s="124"/>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row>
    <row r="142">
      <c r="D142" s="143"/>
      <c r="E142" s="129"/>
      <c r="F142" s="112"/>
      <c r="G142" s="112"/>
      <c r="H142" s="112"/>
      <c r="I142" s="112"/>
      <c r="J142" s="112"/>
      <c r="K142" s="112"/>
      <c r="L142" s="112"/>
      <c r="M142" s="112"/>
      <c r="N142" s="112"/>
      <c r="O142" s="112"/>
      <c r="P142" s="112"/>
      <c r="Q142" s="112"/>
      <c r="R142" s="112"/>
      <c r="S142" s="112"/>
      <c r="T142" s="112"/>
      <c r="U142" s="124"/>
      <c r="V142" s="124"/>
      <c r="W142" s="124"/>
      <c r="X142" s="124"/>
      <c r="Y142" s="124"/>
      <c r="Z142" s="112"/>
      <c r="AA142" s="112"/>
      <c r="AB142" s="112"/>
      <c r="AC142" s="112"/>
      <c r="AD142" s="112"/>
      <c r="AE142" s="112"/>
      <c r="AF142" s="112"/>
      <c r="AG142" s="124"/>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c r="BK142" s="124"/>
      <c r="BL142" s="124"/>
      <c r="BM142" s="124"/>
      <c r="BN142" s="124"/>
      <c r="BO142" s="124"/>
      <c r="BP142" s="124"/>
      <c r="BQ142" s="124"/>
      <c r="BR142" s="124"/>
      <c r="BS142" s="124"/>
      <c r="BT142" s="124"/>
      <c r="BU142" s="124"/>
      <c r="BV142" s="124"/>
      <c r="BW142" s="124"/>
      <c r="BX142" s="124"/>
      <c r="BY142" s="124"/>
      <c r="BZ142" s="124"/>
      <c r="CA142" s="124"/>
    </row>
    <row r="143">
      <c r="D143" s="143"/>
      <c r="E143" s="129"/>
      <c r="F143" s="112"/>
      <c r="G143" s="112"/>
      <c r="H143" s="112"/>
      <c r="I143" s="112"/>
      <c r="J143" s="112"/>
      <c r="K143" s="112"/>
      <c r="L143" s="112"/>
      <c r="M143" s="112"/>
      <c r="N143" s="112"/>
      <c r="O143" s="112"/>
      <c r="P143" s="112"/>
      <c r="Q143" s="112"/>
      <c r="R143" s="112"/>
      <c r="S143" s="112"/>
      <c r="T143" s="112"/>
      <c r="U143" s="124"/>
      <c r="V143" s="124"/>
      <c r="W143" s="124"/>
      <c r="X143" s="124"/>
      <c r="Y143" s="124"/>
      <c r="Z143" s="112"/>
      <c r="AA143" s="112"/>
      <c r="AB143" s="112"/>
      <c r="AC143" s="112"/>
      <c r="AD143" s="112"/>
      <c r="AE143" s="112"/>
      <c r="AF143" s="112"/>
      <c r="AG143" s="124"/>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row>
    <row r="144">
      <c r="D144" s="143"/>
      <c r="E144" s="129"/>
      <c r="F144" s="112"/>
      <c r="G144" s="112"/>
      <c r="H144" s="112"/>
      <c r="I144" s="112"/>
      <c r="J144" s="112"/>
      <c r="K144" s="112"/>
      <c r="L144" s="112"/>
      <c r="M144" s="112"/>
      <c r="N144" s="112"/>
      <c r="O144" s="112"/>
      <c r="P144" s="112"/>
      <c r="Q144" s="112"/>
      <c r="R144" s="112"/>
      <c r="S144" s="112"/>
      <c r="T144" s="112"/>
      <c r="U144" s="124"/>
      <c r="V144" s="124"/>
      <c r="W144" s="124"/>
      <c r="X144" s="124"/>
      <c r="Y144" s="124"/>
      <c r="Z144" s="112"/>
      <c r="AA144" s="112"/>
      <c r="AB144" s="112"/>
      <c r="AC144" s="112"/>
      <c r="AD144" s="112"/>
      <c r="AE144" s="112"/>
      <c r="AF144" s="112"/>
      <c r="AG144" s="124"/>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c r="BQ144" s="124"/>
      <c r="BR144" s="124"/>
      <c r="BS144" s="124"/>
      <c r="BT144" s="124"/>
      <c r="BU144" s="124"/>
      <c r="BV144" s="124"/>
      <c r="BW144" s="124"/>
      <c r="BX144" s="124"/>
      <c r="BY144" s="124"/>
      <c r="BZ144" s="124"/>
      <c r="CA144" s="124"/>
    </row>
    <row r="145">
      <c r="D145" s="143"/>
      <c r="E145" s="129"/>
      <c r="F145" s="112"/>
      <c r="G145" s="112"/>
      <c r="H145" s="112"/>
      <c r="I145" s="112"/>
      <c r="J145" s="112"/>
      <c r="K145" s="112"/>
      <c r="L145" s="112"/>
      <c r="M145" s="112"/>
      <c r="N145" s="112"/>
      <c r="O145" s="112"/>
      <c r="P145" s="112"/>
      <c r="Q145" s="112"/>
      <c r="R145" s="112"/>
      <c r="S145" s="112"/>
      <c r="T145" s="112"/>
      <c r="U145" s="124"/>
      <c r="V145" s="124"/>
      <c r="W145" s="124"/>
      <c r="X145" s="124"/>
      <c r="Y145" s="124"/>
      <c r="Z145" s="112"/>
      <c r="AA145" s="112"/>
      <c r="AB145" s="112"/>
      <c r="AC145" s="112"/>
      <c r="AD145" s="112"/>
      <c r="AE145" s="112"/>
      <c r="AF145" s="112"/>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row>
    <row r="146">
      <c r="D146" s="143"/>
      <c r="E146" s="129"/>
      <c r="F146" s="112"/>
      <c r="G146" s="112"/>
      <c r="H146" s="112"/>
      <c r="I146" s="112"/>
      <c r="J146" s="112"/>
      <c r="K146" s="112"/>
      <c r="L146" s="112"/>
      <c r="M146" s="112"/>
      <c r="N146" s="112"/>
      <c r="O146" s="112"/>
      <c r="P146" s="112"/>
      <c r="Q146" s="112"/>
      <c r="R146" s="112"/>
      <c r="S146" s="112"/>
      <c r="T146" s="112"/>
      <c r="U146" s="124"/>
      <c r="V146" s="124"/>
      <c r="W146" s="124"/>
      <c r="X146" s="124"/>
      <c r="Y146" s="124"/>
      <c r="Z146" s="112"/>
      <c r="AA146" s="112"/>
      <c r="AB146" s="112"/>
      <c r="AC146" s="112"/>
      <c r="AD146" s="112"/>
      <c r="AE146" s="112"/>
      <c r="AF146" s="112"/>
      <c r="AG146" s="124"/>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row>
    <row r="147">
      <c r="D147" s="143"/>
      <c r="E147" s="129"/>
      <c r="F147" s="112"/>
      <c r="G147" s="112"/>
      <c r="H147" s="112"/>
      <c r="I147" s="112"/>
      <c r="J147" s="112"/>
      <c r="K147" s="112"/>
      <c r="L147" s="112"/>
      <c r="M147" s="112"/>
      <c r="N147" s="112"/>
      <c r="O147" s="112"/>
      <c r="P147" s="112"/>
      <c r="Q147" s="112"/>
      <c r="R147" s="112"/>
      <c r="S147" s="112"/>
      <c r="T147" s="112"/>
      <c r="U147" s="124"/>
      <c r="V147" s="124"/>
      <c r="W147" s="124"/>
      <c r="X147" s="124"/>
      <c r="Y147" s="124"/>
      <c r="Z147" s="112"/>
      <c r="AA147" s="112"/>
      <c r="AB147" s="112"/>
      <c r="AC147" s="112"/>
      <c r="AD147" s="112"/>
      <c r="AE147" s="112"/>
      <c r="AF147" s="112"/>
      <c r="AG147" s="124"/>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c r="BK147" s="124"/>
      <c r="BL147" s="124"/>
      <c r="BM147" s="124"/>
      <c r="BN147" s="124"/>
      <c r="BO147" s="124"/>
      <c r="BP147" s="124"/>
      <c r="BQ147" s="124"/>
      <c r="BR147" s="124"/>
      <c r="BS147" s="124"/>
      <c r="BT147" s="124"/>
      <c r="BU147" s="124"/>
      <c r="BV147" s="124"/>
      <c r="BW147" s="124"/>
      <c r="BX147" s="124"/>
      <c r="BY147" s="124"/>
      <c r="BZ147" s="124"/>
      <c r="CA147" s="124"/>
    </row>
    <row r="148">
      <c r="D148" s="143"/>
      <c r="E148" s="129"/>
      <c r="F148" s="112"/>
      <c r="G148" s="112"/>
      <c r="H148" s="112"/>
      <c r="I148" s="112"/>
      <c r="J148" s="112"/>
      <c r="K148" s="112"/>
      <c r="L148" s="112"/>
      <c r="M148" s="112"/>
      <c r="N148" s="112"/>
      <c r="O148" s="112"/>
      <c r="P148" s="112"/>
      <c r="Q148" s="112"/>
      <c r="R148" s="112"/>
      <c r="S148" s="112"/>
      <c r="T148" s="112"/>
      <c r="U148" s="124"/>
      <c r="V148" s="124"/>
      <c r="W148" s="124"/>
      <c r="X148" s="124"/>
      <c r="Y148" s="124"/>
      <c r="Z148" s="112"/>
      <c r="AA148" s="112"/>
      <c r="AB148" s="112"/>
      <c r="AC148" s="112"/>
      <c r="AD148" s="112"/>
      <c r="AE148" s="112"/>
      <c r="AF148" s="112"/>
      <c r="AG148" s="124"/>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row>
    <row r="149">
      <c r="D149" s="143"/>
      <c r="E149" s="129"/>
      <c r="F149" s="112"/>
      <c r="G149" s="112"/>
      <c r="H149" s="112"/>
      <c r="I149" s="112"/>
      <c r="J149" s="112"/>
      <c r="K149" s="112"/>
      <c r="L149" s="112"/>
      <c r="M149" s="112"/>
      <c r="N149" s="112"/>
      <c r="O149" s="112"/>
      <c r="P149" s="112"/>
      <c r="Q149" s="112"/>
      <c r="R149" s="112"/>
      <c r="S149" s="112"/>
      <c r="T149" s="112"/>
      <c r="U149" s="124"/>
      <c r="V149" s="124"/>
      <c r="W149" s="124"/>
      <c r="X149" s="124"/>
      <c r="Y149" s="124"/>
      <c r="Z149" s="112"/>
      <c r="AA149" s="112"/>
      <c r="AB149" s="112"/>
      <c r="AC149" s="112"/>
      <c r="AD149" s="112"/>
      <c r="AE149" s="112"/>
      <c r="AF149" s="112"/>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row>
    <row r="150">
      <c r="D150" s="143"/>
      <c r="E150" s="129"/>
      <c r="F150" s="112"/>
      <c r="G150" s="112"/>
      <c r="H150" s="112"/>
      <c r="I150" s="112"/>
      <c r="J150" s="112"/>
      <c r="K150" s="112"/>
      <c r="L150" s="112"/>
      <c r="M150" s="112"/>
      <c r="N150" s="112"/>
      <c r="O150" s="112"/>
      <c r="P150" s="112"/>
      <c r="Q150" s="112"/>
      <c r="R150" s="112"/>
      <c r="S150" s="112"/>
      <c r="T150" s="112"/>
      <c r="U150" s="124"/>
      <c r="V150" s="124"/>
      <c r="W150" s="124"/>
      <c r="X150" s="124"/>
      <c r="Y150" s="124"/>
      <c r="Z150" s="112"/>
      <c r="AA150" s="112"/>
      <c r="AB150" s="112"/>
      <c r="AC150" s="112"/>
      <c r="AD150" s="112"/>
      <c r="AE150" s="112"/>
      <c r="AF150" s="112"/>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c r="BK150" s="124"/>
      <c r="BL150" s="124"/>
      <c r="BM150" s="124"/>
      <c r="BN150" s="124"/>
      <c r="BO150" s="124"/>
      <c r="BP150" s="124"/>
      <c r="BQ150" s="124"/>
      <c r="BR150" s="124"/>
      <c r="BS150" s="124"/>
      <c r="BT150" s="124"/>
      <c r="BU150" s="124"/>
      <c r="BV150" s="124"/>
      <c r="BW150" s="124"/>
      <c r="BX150" s="124"/>
      <c r="BY150" s="124"/>
      <c r="BZ150" s="124"/>
      <c r="CA150" s="124"/>
    </row>
    <row r="151">
      <c r="D151" s="143"/>
      <c r="E151" s="129"/>
      <c r="F151" s="112"/>
      <c r="G151" s="112"/>
      <c r="H151" s="112"/>
      <c r="I151" s="112"/>
      <c r="J151" s="112"/>
      <c r="K151" s="112"/>
      <c r="L151" s="112"/>
      <c r="M151" s="112"/>
      <c r="N151" s="112"/>
      <c r="O151" s="112"/>
      <c r="P151" s="112"/>
      <c r="Q151" s="112"/>
      <c r="R151" s="112"/>
      <c r="S151" s="112"/>
      <c r="T151" s="112"/>
      <c r="U151" s="124"/>
      <c r="V151" s="124"/>
      <c r="W151" s="124"/>
      <c r="X151" s="124"/>
      <c r="Y151" s="124"/>
      <c r="Z151" s="112"/>
      <c r="AA151" s="112"/>
      <c r="AB151" s="112"/>
      <c r="AC151" s="112"/>
      <c r="AD151" s="112"/>
      <c r="AE151" s="112"/>
      <c r="AF151" s="112"/>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row>
    <row r="152">
      <c r="D152" s="143"/>
      <c r="E152" s="129"/>
      <c r="F152" s="112"/>
      <c r="G152" s="112"/>
      <c r="H152" s="112"/>
      <c r="I152" s="112"/>
      <c r="J152" s="112"/>
      <c r="K152" s="112"/>
      <c r="L152" s="112"/>
      <c r="M152" s="112"/>
      <c r="N152" s="112"/>
      <c r="O152" s="112"/>
      <c r="P152" s="112"/>
      <c r="Q152" s="112"/>
      <c r="R152" s="112"/>
      <c r="S152" s="112"/>
      <c r="T152" s="112"/>
      <c r="U152" s="124"/>
      <c r="V152" s="124"/>
      <c r="W152" s="124"/>
      <c r="X152" s="124"/>
      <c r="Y152" s="124"/>
      <c r="Z152" s="112"/>
      <c r="AA152" s="112"/>
      <c r="AB152" s="112"/>
      <c r="AC152" s="112"/>
      <c r="AD152" s="112"/>
      <c r="AE152" s="112"/>
      <c r="AF152" s="112"/>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c r="BK152" s="124"/>
      <c r="BL152" s="124"/>
      <c r="BM152" s="124"/>
      <c r="BN152" s="124"/>
      <c r="BO152" s="124"/>
      <c r="BP152" s="124"/>
      <c r="BQ152" s="124"/>
      <c r="BR152" s="124"/>
      <c r="BS152" s="124"/>
      <c r="BT152" s="124"/>
      <c r="BU152" s="124"/>
      <c r="BV152" s="124"/>
      <c r="BW152" s="124"/>
      <c r="BX152" s="124"/>
      <c r="BY152" s="124"/>
      <c r="BZ152" s="124"/>
      <c r="CA152" s="124"/>
    </row>
    <row r="153">
      <c r="D153" s="143"/>
      <c r="E153" s="129"/>
      <c r="F153" s="112"/>
      <c r="G153" s="112"/>
      <c r="H153" s="112"/>
      <c r="I153" s="112"/>
      <c r="J153" s="112"/>
      <c r="K153" s="112"/>
      <c r="L153" s="112"/>
      <c r="M153" s="112"/>
      <c r="N153" s="112"/>
      <c r="O153" s="112"/>
      <c r="P153" s="112"/>
      <c r="Q153" s="112"/>
      <c r="R153" s="112"/>
      <c r="S153" s="112"/>
      <c r="T153" s="112"/>
      <c r="U153" s="124"/>
      <c r="V153" s="124"/>
      <c r="W153" s="124"/>
      <c r="X153" s="124"/>
      <c r="Y153" s="124"/>
      <c r="Z153" s="112"/>
      <c r="AA153" s="112"/>
      <c r="AB153" s="112"/>
      <c r="AC153" s="112"/>
      <c r="AD153" s="112"/>
      <c r="AE153" s="112"/>
      <c r="AF153" s="112"/>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row>
    <row r="154">
      <c r="D154" s="143"/>
      <c r="E154" s="129"/>
      <c r="F154" s="112"/>
      <c r="G154" s="112"/>
      <c r="H154" s="112"/>
      <c r="I154" s="112"/>
      <c r="J154" s="112"/>
      <c r="K154" s="112"/>
      <c r="L154" s="112"/>
      <c r="M154" s="112"/>
      <c r="N154" s="112"/>
      <c r="O154" s="112"/>
      <c r="P154" s="112"/>
      <c r="Q154" s="112"/>
      <c r="R154" s="112"/>
      <c r="S154" s="112"/>
      <c r="T154" s="112"/>
      <c r="U154" s="124"/>
      <c r="V154" s="124"/>
      <c r="W154" s="124"/>
      <c r="X154" s="124"/>
      <c r="Y154" s="124"/>
      <c r="Z154" s="112"/>
      <c r="AA154" s="112"/>
      <c r="AB154" s="112"/>
      <c r="AC154" s="112"/>
      <c r="AD154" s="112"/>
      <c r="AE154" s="112"/>
      <c r="AF154" s="112"/>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row>
    <row r="155">
      <c r="D155" s="143"/>
      <c r="E155" s="129"/>
      <c r="F155" s="112"/>
      <c r="G155" s="112"/>
      <c r="H155" s="112"/>
      <c r="I155" s="112"/>
      <c r="J155" s="112"/>
      <c r="K155" s="112"/>
      <c r="L155" s="112"/>
      <c r="M155" s="112"/>
      <c r="N155" s="112"/>
      <c r="O155" s="112"/>
      <c r="P155" s="112"/>
      <c r="Q155" s="112"/>
      <c r="R155" s="112"/>
      <c r="S155" s="112"/>
      <c r="T155" s="112"/>
      <c r="U155" s="124"/>
      <c r="V155" s="124"/>
      <c r="W155" s="124"/>
      <c r="X155" s="124"/>
      <c r="Y155" s="124"/>
      <c r="Z155" s="112"/>
      <c r="AA155" s="112"/>
      <c r="AB155" s="112"/>
      <c r="AC155" s="112"/>
      <c r="AD155" s="112"/>
      <c r="AE155" s="112"/>
      <c r="AF155" s="112"/>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row>
    <row r="156">
      <c r="D156" s="143"/>
      <c r="E156" s="129"/>
      <c r="F156" s="112"/>
      <c r="G156" s="112"/>
      <c r="H156" s="112"/>
      <c r="I156" s="112"/>
      <c r="J156" s="112"/>
      <c r="K156" s="112"/>
      <c r="L156" s="112"/>
      <c r="M156" s="112"/>
      <c r="N156" s="112"/>
      <c r="O156" s="112"/>
      <c r="P156" s="112"/>
      <c r="Q156" s="112"/>
      <c r="R156" s="112"/>
      <c r="S156" s="112"/>
      <c r="T156" s="112"/>
      <c r="U156" s="124"/>
      <c r="V156" s="124"/>
      <c r="W156" s="124"/>
      <c r="X156" s="124"/>
      <c r="Y156" s="124"/>
      <c r="Z156" s="112"/>
      <c r="AA156" s="112"/>
      <c r="AB156" s="112"/>
      <c r="AC156" s="112"/>
      <c r="AD156" s="112"/>
      <c r="AE156" s="112"/>
      <c r="AF156" s="112"/>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row>
    <row r="157">
      <c r="D157" s="143"/>
      <c r="E157" s="129"/>
      <c r="F157" s="112"/>
      <c r="G157" s="112"/>
      <c r="H157" s="112"/>
      <c r="I157" s="112"/>
      <c r="J157" s="112"/>
      <c r="K157" s="112"/>
      <c r="L157" s="112"/>
      <c r="M157" s="112"/>
      <c r="N157" s="112"/>
      <c r="O157" s="112"/>
      <c r="P157" s="112"/>
      <c r="Q157" s="112"/>
      <c r="R157" s="112"/>
      <c r="S157" s="112"/>
      <c r="T157" s="112"/>
      <c r="U157" s="124"/>
      <c r="V157" s="124"/>
      <c r="W157" s="124"/>
      <c r="X157" s="124"/>
      <c r="Y157" s="124"/>
      <c r="Z157" s="112"/>
      <c r="AA157" s="112"/>
      <c r="AB157" s="112"/>
      <c r="AC157" s="112"/>
      <c r="AD157" s="112"/>
      <c r="AE157" s="112"/>
      <c r="AF157" s="112"/>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row>
    <row r="158">
      <c r="D158" s="143"/>
      <c r="E158" s="129"/>
      <c r="F158" s="112"/>
      <c r="G158" s="112"/>
      <c r="H158" s="112"/>
      <c r="I158" s="112"/>
      <c r="J158" s="112"/>
      <c r="K158" s="112"/>
      <c r="L158" s="112"/>
      <c r="M158" s="112"/>
      <c r="N158" s="112"/>
      <c r="O158" s="112"/>
      <c r="P158" s="112"/>
      <c r="Q158" s="112"/>
      <c r="R158" s="112"/>
      <c r="S158" s="112"/>
      <c r="T158" s="112"/>
      <c r="U158" s="124"/>
      <c r="V158" s="124"/>
      <c r="W158" s="124"/>
      <c r="X158" s="124"/>
      <c r="Y158" s="124"/>
      <c r="Z158" s="112"/>
      <c r="AA158" s="112"/>
      <c r="AB158" s="112"/>
      <c r="AC158" s="112"/>
      <c r="AD158" s="112"/>
      <c r="AE158" s="112"/>
      <c r="AF158" s="112"/>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row>
    <row r="159">
      <c r="D159" s="143"/>
      <c r="E159" s="129"/>
      <c r="F159" s="112"/>
      <c r="G159" s="112"/>
      <c r="H159" s="112"/>
      <c r="I159" s="112"/>
      <c r="J159" s="112"/>
      <c r="K159" s="112"/>
      <c r="L159" s="112"/>
      <c r="M159" s="112"/>
      <c r="N159" s="112"/>
      <c r="O159" s="112"/>
      <c r="P159" s="112"/>
      <c r="Q159" s="112"/>
      <c r="R159" s="112"/>
      <c r="S159" s="112"/>
      <c r="T159" s="112"/>
      <c r="U159" s="124"/>
      <c r="V159" s="124"/>
      <c r="W159" s="124"/>
      <c r="X159" s="124"/>
      <c r="Y159" s="124"/>
      <c r="Z159" s="112"/>
      <c r="AA159" s="112"/>
      <c r="AB159" s="112"/>
      <c r="AC159" s="112"/>
      <c r="AD159" s="112"/>
      <c r="AE159" s="112"/>
      <c r="AF159" s="112"/>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row>
    <row r="160">
      <c r="D160" s="143"/>
      <c r="E160" s="129"/>
      <c r="F160" s="112"/>
      <c r="G160" s="112"/>
      <c r="H160" s="112"/>
      <c r="I160" s="112"/>
      <c r="J160" s="112"/>
      <c r="K160" s="112"/>
      <c r="L160" s="112"/>
      <c r="M160" s="112"/>
      <c r="N160" s="112"/>
      <c r="O160" s="112"/>
      <c r="P160" s="112"/>
      <c r="Q160" s="112"/>
      <c r="R160" s="112"/>
      <c r="S160" s="112"/>
      <c r="T160" s="112"/>
      <c r="U160" s="124"/>
      <c r="V160" s="124"/>
      <c r="W160" s="124"/>
      <c r="X160" s="124"/>
      <c r="Y160" s="124"/>
      <c r="Z160" s="112"/>
      <c r="AA160" s="112"/>
      <c r="AB160" s="112"/>
      <c r="AC160" s="112"/>
      <c r="AD160" s="112"/>
      <c r="AE160" s="112"/>
      <c r="AF160" s="112"/>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c r="BK160" s="124"/>
      <c r="BL160" s="124"/>
      <c r="BM160" s="124"/>
      <c r="BN160" s="124"/>
      <c r="BO160" s="124"/>
      <c r="BP160" s="124"/>
      <c r="BQ160" s="124"/>
      <c r="BR160" s="124"/>
      <c r="BS160" s="124"/>
      <c r="BT160" s="124"/>
      <c r="BU160" s="124"/>
      <c r="BV160" s="124"/>
      <c r="BW160" s="124"/>
      <c r="BX160" s="124"/>
      <c r="BY160" s="124"/>
      <c r="BZ160" s="124"/>
      <c r="CA160" s="124"/>
    </row>
    <row r="161">
      <c r="D161" s="143"/>
      <c r="E161" s="129"/>
      <c r="F161" s="112"/>
      <c r="G161" s="112"/>
      <c r="H161" s="112"/>
      <c r="I161" s="112"/>
      <c r="J161" s="112"/>
      <c r="K161" s="112"/>
      <c r="L161" s="112"/>
      <c r="M161" s="112"/>
      <c r="N161" s="112"/>
      <c r="O161" s="112"/>
      <c r="P161" s="112"/>
      <c r="Q161" s="112"/>
      <c r="R161" s="112"/>
      <c r="S161" s="112"/>
      <c r="T161" s="112"/>
      <c r="U161" s="124"/>
      <c r="V161" s="124"/>
      <c r="W161" s="124"/>
      <c r="X161" s="124"/>
      <c r="Y161" s="124"/>
      <c r="Z161" s="112"/>
      <c r="AA161" s="112"/>
      <c r="AB161" s="112"/>
      <c r="AC161" s="112"/>
      <c r="AD161" s="112"/>
      <c r="AE161" s="112"/>
      <c r="AF161" s="112"/>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c r="BK161" s="124"/>
      <c r="BL161" s="124"/>
      <c r="BM161" s="124"/>
      <c r="BN161" s="124"/>
      <c r="BO161" s="124"/>
      <c r="BP161" s="124"/>
      <c r="BQ161" s="124"/>
      <c r="BR161" s="124"/>
      <c r="BS161" s="124"/>
      <c r="BT161" s="124"/>
      <c r="BU161" s="124"/>
      <c r="BV161" s="124"/>
      <c r="BW161" s="124"/>
      <c r="BX161" s="124"/>
      <c r="BY161" s="124"/>
      <c r="BZ161" s="124"/>
      <c r="CA161" s="124"/>
    </row>
    <row r="162">
      <c r="D162" s="143"/>
      <c r="E162" s="129"/>
      <c r="F162" s="112"/>
      <c r="G162" s="112"/>
      <c r="H162" s="112"/>
      <c r="I162" s="112"/>
      <c r="J162" s="112"/>
      <c r="K162" s="112"/>
      <c r="L162" s="112"/>
      <c r="M162" s="112"/>
      <c r="N162" s="112"/>
      <c r="O162" s="112"/>
      <c r="P162" s="112"/>
      <c r="Q162" s="112"/>
      <c r="R162" s="112"/>
      <c r="S162" s="112"/>
      <c r="T162" s="112"/>
      <c r="U162" s="124"/>
      <c r="V162" s="124"/>
      <c r="W162" s="124"/>
      <c r="X162" s="124"/>
      <c r="Y162" s="124"/>
      <c r="Z162" s="112"/>
      <c r="AA162" s="112"/>
      <c r="AB162" s="112"/>
      <c r="AC162" s="112"/>
      <c r="AD162" s="112"/>
      <c r="AE162" s="112"/>
      <c r="AF162" s="112"/>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4"/>
      <c r="BV162" s="124"/>
      <c r="BW162" s="124"/>
      <c r="BX162" s="124"/>
      <c r="BY162" s="124"/>
      <c r="BZ162" s="124"/>
      <c r="CA162" s="124"/>
    </row>
    <row r="163">
      <c r="D163" s="143"/>
      <c r="E163" s="129"/>
      <c r="F163" s="112"/>
      <c r="G163" s="112"/>
      <c r="H163" s="112"/>
      <c r="I163" s="112"/>
      <c r="J163" s="112"/>
      <c r="K163" s="112"/>
      <c r="L163" s="112"/>
      <c r="M163" s="112"/>
      <c r="N163" s="112"/>
      <c r="O163" s="112"/>
      <c r="P163" s="112"/>
      <c r="Q163" s="112"/>
      <c r="R163" s="112"/>
      <c r="S163" s="112"/>
      <c r="T163" s="112"/>
      <c r="U163" s="124"/>
      <c r="V163" s="124"/>
      <c r="W163" s="124"/>
      <c r="X163" s="124"/>
      <c r="Y163" s="124"/>
      <c r="Z163" s="112"/>
      <c r="AA163" s="112"/>
      <c r="AB163" s="112"/>
      <c r="AC163" s="112"/>
      <c r="AD163" s="112"/>
      <c r="AE163" s="112"/>
      <c r="AF163" s="112"/>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c r="BK163" s="124"/>
      <c r="BL163" s="124"/>
      <c r="BM163" s="124"/>
      <c r="BN163" s="124"/>
      <c r="BO163" s="124"/>
      <c r="BP163" s="124"/>
      <c r="BQ163" s="124"/>
      <c r="BR163" s="124"/>
      <c r="BS163" s="124"/>
      <c r="BT163" s="124"/>
      <c r="BU163" s="124"/>
      <c r="BV163" s="124"/>
      <c r="BW163" s="124"/>
      <c r="BX163" s="124"/>
      <c r="BY163" s="124"/>
      <c r="BZ163" s="124"/>
      <c r="CA163" s="124"/>
    </row>
    <row r="164">
      <c r="D164" s="143"/>
      <c r="E164" s="129"/>
      <c r="F164" s="112"/>
      <c r="G164" s="112"/>
      <c r="H164" s="112"/>
      <c r="I164" s="112"/>
      <c r="J164" s="112"/>
      <c r="K164" s="112"/>
      <c r="L164" s="112"/>
      <c r="M164" s="112"/>
      <c r="N164" s="112"/>
      <c r="O164" s="112"/>
      <c r="P164" s="112"/>
      <c r="Q164" s="112"/>
      <c r="R164" s="112"/>
      <c r="S164" s="112"/>
      <c r="T164" s="112"/>
      <c r="U164" s="124"/>
      <c r="V164" s="124"/>
      <c r="W164" s="124"/>
      <c r="X164" s="124"/>
      <c r="Y164" s="124"/>
      <c r="Z164" s="112"/>
      <c r="AA164" s="112"/>
      <c r="AB164" s="112"/>
      <c r="AC164" s="112"/>
      <c r="AD164" s="112"/>
      <c r="AE164" s="112"/>
      <c r="AF164" s="112"/>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row>
    <row r="165">
      <c r="D165" s="143"/>
      <c r="E165" s="129"/>
      <c r="F165" s="112"/>
      <c r="G165" s="112"/>
      <c r="H165" s="112"/>
      <c r="I165" s="112"/>
      <c r="J165" s="112"/>
      <c r="K165" s="112"/>
      <c r="L165" s="112"/>
      <c r="M165" s="112"/>
      <c r="N165" s="112"/>
      <c r="O165" s="112"/>
      <c r="P165" s="112"/>
      <c r="Q165" s="112"/>
      <c r="R165" s="112"/>
      <c r="S165" s="112"/>
      <c r="T165" s="112"/>
      <c r="U165" s="124"/>
      <c r="V165" s="124"/>
      <c r="W165" s="124"/>
      <c r="X165" s="124"/>
      <c r="Y165" s="124"/>
      <c r="Z165" s="112"/>
      <c r="AA165" s="112"/>
      <c r="AB165" s="112"/>
      <c r="AC165" s="112"/>
      <c r="AD165" s="112"/>
      <c r="AE165" s="112"/>
      <c r="AF165" s="112"/>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row>
    <row r="166">
      <c r="D166" s="143"/>
      <c r="E166" s="129"/>
      <c r="F166" s="112"/>
      <c r="G166" s="112"/>
      <c r="H166" s="112"/>
      <c r="I166" s="112"/>
      <c r="J166" s="112"/>
      <c r="K166" s="112"/>
      <c r="L166" s="112"/>
      <c r="M166" s="112"/>
      <c r="N166" s="112"/>
      <c r="O166" s="112"/>
      <c r="P166" s="112"/>
      <c r="Q166" s="112"/>
      <c r="R166" s="112"/>
      <c r="S166" s="112"/>
      <c r="T166" s="112"/>
      <c r="U166" s="124"/>
      <c r="V166" s="124"/>
      <c r="W166" s="124"/>
      <c r="X166" s="124"/>
      <c r="Y166" s="124"/>
      <c r="Z166" s="112"/>
      <c r="AA166" s="112"/>
      <c r="AB166" s="112"/>
      <c r="AC166" s="112"/>
      <c r="AD166" s="112"/>
      <c r="AE166" s="112"/>
      <c r="AF166" s="112"/>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c r="BK166" s="124"/>
      <c r="BL166" s="124"/>
      <c r="BM166" s="124"/>
      <c r="BN166" s="124"/>
      <c r="BO166" s="124"/>
      <c r="BP166" s="124"/>
      <c r="BQ166" s="124"/>
      <c r="BR166" s="124"/>
      <c r="BS166" s="124"/>
      <c r="BT166" s="124"/>
      <c r="BU166" s="124"/>
      <c r="BV166" s="124"/>
      <c r="BW166" s="124"/>
      <c r="BX166" s="124"/>
      <c r="BY166" s="124"/>
      <c r="BZ166" s="124"/>
      <c r="CA166" s="124"/>
    </row>
    <row r="167">
      <c r="D167" s="143"/>
      <c r="E167" s="129"/>
      <c r="F167" s="112"/>
      <c r="G167" s="112"/>
      <c r="H167" s="112"/>
      <c r="I167" s="112"/>
      <c r="J167" s="112"/>
      <c r="K167" s="112"/>
      <c r="L167" s="112"/>
      <c r="M167" s="112"/>
      <c r="N167" s="112"/>
      <c r="O167" s="112"/>
      <c r="P167" s="112"/>
      <c r="Q167" s="112"/>
      <c r="R167" s="112"/>
      <c r="S167" s="112"/>
      <c r="T167" s="112"/>
      <c r="U167" s="124"/>
      <c r="V167" s="124"/>
      <c r="W167" s="124"/>
      <c r="X167" s="124"/>
      <c r="Y167" s="124"/>
      <c r="Z167" s="112"/>
      <c r="AA167" s="112"/>
      <c r="AB167" s="112"/>
      <c r="AC167" s="112"/>
      <c r="AD167" s="112"/>
      <c r="AE167" s="112"/>
      <c r="AF167" s="112"/>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c r="BK167" s="124"/>
      <c r="BL167" s="124"/>
      <c r="BM167" s="124"/>
      <c r="BN167" s="124"/>
      <c r="BO167" s="124"/>
      <c r="BP167" s="124"/>
      <c r="BQ167" s="124"/>
      <c r="BR167" s="124"/>
      <c r="BS167" s="124"/>
      <c r="BT167" s="124"/>
      <c r="BU167" s="124"/>
      <c r="BV167" s="124"/>
      <c r="BW167" s="124"/>
      <c r="BX167" s="124"/>
      <c r="BY167" s="124"/>
      <c r="BZ167" s="124"/>
      <c r="CA167" s="124"/>
    </row>
    <row r="168">
      <c r="D168" s="143"/>
      <c r="E168" s="129"/>
      <c r="F168" s="112"/>
      <c r="G168" s="112"/>
      <c r="H168" s="112"/>
      <c r="I168" s="112"/>
      <c r="J168" s="112"/>
      <c r="K168" s="112"/>
      <c r="L168" s="112"/>
      <c r="M168" s="112"/>
      <c r="N168" s="112"/>
      <c r="O168" s="112"/>
      <c r="P168" s="112"/>
      <c r="Q168" s="112"/>
      <c r="R168" s="112"/>
      <c r="S168" s="112"/>
      <c r="T168" s="112"/>
      <c r="U168" s="124"/>
      <c r="V168" s="124"/>
      <c r="W168" s="124"/>
      <c r="X168" s="124"/>
      <c r="Y168" s="124"/>
      <c r="Z168" s="112"/>
      <c r="AA168" s="112"/>
      <c r="AB168" s="112"/>
      <c r="AC168" s="112"/>
      <c r="AD168" s="112"/>
      <c r="AE168" s="112"/>
      <c r="AF168" s="112"/>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row>
    <row r="169">
      <c r="D169" s="143"/>
      <c r="E169" s="129"/>
      <c r="F169" s="112"/>
      <c r="G169" s="112"/>
      <c r="H169" s="112"/>
      <c r="I169" s="112"/>
      <c r="J169" s="112"/>
      <c r="K169" s="112"/>
      <c r="L169" s="112"/>
      <c r="M169" s="112"/>
      <c r="N169" s="112"/>
      <c r="O169" s="112"/>
      <c r="P169" s="112"/>
      <c r="Q169" s="112"/>
      <c r="R169" s="112"/>
      <c r="S169" s="112"/>
      <c r="T169" s="112"/>
      <c r="U169" s="124"/>
      <c r="V169" s="124"/>
      <c r="W169" s="124"/>
      <c r="X169" s="124"/>
      <c r="Y169" s="124"/>
      <c r="Z169" s="112"/>
      <c r="AA169" s="112"/>
      <c r="AB169" s="112"/>
      <c r="AC169" s="112"/>
      <c r="AD169" s="112"/>
      <c r="AE169" s="112"/>
      <c r="AF169" s="112"/>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c r="BK169" s="124"/>
      <c r="BL169" s="124"/>
      <c r="BM169" s="124"/>
      <c r="BN169" s="124"/>
      <c r="BO169" s="124"/>
      <c r="BP169" s="124"/>
      <c r="BQ169" s="124"/>
      <c r="BR169" s="124"/>
      <c r="BS169" s="124"/>
      <c r="BT169" s="124"/>
      <c r="BU169" s="124"/>
      <c r="BV169" s="124"/>
      <c r="BW169" s="124"/>
      <c r="BX169" s="124"/>
      <c r="BY169" s="124"/>
      <c r="BZ169" s="124"/>
      <c r="CA169" s="124"/>
    </row>
    <row r="170">
      <c r="D170" s="143"/>
      <c r="E170" s="129"/>
      <c r="F170" s="112"/>
      <c r="G170" s="112"/>
      <c r="H170" s="112"/>
      <c r="I170" s="112"/>
      <c r="J170" s="112"/>
      <c r="K170" s="112"/>
      <c r="L170" s="112"/>
      <c r="M170" s="112"/>
      <c r="N170" s="112"/>
      <c r="O170" s="112"/>
      <c r="P170" s="112"/>
      <c r="Q170" s="112"/>
      <c r="R170" s="112"/>
      <c r="S170" s="112"/>
      <c r="T170" s="112"/>
      <c r="U170" s="124"/>
      <c r="V170" s="124"/>
      <c r="W170" s="124"/>
      <c r="X170" s="124"/>
      <c r="Y170" s="124"/>
      <c r="Z170" s="112"/>
      <c r="AA170" s="112"/>
      <c r="AB170" s="112"/>
      <c r="AC170" s="112"/>
      <c r="AD170" s="112"/>
      <c r="AE170" s="112"/>
      <c r="AF170" s="112"/>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row>
    <row r="171">
      <c r="D171" s="143"/>
      <c r="E171" s="129"/>
      <c r="F171" s="112"/>
      <c r="G171" s="112"/>
      <c r="H171" s="112"/>
      <c r="I171" s="112"/>
      <c r="J171" s="112"/>
      <c r="K171" s="112"/>
      <c r="L171" s="112"/>
      <c r="M171" s="112"/>
      <c r="N171" s="112"/>
      <c r="O171" s="112"/>
      <c r="P171" s="112"/>
      <c r="Q171" s="112"/>
      <c r="R171" s="112"/>
      <c r="S171" s="112"/>
      <c r="T171" s="112"/>
      <c r="U171" s="124"/>
      <c r="V171" s="124"/>
      <c r="W171" s="124"/>
      <c r="X171" s="124"/>
      <c r="Y171" s="124"/>
      <c r="Z171" s="112"/>
      <c r="AA171" s="112"/>
      <c r="AB171" s="112"/>
      <c r="AC171" s="112"/>
      <c r="AD171" s="112"/>
      <c r="AE171" s="112"/>
      <c r="AF171" s="112"/>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c r="BK171" s="124"/>
      <c r="BL171" s="124"/>
      <c r="BM171" s="124"/>
      <c r="BN171" s="124"/>
      <c r="BO171" s="124"/>
      <c r="BP171" s="124"/>
      <c r="BQ171" s="124"/>
      <c r="BR171" s="124"/>
      <c r="BS171" s="124"/>
      <c r="BT171" s="124"/>
      <c r="BU171" s="124"/>
      <c r="BV171" s="124"/>
      <c r="BW171" s="124"/>
      <c r="BX171" s="124"/>
      <c r="BY171" s="124"/>
      <c r="BZ171" s="124"/>
      <c r="CA171" s="124"/>
    </row>
    <row r="172">
      <c r="D172" s="143"/>
      <c r="E172" s="129"/>
      <c r="F172" s="112"/>
      <c r="G172" s="112"/>
      <c r="H172" s="112"/>
      <c r="I172" s="112"/>
      <c r="J172" s="112"/>
      <c r="K172" s="112"/>
      <c r="L172" s="112"/>
      <c r="M172" s="112"/>
      <c r="N172" s="112"/>
      <c r="O172" s="112"/>
      <c r="P172" s="112"/>
      <c r="Q172" s="112"/>
      <c r="R172" s="112"/>
      <c r="S172" s="112"/>
      <c r="T172" s="112"/>
      <c r="U172" s="124"/>
      <c r="V172" s="124"/>
      <c r="W172" s="124"/>
      <c r="X172" s="124"/>
      <c r="Y172" s="124"/>
      <c r="Z172" s="112"/>
      <c r="AA172" s="112"/>
      <c r="AB172" s="112"/>
      <c r="AC172" s="112"/>
      <c r="AD172" s="112"/>
      <c r="AE172" s="112"/>
      <c r="AF172" s="112"/>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c r="BK172" s="124"/>
      <c r="BL172" s="124"/>
      <c r="BM172" s="124"/>
      <c r="BN172" s="124"/>
      <c r="BO172" s="124"/>
      <c r="BP172" s="124"/>
      <c r="BQ172" s="124"/>
      <c r="BR172" s="124"/>
      <c r="BS172" s="124"/>
      <c r="BT172" s="124"/>
      <c r="BU172" s="124"/>
      <c r="BV172" s="124"/>
      <c r="BW172" s="124"/>
      <c r="BX172" s="124"/>
      <c r="BY172" s="124"/>
      <c r="BZ172" s="124"/>
      <c r="CA172" s="124"/>
    </row>
    <row r="173">
      <c r="D173" s="143"/>
      <c r="E173" s="129"/>
      <c r="F173" s="112"/>
      <c r="G173" s="112"/>
      <c r="H173" s="112"/>
      <c r="I173" s="112"/>
      <c r="J173" s="112"/>
      <c r="K173" s="112"/>
      <c r="L173" s="112"/>
      <c r="M173" s="112"/>
      <c r="N173" s="112"/>
      <c r="O173" s="112"/>
      <c r="P173" s="112"/>
      <c r="Q173" s="112"/>
      <c r="R173" s="112"/>
      <c r="S173" s="112"/>
      <c r="T173" s="112"/>
      <c r="U173" s="124"/>
      <c r="V173" s="124"/>
      <c r="W173" s="124"/>
      <c r="X173" s="124"/>
      <c r="Y173" s="124"/>
      <c r="Z173" s="112"/>
      <c r="AA173" s="112"/>
      <c r="AB173" s="112"/>
      <c r="AC173" s="112"/>
      <c r="AD173" s="112"/>
      <c r="AE173" s="112"/>
      <c r="AF173" s="112"/>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c r="BK173" s="124"/>
      <c r="BL173" s="124"/>
      <c r="BM173" s="124"/>
      <c r="BN173" s="124"/>
      <c r="BO173" s="124"/>
      <c r="BP173" s="124"/>
      <c r="BQ173" s="124"/>
      <c r="BR173" s="124"/>
      <c r="BS173" s="124"/>
      <c r="BT173" s="124"/>
      <c r="BU173" s="124"/>
      <c r="BV173" s="124"/>
      <c r="BW173" s="124"/>
      <c r="BX173" s="124"/>
      <c r="BY173" s="124"/>
      <c r="BZ173" s="124"/>
      <c r="CA173" s="124"/>
    </row>
    <row r="174">
      <c r="D174" s="143"/>
      <c r="E174" s="129"/>
      <c r="F174" s="112"/>
      <c r="G174" s="112"/>
      <c r="H174" s="112"/>
      <c r="I174" s="112"/>
      <c r="J174" s="112"/>
      <c r="K174" s="112"/>
      <c r="L174" s="112"/>
      <c r="M174" s="112"/>
      <c r="N174" s="112"/>
      <c r="O174" s="112"/>
      <c r="P174" s="112"/>
      <c r="Q174" s="112"/>
      <c r="R174" s="112"/>
      <c r="S174" s="112"/>
      <c r="T174" s="112"/>
      <c r="U174" s="124"/>
      <c r="V174" s="124"/>
      <c r="W174" s="124"/>
      <c r="X174" s="124"/>
      <c r="Y174" s="124"/>
      <c r="Z174" s="112"/>
      <c r="AA174" s="112"/>
      <c r="AB174" s="112"/>
      <c r="AC174" s="112"/>
      <c r="AD174" s="112"/>
      <c r="AE174" s="112"/>
      <c r="AF174" s="112"/>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c r="BK174" s="124"/>
      <c r="BL174" s="124"/>
      <c r="BM174" s="124"/>
      <c r="BN174" s="124"/>
      <c r="BO174" s="124"/>
      <c r="BP174" s="124"/>
      <c r="BQ174" s="124"/>
      <c r="BR174" s="124"/>
      <c r="BS174" s="124"/>
      <c r="BT174" s="124"/>
      <c r="BU174" s="124"/>
      <c r="BV174" s="124"/>
      <c r="BW174" s="124"/>
      <c r="BX174" s="124"/>
      <c r="BY174" s="124"/>
      <c r="BZ174" s="124"/>
      <c r="CA174" s="124"/>
    </row>
    <row r="175">
      <c r="D175" s="143"/>
      <c r="E175" s="129"/>
      <c r="F175" s="112"/>
      <c r="G175" s="112"/>
      <c r="H175" s="112"/>
      <c r="I175" s="112"/>
      <c r="J175" s="112"/>
      <c r="K175" s="112"/>
      <c r="L175" s="112"/>
      <c r="M175" s="112"/>
      <c r="N175" s="112"/>
      <c r="O175" s="112"/>
      <c r="P175" s="112"/>
      <c r="Q175" s="112"/>
      <c r="R175" s="112"/>
      <c r="S175" s="112"/>
      <c r="T175" s="112"/>
      <c r="U175" s="124"/>
      <c r="V175" s="124"/>
      <c r="W175" s="124"/>
      <c r="X175" s="124"/>
      <c r="Y175" s="124"/>
      <c r="Z175" s="112"/>
      <c r="AA175" s="112"/>
      <c r="AB175" s="112"/>
      <c r="AC175" s="112"/>
      <c r="AD175" s="112"/>
      <c r="AE175" s="112"/>
      <c r="AF175" s="112"/>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row>
    <row r="176">
      <c r="D176" s="143"/>
      <c r="E176" s="129"/>
      <c r="F176" s="112"/>
      <c r="G176" s="112"/>
      <c r="H176" s="112"/>
      <c r="I176" s="112"/>
      <c r="J176" s="112"/>
      <c r="K176" s="112"/>
      <c r="L176" s="112"/>
      <c r="M176" s="112"/>
      <c r="N176" s="112"/>
      <c r="O176" s="112"/>
      <c r="P176" s="112"/>
      <c r="Q176" s="112"/>
      <c r="R176" s="112"/>
      <c r="S176" s="112"/>
      <c r="T176" s="112"/>
      <c r="U176" s="124"/>
      <c r="V176" s="124"/>
      <c r="W176" s="124"/>
      <c r="X176" s="124"/>
      <c r="Y176" s="124"/>
      <c r="Z176" s="112"/>
      <c r="AA176" s="112"/>
      <c r="AB176" s="112"/>
      <c r="AC176" s="112"/>
      <c r="AD176" s="112"/>
      <c r="AE176" s="112"/>
      <c r="AF176" s="112"/>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row>
    <row r="177">
      <c r="D177" s="143"/>
      <c r="E177" s="129"/>
      <c r="F177" s="112"/>
      <c r="G177" s="112"/>
      <c r="H177" s="112"/>
      <c r="I177" s="112"/>
      <c r="J177" s="112"/>
      <c r="K177" s="112"/>
      <c r="L177" s="112"/>
      <c r="M177" s="112"/>
      <c r="N177" s="112"/>
      <c r="O177" s="112"/>
      <c r="P177" s="112"/>
      <c r="Q177" s="112"/>
      <c r="R177" s="112"/>
      <c r="S177" s="112"/>
      <c r="T177" s="112"/>
      <c r="U177" s="124"/>
      <c r="V177" s="124"/>
      <c r="W177" s="124"/>
      <c r="X177" s="124"/>
      <c r="Y177" s="124"/>
      <c r="Z177" s="112"/>
      <c r="AA177" s="112"/>
      <c r="AB177" s="112"/>
      <c r="AC177" s="112"/>
      <c r="AD177" s="112"/>
      <c r="AE177" s="112"/>
      <c r="AF177" s="112"/>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c r="BK177" s="124"/>
      <c r="BL177" s="124"/>
      <c r="BM177" s="124"/>
      <c r="BN177" s="124"/>
      <c r="BO177" s="124"/>
      <c r="BP177" s="124"/>
      <c r="BQ177" s="124"/>
      <c r="BR177" s="124"/>
      <c r="BS177" s="124"/>
      <c r="BT177" s="124"/>
      <c r="BU177" s="124"/>
      <c r="BV177" s="124"/>
      <c r="BW177" s="124"/>
      <c r="BX177" s="124"/>
      <c r="BY177" s="124"/>
      <c r="BZ177" s="124"/>
      <c r="CA177" s="124"/>
    </row>
    <row r="178">
      <c r="D178" s="143"/>
      <c r="E178" s="129"/>
      <c r="F178" s="112"/>
      <c r="G178" s="112"/>
      <c r="H178" s="112"/>
      <c r="I178" s="112"/>
      <c r="J178" s="112"/>
      <c r="K178" s="112"/>
      <c r="L178" s="112"/>
      <c r="M178" s="112"/>
      <c r="N178" s="112"/>
      <c r="O178" s="112"/>
      <c r="P178" s="112"/>
      <c r="Q178" s="112"/>
      <c r="R178" s="112"/>
      <c r="S178" s="112"/>
      <c r="T178" s="112"/>
      <c r="U178" s="124"/>
      <c r="V178" s="124"/>
      <c r="W178" s="124"/>
      <c r="X178" s="124"/>
      <c r="Y178" s="124"/>
      <c r="Z178" s="112"/>
      <c r="AA178" s="112"/>
      <c r="AB178" s="112"/>
      <c r="AC178" s="112"/>
      <c r="AD178" s="112"/>
      <c r="AE178" s="112"/>
      <c r="AF178" s="112"/>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row>
    <row r="179">
      <c r="D179" s="143"/>
      <c r="E179" s="129"/>
      <c r="F179" s="112"/>
      <c r="G179" s="112"/>
      <c r="H179" s="112"/>
      <c r="I179" s="112"/>
      <c r="J179" s="112"/>
      <c r="K179" s="112"/>
      <c r="L179" s="112"/>
      <c r="M179" s="112"/>
      <c r="N179" s="112"/>
      <c r="O179" s="112"/>
      <c r="P179" s="112"/>
      <c r="Q179" s="112"/>
      <c r="R179" s="112"/>
      <c r="S179" s="112"/>
      <c r="T179" s="112"/>
      <c r="U179" s="124"/>
      <c r="V179" s="124"/>
      <c r="W179" s="124"/>
      <c r="X179" s="124"/>
      <c r="Y179" s="124"/>
      <c r="Z179" s="112"/>
      <c r="AA179" s="112"/>
      <c r="AB179" s="112"/>
      <c r="AC179" s="112"/>
      <c r="AD179" s="112"/>
      <c r="AE179" s="112"/>
      <c r="AF179" s="112"/>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c r="BK179" s="124"/>
      <c r="BL179" s="124"/>
      <c r="BM179" s="124"/>
      <c r="BN179" s="124"/>
      <c r="BO179" s="124"/>
      <c r="BP179" s="124"/>
      <c r="BQ179" s="124"/>
      <c r="BR179" s="124"/>
      <c r="BS179" s="124"/>
      <c r="BT179" s="124"/>
      <c r="BU179" s="124"/>
      <c r="BV179" s="124"/>
      <c r="BW179" s="124"/>
      <c r="BX179" s="124"/>
      <c r="BY179" s="124"/>
      <c r="BZ179" s="124"/>
      <c r="CA179" s="124"/>
    </row>
    <row r="180">
      <c r="D180" s="143"/>
      <c r="E180" s="129"/>
      <c r="F180" s="112"/>
      <c r="G180" s="112"/>
      <c r="H180" s="112"/>
      <c r="I180" s="112"/>
      <c r="J180" s="112"/>
      <c r="K180" s="112"/>
      <c r="L180" s="112"/>
      <c r="M180" s="112"/>
      <c r="N180" s="112"/>
      <c r="O180" s="112"/>
      <c r="P180" s="112"/>
      <c r="Q180" s="112"/>
      <c r="R180" s="112"/>
      <c r="S180" s="112"/>
      <c r="T180" s="112"/>
      <c r="U180" s="124"/>
      <c r="V180" s="124"/>
      <c r="W180" s="124"/>
      <c r="X180" s="124"/>
      <c r="Y180" s="124"/>
      <c r="Z180" s="112"/>
      <c r="AA180" s="112"/>
      <c r="AB180" s="112"/>
      <c r="AC180" s="112"/>
      <c r="AD180" s="112"/>
      <c r="AE180" s="112"/>
      <c r="AF180" s="112"/>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row>
    <row r="181">
      <c r="D181" s="143"/>
      <c r="E181" s="129"/>
      <c r="F181" s="112"/>
      <c r="G181" s="112"/>
      <c r="H181" s="112"/>
      <c r="I181" s="112"/>
      <c r="J181" s="112"/>
      <c r="K181" s="112"/>
      <c r="L181" s="112"/>
      <c r="M181" s="112"/>
      <c r="N181" s="112"/>
      <c r="O181" s="112"/>
      <c r="P181" s="112"/>
      <c r="Q181" s="112"/>
      <c r="R181" s="112"/>
      <c r="S181" s="112"/>
      <c r="T181" s="112"/>
      <c r="U181" s="124"/>
      <c r="V181" s="124"/>
      <c r="W181" s="124"/>
      <c r="X181" s="124"/>
      <c r="Y181" s="124"/>
      <c r="Z181" s="112"/>
      <c r="AA181" s="112"/>
      <c r="AB181" s="112"/>
      <c r="AC181" s="112"/>
      <c r="AD181" s="112"/>
      <c r="AE181" s="112"/>
      <c r="AF181" s="112"/>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row>
    <row r="182">
      <c r="D182" s="143"/>
      <c r="E182" s="129"/>
      <c r="F182" s="112"/>
      <c r="G182" s="112"/>
      <c r="H182" s="112"/>
      <c r="I182" s="112"/>
      <c r="J182" s="112"/>
      <c r="K182" s="112"/>
      <c r="L182" s="112"/>
      <c r="M182" s="112"/>
      <c r="N182" s="112"/>
      <c r="O182" s="112"/>
      <c r="P182" s="112"/>
      <c r="Q182" s="112"/>
      <c r="R182" s="112"/>
      <c r="S182" s="112"/>
      <c r="T182" s="112"/>
      <c r="U182" s="124"/>
      <c r="V182" s="124"/>
      <c r="W182" s="124"/>
      <c r="X182" s="124"/>
      <c r="Y182" s="124"/>
      <c r="Z182" s="112"/>
      <c r="AA182" s="112"/>
      <c r="AB182" s="112"/>
      <c r="AC182" s="112"/>
      <c r="AD182" s="112"/>
      <c r="AE182" s="112"/>
      <c r="AF182" s="112"/>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row>
    <row r="183">
      <c r="D183" s="143"/>
      <c r="E183" s="129"/>
      <c r="F183" s="112"/>
      <c r="G183" s="112"/>
      <c r="H183" s="112"/>
      <c r="I183" s="112"/>
      <c r="J183" s="112"/>
      <c r="K183" s="112"/>
      <c r="L183" s="112"/>
      <c r="M183" s="112"/>
      <c r="N183" s="112"/>
      <c r="O183" s="112"/>
      <c r="P183" s="112"/>
      <c r="Q183" s="112"/>
      <c r="R183" s="112"/>
      <c r="S183" s="112"/>
      <c r="T183" s="112"/>
      <c r="U183" s="124"/>
      <c r="V183" s="124"/>
      <c r="W183" s="124"/>
      <c r="X183" s="124"/>
      <c r="Y183" s="124"/>
      <c r="Z183" s="112"/>
      <c r="AA183" s="112"/>
      <c r="AB183" s="112"/>
      <c r="AC183" s="112"/>
      <c r="AD183" s="112"/>
      <c r="AE183" s="112"/>
      <c r="AF183" s="112"/>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row>
    <row r="184">
      <c r="D184" s="143"/>
      <c r="E184" s="129"/>
      <c r="F184" s="112"/>
      <c r="G184" s="112"/>
      <c r="H184" s="112"/>
      <c r="I184" s="112"/>
      <c r="J184" s="112"/>
      <c r="K184" s="112"/>
      <c r="L184" s="112"/>
      <c r="M184" s="112"/>
      <c r="N184" s="112"/>
      <c r="O184" s="112"/>
      <c r="P184" s="112"/>
      <c r="Q184" s="112"/>
      <c r="R184" s="112"/>
      <c r="S184" s="112"/>
      <c r="T184" s="112"/>
      <c r="U184" s="124"/>
      <c r="V184" s="124"/>
      <c r="W184" s="124"/>
      <c r="X184" s="124"/>
      <c r="Y184" s="124"/>
      <c r="Z184" s="112"/>
      <c r="AA184" s="112"/>
      <c r="AB184" s="112"/>
      <c r="AC184" s="112"/>
      <c r="AD184" s="112"/>
      <c r="AE184" s="112"/>
      <c r="AF184" s="112"/>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row>
    <row r="185">
      <c r="D185" s="143"/>
      <c r="E185" s="129"/>
      <c r="F185" s="112"/>
      <c r="G185" s="112"/>
      <c r="H185" s="112"/>
      <c r="I185" s="112"/>
      <c r="J185" s="112"/>
      <c r="K185" s="112"/>
      <c r="L185" s="112"/>
      <c r="M185" s="112"/>
      <c r="N185" s="112"/>
      <c r="O185" s="112"/>
      <c r="P185" s="112"/>
      <c r="Q185" s="112"/>
      <c r="R185" s="112"/>
      <c r="S185" s="112"/>
      <c r="T185" s="112"/>
      <c r="U185" s="124"/>
      <c r="V185" s="124"/>
      <c r="W185" s="124"/>
      <c r="X185" s="124"/>
      <c r="Y185" s="124"/>
      <c r="Z185" s="112"/>
      <c r="AA185" s="112"/>
      <c r="AB185" s="112"/>
      <c r="AC185" s="112"/>
      <c r="AD185" s="112"/>
      <c r="AE185" s="112"/>
      <c r="AF185" s="112"/>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c r="BK185" s="124"/>
      <c r="BL185" s="124"/>
      <c r="BM185" s="124"/>
      <c r="BN185" s="124"/>
      <c r="BO185" s="124"/>
      <c r="BP185" s="124"/>
      <c r="BQ185" s="124"/>
      <c r="BR185" s="124"/>
      <c r="BS185" s="124"/>
      <c r="BT185" s="124"/>
      <c r="BU185" s="124"/>
      <c r="BV185" s="124"/>
      <c r="BW185" s="124"/>
      <c r="BX185" s="124"/>
      <c r="BY185" s="124"/>
      <c r="BZ185" s="124"/>
      <c r="CA185" s="124"/>
    </row>
    <row r="186">
      <c r="D186" s="143"/>
      <c r="E186" s="129"/>
      <c r="F186" s="112"/>
      <c r="G186" s="112"/>
      <c r="H186" s="112"/>
      <c r="I186" s="112"/>
      <c r="J186" s="112"/>
      <c r="K186" s="112"/>
      <c r="L186" s="112"/>
      <c r="M186" s="112"/>
      <c r="N186" s="112"/>
      <c r="O186" s="112"/>
      <c r="P186" s="112"/>
      <c r="Q186" s="112"/>
      <c r="R186" s="112"/>
      <c r="S186" s="112"/>
      <c r="T186" s="112"/>
      <c r="U186" s="124"/>
      <c r="V186" s="124"/>
      <c r="W186" s="124"/>
      <c r="X186" s="124"/>
      <c r="Y186" s="124"/>
      <c r="Z186" s="112"/>
      <c r="AA186" s="112"/>
      <c r="AB186" s="112"/>
      <c r="AC186" s="112"/>
      <c r="AD186" s="112"/>
      <c r="AE186" s="112"/>
      <c r="AF186" s="112"/>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row>
    <row r="187">
      <c r="D187" s="143"/>
      <c r="E187" s="129"/>
      <c r="F187" s="112"/>
      <c r="G187" s="112"/>
      <c r="H187" s="112"/>
      <c r="I187" s="112"/>
      <c r="J187" s="112"/>
      <c r="K187" s="112"/>
      <c r="L187" s="112"/>
      <c r="M187" s="112"/>
      <c r="N187" s="112"/>
      <c r="O187" s="112"/>
      <c r="P187" s="112"/>
      <c r="Q187" s="112"/>
      <c r="R187" s="112"/>
      <c r="S187" s="112"/>
      <c r="T187" s="112"/>
      <c r="U187" s="124"/>
      <c r="V187" s="124"/>
      <c r="W187" s="124"/>
      <c r="X187" s="124"/>
      <c r="Y187" s="124"/>
      <c r="Z187" s="112"/>
      <c r="AA187" s="112"/>
      <c r="AB187" s="112"/>
      <c r="AC187" s="112"/>
      <c r="AD187" s="112"/>
      <c r="AE187" s="112"/>
      <c r="AF187" s="112"/>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row>
    <row r="188">
      <c r="D188" s="143"/>
      <c r="E188" s="129"/>
      <c r="F188" s="112"/>
      <c r="G188" s="112"/>
      <c r="H188" s="112"/>
      <c r="I188" s="112"/>
      <c r="J188" s="112"/>
      <c r="K188" s="112"/>
      <c r="L188" s="112"/>
      <c r="M188" s="112"/>
      <c r="N188" s="112"/>
      <c r="O188" s="112"/>
      <c r="P188" s="112"/>
      <c r="Q188" s="112"/>
      <c r="R188" s="112"/>
      <c r="S188" s="112"/>
      <c r="T188" s="112"/>
      <c r="U188" s="124"/>
      <c r="V188" s="124"/>
      <c r="W188" s="124"/>
      <c r="X188" s="124"/>
      <c r="Y188" s="124"/>
      <c r="Z188" s="112"/>
      <c r="AA188" s="112"/>
      <c r="AB188" s="112"/>
      <c r="AC188" s="112"/>
      <c r="AD188" s="112"/>
      <c r="AE188" s="112"/>
      <c r="AF188" s="112"/>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c r="BK188" s="124"/>
      <c r="BL188" s="124"/>
      <c r="BM188" s="124"/>
      <c r="BN188" s="124"/>
      <c r="BO188" s="124"/>
      <c r="BP188" s="124"/>
      <c r="BQ188" s="124"/>
      <c r="BR188" s="124"/>
      <c r="BS188" s="124"/>
      <c r="BT188" s="124"/>
      <c r="BU188" s="124"/>
      <c r="BV188" s="124"/>
      <c r="BW188" s="124"/>
      <c r="BX188" s="124"/>
      <c r="BY188" s="124"/>
      <c r="BZ188" s="124"/>
      <c r="CA188" s="124"/>
    </row>
    <row r="189">
      <c r="D189" s="143"/>
      <c r="E189" s="129"/>
      <c r="F189" s="112"/>
      <c r="G189" s="112"/>
      <c r="H189" s="112"/>
      <c r="I189" s="112"/>
      <c r="J189" s="112"/>
      <c r="K189" s="112"/>
      <c r="L189" s="112"/>
      <c r="M189" s="112"/>
      <c r="N189" s="112"/>
      <c r="O189" s="112"/>
      <c r="P189" s="112"/>
      <c r="Q189" s="112"/>
      <c r="R189" s="112"/>
      <c r="S189" s="112"/>
      <c r="T189" s="112"/>
      <c r="U189" s="124"/>
      <c r="V189" s="124"/>
      <c r="W189" s="124"/>
      <c r="X189" s="124"/>
      <c r="Y189" s="124"/>
      <c r="Z189" s="112"/>
      <c r="AA189" s="112"/>
      <c r="AB189" s="112"/>
      <c r="AC189" s="112"/>
      <c r="AD189" s="112"/>
      <c r="AE189" s="112"/>
      <c r="AF189" s="112"/>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c r="BK189" s="124"/>
      <c r="BL189" s="124"/>
      <c r="BM189" s="124"/>
      <c r="BN189" s="124"/>
      <c r="BO189" s="124"/>
      <c r="BP189" s="124"/>
      <c r="BQ189" s="124"/>
      <c r="BR189" s="124"/>
      <c r="BS189" s="124"/>
      <c r="BT189" s="124"/>
      <c r="BU189" s="124"/>
      <c r="BV189" s="124"/>
      <c r="BW189" s="124"/>
      <c r="BX189" s="124"/>
      <c r="BY189" s="124"/>
      <c r="BZ189" s="124"/>
      <c r="CA189" s="124"/>
    </row>
    <row r="190">
      <c r="D190" s="143"/>
      <c r="E190" s="129"/>
      <c r="F190" s="112"/>
      <c r="G190" s="112"/>
      <c r="H190" s="112"/>
      <c r="I190" s="112"/>
      <c r="J190" s="112"/>
      <c r="K190" s="112"/>
      <c r="L190" s="112"/>
      <c r="M190" s="112"/>
      <c r="N190" s="112"/>
      <c r="O190" s="112"/>
      <c r="P190" s="112"/>
      <c r="Q190" s="112"/>
      <c r="R190" s="112"/>
      <c r="S190" s="112"/>
      <c r="T190" s="112"/>
      <c r="U190" s="124"/>
      <c r="V190" s="124"/>
      <c r="W190" s="124"/>
      <c r="X190" s="124"/>
      <c r="Y190" s="124"/>
      <c r="Z190" s="112"/>
      <c r="AA190" s="112"/>
      <c r="AB190" s="112"/>
      <c r="AC190" s="112"/>
      <c r="AD190" s="112"/>
      <c r="AE190" s="112"/>
      <c r="AF190" s="112"/>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row>
    <row r="191">
      <c r="D191" s="143"/>
      <c r="E191" s="129"/>
      <c r="F191" s="112"/>
      <c r="G191" s="112"/>
      <c r="H191" s="112"/>
      <c r="I191" s="112"/>
      <c r="J191" s="112"/>
      <c r="K191" s="112"/>
      <c r="L191" s="112"/>
      <c r="M191" s="112"/>
      <c r="N191" s="112"/>
      <c r="O191" s="112"/>
      <c r="P191" s="112"/>
      <c r="Q191" s="112"/>
      <c r="R191" s="112"/>
      <c r="S191" s="112"/>
      <c r="T191" s="112"/>
      <c r="U191" s="124"/>
      <c r="V191" s="124"/>
      <c r="W191" s="124"/>
      <c r="X191" s="124"/>
      <c r="Y191" s="124"/>
      <c r="Z191" s="112"/>
      <c r="AA191" s="112"/>
      <c r="AB191" s="112"/>
      <c r="AC191" s="112"/>
      <c r="AD191" s="112"/>
      <c r="AE191" s="112"/>
      <c r="AF191" s="112"/>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row>
    <row r="192">
      <c r="D192" s="143"/>
      <c r="E192" s="129"/>
      <c r="F192" s="112"/>
      <c r="G192" s="112"/>
      <c r="H192" s="112"/>
      <c r="I192" s="112"/>
      <c r="J192" s="112"/>
      <c r="K192" s="112"/>
      <c r="L192" s="112"/>
      <c r="M192" s="112"/>
      <c r="N192" s="112"/>
      <c r="O192" s="112"/>
      <c r="P192" s="112"/>
      <c r="Q192" s="112"/>
      <c r="R192" s="112"/>
      <c r="S192" s="112"/>
      <c r="T192" s="112"/>
      <c r="U192" s="124"/>
      <c r="V192" s="124"/>
      <c r="W192" s="124"/>
      <c r="X192" s="124"/>
      <c r="Y192" s="124"/>
      <c r="Z192" s="112"/>
      <c r="AA192" s="112"/>
      <c r="AB192" s="112"/>
      <c r="AC192" s="112"/>
      <c r="AD192" s="112"/>
      <c r="AE192" s="112"/>
      <c r="AF192" s="112"/>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row>
    <row r="193">
      <c r="D193" s="143"/>
      <c r="E193" s="129"/>
      <c r="F193" s="112"/>
      <c r="G193" s="112"/>
      <c r="H193" s="112"/>
      <c r="I193" s="112"/>
      <c r="J193" s="112"/>
      <c r="K193" s="112"/>
      <c r="L193" s="112"/>
      <c r="M193" s="112"/>
      <c r="N193" s="112"/>
      <c r="O193" s="112"/>
      <c r="P193" s="112"/>
      <c r="Q193" s="112"/>
      <c r="R193" s="112"/>
      <c r="S193" s="112"/>
      <c r="T193" s="112"/>
      <c r="U193" s="124"/>
      <c r="V193" s="124"/>
      <c r="W193" s="124"/>
      <c r="X193" s="124"/>
      <c r="Y193" s="124"/>
      <c r="Z193" s="112"/>
      <c r="AA193" s="112"/>
      <c r="AB193" s="112"/>
      <c r="AC193" s="112"/>
      <c r="AD193" s="112"/>
      <c r="AE193" s="112"/>
      <c r="AF193" s="112"/>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row>
    <row r="194">
      <c r="D194" s="143"/>
      <c r="E194" s="129"/>
      <c r="F194" s="112"/>
      <c r="G194" s="112"/>
      <c r="H194" s="112"/>
      <c r="I194" s="112"/>
      <c r="J194" s="112"/>
      <c r="K194" s="112"/>
      <c r="L194" s="112"/>
      <c r="M194" s="112"/>
      <c r="N194" s="112"/>
      <c r="O194" s="112"/>
      <c r="P194" s="112"/>
      <c r="Q194" s="112"/>
      <c r="R194" s="112"/>
      <c r="S194" s="112"/>
      <c r="T194" s="112"/>
      <c r="U194" s="124"/>
      <c r="V194" s="124"/>
      <c r="W194" s="124"/>
      <c r="X194" s="124"/>
      <c r="Y194" s="124"/>
      <c r="Z194" s="112"/>
      <c r="AA194" s="112"/>
      <c r="AB194" s="112"/>
      <c r="AC194" s="112"/>
      <c r="AD194" s="112"/>
      <c r="AE194" s="112"/>
      <c r="AF194" s="112"/>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row>
    <row r="195">
      <c r="D195" s="143"/>
      <c r="E195" s="129"/>
      <c r="F195" s="112"/>
      <c r="G195" s="112"/>
      <c r="H195" s="112"/>
      <c r="I195" s="112"/>
      <c r="J195" s="112"/>
      <c r="K195" s="112"/>
      <c r="L195" s="112"/>
      <c r="M195" s="112"/>
      <c r="N195" s="112"/>
      <c r="O195" s="112"/>
      <c r="P195" s="112"/>
      <c r="Q195" s="112"/>
      <c r="R195" s="112"/>
      <c r="S195" s="112"/>
      <c r="T195" s="112"/>
      <c r="U195" s="124"/>
      <c r="V195" s="124"/>
      <c r="W195" s="124"/>
      <c r="X195" s="124"/>
      <c r="Y195" s="124"/>
      <c r="Z195" s="112"/>
      <c r="AA195" s="112"/>
      <c r="AB195" s="112"/>
      <c r="AC195" s="112"/>
      <c r="AD195" s="112"/>
      <c r="AE195" s="112"/>
      <c r="AF195" s="112"/>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c r="BZ195" s="124"/>
      <c r="CA195" s="124"/>
    </row>
    <row r="196">
      <c r="D196" s="143"/>
      <c r="E196" s="129"/>
      <c r="F196" s="112"/>
      <c r="G196" s="112"/>
      <c r="H196" s="112"/>
      <c r="I196" s="112"/>
      <c r="J196" s="112"/>
      <c r="K196" s="112"/>
      <c r="L196" s="112"/>
      <c r="M196" s="112"/>
      <c r="N196" s="112"/>
      <c r="O196" s="112"/>
      <c r="P196" s="112"/>
      <c r="Q196" s="112"/>
      <c r="R196" s="112"/>
      <c r="S196" s="112"/>
      <c r="T196" s="112"/>
      <c r="U196" s="124"/>
      <c r="V196" s="124"/>
      <c r="W196" s="124"/>
      <c r="X196" s="124"/>
      <c r="Y196" s="124"/>
      <c r="Z196" s="112"/>
      <c r="AA196" s="112"/>
      <c r="AB196" s="112"/>
      <c r="AC196" s="112"/>
      <c r="AD196" s="112"/>
      <c r="AE196" s="112"/>
      <c r="AF196" s="112"/>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row>
    <row r="197">
      <c r="D197" s="143"/>
      <c r="E197" s="129"/>
      <c r="F197" s="112"/>
      <c r="G197" s="112"/>
      <c r="H197" s="112"/>
      <c r="I197" s="112"/>
      <c r="J197" s="112"/>
      <c r="K197" s="112"/>
      <c r="L197" s="112"/>
      <c r="M197" s="112"/>
      <c r="N197" s="112"/>
      <c r="O197" s="112"/>
      <c r="P197" s="112"/>
      <c r="Q197" s="112"/>
      <c r="R197" s="112"/>
      <c r="S197" s="112"/>
      <c r="T197" s="112"/>
      <c r="U197" s="124"/>
      <c r="V197" s="124"/>
      <c r="W197" s="124"/>
      <c r="X197" s="124"/>
      <c r="Y197" s="124"/>
      <c r="Z197" s="112"/>
      <c r="AA197" s="112"/>
      <c r="AB197" s="112"/>
      <c r="AC197" s="112"/>
      <c r="AD197" s="112"/>
      <c r="AE197" s="112"/>
      <c r="AF197" s="112"/>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124"/>
      <c r="BO197" s="124"/>
      <c r="BP197" s="124"/>
      <c r="BQ197" s="124"/>
      <c r="BR197" s="124"/>
      <c r="BS197" s="124"/>
      <c r="BT197" s="124"/>
      <c r="BU197" s="124"/>
      <c r="BV197" s="124"/>
      <c r="BW197" s="124"/>
      <c r="BX197" s="124"/>
      <c r="BY197" s="124"/>
      <c r="BZ197" s="124"/>
      <c r="CA197" s="124"/>
    </row>
    <row r="198">
      <c r="D198" s="143"/>
      <c r="E198" s="129"/>
      <c r="F198" s="112"/>
      <c r="G198" s="112"/>
      <c r="H198" s="112"/>
      <c r="I198" s="112"/>
      <c r="J198" s="112"/>
      <c r="K198" s="112"/>
      <c r="L198" s="112"/>
      <c r="M198" s="112"/>
      <c r="N198" s="112"/>
      <c r="O198" s="112"/>
      <c r="P198" s="112"/>
      <c r="Q198" s="112"/>
      <c r="R198" s="112"/>
      <c r="S198" s="112"/>
      <c r="T198" s="112"/>
      <c r="U198" s="124"/>
      <c r="V198" s="124"/>
      <c r="W198" s="124"/>
      <c r="X198" s="124"/>
      <c r="Y198" s="124"/>
      <c r="Z198" s="112"/>
      <c r="AA198" s="112"/>
      <c r="AB198" s="112"/>
      <c r="AC198" s="112"/>
      <c r="AD198" s="112"/>
      <c r="AE198" s="112"/>
      <c r="AF198" s="112"/>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row>
    <row r="199">
      <c r="D199" s="143"/>
      <c r="E199" s="129"/>
      <c r="F199" s="112"/>
      <c r="G199" s="112"/>
      <c r="H199" s="112"/>
      <c r="I199" s="112"/>
      <c r="J199" s="112"/>
      <c r="K199" s="112"/>
      <c r="L199" s="112"/>
      <c r="M199" s="112"/>
      <c r="N199" s="112"/>
      <c r="O199" s="112"/>
      <c r="P199" s="112"/>
      <c r="Q199" s="112"/>
      <c r="R199" s="112"/>
      <c r="S199" s="112"/>
      <c r="T199" s="112"/>
      <c r="U199" s="124"/>
      <c r="V199" s="124"/>
      <c r="W199" s="124"/>
      <c r="X199" s="124"/>
      <c r="Y199" s="124"/>
      <c r="Z199" s="112"/>
      <c r="AA199" s="112"/>
      <c r="AB199" s="112"/>
      <c r="AC199" s="112"/>
      <c r="AD199" s="112"/>
      <c r="AE199" s="112"/>
      <c r="AF199" s="112"/>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row>
    <row r="200">
      <c r="D200" s="143"/>
      <c r="E200" s="129"/>
      <c r="F200" s="112"/>
      <c r="G200" s="112"/>
      <c r="H200" s="112"/>
      <c r="I200" s="112"/>
      <c r="J200" s="112"/>
      <c r="K200" s="112"/>
      <c r="L200" s="112"/>
      <c r="M200" s="112"/>
      <c r="N200" s="112"/>
      <c r="O200" s="112"/>
      <c r="P200" s="112"/>
      <c r="Q200" s="112"/>
      <c r="R200" s="112"/>
      <c r="S200" s="112"/>
      <c r="T200" s="112"/>
      <c r="U200" s="124"/>
      <c r="V200" s="124"/>
      <c r="W200" s="124"/>
      <c r="X200" s="124"/>
      <c r="Y200" s="124"/>
      <c r="Z200" s="112"/>
      <c r="AA200" s="112"/>
      <c r="AB200" s="112"/>
      <c r="AC200" s="112"/>
      <c r="AD200" s="112"/>
      <c r="AE200" s="112"/>
      <c r="AF200" s="112"/>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row>
    <row r="201">
      <c r="D201" s="143"/>
      <c r="E201" s="129"/>
      <c r="F201" s="112"/>
      <c r="G201" s="112"/>
      <c r="H201" s="112"/>
      <c r="I201" s="112"/>
      <c r="J201" s="112"/>
      <c r="K201" s="112"/>
      <c r="L201" s="112"/>
      <c r="M201" s="112"/>
      <c r="N201" s="112"/>
      <c r="O201" s="112"/>
      <c r="P201" s="112"/>
      <c r="Q201" s="112"/>
      <c r="R201" s="112"/>
      <c r="S201" s="112"/>
      <c r="T201" s="112"/>
      <c r="U201" s="124"/>
      <c r="V201" s="124"/>
      <c r="W201" s="124"/>
      <c r="X201" s="124"/>
      <c r="Y201" s="124"/>
      <c r="Z201" s="112"/>
      <c r="AA201" s="112"/>
      <c r="AB201" s="112"/>
      <c r="AC201" s="112"/>
      <c r="AD201" s="112"/>
      <c r="AE201" s="112"/>
      <c r="AF201" s="112"/>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row>
    <row r="202">
      <c r="D202" s="143"/>
      <c r="E202" s="129"/>
      <c r="F202" s="112"/>
      <c r="G202" s="112"/>
      <c r="H202" s="112"/>
      <c r="I202" s="112"/>
      <c r="J202" s="112"/>
      <c r="K202" s="112"/>
      <c r="L202" s="112"/>
      <c r="M202" s="112"/>
      <c r="N202" s="112"/>
      <c r="O202" s="112"/>
      <c r="P202" s="112"/>
      <c r="Q202" s="112"/>
      <c r="R202" s="112"/>
      <c r="S202" s="112"/>
      <c r="T202" s="112"/>
      <c r="U202" s="124"/>
      <c r="V202" s="124"/>
      <c r="W202" s="124"/>
      <c r="X202" s="124"/>
      <c r="Y202" s="124"/>
      <c r="Z202" s="112"/>
      <c r="AA202" s="112"/>
      <c r="AB202" s="112"/>
      <c r="AC202" s="112"/>
      <c r="AD202" s="112"/>
      <c r="AE202" s="112"/>
      <c r="AF202" s="112"/>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row>
    <row r="203">
      <c r="D203" s="143"/>
      <c r="E203" s="129"/>
      <c r="F203" s="112"/>
      <c r="G203" s="112"/>
      <c r="H203" s="112"/>
      <c r="I203" s="112"/>
      <c r="J203" s="112"/>
      <c r="K203" s="112"/>
      <c r="L203" s="112"/>
      <c r="M203" s="112"/>
      <c r="N203" s="112"/>
      <c r="O203" s="112"/>
      <c r="P203" s="112"/>
      <c r="Q203" s="112"/>
      <c r="R203" s="112"/>
      <c r="S203" s="112"/>
      <c r="T203" s="112"/>
      <c r="U203" s="124"/>
      <c r="V203" s="124"/>
      <c r="W203" s="124"/>
      <c r="X203" s="124"/>
      <c r="Y203" s="124"/>
      <c r="Z203" s="112"/>
      <c r="AA203" s="112"/>
      <c r="AB203" s="112"/>
      <c r="AC203" s="112"/>
      <c r="AD203" s="112"/>
      <c r="AE203" s="112"/>
      <c r="AF203" s="112"/>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row>
    <row r="204">
      <c r="D204" s="143"/>
      <c r="E204" s="129"/>
      <c r="F204" s="112"/>
      <c r="G204" s="112"/>
      <c r="H204" s="112"/>
      <c r="I204" s="112"/>
      <c r="J204" s="112"/>
      <c r="K204" s="112"/>
      <c r="L204" s="112"/>
      <c r="M204" s="112"/>
      <c r="N204" s="112"/>
      <c r="O204" s="112"/>
      <c r="P204" s="112"/>
      <c r="Q204" s="112"/>
      <c r="R204" s="112"/>
      <c r="S204" s="112"/>
      <c r="T204" s="112"/>
      <c r="U204" s="124"/>
      <c r="V204" s="124"/>
      <c r="W204" s="124"/>
      <c r="X204" s="124"/>
      <c r="Y204" s="124"/>
      <c r="Z204" s="112"/>
      <c r="AA204" s="112"/>
      <c r="AB204" s="112"/>
      <c r="AC204" s="112"/>
      <c r="AD204" s="112"/>
      <c r="AE204" s="112"/>
      <c r="AF204" s="112"/>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row>
    <row r="205">
      <c r="D205" s="143"/>
      <c r="E205" s="129"/>
      <c r="F205" s="112"/>
      <c r="G205" s="112"/>
      <c r="H205" s="112"/>
      <c r="I205" s="112"/>
      <c r="J205" s="112"/>
      <c r="K205" s="112"/>
      <c r="L205" s="112"/>
      <c r="M205" s="112"/>
      <c r="N205" s="112"/>
      <c r="O205" s="112"/>
      <c r="P205" s="112"/>
      <c r="Q205" s="112"/>
      <c r="R205" s="112"/>
      <c r="S205" s="112"/>
      <c r="T205" s="112"/>
      <c r="U205" s="124"/>
      <c r="V205" s="124"/>
      <c r="W205" s="124"/>
      <c r="X205" s="124"/>
      <c r="Y205" s="124"/>
      <c r="Z205" s="112"/>
      <c r="AA205" s="112"/>
      <c r="AB205" s="112"/>
      <c r="AC205" s="112"/>
      <c r="AD205" s="112"/>
      <c r="AE205" s="112"/>
      <c r="AF205" s="112"/>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row>
    <row r="206">
      <c r="D206" s="143"/>
      <c r="E206" s="129"/>
      <c r="F206" s="112"/>
      <c r="G206" s="112"/>
      <c r="H206" s="112"/>
      <c r="I206" s="112"/>
      <c r="J206" s="112"/>
      <c r="K206" s="112"/>
      <c r="L206" s="112"/>
      <c r="M206" s="112"/>
      <c r="N206" s="112"/>
      <c r="O206" s="112"/>
      <c r="P206" s="112"/>
      <c r="Q206" s="112"/>
      <c r="R206" s="112"/>
      <c r="S206" s="112"/>
      <c r="T206" s="112"/>
      <c r="U206" s="124"/>
      <c r="V206" s="124"/>
      <c r="W206" s="124"/>
      <c r="X206" s="124"/>
      <c r="Y206" s="124"/>
      <c r="Z206" s="112"/>
      <c r="AA206" s="112"/>
      <c r="AB206" s="112"/>
      <c r="AC206" s="112"/>
      <c r="AD206" s="112"/>
      <c r="AE206" s="112"/>
      <c r="AF206" s="112"/>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row>
    <row r="207">
      <c r="D207" s="143"/>
      <c r="E207" s="129"/>
      <c r="F207" s="112"/>
      <c r="G207" s="112"/>
      <c r="H207" s="112"/>
      <c r="I207" s="112"/>
      <c r="J207" s="112"/>
      <c r="K207" s="112"/>
      <c r="L207" s="112"/>
      <c r="M207" s="112"/>
      <c r="N207" s="112"/>
      <c r="O207" s="112"/>
      <c r="P207" s="112"/>
      <c r="Q207" s="112"/>
      <c r="R207" s="112"/>
      <c r="S207" s="112"/>
      <c r="T207" s="112"/>
      <c r="U207" s="124"/>
      <c r="V207" s="124"/>
      <c r="W207" s="124"/>
      <c r="X207" s="124"/>
      <c r="Y207" s="124"/>
      <c r="Z207" s="112"/>
      <c r="AA207" s="112"/>
      <c r="AB207" s="112"/>
      <c r="AC207" s="112"/>
      <c r="AD207" s="112"/>
      <c r="AE207" s="112"/>
      <c r="AF207" s="112"/>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row>
    <row r="208">
      <c r="D208" s="143"/>
      <c r="E208" s="129"/>
      <c r="F208" s="112"/>
      <c r="G208" s="112"/>
      <c r="H208" s="112"/>
      <c r="I208" s="112"/>
      <c r="J208" s="112"/>
      <c r="K208" s="112"/>
      <c r="L208" s="112"/>
      <c r="M208" s="112"/>
      <c r="N208" s="112"/>
      <c r="O208" s="112"/>
      <c r="P208" s="112"/>
      <c r="Q208" s="112"/>
      <c r="R208" s="112"/>
      <c r="S208" s="112"/>
      <c r="T208" s="112"/>
      <c r="U208" s="124"/>
      <c r="V208" s="124"/>
      <c r="W208" s="124"/>
      <c r="X208" s="124"/>
      <c r="Y208" s="124"/>
      <c r="Z208" s="112"/>
      <c r="AA208" s="112"/>
      <c r="AB208" s="112"/>
      <c r="AC208" s="112"/>
      <c r="AD208" s="112"/>
      <c r="AE208" s="112"/>
      <c r="AF208" s="112"/>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row>
    <row r="209">
      <c r="D209" s="143"/>
      <c r="E209" s="129"/>
      <c r="F209" s="112"/>
      <c r="G209" s="112"/>
      <c r="H209" s="112"/>
      <c r="I209" s="112"/>
      <c r="J209" s="112"/>
      <c r="K209" s="112"/>
      <c r="L209" s="112"/>
      <c r="M209" s="112"/>
      <c r="N209" s="112"/>
      <c r="O209" s="112"/>
      <c r="P209" s="112"/>
      <c r="Q209" s="112"/>
      <c r="R209" s="112"/>
      <c r="S209" s="112"/>
      <c r="T209" s="112"/>
      <c r="U209" s="124"/>
      <c r="V209" s="124"/>
      <c r="W209" s="124"/>
      <c r="X209" s="124"/>
      <c r="Y209" s="124"/>
      <c r="Z209" s="112"/>
      <c r="AA209" s="112"/>
      <c r="AB209" s="112"/>
      <c r="AC209" s="112"/>
      <c r="AD209" s="112"/>
      <c r="AE209" s="112"/>
      <c r="AF209" s="112"/>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row>
    <row r="210">
      <c r="D210" s="143"/>
      <c r="E210" s="129"/>
      <c r="F210" s="112"/>
      <c r="G210" s="112"/>
      <c r="H210" s="112"/>
      <c r="I210" s="112"/>
      <c r="J210" s="112"/>
      <c r="K210" s="112"/>
      <c r="L210" s="112"/>
      <c r="M210" s="112"/>
      <c r="N210" s="112"/>
      <c r="O210" s="112"/>
      <c r="P210" s="112"/>
      <c r="Q210" s="112"/>
      <c r="R210" s="112"/>
      <c r="S210" s="112"/>
      <c r="T210" s="112"/>
      <c r="U210" s="124"/>
      <c r="V210" s="124"/>
      <c r="W210" s="124"/>
      <c r="X210" s="124"/>
      <c r="Y210" s="124"/>
      <c r="Z210" s="112"/>
      <c r="AA210" s="112"/>
      <c r="AB210" s="112"/>
      <c r="AC210" s="112"/>
      <c r="AD210" s="112"/>
      <c r="AE210" s="112"/>
      <c r="AF210" s="112"/>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row>
    <row r="211">
      <c r="D211" s="143"/>
      <c r="E211" s="129"/>
      <c r="F211" s="112"/>
      <c r="G211" s="112"/>
      <c r="H211" s="112"/>
      <c r="I211" s="112"/>
      <c r="J211" s="112"/>
      <c r="K211" s="112"/>
      <c r="L211" s="112"/>
      <c r="M211" s="112"/>
      <c r="N211" s="112"/>
      <c r="O211" s="112"/>
      <c r="P211" s="112"/>
      <c r="Q211" s="112"/>
      <c r="R211" s="112"/>
      <c r="S211" s="112"/>
      <c r="T211" s="112"/>
      <c r="U211" s="124"/>
      <c r="V211" s="124"/>
      <c r="W211" s="124"/>
      <c r="X211" s="124"/>
      <c r="Y211" s="124"/>
      <c r="Z211" s="112"/>
      <c r="AA211" s="112"/>
      <c r="AB211" s="112"/>
      <c r="AC211" s="112"/>
      <c r="AD211" s="112"/>
      <c r="AE211" s="112"/>
      <c r="AF211" s="112"/>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row>
    <row r="212">
      <c r="D212" s="143"/>
      <c r="E212" s="129"/>
      <c r="F212" s="112"/>
      <c r="G212" s="112"/>
      <c r="H212" s="112"/>
      <c r="I212" s="112"/>
      <c r="J212" s="112"/>
      <c r="K212" s="112"/>
      <c r="L212" s="112"/>
      <c r="M212" s="112"/>
      <c r="N212" s="112"/>
      <c r="O212" s="112"/>
      <c r="P212" s="112"/>
      <c r="Q212" s="112"/>
      <c r="R212" s="112"/>
      <c r="S212" s="112"/>
      <c r="T212" s="112"/>
      <c r="U212" s="124"/>
      <c r="V212" s="124"/>
      <c r="W212" s="124"/>
      <c r="X212" s="124"/>
      <c r="Y212" s="124"/>
      <c r="Z212" s="112"/>
      <c r="AA212" s="112"/>
      <c r="AB212" s="112"/>
      <c r="AC212" s="112"/>
      <c r="AD212" s="112"/>
      <c r="AE212" s="112"/>
      <c r="AF212" s="112"/>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row>
    <row r="213">
      <c r="D213" s="143"/>
      <c r="E213" s="129"/>
      <c r="F213" s="112"/>
      <c r="G213" s="112"/>
      <c r="H213" s="112"/>
      <c r="I213" s="112"/>
      <c r="J213" s="112"/>
      <c r="K213" s="112"/>
      <c r="L213" s="112"/>
      <c r="M213" s="112"/>
      <c r="N213" s="112"/>
      <c r="O213" s="112"/>
      <c r="P213" s="112"/>
      <c r="Q213" s="112"/>
      <c r="R213" s="112"/>
      <c r="S213" s="112"/>
      <c r="T213" s="112"/>
      <c r="U213" s="124"/>
      <c r="V213" s="124"/>
      <c r="W213" s="124"/>
      <c r="X213" s="124"/>
      <c r="Y213" s="124"/>
      <c r="Z213" s="112"/>
      <c r="AA213" s="112"/>
      <c r="AB213" s="112"/>
      <c r="AC213" s="112"/>
      <c r="AD213" s="112"/>
      <c r="AE213" s="112"/>
      <c r="AF213" s="112"/>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row>
    <row r="214">
      <c r="D214" s="143"/>
      <c r="E214" s="129"/>
      <c r="F214" s="112"/>
      <c r="G214" s="112"/>
      <c r="H214" s="112"/>
      <c r="I214" s="112"/>
      <c r="J214" s="112"/>
      <c r="K214" s="112"/>
      <c r="L214" s="112"/>
      <c r="M214" s="112"/>
      <c r="N214" s="112"/>
      <c r="O214" s="112"/>
      <c r="P214" s="112"/>
      <c r="Q214" s="112"/>
      <c r="R214" s="112"/>
      <c r="S214" s="112"/>
      <c r="T214" s="112"/>
      <c r="U214" s="124"/>
      <c r="V214" s="124"/>
      <c r="W214" s="124"/>
      <c r="X214" s="124"/>
      <c r="Y214" s="124"/>
      <c r="Z214" s="112"/>
      <c r="AA214" s="112"/>
      <c r="AB214" s="112"/>
      <c r="AC214" s="112"/>
      <c r="AD214" s="112"/>
      <c r="AE214" s="112"/>
      <c r="AF214" s="112"/>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row>
    <row r="215">
      <c r="D215" s="143"/>
      <c r="E215" s="129"/>
      <c r="F215" s="112"/>
      <c r="G215" s="112"/>
      <c r="H215" s="112"/>
      <c r="I215" s="112"/>
      <c r="J215" s="112"/>
      <c r="K215" s="112"/>
      <c r="L215" s="112"/>
      <c r="M215" s="112"/>
      <c r="N215" s="112"/>
      <c r="O215" s="112"/>
      <c r="P215" s="112"/>
      <c r="Q215" s="112"/>
      <c r="R215" s="112"/>
      <c r="S215" s="112"/>
      <c r="T215" s="112"/>
      <c r="U215" s="124"/>
      <c r="V215" s="124"/>
      <c r="W215" s="124"/>
      <c r="X215" s="124"/>
      <c r="Y215" s="124"/>
      <c r="Z215" s="112"/>
      <c r="AA215" s="112"/>
      <c r="AB215" s="112"/>
      <c r="AC215" s="112"/>
      <c r="AD215" s="112"/>
      <c r="AE215" s="112"/>
      <c r="AF215" s="112"/>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row>
    <row r="216">
      <c r="D216" s="143"/>
      <c r="E216" s="129"/>
      <c r="F216" s="112"/>
      <c r="G216" s="112"/>
      <c r="H216" s="112"/>
      <c r="I216" s="112"/>
      <c r="J216" s="112"/>
      <c r="K216" s="112"/>
      <c r="L216" s="112"/>
      <c r="M216" s="112"/>
      <c r="N216" s="112"/>
      <c r="O216" s="112"/>
      <c r="P216" s="112"/>
      <c r="Q216" s="112"/>
      <c r="R216" s="112"/>
      <c r="S216" s="112"/>
      <c r="T216" s="112"/>
      <c r="U216" s="124"/>
      <c r="V216" s="124"/>
      <c r="W216" s="124"/>
      <c r="X216" s="124"/>
      <c r="Y216" s="124"/>
      <c r="Z216" s="112"/>
      <c r="AA216" s="112"/>
      <c r="AB216" s="112"/>
      <c r="AC216" s="112"/>
      <c r="AD216" s="112"/>
      <c r="AE216" s="112"/>
      <c r="AF216" s="112"/>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row>
    <row r="217">
      <c r="D217" s="143"/>
      <c r="E217" s="129"/>
      <c r="F217" s="112"/>
      <c r="G217" s="112"/>
      <c r="H217" s="112"/>
      <c r="I217" s="112"/>
      <c r="J217" s="112"/>
      <c r="K217" s="112"/>
      <c r="L217" s="112"/>
      <c r="M217" s="112"/>
      <c r="N217" s="112"/>
      <c r="O217" s="112"/>
      <c r="P217" s="112"/>
      <c r="Q217" s="112"/>
      <c r="R217" s="112"/>
      <c r="S217" s="112"/>
      <c r="T217" s="112"/>
      <c r="U217" s="124"/>
      <c r="V217" s="124"/>
      <c r="W217" s="124"/>
      <c r="X217" s="124"/>
      <c r="Y217" s="124"/>
      <c r="Z217" s="112"/>
      <c r="AA217" s="112"/>
      <c r="AB217" s="112"/>
      <c r="AC217" s="112"/>
      <c r="AD217" s="112"/>
      <c r="AE217" s="112"/>
      <c r="AF217" s="112"/>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row>
    <row r="218">
      <c r="D218" s="143"/>
      <c r="E218" s="129"/>
      <c r="F218" s="112"/>
      <c r="G218" s="112"/>
      <c r="H218" s="112"/>
      <c r="I218" s="112"/>
      <c r="J218" s="112"/>
      <c r="K218" s="112"/>
      <c r="L218" s="112"/>
      <c r="M218" s="112"/>
      <c r="N218" s="112"/>
      <c r="O218" s="112"/>
      <c r="P218" s="112"/>
      <c r="Q218" s="112"/>
      <c r="R218" s="112"/>
      <c r="S218" s="112"/>
      <c r="T218" s="112"/>
      <c r="U218" s="124"/>
      <c r="V218" s="124"/>
      <c r="W218" s="124"/>
      <c r="X218" s="124"/>
      <c r="Y218" s="124"/>
      <c r="Z218" s="112"/>
      <c r="AA218" s="112"/>
      <c r="AB218" s="112"/>
      <c r="AC218" s="112"/>
      <c r="AD218" s="112"/>
      <c r="AE218" s="112"/>
      <c r="AF218" s="112"/>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124"/>
      <c r="BO218" s="124"/>
      <c r="BP218" s="124"/>
      <c r="BQ218" s="124"/>
      <c r="BR218" s="124"/>
      <c r="BS218" s="124"/>
      <c r="BT218" s="124"/>
      <c r="BU218" s="124"/>
      <c r="BV218" s="124"/>
      <c r="BW218" s="124"/>
      <c r="BX218" s="124"/>
      <c r="BY218" s="124"/>
      <c r="BZ218" s="124"/>
      <c r="CA218" s="124"/>
    </row>
    <row r="219">
      <c r="D219" s="143"/>
      <c r="E219" s="129"/>
      <c r="F219" s="112"/>
      <c r="G219" s="112"/>
      <c r="H219" s="112"/>
      <c r="I219" s="112"/>
      <c r="J219" s="112"/>
      <c r="K219" s="112"/>
      <c r="L219" s="112"/>
      <c r="M219" s="112"/>
      <c r="N219" s="112"/>
      <c r="O219" s="112"/>
      <c r="P219" s="112"/>
      <c r="Q219" s="112"/>
      <c r="R219" s="112"/>
      <c r="S219" s="112"/>
      <c r="T219" s="112"/>
      <c r="U219" s="124"/>
      <c r="V219" s="124"/>
      <c r="W219" s="124"/>
      <c r="X219" s="124"/>
      <c r="Y219" s="124"/>
      <c r="Z219" s="112"/>
      <c r="AA219" s="112"/>
      <c r="AB219" s="112"/>
      <c r="AC219" s="112"/>
      <c r="AD219" s="112"/>
      <c r="AE219" s="112"/>
      <c r="AF219" s="112"/>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124"/>
      <c r="BO219" s="124"/>
      <c r="BP219" s="124"/>
      <c r="BQ219" s="124"/>
      <c r="BR219" s="124"/>
      <c r="BS219" s="124"/>
      <c r="BT219" s="124"/>
      <c r="BU219" s="124"/>
      <c r="BV219" s="124"/>
      <c r="BW219" s="124"/>
      <c r="BX219" s="124"/>
      <c r="BY219" s="124"/>
      <c r="BZ219" s="124"/>
      <c r="CA219" s="124"/>
    </row>
    <row r="220">
      <c r="D220" s="143"/>
      <c r="E220" s="129"/>
      <c r="F220" s="112"/>
      <c r="G220" s="112"/>
      <c r="H220" s="112"/>
      <c r="I220" s="112"/>
      <c r="J220" s="112"/>
      <c r="K220" s="112"/>
      <c r="L220" s="112"/>
      <c r="M220" s="112"/>
      <c r="N220" s="112"/>
      <c r="O220" s="112"/>
      <c r="P220" s="112"/>
      <c r="Q220" s="112"/>
      <c r="R220" s="112"/>
      <c r="S220" s="112"/>
      <c r="T220" s="112"/>
      <c r="U220" s="124"/>
      <c r="V220" s="124"/>
      <c r="W220" s="124"/>
      <c r="X220" s="124"/>
      <c r="Y220" s="124"/>
      <c r="Z220" s="112"/>
      <c r="AA220" s="112"/>
      <c r="AB220" s="112"/>
      <c r="AC220" s="112"/>
      <c r="AD220" s="112"/>
      <c r="AE220" s="112"/>
      <c r="AF220" s="112"/>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row>
    <row r="221">
      <c r="D221" s="143"/>
      <c r="E221" s="129"/>
      <c r="F221" s="112"/>
      <c r="G221" s="112"/>
      <c r="H221" s="112"/>
      <c r="I221" s="112"/>
      <c r="J221" s="112"/>
      <c r="K221" s="112"/>
      <c r="L221" s="112"/>
      <c r="M221" s="112"/>
      <c r="N221" s="112"/>
      <c r="O221" s="112"/>
      <c r="P221" s="112"/>
      <c r="Q221" s="112"/>
      <c r="R221" s="112"/>
      <c r="S221" s="112"/>
      <c r="T221" s="112"/>
      <c r="U221" s="124"/>
      <c r="V221" s="124"/>
      <c r="W221" s="124"/>
      <c r="X221" s="124"/>
      <c r="Y221" s="124"/>
      <c r="Z221" s="112"/>
      <c r="AA221" s="112"/>
      <c r="AB221" s="112"/>
      <c r="AC221" s="112"/>
      <c r="AD221" s="112"/>
      <c r="AE221" s="112"/>
      <c r="AF221" s="112"/>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row>
    <row r="222">
      <c r="D222" s="143"/>
      <c r="E222" s="129"/>
      <c r="F222" s="112"/>
      <c r="G222" s="112"/>
      <c r="H222" s="112"/>
      <c r="I222" s="112"/>
      <c r="J222" s="112"/>
      <c r="K222" s="112"/>
      <c r="L222" s="112"/>
      <c r="M222" s="112"/>
      <c r="N222" s="112"/>
      <c r="O222" s="112"/>
      <c r="P222" s="112"/>
      <c r="Q222" s="112"/>
      <c r="R222" s="112"/>
      <c r="S222" s="112"/>
      <c r="T222" s="112"/>
      <c r="U222" s="124"/>
      <c r="V222" s="124"/>
      <c r="W222" s="124"/>
      <c r="X222" s="124"/>
      <c r="Y222" s="124"/>
      <c r="Z222" s="112"/>
      <c r="AA222" s="112"/>
      <c r="AB222" s="112"/>
      <c r="AC222" s="112"/>
      <c r="AD222" s="112"/>
      <c r="AE222" s="112"/>
      <c r="AF222" s="112"/>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row>
    <row r="223">
      <c r="D223" s="143"/>
      <c r="E223" s="129"/>
      <c r="F223" s="112"/>
      <c r="G223" s="112"/>
      <c r="H223" s="112"/>
      <c r="I223" s="112"/>
      <c r="J223" s="112"/>
      <c r="K223" s="112"/>
      <c r="L223" s="112"/>
      <c r="M223" s="112"/>
      <c r="N223" s="112"/>
      <c r="O223" s="112"/>
      <c r="P223" s="112"/>
      <c r="Q223" s="112"/>
      <c r="R223" s="112"/>
      <c r="S223" s="112"/>
      <c r="T223" s="112"/>
      <c r="U223" s="124"/>
      <c r="V223" s="124"/>
      <c r="W223" s="124"/>
      <c r="X223" s="124"/>
      <c r="Y223" s="124"/>
      <c r="Z223" s="112"/>
      <c r="AA223" s="112"/>
      <c r="AB223" s="112"/>
      <c r="AC223" s="112"/>
      <c r="AD223" s="112"/>
      <c r="AE223" s="112"/>
      <c r="AF223" s="112"/>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row>
    <row r="224">
      <c r="D224" s="143"/>
      <c r="E224" s="129"/>
      <c r="F224" s="112"/>
      <c r="G224" s="112"/>
      <c r="H224" s="112"/>
      <c r="I224" s="112"/>
      <c r="J224" s="112"/>
      <c r="K224" s="112"/>
      <c r="L224" s="112"/>
      <c r="M224" s="112"/>
      <c r="N224" s="112"/>
      <c r="O224" s="112"/>
      <c r="P224" s="112"/>
      <c r="Q224" s="112"/>
      <c r="R224" s="112"/>
      <c r="S224" s="112"/>
      <c r="T224" s="112"/>
      <c r="U224" s="124"/>
      <c r="V224" s="124"/>
      <c r="W224" s="124"/>
      <c r="X224" s="124"/>
      <c r="Y224" s="124"/>
      <c r="Z224" s="112"/>
      <c r="AA224" s="112"/>
      <c r="AB224" s="112"/>
      <c r="AC224" s="112"/>
      <c r="AD224" s="112"/>
      <c r="AE224" s="112"/>
      <c r="AF224" s="112"/>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row>
    <row r="225">
      <c r="D225" s="143"/>
      <c r="E225" s="129"/>
      <c r="F225" s="112"/>
      <c r="G225" s="112"/>
      <c r="H225" s="112"/>
      <c r="I225" s="112"/>
      <c r="J225" s="112"/>
      <c r="K225" s="112"/>
      <c r="L225" s="112"/>
      <c r="M225" s="112"/>
      <c r="N225" s="112"/>
      <c r="O225" s="112"/>
      <c r="P225" s="112"/>
      <c r="Q225" s="112"/>
      <c r="R225" s="112"/>
      <c r="S225" s="112"/>
      <c r="T225" s="112"/>
      <c r="U225" s="124"/>
      <c r="V225" s="124"/>
      <c r="W225" s="124"/>
      <c r="X225" s="124"/>
      <c r="Y225" s="124"/>
      <c r="Z225" s="112"/>
      <c r="AA225" s="112"/>
      <c r="AB225" s="112"/>
      <c r="AC225" s="112"/>
      <c r="AD225" s="112"/>
      <c r="AE225" s="112"/>
      <c r="AF225" s="112"/>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row>
    <row r="226">
      <c r="D226" s="143"/>
      <c r="E226" s="129"/>
      <c r="F226" s="112"/>
      <c r="G226" s="112"/>
      <c r="H226" s="112"/>
      <c r="I226" s="112"/>
      <c r="J226" s="112"/>
      <c r="K226" s="112"/>
      <c r="L226" s="112"/>
      <c r="M226" s="112"/>
      <c r="N226" s="112"/>
      <c r="O226" s="112"/>
      <c r="P226" s="112"/>
      <c r="Q226" s="112"/>
      <c r="R226" s="112"/>
      <c r="S226" s="112"/>
      <c r="T226" s="112"/>
      <c r="U226" s="124"/>
      <c r="V226" s="124"/>
      <c r="W226" s="124"/>
      <c r="X226" s="124"/>
      <c r="Y226" s="124"/>
      <c r="Z226" s="112"/>
      <c r="AA226" s="112"/>
      <c r="AB226" s="112"/>
      <c r="AC226" s="112"/>
      <c r="AD226" s="112"/>
      <c r="AE226" s="112"/>
      <c r="AF226" s="112"/>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124"/>
      <c r="BO226" s="124"/>
      <c r="BP226" s="124"/>
      <c r="BQ226" s="124"/>
      <c r="BR226" s="124"/>
      <c r="BS226" s="124"/>
      <c r="BT226" s="124"/>
      <c r="BU226" s="124"/>
      <c r="BV226" s="124"/>
      <c r="BW226" s="124"/>
      <c r="BX226" s="124"/>
      <c r="BY226" s="124"/>
      <c r="BZ226" s="124"/>
      <c r="CA226" s="124"/>
    </row>
    <row r="227">
      <c r="D227" s="143"/>
      <c r="E227" s="129"/>
      <c r="F227" s="112"/>
      <c r="G227" s="112"/>
      <c r="H227" s="112"/>
      <c r="I227" s="112"/>
      <c r="J227" s="112"/>
      <c r="K227" s="112"/>
      <c r="L227" s="112"/>
      <c r="M227" s="112"/>
      <c r="N227" s="112"/>
      <c r="O227" s="112"/>
      <c r="P227" s="112"/>
      <c r="Q227" s="112"/>
      <c r="R227" s="112"/>
      <c r="S227" s="112"/>
      <c r="T227" s="112"/>
      <c r="U227" s="124"/>
      <c r="V227" s="124"/>
      <c r="W227" s="124"/>
      <c r="X227" s="124"/>
      <c r="Y227" s="124"/>
      <c r="Z227" s="112"/>
      <c r="AA227" s="112"/>
      <c r="AB227" s="112"/>
      <c r="AC227" s="112"/>
      <c r="AD227" s="112"/>
      <c r="AE227" s="112"/>
      <c r="AF227" s="112"/>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row>
    <row r="228">
      <c r="D228" s="143"/>
      <c r="E228" s="129"/>
      <c r="F228" s="112"/>
      <c r="G228" s="112"/>
      <c r="H228" s="112"/>
      <c r="I228" s="112"/>
      <c r="J228" s="112"/>
      <c r="K228" s="112"/>
      <c r="L228" s="112"/>
      <c r="M228" s="112"/>
      <c r="N228" s="112"/>
      <c r="O228" s="112"/>
      <c r="P228" s="112"/>
      <c r="Q228" s="112"/>
      <c r="R228" s="112"/>
      <c r="S228" s="112"/>
      <c r="T228" s="112"/>
      <c r="U228" s="124"/>
      <c r="V228" s="124"/>
      <c r="W228" s="124"/>
      <c r="X228" s="124"/>
      <c r="Y228" s="124"/>
      <c r="Z228" s="112"/>
      <c r="AA228" s="112"/>
      <c r="AB228" s="112"/>
      <c r="AC228" s="112"/>
      <c r="AD228" s="112"/>
      <c r="AE228" s="112"/>
      <c r="AF228" s="112"/>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c r="BK228" s="124"/>
      <c r="BL228" s="124"/>
      <c r="BM228" s="124"/>
      <c r="BN228" s="124"/>
      <c r="BO228" s="124"/>
      <c r="BP228" s="124"/>
      <c r="BQ228" s="124"/>
      <c r="BR228" s="124"/>
      <c r="BS228" s="124"/>
      <c r="BT228" s="124"/>
      <c r="BU228" s="124"/>
      <c r="BV228" s="124"/>
      <c r="BW228" s="124"/>
      <c r="BX228" s="124"/>
      <c r="BY228" s="124"/>
      <c r="BZ228" s="124"/>
      <c r="CA228" s="124"/>
    </row>
    <row r="229">
      <c r="D229" s="143"/>
      <c r="E229" s="129"/>
      <c r="F229" s="112"/>
      <c r="G229" s="112"/>
      <c r="H229" s="112"/>
      <c r="I229" s="112"/>
      <c r="J229" s="112"/>
      <c r="K229" s="112"/>
      <c r="L229" s="112"/>
      <c r="M229" s="112"/>
      <c r="N229" s="112"/>
      <c r="O229" s="112"/>
      <c r="P229" s="112"/>
      <c r="Q229" s="112"/>
      <c r="R229" s="112"/>
      <c r="S229" s="112"/>
      <c r="T229" s="112"/>
      <c r="U229" s="124"/>
      <c r="V229" s="124"/>
      <c r="W229" s="124"/>
      <c r="X229" s="124"/>
      <c r="Y229" s="124"/>
      <c r="Z229" s="112"/>
      <c r="AA229" s="112"/>
      <c r="AB229" s="112"/>
      <c r="AC229" s="112"/>
      <c r="AD229" s="112"/>
      <c r="AE229" s="112"/>
      <c r="AF229" s="112"/>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124"/>
      <c r="BO229" s="124"/>
      <c r="BP229" s="124"/>
      <c r="BQ229" s="124"/>
      <c r="BR229" s="124"/>
      <c r="BS229" s="124"/>
      <c r="BT229" s="124"/>
      <c r="BU229" s="124"/>
      <c r="BV229" s="124"/>
      <c r="BW229" s="124"/>
      <c r="BX229" s="124"/>
      <c r="BY229" s="124"/>
      <c r="BZ229" s="124"/>
      <c r="CA229" s="124"/>
    </row>
    <row r="230">
      <c r="D230" s="143"/>
      <c r="E230" s="129"/>
      <c r="F230" s="112"/>
      <c r="G230" s="112"/>
      <c r="H230" s="112"/>
      <c r="I230" s="112"/>
      <c r="J230" s="112"/>
      <c r="K230" s="112"/>
      <c r="L230" s="112"/>
      <c r="M230" s="112"/>
      <c r="N230" s="112"/>
      <c r="O230" s="112"/>
      <c r="P230" s="112"/>
      <c r="Q230" s="112"/>
      <c r="R230" s="112"/>
      <c r="S230" s="112"/>
      <c r="T230" s="112"/>
      <c r="U230" s="124"/>
      <c r="V230" s="124"/>
      <c r="W230" s="124"/>
      <c r="X230" s="124"/>
      <c r="Y230" s="124"/>
      <c r="Z230" s="112"/>
      <c r="AA230" s="112"/>
      <c r="AB230" s="112"/>
      <c r="AC230" s="112"/>
      <c r="AD230" s="112"/>
      <c r="AE230" s="112"/>
      <c r="AF230" s="112"/>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c r="BK230" s="124"/>
      <c r="BL230" s="124"/>
      <c r="BM230" s="124"/>
      <c r="BN230" s="124"/>
      <c r="BO230" s="124"/>
      <c r="BP230" s="124"/>
      <c r="BQ230" s="124"/>
      <c r="BR230" s="124"/>
      <c r="BS230" s="124"/>
      <c r="BT230" s="124"/>
      <c r="BU230" s="124"/>
      <c r="BV230" s="124"/>
      <c r="BW230" s="124"/>
      <c r="BX230" s="124"/>
      <c r="BY230" s="124"/>
      <c r="BZ230" s="124"/>
      <c r="CA230" s="124"/>
    </row>
    <row r="231">
      <c r="D231" s="143"/>
      <c r="E231" s="129"/>
      <c r="F231" s="112"/>
      <c r="G231" s="112"/>
      <c r="H231" s="112"/>
      <c r="I231" s="112"/>
      <c r="J231" s="112"/>
      <c r="K231" s="112"/>
      <c r="L231" s="112"/>
      <c r="M231" s="112"/>
      <c r="N231" s="112"/>
      <c r="O231" s="112"/>
      <c r="P231" s="112"/>
      <c r="Q231" s="112"/>
      <c r="R231" s="112"/>
      <c r="S231" s="112"/>
      <c r="T231" s="112"/>
      <c r="U231" s="124"/>
      <c r="V231" s="124"/>
      <c r="W231" s="124"/>
      <c r="X231" s="124"/>
      <c r="Y231" s="124"/>
      <c r="Z231" s="112"/>
      <c r="AA231" s="112"/>
      <c r="AB231" s="112"/>
      <c r="AC231" s="112"/>
      <c r="AD231" s="112"/>
      <c r="AE231" s="112"/>
      <c r="AF231" s="112"/>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c r="BK231" s="124"/>
      <c r="BL231" s="124"/>
      <c r="BM231" s="124"/>
      <c r="BN231" s="124"/>
      <c r="BO231" s="124"/>
      <c r="BP231" s="124"/>
      <c r="BQ231" s="124"/>
      <c r="BR231" s="124"/>
      <c r="BS231" s="124"/>
      <c r="BT231" s="124"/>
      <c r="BU231" s="124"/>
      <c r="BV231" s="124"/>
      <c r="BW231" s="124"/>
      <c r="BX231" s="124"/>
      <c r="BY231" s="124"/>
      <c r="BZ231" s="124"/>
      <c r="CA231" s="124"/>
    </row>
    <row r="232">
      <c r="D232" s="143"/>
      <c r="E232" s="129"/>
      <c r="F232" s="112"/>
      <c r="G232" s="112"/>
      <c r="H232" s="112"/>
      <c r="I232" s="112"/>
      <c r="J232" s="112"/>
      <c r="K232" s="112"/>
      <c r="L232" s="112"/>
      <c r="M232" s="112"/>
      <c r="N232" s="112"/>
      <c r="O232" s="112"/>
      <c r="P232" s="112"/>
      <c r="Q232" s="112"/>
      <c r="R232" s="112"/>
      <c r="S232" s="112"/>
      <c r="T232" s="112"/>
      <c r="U232" s="124"/>
      <c r="V232" s="124"/>
      <c r="W232" s="124"/>
      <c r="X232" s="124"/>
      <c r="Y232" s="124"/>
      <c r="Z232" s="112"/>
      <c r="AA232" s="112"/>
      <c r="AB232" s="112"/>
      <c r="AC232" s="112"/>
      <c r="AD232" s="112"/>
      <c r="AE232" s="112"/>
      <c r="AF232" s="112"/>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c r="BK232" s="124"/>
      <c r="BL232" s="124"/>
      <c r="BM232" s="124"/>
      <c r="BN232" s="124"/>
      <c r="BO232" s="124"/>
      <c r="BP232" s="124"/>
      <c r="BQ232" s="124"/>
      <c r="BR232" s="124"/>
      <c r="BS232" s="124"/>
      <c r="BT232" s="124"/>
      <c r="BU232" s="124"/>
      <c r="BV232" s="124"/>
      <c r="BW232" s="124"/>
      <c r="BX232" s="124"/>
      <c r="BY232" s="124"/>
      <c r="BZ232" s="124"/>
      <c r="CA232" s="124"/>
    </row>
    <row r="233">
      <c r="D233" s="143"/>
      <c r="E233" s="129"/>
      <c r="F233" s="112"/>
      <c r="G233" s="112"/>
      <c r="H233" s="112"/>
      <c r="I233" s="112"/>
      <c r="J233" s="112"/>
      <c r="K233" s="112"/>
      <c r="L233" s="112"/>
      <c r="M233" s="112"/>
      <c r="N233" s="112"/>
      <c r="O233" s="112"/>
      <c r="P233" s="112"/>
      <c r="Q233" s="112"/>
      <c r="R233" s="112"/>
      <c r="S233" s="112"/>
      <c r="T233" s="112"/>
      <c r="U233" s="124"/>
      <c r="V233" s="124"/>
      <c r="W233" s="124"/>
      <c r="X233" s="124"/>
      <c r="Y233" s="124"/>
      <c r="Z233" s="112"/>
      <c r="AA233" s="112"/>
      <c r="AB233" s="112"/>
      <c r="AC233" s="112"/>
      <c r="AD233" s="112"/>
      <c r="AE233" s="112"/>
      <c r="AF233" s="112"/>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row>
    <row r="234">
      <c r="D234" s="143"/>
      <c r="E234" s="129"/>
      <c r="F234" s="112"/>
      <c r="G234" s="112"/>
      <c r="H234" s="112"/>
      <c r="I234" s="112"/>
      <c r="J234" s="112"/>
      <c r="K234" s="112"/>
      <c r="L234" s="112"/>
      <c r="M234" s="112"/>
      <c r="N234" s="112"/>
      <c r="O234" s="112"/>
      <c r="P234" s="112"/>
      <c r="Q234" s="112"/>
      <c r="R234" s="112"/>
      <c r="S234" s="112"/>
      <c r="T234" s="112"/>
      <c r="U234" s="124"/>
      <c r="V234" s="124"/>
      <c r="W234" s="124"/>
      <c r="X234" s="124"/>
      <c r="Y234" s="124"/>
      <c r="Z234" s="112"/>
      <c r="AA234" s="112"/>
      <c r="AB234" s="112"/>
      <c r="AC234" s="112"/>
      <c r="AD234" s="112"/>
      <c r="AE234" s="112"/>
      <c r="AF234" s="112"/>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124"/>
      <c r="BO234" s="124"/>
      <c r="BP234" s="124"/>
      <c r="BQ234" s="124"/>
      <c r="BR234" s="124"/>
      <c r="BS234" s="124"/>
      <c r="BT234" s="124"/>
      <c r="BU234" s="124"/>
      <c r="BV234" s="124"/>
      <c r="BW234" s="124"/>
      <c r="BX234" s="124"/>
      <c r="BY234" s="124"/>
      <c r="BZ234" s="124"/>
      <c r="CA234" s="124"/>
    </row>
    <row r="235">
      <c r="D235" s="143"/>
      <c r="E235" s="129"/>
      <c r="F235" s="112"/>
      <c r="G235" s="112"/>
      <c r="H235" s="112"/>
      <c r="I235" s="112"/>
      <c r="J235" s="112"/>
      <c r="K235" s="112"/>
      <c r="L235" s="112"/>
      <c r="M235" s="112"/>
      <c r="N235" s="112"/>
      <c r="O235" s="112"/>
      <c r="P235" s="112"/>
      <c r="Q235" s="112"/>
      <c r="R235" s="112"/>
      <c r="S235" s="112"/>
      <c r="T235" s="112"/>
      <c r="U235" s="124"/>
      <c r="V235" s="124"/>
      <c r="W235" s="124"/>
      <c r="X235" s="124"/>
      <c r="Y235" s="124"/>
      <c r="Z235" s="112"/>
      <c r="AA235" s="112"/>
      <c r="AB235" s="112"/>
      <c r="AC235" s="112"/>
      <c r="AD235" s="112"/>
      <c r="AE235" s="112"/>
      <c r="AF235" s="112"/>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c r="BK235" s="124"/>
      <c r="BL235" s="124"/>
      <c r="BM235" s="124"/>
      <c r="BN235" s="124"/>
      <c r="BO235" s="124"/>
      <c r="BP235" s="124"/>
      <c r="BQ235" s="124"/>
      <c r="BR235" s="124"/>
      <c r="BS235" s="124"/>
      <c r="BT235" s="124"/>
      <c r="BU235" s="124"/>
      <c r="BV235" s="124"/>
      <c r="BW235" s="124"/>
      <c r="BX235" s="124"/>
      <c r="BY235" s="124"/>
      <c r="BZ235" s="124"/>
      <c r="CA235" s="124"/>
    </row>
    <row r="236">
      <c r="D236" s="143"/>
      <c r="E236" s="129"/>
      <c r="F236" s="112"/>
      <c r="G236" s="112"/>
      <c r="H236" s="112"/>
      <c r="I236" s="112"/>
      <c r="J236" s="112"/>
      <c r="K236" s="112"/>
      <c r="L236" s="112"/>
      <c r="M236" s="112"/>
      <c r="N236" s="112"/>
      <c r="O236" s="112"/>
      <c r="P236" s="112"/>
      <c r="Q236" s="112"/>
      <c r="R236" s="112"/>
      <c r="S236" s="112"/>
      <c r="T236" s="112"/>
      <c r="U236" s="124"/>
      <c r="V236" s="124"/>
      <c r="W236" s="124"/>
      <c r="X236" s="124"/>
      <c r="Y236" s="124"/>
      <c r="Z236" s="112"/>
      <c r="AA236" s="112"/>
      <c r="AB236" s="112"/>
      <c r="AC236" s="112"/>
      <c r="AD236" s="112"/>
      <c r="AE236" s="112"/>
      <c r="AF236" s="112"/>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c r="BK236" s="124"/>
      <c r="BL236" s="124"/>
      <c r="BM236" s="124"/>
      <c r="BN236" s="124"/>
      <c r="BO236" s="124"/>
      <c r="BP236" s="124"/>
      <c r="BQ236" s="124"/>
      <c r="BR236" s="124"/>
      <c r="BS236" s="124"/>
      <c r="BT236" s="124"/>
      <c r="BU236" s="124"/>
      <c r="BV236" s="124"/>
      <c r="BW236" s="124"/>
      <c r="BX236" s="124"/>
      <c r="BY236" s="124"/>
      <c r="BZ236" s="124"/>
      <c r="CA236" s="124"/>
    </row>
    <row r="237">
      <c r="D237" s="143"/>
      <c r="E237" s="129"/>
      <c r="F237" s="112"/>
      <c r="G237" s="112"/>
      <c r="H237" s="112"/>
      <c r="I237" s="112"/>
      <c r="J237" s="112"/>
      <c r="K237" s="112"/>
      <c r="L237" s="112"/>
      <c r="M237" s="112"/>
      <c r="N237" s="112"/>
      <c r="O237" s="112"/>
      <c r="P237" s="112"/>
      <c r="Q237" s="112"/>
      <c r="R237" s="112"/>
      <c r="S237" s="112"/>
      <c r="T237" s="112"/>
      <c r="U237" s="124"/>
      <c r="V237" s="124"/>
      <c r="W237" s="124"/>
      <c r="X237" s="124"/>
      <c r="Y237" s="124"/>
      <c r="Z237" s="112"/>
      <c r="AA237" s="112"/>
      <c r="AB237" s="112"/>
      <c r="AC237" s="112"/>
      <c r="AD237" s="112"/>
      <c r="AE237" s="112"/>
      <c r="AF237" s="112"/>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124"/>
      <c r="BO237" s="124"/>
      <c r="BP237" s="124"/>
      <c r="BQ237" s="124"/>
      <c r="BR237" s="124"/>
      <c r="BS237" s="124"/>
      <c r="BT237" s="124"/>
      <c r="BU237" s="124"/>
      <c r="BV237" s="124"/>
      <c r="BW237" s="124"/>
      <c r="BX237" s="124"/>
      <c r="BY237" s="124"/>
      <c r="BZ237" s="124"/>
      <c r="CA237" s="124"/>
    </row>
    <row r="238">
      <c r="D238" s="143"/>
      <c r="E238" s="129"/>
      <c r="F238" s="112"/>
      <c r="G238" s="112"/>
      <c r="H238" s="112"/>
      <c r="I238" s="112"/>
      <c r="J238" s="112"/>
      <c r="K238" s="112"/>
      <c r="L238" s="112"/>
      <c r="M238" s="112"/>
      <c r="N238" s="112"/>
      <c r="O238" s="112"/>
      <c r="P238" s="112"/>
      <c r="Q238" s="112"/>
      <c r="R238" s="112"/>
      <c r="S238" s="112"/>
      <c r="T238" s="112"/>
      <c r="U238" s="124"/>
      <c r="V238" s="124"/>
      <c r="W238" s="124"/>
      <c r="X238" s="124"/>
      <c r="Y238" s="124"/>
      <c r="Z238" s="112"/>
      <c r="AA238" s="112"/>
      <c r="AB238" s="112"/>
      <c r="AC238" s="112"/>
      <c r="AD238" s="112"/>
      <c r="AE238" s="112"/>
      <c r="AF238" s="112"/>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c r="BK238" s="124"/>
      <c r="BL238" s="124"/>
      <c r="BM238" s="124"/>
      <c r="BN238" s="124"/>
      <c r="BO238" s="124"/>
      <c r="BP238" s="124"/>
      <c r="BQ238" s="124"/>
      <c r="BR238" s="124"/>
      <c r="BS238" s="124"/>
      <c r="BT238" s="124"/>
      <c r="BU238" s="124"/>
      <c r="BV238" s="124"/>
      <c r="BW238" s="124"/>
      <c r="BX238" s="124"/>
      <c r="BY238" s="124"/>
      <c r="BZ238" s="124"/>
      <c r="CA238" s="124"/>
    </row>
    <row r="239">
      <c r="D239" s="143"/>
      <c r="E239" s="129"/>
      <c r="F239" s="112"/>
      <c r="G239" s="112"/>
      <c r="H239" s="112"/>
      <c r="I239" s="112"/>
      <c r="J239" s="112"/>
      <c r="K239" s="112"/>
      <c r="L239" s="112"/>
      <c r="M239" s="112"/>
      <c r="N239" s="112"/>
      <c r="O239" s="112"/>
      <c r="P239" s="112"/>
      <c r="Q239" s="112"/>
      <c r="R239" s="112"/>
      <c r="S239" s="112"/>
      <c r="T239" s="112"/>
      <c r="U239" s="124"/>
      <c r="V239" s="124"/>
      <c r="W239" s="124"/>
      <c r="X239" s="124"/>
      <c r="Y239" s="124"/>
      <c r="Z239" s="112"/>
      <c r="AA239" s="112"/>
      <c r="AB239" s="112"/>
      <c r="AC239" s="112"/>
      <c r="AD239" s="112"/>
      <c r="AE239" s="112"/>
      <c r="AF239" s="112"/>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row>
    <row r="240">
      <c r="D240" s="143"/>
      <c r="E240" s="129"/>
      <c r="F240" s="112"/>
      <c r="G240" s="112"/>
      <c r="H240" s="112"/>
      <c r="I240" s="112"/>
      <c r="J240" s="112"/>
      <c r="K240" s="112"/>
      <c r="L240" s="112"/>
      <c r="M240" s="112"/>
      <c r="N240" s="112"/>
      <c r="O240" s="112"/>
      <c r="P240" s="112"/>
      <c r="Q240" s="112"/>
      <c r="R240" s="112"/>
      <c r="S240" s="112"/>
      <c r="T240" s="112"/>
      <c r="U240" s="124"/>
      <c r="V240" s="124"/>
      <c r="W240" s="124"/>
      <c r="X240" s="124"/>
      <c r="Y240" s="124"/>
      <c r="Z240" s="112"/>
      <c r="AA240" s="112"/>
      <c r="AB240" s="112"/>
      <c r="AC240" s="112"/>
      <c r="AD240" s="112"/>
      <c r="AE240" s="112"/>
      <c r="AF240" s="112"/>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124"/>
      <c r="BO240" s="124"/>
      <c r="BP240" s="124"/>
      <c r="BQ240" s="124"/>
      <c r="BR240" s="124"/>
      <c r="BS240" s="124"/>
      <c r="BT240" s="124"/>
      <c r="BU240" s="124"/>
      <c r="BV240" s="124"/>
      <c r="BW240" s="124"/>
      <c r="BX240" s="124"/>
      <c r="BY240" s="124"/>
      <c r="BZ240" s="124"/>
      <c r="CA240" s="124"/>
    </row>
    <row r="241">
      <c r="D241" s="143"/>
      <c r="E241" s="129"/>
      <c r="F241" s="112"/>
      <c r="G241" s="112"/>
      <c r="H241" s="112"/>
      <c r="I241" s="112"/>
      <c r="J241" s="112"/>
      <c r="K241" s="112"/>
      <c r="L241" s="112"/>
      <c r="M241" s="112"/>
      <c r="N241" s="112"/>
      <c r="O241" s="112"/>
      <c r="P241" s="112"/>
      <c r="Q241" s="112"/>
      <c r="R241" s="112"/>
      <c r="S241" s="112"/>
      <c r="T241" s="112"/>
      <c r="U241" s="124"/>
      <c r="V241" s="124"/>
      <c r="W241" s="124"/>
      <c r="X241" s="124"/>
      <c r="Y241" s="124"/>
      <c r="Z241" s="112"/>
      <c r="AA241" s="112"/>
      <c r="AB241" s="112"/>
      <c r="AC241" s="112"/>
      <c r="AD241" s="112"/>
      <c r="AE241" s="112"/>
      <c r="AF241" s="112"/>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124"/>
      <c r="BO241" s="124"/>
      <c r="BP241" s="124"/>
      <c r="BQ241" s="124"/>
      <c r="BR241" s="124"/>
      <c r="BS241" s="124"/>
      <c r="BT241" s="124"/>
      <c r="BU241" s="124"/>
      <c r="BV241" s="124"/>
      <c r="BW241" s="124"/>
      <c r="BX241" s="124"/>
      <c r="BY241" s="124"/>
      <c r="BZ241" s="124"/>
      <c r="CA241" s="124"/>
    </row>
    <row r="242">
      <c r="D242" s="143"/>
      <c r="E242" s="129"/>
      <c r="F242" s="112"/>
      <c r="G242" s="112"/>
      <c r="H242" s="112"/>
      <c r="I242" s="112"/>
      <c r="J242" s="112"/>
      <c r="K242" s="112"/>
      <c r="L242" s="112"/>
      <c r="M242" s="112"/>
      <c r="N242" s="112"/>
      <c r="O242" s="112"/>
      <c r="P242" s="112"/>
      <c r="Q242" s="112"/>
      <c r="R242" s="112"/>
      <c r="S242" s="112"/>
      <c r="T242" s="112"/>
      <c r="U242" s="124"/>
      <c r="V242" s="124"/>
      <c r="W242" s="124"/>
      <c r="X242" s="124"/>
      <c r="Y242" s="124"/>
      <c r="Z242" s="112"/>
      <c r="AA242" s="112"/>
      <c r="AB242" s="112"/>
      <c r="AC242" s="112"/>
      <c r="AD242" s="112"/>
      <c r="AE242" s="112"/>
      <c r="AF242" s="112"/>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c r="BK242" s="124"/>
      <c r="BL242" s="124"/>
      <c r="BM242" s="124"/>
      <c r="BN242" s="124"/>
      <c r="BO242" s="124"/>
      <c r="BP242" s="124"/>
      <c r="BQ242" s="124"/>
      <c r="BR242" s="124"/>
      <c r="BS242" s="124"/>
      <c r="BT242" s="124"/>
      <c r="BU242" s="124"/>
      <c r="BV242" s="124"/>
      <c r="BW242" s="124"/>
      <c r="BX242" s="124"/>
      <c r="BY242" s="124"/>
      <c r="BZ242" s="124"/>
      <c r="CA242" s="124"/>
    </row>
    <row r="243">
      <c r="D243" s="143"/>
      <c r="E243" s="129"/>
      <c r="F243" s="112"/>
      <c r="G243" s="112"/>
      <c r="H243" s="112"/>
      <c r="I243" s="112"/>
      <c r="J243" s="112"/>
      <c r="K243" s="112"/>
      <c r="L243" s="112"/>
      <c r="M243" s="112"/>
      <c r="N243" s="112"/>
      <c r="O243" s="112"/>
      <c r="P243" s="112"/>
      <c r="Q243" s="112"/>
      <c r="R243" s="112"/>
      <c r="S243" s="112"/>
      <c r="T243" s="112"/>
      <c r="U243" s="124"/>
      <c r="V243" s="124"/>
      <c r="W243" s="124"/>
      <c r="X243" s="124"/>
      <c r="Y243" s="124"/>
      <c r="Z243" s="112"/>
      <c r="AA243" s="112"/>
      <c r="AB243" s="112"/>
      <c r="AC243" s="112"/>
      <c r="AD243" s="112"/>
      <c r="AE243" s="112"/>
      <c r="AF243" s="112"/>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124"/>
      <c r="BO243" s="124"/>
      <c r="BP243" s="124"/>
      <c r="BQ243" s="124"/>
      <c r="BR243" s="124"/>
      <c r="BS243" s="124"/>
      <c r="BT243" s="124"/>
      <c r="BU243" s="124"/>
      <c r="BV243" s="124"/>
      <c r="BW243" s="124"/>
      <c r="BX243" s="124"/>
      <c r="BY243" s="124"/>
      <c r="BZ243" s="124"/>
      <c r="CA243" s="124"/>
    </row>
    <row r="244">
      <c r="D244" s="143"/>
      <c r="E244" s="129"/>
      <c r="F244" s="112"/>
      <c r="G244" s="112"/>
      <c r="H244" s="112"/>
      <c r="I244" s="112"/>
      <c r="J244" s="112"/>
      <c r="K244" s="112"/>
      <c r="L244" s="112"/>
      <c r="M244" s="112"/>
      <c r="N244" s="112"/>
      <c r="O244" s="112"/>
      <c r="P244" s="112"/>
      <c r="Q244" s="112"/>
      <c r="R244" s="112"/>
      <c r="S244" s="112"/>
      <c r="T244" s="112"/>
      <c r="U244" s="124"/>
      <c r="V244" s="124"/>
      <c r="W244" s="124"/>
      <c r="X244" s="124"/>
      <c r="Y244" s="124"/>
      <c r="Z244" s="112"/>
      <c r="AA244" s="112"/>
      <c r="AB244" s="112"/>
      <c r="AC244" s="112"/>
      <c r="AD244" s="112"/>
      <c r="AE244" s="112"/>
      <c r="AF244" s="112"/>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124"/>
      <c r="BO244" s="124"/>
      <c r="BP244" s="124"/>
      <c r="BQ244" s="124"/>
      <c r="BR244" s="124"/>
      <c r="BS244" s="124"/>
      <c r="BT244" s="124"/>
      <c r="BU244" s="124"/>
      <c r="BV244" s="124"/>
      <c r="BW244" s="124"/>
      <c r="BX244" s="124"/>
      <c r="BY244" s="124"/>
      <c r="BZ244" s="124"/>
      <c r="CA244" s="124"/>
    </row>
    <row r="245">
      <c r="D245" s="143"/>
      <c r="E245" s="129"/>
      <c r="F245" s="112"/>
      <c r="G245" s="112"/>
      <c r="H245" s="112"/>
      <c r="I245" s="112"/>
      <c r="J245" s="112"/>
      <c r="K245" s="112"/>
      <c r="L245" s="112"/>
      <c r="M245" s="112"/>
      <c r="N245" s="112"/>
      <c r="O245" s="112"/>
      <c r="P245" s="112"/>
      <c r="Q245" s="112"/>
      <c r="R245" s="112"/>
      <c r="S245" s="112"/>
      <c r="T245" s="112"/>
      <c r="U245" s="124"/>
      <c r="V245" s="124"/>
      <c r="W245" s="124"/>
      <c r="X245" s="124"/>
      <c r="Y245" s="124"/>
      <c r="Z245" s="112"/>
      <c r="AA245" s="112"/>
      <c r="AB245" s="112"/>
      <c r="AC245" s="112"/>
      <c r="AD245" s="112"/>
      <c r="AE245" s="112"/>
      <c r="AF245" s="112"/>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row>
    <row r="246">
      <c r="D246" s="143"/>
      <c r="E246" s="129"/>
      <c r="F246" s="112"/>
      <c r="G246" s="112"/>
      <c r="H246" s="112"/>
      <c r="I246" s="112"/>
      <c r="J246" s="112"/>
      <c r="K246" s="112"/>
      <c r="L246" s="112"/>
      <c r="M246" s="112"/>
      <c r="N246" s="112"/>
      <c r="O246" s="112"/>
      <c r="P246" s="112"/>
      <c r="Q246" s="112"/>
      <c r="R246" s="112"/>
      <c r="S246" s="112"/>
      <c r="T246" s="112"/>
      <c r="U246" s="124"/>
      <c r="V246" s="124"/>
      <c r="W246" s="124"/>
      <c r="X246" s="124"/>
      <c r="Y246" s="124"/>
      <c r="Z246" s="112"/>
      <c r="AA246" s="112"/>
      <c r="AB246" s="112"/>
      <c r="AC246" s="112"/>
      <c r="AD246" s="112"/>
      <c r="AE246" s="112"/>
      <c r="AF246" s="112"/>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row>
    <row r="247">
      <c r="D247" s="143"/>
      <c r="E247" s="129"/>
      <c r="F247" s="112"/>
      <c r="G247" s="112"/>
      <c r="H247" s="112"/>
      <c r="I247" s="112"/>
      <c r="J247" s="112"/>
      <c r="K247" s="112"/>
      <c r="L247" s="112"/>
      <c r="M247" s="112"/>
      <c r="N247" s="112"/>
      <c r="O247" s="112"/>
      <c r="P247" s="112"/>
      <c r="Q247" s="112"/>
      <c r="R247" s="112"/>
      <c r="S247" s="112"/>
      <c r="T247" s="112"/>
      <c r="U247" s="124"/>
      <c r="V247" s="124"/>
      <c r="W247" s="124"/>
      <c r="X247" s="124"/>
      <c r="Y247" s="124"/>
      <c r="Z247" s="112"/>
      <c r="AA247" s="112"/>
      <c r="AB247" s="112"/>
      <c r="AC247" s="112"/>
      <c r="AD247" s="112"/>
      <c r="AE247" s="112"/>
      <c r="AF247" s="112"/>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124"/>
      <c r="BO247" s="124"/>
      <c r="BP247" s="124"/>
      <c r="BQ247" s="124"/>
      <c r="BR247" s="124"/>
      <c r="BS247" s="124"/>
      <c r="BT247" s="124"/>
      <c r="BU247" s="124"/>
      <c r="BV247" s="124"/>
      <c r="BW247" s="124"/>
      <c r="BX247" s="124"/>
      <c r="BY247" s="124"/>
      <c r="BZ247" s="124"/>
      <c r="CA247" s="124"/>
    </row>
    <row r="248">
      <c r="D248" s="143"/>
      <c r="E248" s="129"/>
      <c r="F248" s="112"/>
      <c r="G248" s="112"/>
      <c r="H248" s="112"/>
      <c r="I248" s="112"/>
      <c r="J248" s="112"/>
      <c r="K248" s="112"/>
      <c r="L248" s="112"/>
      <c r="M248" s="112"/>
      <c r="N248" s="112"/>
      <c r="O248" s="112"/>
      <c r="P248" s="112"/>
      <c r="Q248" s="112"/>
      <c r="R248" s="112"/>
      <c r="S248" s="112"/>
      <c r="T248" s="112"/>
      <c r="U248" s="124"/>
      <c r="V248" s="124"/>
      <c r="W248" s="124"/>
      <c r="X248" s="124"/>
      <c r="Y248" s="124"/>
      <c r="Z248" s="112"/>
      <c r="AA248" s="112"/>
      <c r="AB248" s="112"/>
      <c r="AC248" s="112"/>
      <c r="AD248" s="112"/>
      <c r="AE248" s="112"/>
      <c r="AF248" s="112"/>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c r="BK248" s="124"/>
      <c r="BL248" s="124"/>
      <c r="BM248" s="124"/>
      <c r="BN248" s="124"/>
      <c r="BO248" s="124"/>
      <c r="BP248" s="124"/>
      <c r="BQ248" s="124"/>
      <c r="BR248" s="124"/>
      <c r="BS248" s="124"/>
      <c r="BT248" s="124"/>
      <c r="BU248" s="124"/>
      <c r="BV248" s="124"/>
      <c r="BW248" s="124"/>
      <c r="BX248" s="124"/>
      <c r="BY248" s="124"/>
      <c r="BZ248" s="124"/>
      <c r="CA248" s="124"/>
    </row>
    <row r="249">
      <c r="D249" s="143"/>
      <c r="E249" s="129"/>
      <c r="F249" s="112"/>
      <c r="G249" s="112"/>
      <c r="H249" s="112"/>
      <c r="I249" s="112"/>
      <c r="J249" s="112"/>
      <c r="K249" s="112"/>
      <c r="L249" s="112"/>
      <c r="M249" s="112"/>
      <c r="N249" s="112"/>
      <c r="O249" s="112"/>
      <c r="P249" s="112"/>
      <c r="Q249" s="112"/>
      <c r="R249" s="112"/>
      <c r="S249" s="112"/>
      <c r="T249" s="112"/>
      <c r="U249" s="124"/>
      <c r="V249" s="124"/>
      <c r="W249" s="124"/>
      <c r="X249" s="124"/>
      <c r="Y249" s="124"/>
      <c r="Z249" s="112"/>
      <c r="AA249" s="112"/>
      <c r="AB249" s="112"/>
      <c r="AC249" s="112"/>
      <c r="AD249" s="112"/>
      <c r="AE249" s="112"/>
      <c r="AF249" s="112"/>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c r="BK249" s="124"/>
      <c r="BL249" s="124"/>
      <c r="BM249" s="124"/>
      <c r="BN249" s="124"/>
      <c r="BO249" s="124"/>
      <c r="BP249" s="124"/>
      <c r="BQ249" s="124"/>
      <c r="BR249" s="124"/>
      <c r="BS249" s="124"/>
      <c r="BT249" s="124"/>
      <c r="BU249" s="124"/>
      <c r="BV249" s="124"/>
      <c r="BW249" s="124"/>
      <c r="BX249" s="124"/>
      <c r="BY249" s="124"/>
      <c r="BZ249" s="124"/>
      <c r="CA249" s="124"/>
    </row>
    <row r="250">
      <c r="D250" s="143"/>
      <c r="E250" s="129"/>
      <c r="F250" s="112"/>
      <c r="G250" s="112"/>
      <c r="H250" s="112"/>
      <c r="I250" s="112"/>
      <c r="J250" s="112"/>
      <c r="K250" s="112"/>
      <c r="L250" s="112"/>
      <c r="M250" s="112"/>
      <c r="N250" s="112"/>
      <c r="O250" s="112"/>
      <c r="P250" s="112"/>
      <c r="Q250" s="112"/>
      <c r="R250" s="112"/>
      <c r="S250" s="112"/>
      <c r="T250" s="112"/>
      <c r="U250" s="124"/>
      <c r="V250" s="124"/>
      <c r="W250" s="124"/>
      <c r="X250" s="124"/>
      <c r="Y250" s="124"/>
      <c r="Z250" s="112"/>
      <c r="AA250" s="112"/>
      <c r="AB250" s="112"/>
      <c r="AC250" s="112"/>
      <c r="AD250" s="112"/>
      <c r="AE250" s="112"/>
      <c r="AF250" s="112"/>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c r="BK250" s="124"/>
      <c r="BL250" s="124"/>
      <c r="BM250" s="124"/>
      <c r="BN250" s="124"/>
      <c r="BO250" s="124"/>
      <c r="BP250" s="124"/>
      <c r="BQ250" s="124"/>
      <c r="BR250" s="124"/>
      <c r="BS250" s="124"/>
      <c r="BT250" s="124"/>
      <c r="BU250" s="124"/>
      <c r="BV250" s="124"/>
      <c r="BW250" s="124"/>
      <c r="BX250" s="124"/>
      <c r="BY250" s="124"/>
      <c r="BZ250" s="124"/>
      <c r="CA250" s="124"/>
    </row>
    <row r="251">
      <c r="D251" s="143"/>
      <c r="E251" s="129"/>
      <c r="F251" s="112"/>
      <c r="G251" s="112"/>
      <c r="H251" s="112"/>
      <c r="I251" s="112"/>
      <c r="J251" s="112"/>
      <c r="K251" s="112"/>
      <c r="L251" s="112"/>
      <c r="M251" s="112"/>
      <c r="N251" s="112"/>
      <c r="O251" s="112"/>
      <c r="P251" s="112"/>
      <c r="Q251" s="112"/>
      <c r="R251" s="112"/>
      <c r="S251" s="112"/>
      <c r="T251" s="112"/>
      <c r="U251" s="124"/>
      <c r="V251" s="124"/>
      <c r="W251" s="124"/>
      <c r="X251" s="124"/>
      <c r="Y251" s="124"/>
      <c r="Z251" s="112"/>
      <c r="AA251" s="112"/>
      <c r="AB251" s="112"/>
      <c r="AC251" s="112"/>
      <c r="AD251" s="112"/>
      <c r="AE251" s="112"/>
      <c r="AF251" s="112"/>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row>
    <row r="252">
      <c r="D252" s="143"/>
      <c r="E252" s="129"/>
      <c r="F252" s="112"/>
      <c r="G252" s="112"/>
      <c r="H252" s="112"/>
      <c r="I252" s="112"/>
      <c r="J252" s="112"/>
      <c r="K252" s="112"/>
      <c r="L252" s="112"/>
      <c r="M252" s="112"/>
      <c r="N252" s="112"/>
      <c r="O252" s="112"/>
      <c r="P252" s="112"/>
      <c r="Q252" s="112"/>
      <c r="R252" s="112"/>
      <c r="S252" s="112"/>
      <c r="T252" s="112"/>
      <c r="U252" s="124"/>
      <c r="V252" s="124"/>
      <c r="W252" s="124"/>
      <c r="X252" s="124"/>
      <c r="Y252" s="124"/>
      <c r="Z252" s="112"/>
      <c r="AA252" s="112"/>
      <c r="AB252" s="112"/>
      <c r="AC252" s="112"/>
      <c r="AD252" s="112"/>
      <c r="AE252" s="112"/>
      <c r="AF252" s="112"/>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c r="BK252" s="124"/>
      <c r="BL252" s="124"/>
      <c r="BM252" s="124"/>
      <c r="BN252" s="124"/>
      <c r="BO252" s="124"/>
      <c r="BP252" s="124"/>
      <c r="BQ252" s="124"/>
      <c r="BR252" s="124"/>
      <c r="BS252" s="124"/>
      <c r="BT252" s="124"/>
      <c r="BU252" s="124"/>
      <c r="BV252" s="124"/>
      <c r="BW252" s="124"/>
      <c r="BX252" s="124"/>
      <c r="BY252" s="124"/>
      <c r="BZ252" s="124"/>
      <c r="CA252" s="124"/>
    </row>
    <row r="253">
      <c r="D253" s="143"/>
      <c r="E253" s="129"/>
      <c r="F253" s="112"/>
      <c r="G253" s="112"/>
      <c r="H253" s="112"/>
      <c r="I253" s="112"/>
      <c r="J253" s="112"/>
      <c r="K253" s="112"/>
      <c r="L253" s="112"/>
      <c r="M253" s="112"/>
      <c r="N253" s="112"/>
      <c r="O253" s="112"/>
      <c r="P253" s="112"/>
      <c r="Q253" s="112"/>
      <c r="R253" s="112"/>
      <c r="S253" s="112"/>
      <c r="T253" s="112"/>
      <c r="U253" s="124"/>
      <c r="V253" s="124"/>
      <c r="W253" s="124"/>
      <c r="X253" s="124"/>
      <c r="Y253" s="124"/>
      <c r="Z253" s="112"/>
      <c r="AA253" s="112"/>
      <c r="AB253" s="112"/>
      <c r="AC253" s="112"/>
      <c r="AD253" s="112"/>
      <c r="AE253" s="112"/>
      <c r="AF253" s="112"/>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c r="BK253" s="124"/>
      <c r="BL253" s="124"/>
      <c r="BM253" s="124"/>
      <c r="BN253" s="124"/>
      <c r="BO253" s="124"/>
      <c r="BP253" s="124"/>
      <c r="BQ253" s="124"/>
      <c r="BR253" s="124"/>
      <c r="BS253" s="124"/>
      <c r="BT253" s="124"/>
      <c r="BU253" s="124"/>
      <c r="BV253" s="124"/>
      <c r="BW253" s="124"/>
      <c r="BX253" s="124"/>
      <c r="BY253" s="124"/>
      <c r="BZ253" s="124"/>
      <c r="CA253" s="124"/>
    </row>
    <row r="254">
      <c r="D254" s="143"/>
      <c r="E254" s="129"/>
      <c r="F254" s="112"/>
      <c r="G254" s="112"/>
      <c r="H254" s="112"/>
      <c r="I254" s="112"/>
      <c r="J254" s="112"/>
      <c r="K254" s="112"/>
      <c r="L254" s="112"/>
      <c r="M254" s="112"/>
      <c r="N254" s="112"/>
      <c r="O254" s="112"/>
      <c r="P254" s="112"/>
      <c r="Q254" s="112"/>
      <c r="R254" s="112"/>
      <c r="S254" s="112"/>
      <c r="T254" s="112"/>
      <c r="U254" s="124"/>
      <c r="V254" s="124"/>
      <c r="W254" s="124"/>
      <c r="X254" s="124"/>
      <c r="Y254" s="124"/>
      <c r="Z254" s="112"/>
      <c r="AA254" s="112"/>
      <c r="AB254" s="112"/>
      <c r="AC254" s="112"/>
      <c r="AD254" s="112"/>
      <c r="AE254" s="112"/>
      <c r="AF254" s="112"/>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c r="BK254" s="124"/>
      <c r="BL254" s="124"/>
      <c r="BM254" s="124"/>
      <c r="BN254" s="124"/>
      <c r="BO254" s="124"/>
      <c r="BP254" s="124"/>
      <c r="BQ254" s="124"/>
      <c r="BR254" s="124"/>
      <c r="BS254" s="124"/>
      <c r="BT254" s="124"/>
      <c r="BU254" s="124"/>
      <c r="BV254" s="124"/>
      <c r="BW254" s="124"/>
      <c r="BX254" s="124"/>
      <c r="BY254" s="124"/>
      <c r="BZ254" s="124"/>
      <c r="CA254" s="124"/>
    </row>
    <row r="255">
      <c r="D255" s="143"/>
      <c r="E255" s="129"/>
      <c r="F255" s="112"/>
      <c r="G255" s="112"/>
      <c r="H255" s="112"/>
      <c r="I255" s="112"/>
      <c r="J255" s="112"/>
      <c r="K255" s="112"/>
      <c r="L255" s="112"/>
      <c r="M255" s="112"/>
      <c r="N255" s="112"/>
      <c r="O255" s="112"/>
      <c r="P255" s="112"/>
      <c r="Q255" s="112"/>
      <c r="R255" s="112"/>
      <c r="S255" s="112"/>
      <c r="T255" s="112"/>
      <c r="U255" s="124"/>
      <c r="V255" s="124"/>
      <c r="W255" s="124"/>
      <c r="X255" s="124"/>
      <c r="Y255" s="124"/>
      <c r="Z255" s="112"/>
      <c r="AA255" s="112"/>
      <c r="AB255" s="112"/>
      <c r="AC255" s="112"/>
      <c r="AD255" s="112"/>
      <c r="AE255" s="112"/>
      <c r="AF255" s="112"/>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c r="BK255" s="124"/>
      <c r="BL255" s="124"/>
      <c r="BM255" s="124"/>
      <c r="BN255" s="124"/>
      <c r="BO255" s="124"/>
      <c r="BP255" s="124"/>
      <c r="BQ255" s="124"/>
      <c r="BR255" s="124"/>
      <c r="BS255" s="124"/>
      <c r="BT255" s="124"/>
      <c r="BU255" s="124"/>
      <c r="BV255" s="124"/>
      <c r="BW255" s="124"/>
      <c r="BX255" s="124"/>
      <c r="BY255" s="124"/>
      <c r="BZ255" s="124"/>
      <c r="CA255" s="124"/>
    </row>
    <row r="256">
      <c r="D256" s="143"/>
      <c r="E256" s="129"/>
      <c r="F256" s="112"/>
      <c r="G256" s="112"/>
      <c r="H256" s="112"/>
      <c r="I256" s="112"/>
      <c r="J256" s="112"/>
      <c r="K256" s="112"/>
      <c r="L256" s="112"/>
      <c r="M256" s="112"/>
      <c r="N256" s="112"/>
      <c r="O256" s="112"/>
      <c r="P256" s="112"/>
      <c r="Q256" s="112"/>
      <c r="R256" s="112"/>
      <c r="S256" s="112"/>
      <c r="T256" s="112"/>
      <c r="U256" s="124"/>
      <c r="V256" s="124"/>
      <c r="W256" s="124"/>
      <c r="X256" s="124"/>
      <c r="Y256" s="124"/>
      <c r="Z256" s="112"/>
      <c r="AA256" s="112"/>
      <c r="AB256" s="112"/>
      <c r="AC256" s="112"/>
      <c r="AD256" s="112"/>
      <c r="AE256" s="112"/>
      <c r="AF256" s="112"/>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124"/>
      <c r="BO256" s="124"/>
      <c r="BP256" s="124"/>
      <c r="BQ256" s="124"/>
      <c r="BR256" s="124"/>
      <c r="BS256" s="124"/>
      <c r="BT256" s="124"/>
      <c r="BU256" s="124"/>
      <c r="BV256" s="124"/>
      <c r="BW256" s="124"/>
      <c r="BX256" s="124"/>
      <c r="BY256" s="124"/>
      <c r="BZ256" s="124"/>
      <c r="CA256" s="124"/>
    </row>
    <row r="257">
      <c r="D257" s="143"/>
      <c r="E257" s="129"/>
      <c r="F257" s="112"/>
      <c r="G257" s="112"/>
      <c r="H257" s="112"/>
      <c r="I257" s="112"/>
      <c r="J257" s="112"/>
      <c r="K257" s="112"/>
      <c r="L257" s="112"/>
      <c r="M257" s="112"/>
      <c r="N257" s="112"/>
      <c r="O257" s="112"/>
      <c r="P257" s="112"/>
      <c r="Q257" s="112"/>
      <c r="R257" s="112"/>
      <c r="S257" s="112"/>
      <c r="T257" s="112"/>
      <c r="U257" s="124"/>
      <c r="V257" s="124"/>
      <c r="W257" s="124"/>
      <c r="X257" s="124"/>
      <c r="Y257" s="124"/>
      <c r="Z257" s="112"/>
      <c r="AA257" s="112"/>
      <c r="AB257" s="112"/>
      <c r="AC257" s="112"/>
      <c r="AD257" s="112"/>
      <c r="AE257" s="112"/>
      <c r="AF257" s="112"/>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124"/>
      <c r="BO257" s="124"/>
      <c r="BP257" s="124"/>
      <c r="BQ257" s="124"/>
      <c r="BR257" s="124"/>
      <c r="BS257" s="124"/>
      <c r="BT257" s="124"/>
      <c r="BU257" s="124"/>
      <c r="BV257" s="124"/>
      <c r="BW257" s="124"/>
      <c r="BX257" s="124"/>
      <c r="BY257" s="124"/>
      <c r="BZ257" s="124"/>
      <c r="CA257" s="124"/>
    </row>
    <row r="258">
      <c r="D258" s="143"/>
      <c r="E258" s="129"/>
      <c r="F258" s="112"/>
      <c r="G258" s="112"/>
      <c r="H258" s="112"/>
      <c r="I258" s="112"/>
      <c r="J258" s="112"/>
      <c r="K258" s="112"/>
      <c r="L258" s="112"/>
      <c r="M258" s="112"/>
      <c r="N258" s="112"/>
      <c r="O258" s="112"/>
      <c r="P258" s="112"/>
      <c r="Q258" s="112"/>
      <c r="R258" s="112"/>
      <c r="S258" s="112"/>
      <c r="T258" s="112"/>
      <c r="U258" s="124"/>
      <c r="V258" s="124"/>
      <c r="W258" s="124"/>
      <c r="X258" s="124"/>
      <c r="Y258" s="124"/>
      <c r="Z258" s="112"/>
      <c r="AA258" s="112"/>
      <c r="AB258" s="112"/>
      <c r="AC258" s="112"/>
      <c r="AD258" s="112"/>
      <c r="AE258" s="112"/>
      <c r="AF258" s="112"/>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row>
    <row r="259">
      <c r="D259" s="143"/>
      <c r="E259" s="129"/>
      <c r="F259" s="112"/>
      <c r="G259" s="112"/>
      <c r="H259" s="112"/>
      <c r="I259" s="112"/>
      <c r="J259" s="112"/>
      <c r="K259" s="112"/>
      <c r="L259" s="112"/>
      <c r="M259" s="112"/>
      <c r="N259" s="112"/>
      <c r="O259" s="112"/>
      <c r="P259" s="112"/>
      <c r="Q259" s="112"/>
      <c r="R259" s="112"/>
      <c r="S259" s="112"/>
      <c r="T259" s="112"/>
      <c r="U259" s="124"/>
      <c r="V259" s="124"/>
      <c r="W259" s="124"/>
      <c r="X259" s="124"/>
      <c r="Y259" s="124"/>
      <c r="Z259" s="112"/>
      <c r="AA259" s="112"/>
      <c r="AB259" s="112"/>
      <c r="AC259" s="112"/>
      <c r="AD259" s="112"/>
      <c r="AE259" s="112"/>
      <c r="AF259" s="112"/>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c r="BK259" s="124"/>
      <c r="BL259" s="124"/>
      <c r="BM259" s="124"/>
      <c r="BN259" s="124"/>
      <c r="BO259" s="124"/>
      <c r="BP259" s="124"/>
      <c r="BQ259" s="124"/>
      <c r="BR259" s="124"/>
      <c r="BS259" s="124"/>
      <c r="BT259" s="124"/>
      <c r="BU259" s="124"/>
      <c r="BV259" s="124"/>
      <c r="BW259" s="124"/>
      <c r="BX259" s="124"/>
      <c r="BY259" s="124"/>
      <c r="BZ259" s="124"/>
      <c r="CA259" s="124"/>
    </row>
    <row r="260">
      <c r="D260" s="143"/>
      <c r="E260" s="129"/>
      <c r="F260" s="112"/>
      <c r="G260" s="112"/>
      <c r="H260" s="112"/>
      <c r="I260" s="112"/>
      <c r="J260" s="112"/>
      <c r="K260" s="112"/>
      <c r="L260" s="112"/>
      <c r="M260" s="112"/>
      <c r="N260" s="112"/>
      <c r="O260" s="112"/>
      <c r="P260" s="112"/>
      <c r="Q260" s="112"/>
      <c r="R260" s="112"/>
      <c r="S260" s="112"/>
      <c r="T260" s="112"/>
      <c r="U260" s="124"/>
      <c r="V260" s="124"/>
      <c r="W260" s="124"/>
      <c r="X260" s="124"/>
      <c r="Y260" s="124"/>
      <c r="Z260" s="112"/>
      <c r="AA260" s="112"/>
      <c r="AB260" s="112"/>
      <c r="AC260" s="112"/>
      <c r="AD260" s="112"/>
      <c r="AE260" s="112"/>
      <c r="AF260" s="112"/>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c r="BK260" s="124"/>
      <c r="BL260" s="124"/>
      <c r="BM260" s="124"/>
      <c r="BN260" s="124"/>
      <c r="BO260" s="124"/>
      <c r="BP260" s="124"/>
      <c r="BQ260" s="124"/>
      <c r="BR260" s="124"/>
      <c r="BS260" s="124"/>
      <c r="BT260" s="124"/>
      <c r="BU260" s="124"/>
      <c r="BV260" s="124"/>
      <c r="BW260" s="124"/>
      <c r="BX260" s="124"/>
      <c r="BY260" s="124"/>
      <c r="BZ260" s="124"/>
      <c r="CA260" s="124"/>
    </row>
    <row r="261">
      <c r="D261" s="143"/>
      <c r="E261" s="129"/>
      <c r="F261" s="112"/>
      <c r="G261" s="112"/>
      <c r="H261" s="112"/>
      <c r="I261" s="112"/>
      <c r="J261" s="112"/>
      <c r="K261" s="112"/>
      <c r="L261" s="112"/>
      <c r="M261" s="112"/>
      <c r="N261" s="112"/>
      <c r="O261" s="112"/>
      <c r="P261" s="112"/>
      <c r="Q261" s="112"/>
      <c r="R261" s="112"/>
      <c r="S261" s="112"/>
      <c r="T261" s="112"/>
      <c r="U261" s="124"/>
      <c r="V261" s="124"/>
      <c r="W261" s="124"/>
      <c r="X261" s="124"/>
      <c r="Y261" s="124"/>
      <c r="Z261" s="112"/>
      <c r="AA261" s="112"/>
      <c r="AB261" s="112"/>
      <c r="AC261" s="112"/>
      <c r="AD261" s="112"/>
      <c r="AE261" s="112"/>
      <c r="AF261" s="112"/>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row>
    <row r="262">
      <c r="D262" s="143"/>
      <c r="E262" s="129"/>
      <c r="F262" s="112"/>
      <c r="G262" s="112"/>
      <c r="H262" s="112"/>
      <c r="I262" s="112"/>
      <c r="J262" s="112"/>
      <c r="K262" s="112"/>
      <c r="L262" s="112"/>
      <c r="M262" s="112"/>
      <c r="N262" s="112"/>
      <c r="O262" s="112"/>
      <c r="P262" s="112"/>
      <c r="Q262" s="112"/>
      <c r="R262" s="112"/>
      <c r="S262" s="112"/>
      <c r="T262" s="112"/>
      <c r="U262" s="124"/>
      <c r="V262" s="124"/>
      <c r="W262" s="124"/>
      <c r="X262" s="124"/>
      <c r="Y262" s="124"/>
      <c r="Z262" s="112"/>
      <c r="AA262" s="112"/>
      <c r="AB262" s="112"/>
      <c r="AC262" s="112"/>
      <c r="AD262" s="112"/>
      <c r="AE262" s="112"/>
      <c r="AF262" s="112"/>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c r="BK262" s="124"/>
      <c r="BL262" s="124"/>
      <c r="BM262" s="124"/>
      <c r="BN262" s="124"/>
      <c r="BO262" s="124"/>
      <c r="BP262" s="124"/>
      <c r="BQ262" s="124"/>
      <c r="BR262" s="124"/>
      <c r="BS262" s="124"/>
      <c r="BT262" s="124"/>
      <c r="BU262" s="124"/>
      <c r="BV262" s="124"/>
      <c r="BW262" s="124"/>
      <c r="BX262" s="124"/>
      <c r="BY262" s="124"/>
      <c r="BZ262" s="124"/>
      <c r="CA262" s="124"/>
    </row>
    <row r="263">
      <c r="D263" s="143"/>
      <c r="E263" s="129"/>
      <c r="F263" s="112"/>
      <c r="G263" s="112"/>
      <c r="H263" s="112"/>
      <c r="I263" s="112"/>
      <c r="J263" s="112"/>
      <c r="K263" s="112"/>
      <c r="L263" s="112"/>
      <c r="M263" s="112"/>
      <c r="N263" s="112"/>
      <c r="O263" s="112"/>
      <c r="P263" s="112"/>
      <c r="Q263" s="112"/>
      <c r="R263" s="112"/>
      <c r="S263" s="112"/>
      <c r="T263" s="112"/>
      <c r="U263" s="124"/>
      <c r="V263" s="124"/>
      <c r="W263" s="124"/>
      <c r="X263" s="124"/>
      <c r="Y263" s="124"/>
      <c r="Z263" s="112"/>
      <c r="AA263" s="112"/>
      <c r="AB263" s="112"/>
      <c r="AC263" s="112"/>
      <c r="AD263" s="112"/>
      <c r="AE263" s="112"/>
      <c r="AF263" s="112"/>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124"/>
      <c r="BO263" s="124"/>
      <c r="BP263" s="124"/>
      <c r="BQ263" s="124"/>
      <c r="BR263" s="124"/>
      <c r="BS263" s="124"/>
      <c r="BT263" s="124"/>
      <c r="BU263" s="124"/>
      <c r="BV263" s="124"/>
      <c r="BW263" s="124"/>
      <c r="BX263" s="124"/>
      <c r="BY263" s="124"/>
      <c r="BZ263" s="124"/>
      <c r="CA263" s="124"/>
    </row>
    <row r="264">
      <c r="D264" s="143"/>
      <c r="E264" s="129"/>
      <c r="F264" s="112"/>
      <c r="G264" s="112"/>
      <c r="H264" s="112"/>
      <c r="I264" s="112"/>
      <c r="J264" s="112"/>
      <c r="K264" s="112"/>
      <c r="L264" s="112"/>
      <c r="M264" s="112"/>
      <c r="N264" s="112"/>
      <c r="O264" s="112"/>
      <c r="P264" s="112"/>
      <c r="Q264" s="112"/>
      <c r="R264" s="112"/>
      <c r="S264" s="112"/>
      <c r="T264" s="112"/>
      <c r="U264" s="124"/>
      <c r="V264" s="124"/>
      <c r="W264" s="124"/>
      <c r="X264" s="124"/>
      <c r="Y264" s="124"/>
      <c r="Z264" s="112"/>
      <c r="AA264" s="112"/>
      <c r="AB264" s="112"/>
      <c r="AC264" s="112"/>
      <c r="AD264" s="112"/>
      <c r="AE264" s="112"/>
      <c r="AF264" s="112"/>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row>
    <row r="265">
      <c r="D265" s="143"/>
      <c r="E265" s="129"/>
      <c r="F265" s="112"/>
      <c r="G265" s="112"/>
      <c r="H265" s="112"/>
      <c r="I265" s="112"/>
      <c r="J265" s="112"/>
      <c r="K265" s="112"/>
      <c r="L265" s="112"/>
      <c r="M265" s="112"/>
      <c r="N265" s="112"/>
      <c r="O265" s="112"/>
      <c r="P265" s="112"/>
      <c r="Q265" s="112"/>
      <c r="R265" s="112"/>
      <c r="S265" s="112"/>
      <c r="T265" s="112"/>
      <c r="U265" s="124"/>
      <c r="V265" s="124"/>
      <c r="W265" s="124"/>
      <c r="X265" s="124"/>
      <c r="Y265" s="124"/>
      <c r="Z265" s="112"/>
      <c r="AA265" s="112"/>
      <c r="AB265" s="112"/>
      <c r="AC265" s="112"/>
      <c r="AD265" s="112"/>
      <c r="AE265" s="112"/>
      <c r="AF265" s="112"/>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124"/>
      <c r="BO265" s="124"/>
      <c r="BP265" s="124"/>
      <c r="BQ265" s="124"/>
      <c r="BR265" s="124"/>
      <c r="BS265" s="124"/>
      <c r="BT265" s="124"/>
      <c r="BU265" s="124"/>
      <c r="BV265" s="124"/>
      <c r="BW265" s="124"/>
      <c r="BX265" s="124"/>
      <c r="BY265" s="124"/>
      <c r="BZ265" s="124"/>
      <c r="CA265" s="124"/>
    </row>
    <row r="266">
      <c r="D266" s="143"/>
      <c r="E266" s="129"/>
      <c r="F266" s="112"/>
      <c r="G266" s="112"/>
      <c r="H266" s="112"/>
      <c r="I266" s="112"/>
      <c r="J266" s="112"/>
      <c r="K266" s="112"/>
      <c r="L266" s="112"/>
      <c r="M266" s="112"/>
      <c r="N266" s="112"/>
      <c r="O266" s="112"/>
      <c r="P266" s="112"/>
      <c r="Q266" s="112"/>
      <c r="R266" s="112"/>
      <c r="S266" s="112"/>
      <c r="T266" s="112"/>
      <c r="U266" s="124"/>
      <c r="V266" s="124"/>
      <c r="W266" s="124"/>
      <c r="X266" s="124"/>
      <c r="Y266" s="124"/>
      <c r="Z266" s="112"/>
      <c r="AA266" s="112"/>
      <c r="AB266" s="112"/>
      <c r="AC266" s="112"/>
      <c r="AD266" s="112"/>
      <c r="AE266" s="112"/>
      <c r="AF266" s="112"/>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124"/>
      <c r="BO266" s="124"/>
      <c r="BP266" s="124"/>
      <c r="BQ266" s="124"/>
      <c r="BR266" s="124"/>
      <c r="BS266" s="124"/>
      <c r="BT266" s="124"/>
      <c r="BU266" s="124"/>
      <c r="BV266" s="124"/>
      <c r="BW266" s="124"/>
      <c r="BX266" s="124"/>
      <c r="BY266" s="124"/>
      <c r="BZ266" s="124"/>
      <c r="CA266" s="124"/>
    </row>
    <row r="267">
      <c r="D267" s="143"/>
      <c r="E267" s="129"/>
      <c r="F267" s="112"/>
      <c r="G267" s="112"/>
      <c r="H267" s="112"/>
      <c r="I267" s="112"/>
      <c r="J267" s="112"/>
      <c r="K267" s="112"/>
      <c r="L267" s="112"/>
      <c r="M267" s="112"/>
      <c r="N267" s="112"/>
      <c r="O267" s="112"/>
      <c r="P267" s="112"/>
      <c r="Q267" s="112"/>
      <c r="R267" s="112"/>
      <c r="S267" s="112"/>
      <c r="T267" s="112"/>
      <c r="U267" s="124"/>
      <c r="V267" s="124"/>
      <c r="W267" s="124"/>
      <c r="X267" s="124"/>
      <c r="Y267" s="124"/>
      <c r="Z267" s="112"/>
      <c r="AA267" s="112"/>
      <c r="AB267" s="112"/>
      <c r="AC267" s="112"/>
      <c r="AD267" s="112"/>
      <c r="AE267" s="112"/>
      <c r="AF267" s="112"/>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124"/>
      <c r="BO267" s="124"/>
      <c r="BP267" s="124"/>
      <c r="BQ267" s="124"/>
      <c r="BR267" s="124"/>
      <c r="BS267" s="124"/>
      <c r="BT267" s="124"/>
      <c r="BU267" s="124"/>
      <c r="BV267" s="124"/>
      <c r="BW267" s="124"/>
      <c r="BX267" s="124"/>
      <c r="BY267" s="124"/>
      <c r="BZ267" s="124"/>
      <c r="CA267" s="124"/>
    </row>
    <row r="268">
      <c r="D268" s="143"/>
      <c r="E268" s="129"/>
      <c r="F268" s="112"/>
      <c r="G268" s="112"/>
      <c r="H268" s="112"/>
      <c r="I268" s="112"/>
      <c r="J268" s="112"/>
      <c r="K268" s="112"/>
      <c r="L268" s="112"/>
      <c r="M268" s="112"/>
      <c r="N268" s="112"/>
      <c r="O268" s="112"/>
      <c r="P268" s="112"/>
      <c r="Q268" s="112"/>
      <c r="R268" s="112"/>
      <c r="S268" s="112"/>
      <c r="T268" s="112"/>
      <c r="U268" s="124"/>
      <c r="V268" s="124"/>
      <c r="W268" s="124"/>
      <c r="X268" s="124"/>
      <c r="Y268" s="124"/>
      <c r="Z268" s="112"/>
      <c r="AA268" s="112"/>
      <c r="AB268" s="112"/>
      <c r="AC268" s="112"/>
      <c r="AD268" s="112"/>
      <c r="AE268" s="112"/>
      <c r="AF268" s="112"/>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c r="BK268" s="124"/>
      <c r="BL268" s="124"/>
      <c r="BM268" s="124"/>
      <c r="BN268" s="124"/>
      <c r="BO268" s="124"/>
      <c r="BP268" s="124"/>
      <c r="BQ268" s="124"/>
      <c r="BR268" s="124"/>
      <c r="BS268" s="124"/>
      <c r="BT268" s="124"/>
      <c r="BU268" s="124"/>
      <c r="BV268" s="124"/>
      <c r="BW268" s="124"/>
      <c r="BX268" s="124"/>
      <c r="BY268" s="124"/>
      <c r="BZ268" s="124"/>
      <c r="CA268" s="124"/>
    </row>
    <row r="269">
      <c r="D269" s="143"/>
      <c r="E269" s="129"/>
      <c r="F269" s="112"/>
      <c r="G269" s="112"/>
      <c r="H269" s="112"/>
      <c r="I269" s="112"/>
      <c r="J269" s="112"/>
      <c r="K269" s="112"/>
      <c r="L269" s="112"/>
      <c r="M269" s="112"/>
      <c r="N269" s="112"/>
      <c r="O269" s="112"/>
      <c r="P269" s="112"/>
      <c r="Q269" s="112"/>
      <c r="R269" s="112"/>
      <c r="S269" s="112"/>
      <c r="T269" s="112"/>
      <c r="U269" s="124"/>
      <c r="V269" s="124"/>
      <c r="W269" s="124"/>
      <c r="X269" s="124"/>
      <c r="Y269" s="124"/>
      <c r="Z269" s="112"/>
      <c r="AA269" s="112"/>
      <c r="AB269" s="112"/>
      <c r="AC269" s="112"/>
      <c r="AD269" s="112"/>
      <c r="AE269" s="112"/>
      <c r="AF269" s="112"/>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c r="BK269" s="124"/>
      <c r="BL269" s="124"/>
      <c r="BM269" s="124"/>
      <c r="BN269" s="124"/>
      <c r="BO269" s="124"/>
      <c r="BP269" s="124"/>
      <c r="BQ269" s="124"/>
      <c r="BR269" s="124"/>
      <c r="BS269" s="124"/>
      <c r="BT269" s="124"/>
      <c r="BU269" s="124"/>
      <c r="BV269" s="124"/>
      <c r="BW269" s="124"/>
      <c r="BX269" s="124"/>
      <c r="BY269" s="124"/>
      <c r="BZ269" s="124"/>
      <c r="CA269" s="124"/>
    </row>
    <row r="270">
      <c r="D270" s="143"/>
      <c r="E270" s="129"/>
      <c r="F270" s="112"/>
      <c r="G270" s="112"/>
      <c r="H270" s="112"/>
      <c r="I270" s="112"/>
      <c r="J270" s="112"/>
      <c r="K270" s="112"/>
      <c r="L270" s="112"/>
      <c r="M270" s="112"/>
      <c r="N270" s="112"/>
      <c r="O270" s="112"/>
      <c r="P270" s="112"/>
      <c r="Q270" s="112"/>
      <c r="R270" s="112"/>
      <c r="S270" s="112"/>
      <c r="T270" s="112"/>
      <c r="U270" s="124"/>
      <c r="V270" s="124"/>
      <c r="W270" s="124"/>
      <c r="X270" s="124"/>
      <c r="Y270" s="124"/>
      <c r="Z270" s="112"/>
      <c r="AA270" s="112"/>
      <c r="AB270" s="112"/>
      <c r="AC270" s="112"/>
      <c r="AD270" s="112"/>
      <c r="AE270" s="112"/>
      <c r="AF270" s="112"/>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c r="BK270" s="124"/>
      <c r="BL270" s="124"/>
      <c r="BM270" s="124"/>
      <c r="BN270" s="124"/>
      <c r="BO270" s="124"/>
      <c r="BP270" s="124"/>
      <c r="BQ270" s="124"/>
      <c r="BR270" s="124"/>
      <c r="BS270" s="124"/>
      <c r="BT270" s="124"/>
      <c r="BU270" s="124"/>
      <c r="BV270" s="124"/>
      <c r="BW270" s="124"/>
      <c r="BX270" s="124"/>
      <c r="BY270" s="124"/>
      <c r="BZ270" s="124"/>
      <c r="CA270" s="124"/>
    </row>
    <row r="271">
      <c r="D271" s="143"/>
      <c r="E271" s="129"/>
      <c r="F271" s="112"/>
      <c r="G271" s="112"/>
      <c r="H271" s="112"/>
      <c r="I271" s="112"/>
      <c r="J271" s="112"/>
      <c r="K271" s="112"/>
      <c r="L271" s="112"/>
      <c r="M271" s="112"/>
      <c r="N271" s="112"/>
      <c r="O271" s="112"/>
      <c r="P271" s="112"/>
      <c r="Q271" s="112"/>
      <c r="R271" s="112"/>
      <c r="S271" s="112"/>
      <c r="T271" s="112"/>
      <c r="U271" s="124"/>
      <c r="V271" s="124"/>
      <c r="W271" s="124"/>
      <c r="X271" s="124"/>
      <c r="Y271" s="124"/>
      <c r="Z271" s="112"/>
      <c r="AA271" s="112"/>
      <c r="AB271" s="112"/>
      <c r="AC271" s="112"/>
      <c r="AD271" s="112"/>
      <c r="AE271" s="112"/>
      <c r="AF271" s="112"/>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row>
    <row r="272">
      <c r="D272" s="143"/>
      <c r="E272" s="129"/>
      <c r="F272" s="112"/>
      <c r="G272" s="112"/>
      <c r="H272" s="112"/>
      <c r="I272" s="112"/>
      <c r="J272" s="112"/>
      <c r="K272" s="112"/>
      <c r="L272" s="112"/>
      <c r="M272" s="112"/>
      <c r="N272" s="112"/>
      <c r="O272" s="112"/>
      <c r="P272" s="112"/>
      <c r="Q272" s="112"/>
      <c r="R272" s="112"/>
      <c r="S272" s="112"/>
      <c r="T272" s="112"/>
      <c r="U272" s="124"/>
      <c r="V272" s="124"/>
      <c r="W272" s="124"/>
      <c r="X272" s="124"/>
      <c r="Y272" s="124"/>
      <c r="Z272" s="112"/>
      <c r="AA272" s="112"/>
      <c r="AB272" s="112"/>
      <c r="AC272" s="112"/>
      <c r="AD272" s="112"/>
      <c r="AE272" s="112"/>
      <c r="AF272" s="112"/>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c r="BX272" s="124"/>
      <c r="BY272" s="124"/>
      <c r="BZ272" s="124"/>
      <c r="CA272" s="124"/>
    </row>
    <row r="273">
      <c r="D273" s="143"/>
      <c r="E273" s="129"/>
      <c r="F273" s="112"/>
      <c r="G273" s="112"/>
      <c r="H273" s="112"/>
      <c r="I273" s="112"/>
      <c r="J273" s="112"/>
      <c r="K273" s="112"/>
      <c r="L273" s="112"/>
      <c r="M273" s="112"/>
      <c r="N273" s="112"/>
      <c r="O273" s="112"/>
      <c r="P273" s="112"/>
      <c r="Q273" s="112"/>
      <c r="R273" s="112"/>
      <c r="S273" s="112"/>
      <c r="T273" s="112"/>
      <c r="U273" s="124"/>
      <c r="V273" s="124"/>
      <c r="W273" s="124"/>
      <c r="X273" s="124"/>
      <c r="Y273" s="124"/>
      <c r="Z273" s="112"/>
      <c r="AA273" s="112"/>
      <c r="AB273" s="112"/>
      <c r="AC273" s="112"/>
      <c r="AD273" s="112"/>
      <c r="AE273" s="112"/>
      <c r="AF273" s="112"/>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row>
    <row r="274">
      <c r="D274" s="143"/>
      <c r="E274" s="129"/>
      <c r="F274" s="112"/>
      <c r="G274" s="112"/>
      <c r="H274" s="112"/>
      <c r="I274" s="112"/>
      <c r="J274" s="112"/>
      <c r="K274" s="112"/>
      <c r="L274" s="112"/>
      <c r="M274" s="112"/>
      <c r="N274" s="112"/>
      <c r="O274" s="112"/>
      <c r="P274" s="112"/>
      <c r="Q274" s="112"/>
      <c r="R274" s="112"/>
      <c r="S274" s="112"/>
      <c r="T274" s="112"/>
      <c r="U274" s="124"/>
      <c r="V274" s="124"/>
      <c r="W274" s="124"/>
      <c r="X274" s="124"/>
      <c r="Y274" s="124"/>
      <c r="Z274" s="112"/>
      <c r="AA274" s="112"/>
      <c r="AB274" s="112"/>
      <c r="AC274" s="112"/>
      <c r="AD274" s="112"/>
      <c r="AE274" s="112"/>
      <c r="AF274" s="112"/>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c r="BK274" s="124"/>
      <c r="BL274" s="124"/>
      <c r="BM274" s="124"/>
      <c r="BN274" s="124"/>
      <c r="BO274" s="124"/>
      <c r="BP274" s="124"/>
      <c r="BQ274" s="124"/>
      <c r="BR274" s="124"/>
      <c r="BS274" s="124"/>
      <c r="BT274" s="124"/>
      <c r="BU274" s="124"/>
      <c r="BV274" s="124"/>
      <c r="BW274" s="124"/>
      <c r="BX274" s="124"/>
      <c r="BY274" s="124"/>
      <c r="BZ274" s="124"/>
      <c r="CA274" s="124"/>
    </row>
    <row r="275">
      <c r="D275" s="143"/>
      <c r="E275" s="129"/>
      <c r="F275" s="112"/>
      <c r="G275" s="112"/>
      <c r="H275" s="112"/>
      <c r="I275" s="112"/>
      <c r="J275" s="112"/>
      <c r="K275" s="112"/>
      <c r="L275" s="112"/>
      <c r="M275" s="112"/>
      <c r="N275" s="112"/>
      <c r="O275" s="112"/>
      <c r="P275" s="112"/>
      <c r="Q275" s="112"/>
      <c r="R275" s="112"/>
      <c r="S275" s="112"/>
      <c r="T275" s="112"/>
      <c r="U275" s="124"/>
      <c r="V275" s="124"/>
      <c r="W275" s="124"/>
      <c r="X275" s="124"/>
      <c r="Y275" s="124"/>
      <c r="Z275" s="112"/>
      <c r="AA275" s="112"/>
      <c r="AB275" s="112"/>
      <c r="AC275" s="112"/>
      <c r="AD275" s="112"/>
      <c r="AE275" s="112"/>
      <c r="AF275" s="112"/>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c r="BK275" s="124"/>
      <c r="BL275" s="124"/>
      <c r="BM275" s="124"/>
      <c r="BN275" s="124"/>
      <c r="BO275" s="124"/>
      <c r="BP275" s="124"/>
      <c r="BQ275" s="124"/>
      <c r="BR275" s="124"/>
      <c r="BS275" s="124"/>
      <c r="BT275" s="124"/>
      <c r="BU275" s="124"/>
      <c r="BV275" s="124"/>
      <c r="BW275" s="124"/>
      <c r="BX275" s="124"/>
      <c r="BY275" s="124"/>
      <c r="BZ275" s="124"/>
      <c r="CA275" s="124"/>
    </row>
    <row r="276">
      <c r="D276" s="143"/>
      <c r="E276" s="129"/>
      <c r="F276" s="112"/>
      <c r="G276" s="112"/>
      <c r="H276" s="112"/>
      <c r="I276" s="112"/>
      <c r="J276" s="112"/>
      <c r="K276" s="112"/>
      <c r="L276" s="112"/>
      <c r="M276" s="112"/>
      <c r="N276" s="112"/>
      <c r="O276" s="112"/>
      <c r="P276" s="112"/>
      <c r="Q276" s="112"/>
      <c r="R276" s="112"/>
      <c r="S276" s="112"/>
      <c r="T276" s="112"/>
      <c r="U276" s="124"/>
      <c r="V276" s="124"/>
      <c r="W276" s="124"/>
      <c r="X276" s="124"/>
      <c r="Y276" s="124"/>
      <c r="Z276" s="112"/>
      <c r="AA276" s="112"/>
      <c r="AB276" s="112"/>
      <c r="AC276" s="112"/>
      <c r="AD276" s="112"/>
      <c r="AE276" s="112"/>
      <c r="AF276" s="112"/>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c r="BK276" s="124"/>
      <c r="BL276" s="124"/>
      <c r="BM276" s="124"/>
      <c r="BN276" s="124"/>
      <c r="BO276" s="124"/>
      <c r="BP276" s="124"/>
      <c r="BQ276" s="124"/>
      <c r="BR276" s="124"/>
      <c r="BS276" s="124"/>
      <c r="BT276" s="124"/>
      <c r="BU276" s="124"/>
      <c r="BV276" s="124"/>
      <c r="BW276" s="124"/>
      <c r="BX276" s="124"/>
      <c r="BY276" s="124"/>
      <c r="BZ276" s="124"/>
      <c r="CA276" s="124"/>
    </row>
    <row r="277">
      <c r="D277" s="143"/>
      <c r="E277" s="129"/>
      <c r="F277" s="112"/>
      <c r="G277" s="112"/>
      <c r="H277" s="112"/>
      <c r="I277" s="112"/>
      <c r="J277" s="112"/>
      <c r="K277" s="112"/>
      <c r="L277" s="112"/>
      <c r="M277" s="112"/>
      <c r="N277" s="112"/>
      <c r="O277" s="112"/>
      <c r="P277" s="112"/>
      <c r="Q277" s="112"/>
      <c r="R277" s="112"/>
      <c r="S277" s="112"/>
      <c r="T277" s="112"/>
      <c r="U277" s="124"/>
      <c r="V277" s="124"/>
      <c r="W277" s="124"/>
      <c r="X277" s="124"/>
      <c r="Y277" s="124"/>
      <c r="Z277" s="112"/>
      <c r="AA277" s="112"/>
      <c r="AB277" s="112"/>
      <c r="AC277" s="112"/>
      <c r="AD277" s="112"/>
      <c r="AE277" s="112"/>
      <c r="AF277" s="112"/>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row>
    <row r="278">
      <c r="D278" s="143"/>
      <c r="E278" s="129"/>
      <c r="F278" s="112"/>
      <c r="G278" s="112"/>
      <c r="H278" s="112"/>
      <c r="I278" s="112"/>
      <c r="J278" s="112"/>
      <c r="K278" s="112"/>
      <c r="L278" s="112"/>
      <c r="M278" s="112"/>
      <c r="N278" s="112"/>
      <c r="O278" s="112"/>
      <c r="P278" s="112"/>
      <c r="Q278" s="112"/>
      <c r="R278" s="112"/>
      <c r="S278" s="112"/>
      <c r="T278" s="112"/>
      <c r="U278" s="124"/>
      <c r="V278" s="124"/>
      <c r="W278" s="124"/>
      <c r="X278" s="124"/>
      <c r="Y278" s="124"/>
      <c r="Z278" s="112"/>
      <c r="AA278" s="112"/>
      <c r="AB278" s="112"/>
      <c r="AC278" s="112"/>
      <c r="AD278" s="112"/>
      <c r="AE278" s="112"/>
      <c r="AF278" s="112"/>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c r="BK278" s="124"/>
      <c r="BL278" s="124"/>
      <c r="BM278" s="124"/>
      <c r="BN278" s="124"/>
      <c r="BO278" s="124"/>
      <c r="BP278" s="124"/>
      <c r="BQ278" s="124"/>
      <c r="BR278" s="124"/>
      <c r="BS278" s="124"/>
      <c r="BT278" s="124"/>
      <c r="BU278" s="124"/>
      <c r="BV278" s="124"/>
      <c r="BW278" s="124"/>
      <c r="BX278" s="124"/>
      <c r="BY278" s="124"/>
      <c r="BZ278" s="124"/>
      <c r="CA278" s="124"/>
    </row>
    <row r="279">
      <c r="D279" s="143"/>
      <c r="E279" s="129"/>
      <c r="F279" s="112"/>
      <c r="G279" s="112"/>
      <c r="H279" s="112"/>
      <c r="I279" s="112"/>
      <c r="J279" s="112"/>
      <c r="K279" s="112"/>
      <c r="L279" s="112"/>
      <c r="M279" s="112"/>
      <c r="N279" s="112"/>
      <c r="O279" s="112"/>
      <c r="P279" s="112"/>
      <c r="Q279" s="112"/>
      <c r="R279" s="112"/>
      <c r="S279" s="112"/>
      <c r="T279" s="112"/>
      <c r="U279" s="124"/>
      <c r="V279" s="124"/>
      <c r="W279" s="124"/>
      <c r="X279" s="124"/>
      <c r="Y279" s="124"/>
      <c r="Z279" s="112"/>
      <c r="AA279" s="112"/>
      <c r="AB279" s="112"/>
      <c r="AC279" s="112"/>
      <c r="AD279" s="112"/>
      <c r="AE279" s="112"/>
      <c r="AF279" s="112"/>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124"/>
      <c r="BO279" s="124"/>
      <c r="BP279" s="124"/>
      <c r="BQ279" s="124"/>
      <c r="BR279" s="124"/>
      <c r="BS279" s="124"/>
      <c r="BT279" s="124"/>
      <c r="BU279" s="124"/>
      <c r="BV279" s="124"/>
      <c r="BW279" s="124"/>
      <c r="BX279" s="124"/>
      <c r="BY279" s="124"/>
      <c r="BZ279" s="124"/>
      <c r="CA279" s="124"/>
    </row>
    <row r="280">
      <c r="D280" s="143"/>
      <c r="E280" s="129"/>
      <c r="F280" s="112"/>
      <c r="G280" s="112"/>
      <c r="H280" s="112"/>
      <c r="I280" s="112"/>
      <c r="J280" s="112"/>
      <c r="K280" s="112"/>
      <c r="L280" s="112"/>
      <c r="M280" s="112"/>
      <c r="N280" s="112"/>
      <c r="O280" s="112"/>
      <c r="P280" s="112"/>
      <c r="Q280" s="112"/>
      <c r="R280" s="112"/>
      <c r="S280" s="112"/>
      <c r="T280" s="112"/>
      <c r="U280" s="124"/>
      <c r="V280" s="124"/>
      <c r="W280" s="124"/>
      <c r="X280" s="124"/>
      <c r="Y280" s="124"/>
      <c r="Z280" s="112"/>
      <c r="AA280" s="112"/>
      <c r="AB280" s="112"/>
      <c r="AC280" s="112"/>
      <c r="AD280" s="112"/>
      <c r="AE280" s="112"/>
      <c r="AF280" s="112"/>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c r="BK280" s="124"/>
      <c r="BL280" s="124"/>
      <c r="BM280" s="124"/>
      <c r="BN280" s="124"/>
      <c r="BO280" s="124"/>
      <c r="BP280" s="124"/>
      <c r="BQ280" s="124"/>
      <c r="BR280" s="124"/>
      <c r="BS280" s="124"/>
      <c r="BT280" s="124"/>
      <c r="BU280" s="124"/>
      <c r="BV280" s="124"/>
      <c r="BW280" s="124"/>
      <c r="BX280" s="124"/>
      <c r="BY280" s="124"/>
      <c r="BZ280" s="124"/>
      <c r="CA280" s="124"/>
    </row>
    <row r="281">
      <c r="D281" s="143"/>
      <c r="E281" s="129"/>
      <c r="F281" s="112"/>
      <c r="G281" s="112"/>
      <c r="H281" s="112"/>
      <c r="I281" s="112"/>
      <c r="J281" s="112"/>
      <c r="K281" s="112"/>
      <c r="L281" s="112"/>
      <c r="M281" s="112"/>
      <c r="N281" s="112"/>
      <c r="O281" s="112"/>
      <c r="P281" s="112"/>
      <c r="Q281" s="112"/>
      <c r="R281" s="112"/>
      <c r="S281" s="112"/>
      <c r="T281" s="112"/>
      <c r="U281" s="124"/>
      <c r="V281" s="124"/>
      <c r="W281" s="124"/>
      <c r="X281" s="124"/>
      <c r="Y281" s="124"/>
      <c r="Z281" s="112"/>
      <c r="AA281" s="112"/>
      <c r="AB281" s="112"/>
      <c r="AC281" s="112"/>
      <c r="AD281" s="112"/>
      <c r="AE281" s="112"/>
      <c r="AF281" s="112"/>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4"/>
      <c r="BV281" s="124"/>
      <c r="BW281" s="124"/>
      <c r="BX281" s="124"/>
      <c r="BY281" s="124"/>
      <c r="BZ281" s="124"/>
      <c r="CA281" s="124"/>
    </row>
    <row r="282">
      <c r="D282" s="143"/>
      <c r="E282" s="129"/>
      <c r="F282" s="112"/>
      <c r="G282" s="112"/>
      <c r="H282" s="112"/>
      <c r="I282" s="112"/>
      <c r="J282" s="112"/>
      <c r="K282" s="112"/>
      <c r="L282" s="112"/>
      <c r="M282" s="112"/>
      <c r="N282" s="112"/>
      <c r="O282" s="112"/>
      <c r="P282" s="112"/>
      <c r="Q282" s="112"/>
      <c r="R282" s="112"/>
      <c r="S282" s="112"/>
      <c r="T282" s="112"/>
      <c r="U282" s="124"/>
      <c r="V282" s="124"/>
      <c r="W282" s="124"/>
      <c r="X282" s="124"/>
      <c r="Y282" s="124"/>
      <c r="Z282" s="112"/>
      <c r="AA282" s="112"/>
      <c r="AB282" s="112"/>
      <c r="AC282" s="112"/>
      <c r="AD282" s="112"/>
      <c r="AE282" s="112"/>
      <c r="AF282" s="112"/>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124"/>
      <c r="BO282" s="124"/>
      <c r="BP282" s="124"/>
      <c r="BQ282" s="124"/>
      <c r="BR282" s="124"/>
      <c r="BS282" s="124"/>
      <c r="BT282" s="124"/>
      <c r="BU282" s="124"/>
      <c r="BV282" s="124"/>
      <c r="BW282" s="124"/>
      <c r="BX282" s="124"/>
      <c r="BY282" s="124"/>
      <c r="BZ282" s="124"/>
      <c r="CA282" s="124"/>
    </row>
    <row r="283">
      <c r="D283" s="143"/>
      <c r="E283" s="129"/>
      <c r="F283" s="112"/>
      <c r="G283" s="112"/>
      <c r="H283" s="112"/>
      <c r="I283" s="112"/>
      <c r="J283" s="112"/>
      <c r="K283" s="112"/>
      <c r="L283" s="112"/>
      <c r="M283" s="112"/>
      <c r="N283" s="112"/>
      <c r="O283" s="112"/>
      <c r="P283" s="112"/>
      <c r="Q283" s="112"/>
      <c r="R283" s="112"/>
      <c r="S283" s="112"/>
      <c r="T283" s="112"/>
      <c r="U283" s="124"/>
      <c r="V283" s="124"/>
      <c r="W283" s="124"/>
      <c r="X283" s="124"/>
      <c r="Y283" s="124"/>
      <c r="Z283" s="112"/>
      <c r="AA283" s="112"/>
      <c r="AB283" s="112"/>
      <c r="AC283" s="112"/>
      <c r="AD283" s="112"/>
      <c r="AE283" s="112"/>
      <c r="AF283" s="112"/>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4"/>
      <c r="BR283" s="124"/>
      <c r="BS283" s="124"/>
      <c r="BT283" s="124"/>
      <c r="BU283" s="124"/>
      <c r="BV283" s="124"/>
      <c r="BW283" s="124"/>
      <c r="BX283" s="124"/>
      <c r="BY283" s="124"/>
      <c r="BZ283" s="124"/>
      <c r="CA283" s="124"/>
    </row>
    <row r="284">
      <c r="D284" s="143"/>
      <c r="E284" s="129"/>
      <c r="F284" s="112"/>
      <c r="G284" s="112"/>
      <c r="H284" s="112"/>
      <c r="I284" s="112"/>
      <c r="J284" s="112"/>
      <c r="K284" s="112"/>
      <c r="L284" s="112"/>
      <c r="M284" s="112"/>
      <c r="N284" s="112"/>
      <c r="O284" s="112"/>
      <c r="P284" s="112"/>
      <c r="Q284" s="112"/>
      <c r="R284" s="112"/>
      <c r="S284" s="112"/>
      <c r="T284" s="112"/>
      <c r="U284" s="124"/>
      <c r="V284" s="124"/>
      <c r="W284" s="124"/>
      <c r="X284" s="124"/>
      <c r="Y284" s="124"/>
      <c r="Z284" s="112"/>
      <c r="AA284" s="112"/>
      <c r="AB284" s="112"/>
      <c r="AC284" s="112"/>
      <c r="AD284" s="112"/>
      <c r="AE284" s="112"/>
      <c r="AF284" s="112"/>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row>
    <row r="285">
      <c r="D285" s="143"/>
      <c r="E285" s="129"/>
      <c r="F285" s="112"/>
      <c r="G285" s="112"/>
      <c r="H285" s="112"/>
      <c r="I285" s="112"/>
      <c r="J285" s="112"/>
      <c r="K285" s="112"/>
      <c r="L285" s="112"/>
      <c r="M285" s="112"/>
      <c r="N285" s="112"/>
      <c r="O285" s="112"/>
      <c r="P285" s="112"/>
      <c r="Q285" s="112"/>
      <c r="R285" s="112"/>
      <c r="S285" s="112"/>
      <c r="T285" s="112"/>
      <c r="U285" s="124"/>
      <c r="V285" s="124"/>
      <c r="W285" s="124"/>
      <c r="X285" s="124"/>
      <c r="Y285" s="124"/>
      <c r="Z285" s="112"/>
      <c r="AA285" s="112"/>
      <c r="AB285" s="112"/>
      <c r="AC285" s="112"/>
      <c r="AD285" s="112"/>
      <c r="AE285" s="112"/>
      <c r="AF285" s="112"/>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row>
    <row r="286">
      <c r="D286" s="143"/>
      <c r="E286" s="129"/>
      <c r="F286" s="112"/>
      <c r="G286" s="112"/>
      <c r="H286" s="112"/>
      <c r="I286" s="112"/>
      <c r="J286" s="112"/>
      <c r="K286" s="112"/>
      <c r="L286" s="112"/>
      <c r="M286" s="112"/>
      <c r="N286" s="112"/>
      <c r="O286" s="112"/>
      <c r="P286" s="112"/>
      <c r="Q286" s="112"/>
      <c r="R286" s="112"/>
      <c r="S286" s="112"/>
      <c r="T286" s="112"/>
      <c r="U286" s="124"/>
      <c r="V286" s="124"/>
      <c r="W286" s="124"/>
      <c r="X286" s="124"/>
      <c r="Y286" s="124"/>
      <c r="Z286" s="112"/>
      <c r="AA286" s="112"/>
      <c r="AB286" s="112"/>
      <c r="AC286" s="112"/>
      <c r="AD286" s="112"/>
      <c r="AE286" s="112"/>
      <c r="AF286" s="112"/>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row>
    <row r="287">
      <c r="D287" s="143"/>
      <c r="E287" s="129"/>
      <c r="F287" s="112"/>
      <c r="G287" s="112"/>
      <c r="H287" s="112"/>
      <c r="I287" s="112"/>
      <c r="J287" s="112"/>
      <c r="K287" s="112"/>
      <c r="L287" s="112"/>
      <c r="M287" s="112"/>
      <c r="N287" s="112"/>
      <c r="O287" s="112"/>
      <c r="P287" s="112"/>
      <c r="Q287" s="112"/>
      <c r="R287" s="112"/>
      <c r="S287" s="112"/>
      <c r="T287" s="112"/>
      <c r="U287" s="124"/>
      <c r="V287" s="124"/>
      <c r="W287" s="124"/>
      <c r="X287" s="124"/>
      <c r="Y287" s="124"/>
      <c r="Z287" s="112"/>
      <c r="AA287" s="112"/>
      <c r="AB287" s="112"/>
      <c r="AC287" s="112"/>
      <c r="AD287" s="112"/>
      <c r="AE287" s="112"/>
      <c r="AF287" s="112"/>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c r="BK287" s="124"/>
      <c r="BL287" s="124"/>
      <c r="BM287" s="124"/>
      <c r="BN287" s="124"/>
      <c r="BO287" s="124"/>
      <c r="BP287" s="124"/>
      <c r="BQ287" s="124"/>
      <c r="BR287" s="124"/>
      <c r="BS287" s="124"/>
      <c r="BT287" s="124"/>
      <c r="BU287" s="124"/>
      <c r="BV287" s="124"/>
      <c r="BW287" s="124"/>
      <c r="BX287" s="124"/>
      <c r="BY287" s="124"/>
      <c r="BZ287" s="124"/>
      <c r="CA287" s="124"/>
    </row>
    <row r="288">
      <c r="D288" s="143"/>
      <c r="E288" s="129"/>
      <c r="F288" s="112"/>
      <c r="G288" s="112"/>
      <c r="H288" s="112"/>
      <c r="I288" s="112"/>
      <c r="J288" s="112"/>
      <c r="K288" s="112"/>
      <c r="L288" s="112"/>
      <c r="M288" s="112"/>
      <c r="N288" s="112"/>
      <c r="O288" s="112"/>
      <c r="P288" s="112"/>
      <c r="Q288" s="112"/>
      <c r="R288" s="112"/>
      <c r="S288" s="112"/>
      <c r="T288" s="112"/>
      <c r="U288" s="124"/>
      <c r="V288" s="124"/>
      <c r="W288" s="124"/>
      <c r="X288" s="124"/>
      <c r="Y288" s="124"/>
      <c r="Z288" s="112"/>
      <c r="AA288" s="112"/>
      <c r="AB288" s="112"/>
      <c r="AC288" s="112"/>
      <c r="AD288" s="112"/>
      <c r="AE288" s="112"/>
      <c r="AF288" s="112"/>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row>
    <row r="289">
      <c r="D289" s="143"/>
      <c r="E289" s="129"/>
      <c r="F289" s="112"/>
      <c r="G289" s="112"/>
      <c r="H289" s="112"/>
      <c r="I289" s="112"/>
      <c r="J289" s="112"/>
      <c r="K289" s="112"/>
      <c r="L289" s="112"/>
      <c r="M289" s="112"/>
      <c r="N289" s="112"/>
      <c r="O289" s="112"/>
      <c r="P289" s="112"/>
      <c r="Q289" s="112"/>
      <c r="R289" s="112"/>
      <c r="S289" s="112"/>
      <c r="T289" s="112"/>
      <c r="U289" s="124"/>
      <c r="V289" s="124"/>
      <c r="W289" s="124"/>
      <c r="X289" s="124"/>
      <c r="Y289" s="124"/>
      <c r="Z289" s="112"/>
      <c r="AA289" s="112"/>
      <c r="AB289" s="112"/>
      <c r="AC289" s="112"/>
      <c r="AD289" s="112"/>
      <c r="AE289" s="112"/>
      <c r="AF289" s="112"/>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row>
    <row r="290">
      <c r="D290" s="143"/>
      <c r="E290" s="129"/>
      <c r="F290" s="112"/>
      <c r="G290" s="112"/>
      <c r="H290" s="112"/>
      <c r="I290" s="112"/>
      <c r="J290" s="112"/>
      <c r="K290" s="112"/>
      <c r="L290" s="112"/>
      <c r="M290" s="112"/>
      <c r="N290" s="112"/>
      <c r="O290" s="112"/>
      <c r="P290" s="112"/>
      <c r="Q290" s="112"/>
      <c r="R290" s="112"/>
      <c r="S290" s="112"/>
      <c r="T290" s="112"/>
      <c r="U290" s="124"/>
      <c r="V290" s="124"/>
      <c r="W290" s="124"/>
      <c r="X290" s="124"/>
      <c r="Y290" s="124"/>
      <c r="Z290" s="112"/>
      <c r="AA290" s="112"/>
      <c r="AB290" s="112"/>
      <c r="AC290" s="112"/>
      <c r="AD290" s="112"/>
      <c r="AE290" s="112"/>
      <c r="AF290" s="112"/>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row>
    <row r="291">
      <c r="D291" s="143"/>
      <c r="E291" s="129"/>
      <c r="F291" s="112"/>
      <c r="G291" s="112"/>
      <c r="H291" s="112"/>
      <c r="I291" s="112"/>
      <c r="J291" s="112"/>
      <c r="K291" s="112"/>
      <c r="L291" s="112"/>
      <c r="M291" s="112"/>
      <c r="N291" s="112"/>
      <c r="O291" s="112"/>
      <c r="P291" s="112"/>
      <c r="Q291" s="112"/>
      <c r="R291" s="112"/>
      <c r="S291" s="112"/>
      <c r="T291" s="112"/>
      <c r="U291" s="124"/>
      <c r="V291" s="124"/>
      <c r="W291" s="124"/>
      <c r="X291" s="124"/>
      <c r="Y291" s="124"/>
      <c r="Z291" s="112"/>
      <c r="AA291" s="112"/>
      <c r="AB291" s="112"/>
      <c r="AC291" s="112"/>
      <c r="AD291" s="112"/>
      <c r="AE291" s="112"/>
      <c r="AF291" s="112"/>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row>
    <row r="292">
      <c r="D292" s="143"/>
      <c r="E292" s="129"/>
      <c r="F292" s="112"/>
      <c r="G292" s="112"/>
      <c r="H292" s="112"/>
      <c r="I292" s="112"/>
      <c r="J292" s="112"/>
      <c r="K292" s="112"/>
      <c r="L292" s="112"/>
      <c r="M292" s="112"/>
      <c r="N292" s="112"/>
      <c r="O292" s="112"/>
      <c r="P292" s="112"/>
      <c r="Q292" s="112"/>
      <c r="R292" s="112"/>
      <c r="S292" s="112"/>
      <c r="T292" s="112"/>
      <c r="U292" s="124"/>
      <c r="V292" s="124"/>
      <c r="W292" s="124"/>
      <c r="X292" s="124"/>
      <c r="Y292" s="124"/>
      <c r="Z292" s="112"/>
      <c r="AA292" s="112"/>
      <c r="AB292" s="112"/>
      <c r="AC292" s="112"/>
      <c r="AD292" s="112"/>
      <c r="AE292" s="112"/>
      <c r="AF292" s="112"/>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c r="BK292" s="124"/>
      <c r="BL292" s="124"/>
      <c r="BM292" s="124"/>
      <c r="BN292" s="124"/>
      <c r="BO292" s="124"/>
      <c r="BP292" s="124"/>
      <c r="BQ292" s="124"/>
      <c r="BR292" s="124"/>
      <c r="BS292" s="124"/>
      <c r="BT292" s="124"/>
      <c r="BU292" s="124"/>
      <c r="BV292" s="124"/>
      <c r="BW292" s="124"/>
      <c r="BX292" s="124"/>
      <c r="BY292" s="124"/>
      <c r="BZ292" s="124"/>
      <c r="CA292" s="124"/>
    </row>
    <row r="293">
      <c r="D293" s="143"/>
      <c r="E293" s="129"/>
      <c r="F293" s="112"/>
      <c r="G293" s="112"/>
      <c r="H293" s="112"/>
      <c r="I293" s="112"/>
      <c r="J293" s="112"/>
      <c r="K293" s="112"/>
      <c r="L293" s="112"/>
      <c r="M293" s="112"/>
      <c r="N293" s="112"/>
      <c r="O293" s="112"/>
      <c r="P293" s="112"/>
      <c r="Q293" s="112"/>
      <c r="R293" s="112"/>
      <c r="S293" s="112"/>
      <c r="T293" s="112"/>
      <c r="U293" s="124"/>
      <c r="V293" s="124"/>
      <c r="W293" s="124"/>
      <c r="X293" s="124"/>
      <c r="Y293" s="124"/>
      <c r="Z293" s="112"/>
      <c r="AA293" s="112"/>
      <c r="AB293" s="112"/>
      <c r="AC293" s="112"/>
      <c r="AD293" s="112"/>
      <c r="AE293" s="112"/>
      <c r="AF293" s="112"/>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124"/>
      <c r="BO293" s="124"/>
      <c r="BP293" s="124"/>
      <c r="BQ293" s="124"/>
      <c r="BR293" s="124"/>
      <c r="BS293" s="124"/>
      <c r="BT293" s="124"/>
      <c r="BU293" s="124"/>
      <c r="BV293" s="124"/>
      <c r="BW293" s="124"/>
      <c r="BX293" s="124"/>
      <c r="BY293" s="124"/>
      <c r="BZ293" s="124"/>
      <c r="CA293" s="124"/>
    </row>
    <row r="294">
      <c r="D294" s="143"/>
      <c r="E294" s="129"/>
      <c r="F294" s="112"/>
      <c r="G294" s="112"/>
      <c r="H294" s="112"/>
      <c r="I294" s="112"/>
      <c r="J294" s="112"/>
      <c r="K294" s="112"/>
      <c r="L294" s="112"/>
      <c r="M294" s="112"/>
      <c r="N294" s="112"/>
      <c r="O294" s="112"/>
      <c r="P294" s="112"/>
      <c r="Q294" s="112"/>
      <c r="R294" s="112"/>
      <c r="S294" s="112"/>
      <c r="T294" s="112"/>
      <c r="U294" s="124"/>
      <c r="V294" s="124"/>
      <c r="W294" s="124"/>
      <c r="X294" s="124"/>
      <c r="Y294" s="124"/>
      <c r="Z294" s="112"/>
      <c r="AA294" s="112"/>
      <c r="AB294" s="112"/>
      <c r="AC294" s="112"/>
      <c r="AD294" s="112"/>
      <c r="AE294" s="112"/>
      <c r="AF294" s="112"/>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124"/>
      <c r="BO294" s="124"/>
      <c r="BP294" s="124"/>
      <c r="BQ294" s="124"/>
      <c r="BR294" s="124"/>
      <c r="BS294" s="124"/>
      <c r="BT294" s="124"/>
      <c r="BU294" s="124"/>
      <c r="BV294" s="124"/>
      <c r="BW294" s="124"/>
      <c r="BX294" s="124"/>
      <c r="BY294" s="124"/>
      <c r="BZ294" s="124"/>
      <c r="CA294" s="124"/>
    </row>
    <row r="295">
      <c r="D295" s="143"/>
      <c r="E295" s="129"/>
      <c r="F295" s="112"/>
      <c r="G295" s="112"/>
      <c r="H295" s="112"/>
      <c r="I295" s="112"/>
      <c r="J295" s="112"/>
      <c r="K295" s="112"/>
      <c r="L295" s="112"/>
      <c r="M295" s="112"/>
      <c r="N295" s="112"/>
      <c r="O295" s="112"/>
      <c r="P295" s="112"/>
      <c r="Q295" s="112"/>
      <c r="R295" s="112"/>
      <c r="S295" s="112"/>
      <c r="T295" s="112"/>
      <c r="U295" s="124"/>
      <c r="V295" s="124"/>
      <c r="W295" s="124"/>
      <c r="X295" s="124"/>
      <c r="Y295" s="124"/>
      <c r="Z295" s="112"/>
      <c r="AA295" s="112"/>
      <c r="AB295" s="112"/>
      <c r="AC295" s="112"/>
      <c r="AD295" s="112"/>
      <c r="AE295" s="112"/>
      <c r="AF295" s="112"/>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row>
    <row r="296">
      <c r="D296" s="143"/>
      <c r="E296" s="129"/>
      <c r="F296" s="112"/>
      <c r="G296" s="112"/>
      <c r="H296" s="112"/>
      <c r="I296" s="112"/>
      <c r="J296" s="112"/>
      <c r="K296" s="112"/>
      <c r="L296" s="112"/>
      <c r="M296" s="112"/>
      <c r="N296" s="112"/>
      <c r="O296" s="112"/>
      <c r="P296" s="112"/>
      <c r="Q296" s="112"/>
      <c r="R296" s="112"/>
      <c r="S296" s="112"/>
      <c r="T296" s="112"/>
      <c r="U296" s="124"/>
      <c r="V296" s="124"/>
      <c r="W296" s="124"/>
      <c r="X296" s="124"/>
      <c r="Y296" s="124"/>
      <c r="Z296" s="112"/>
      <c r="AA296" s="112"/>
      <c r="AB296" s="112"/>
      <c r="AC296" s="112"/>
      <c r="AD296" s="112"/>
      <c r="AE296" s="112"/>
      <c r="AF296" s="112"/>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row>
    <row r="297">
      <c r="D297" s="143"/>
      <c r="E297" s="129"/>
      <c r="F297" s="112"/>
      <c r="G297" s="112"/>
      <c r="H297" s="112"/>
      <c r="I297" s="112"/>
      <c r="J297" s="112"/>
      <c r="K297" s="112"/>
      <c r="L297" s="112"/>
      <c r="M297" s="112"/>
      <c r="N297" s="112"/>
      <c r="O297" s="112"/>
      <c r="P297" s="112"/>
      <c r="Q297" s="112"/>
      <c r="R297" s="112"/>
      <c r="S297" s="112"/>
      <c r="T297" s="112"/>
      <c r="U297" s="124"/>
      <c r="V297" s="124"/>
      <c r="W297" s="124"/>
      <c r="X297" s="124"/>
      <c r="Y297" s="124"/>
      <c r="Z297" s="112"/>
      <c r="AA297" s="112"/>
      <c r="AB297" s="112"/>
      <c r="AC297" s="112"/>
      <c r="AD297" s="112"/>
      <c r="AE297" s="112"/>
      <c r="AF297" s="112"/>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row>
    <row r="298">
      <c r="D298" s="143"/>
      <c r="E298" s="129"/>
      <c r="F298" s="112"/>
      <c r="G298" s="112"/>
      <c r="H298" s="112"/>
      <c r="I298" s="112"/>
      <c r="J298" s="112"/>
      <c r="K298" s="112"/>
      <c r="L298" s="112"/>
      <c r="M298" s="112"/>
      <c r="N298" s="112"/>
      <c r="O298" s="112"/>
      <c r="P298" s="112"/>
      <c r="Q298" s="112"/>
      <c r="R298" s="112"/>
      <c r="S298" s="112"/>
      <c r="T298" s="112"/>
      <c r="U298" s="124"/>
      <c r="V298" s="124"/>
      <c r="W298" s="124"/>
      <c r="X298" s="124"/>
      <c r="Y298" s="124"/>
      <c r="Z298" s="112"/>
      <c r="AA298" s="112"/>
      <c r="AB298" s="112"/>
      <c r="AC298" s="112"/>
      <c r="AD298" s="112"/>
      <c r="AE298" s="112"/>
      <c r="AF298" s="112"/>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c r="BK298" s="124"/>
      <c r="BL298" s="124"/>
      <c r="BM298" s="124"/>
      <c r="BN298" s="124"/>
      <c r="BO298" s="124"/>
      <c r="BP298" s="124"/>
      <c r="BQ298" s="124"/>
      <c r="BR298" s="124"/>
      <c r="BS298" s="124"/>
      <c r="BT298" s="124"/>
      <c r="BU298" s="124"/>
      <c r="BV298" s="124"/>
      <c r="BW298" s="124"/>
      <c r="BX298" s="124"/>
      <c r="BY298" s="124"/>
      <c r="BZ298" s="124"/>
      <c r="CA298" s="124"/>
    </row>
    <row r="299">
      <c r="D299" s="143"/>
      <c r="E299" s="129"/>
      <c r="F299" s="112"/>
      <c r="G299" s="112"/>
      <c r="H299" s="112"/>
      <c r="I299" s="112"/>
      <c r="J299" s="112"/>
      <c r="K299" s="112"/>
      <c r="L299" s="112"/>
      <c r="M299" s="112"/>
      <c r="N299" s="112"/>
      <c r="O299" s="112"/>
      <c r="P299" s="112"/>
      <c r="Q299" s="112"/>
      <c r="R299" s="112"/>
      <c r="S299" s="112"/>
      <c r="T299" s="112"/>
      <c r="U299" s="124"/>
      <c r="V299" s="124"/>
      <c r="W299" s="124"/>
      <c r="X299" s="124"/>
      <c r="Y299" s="124"/>
      <c r="Z299" s="112"/>
      <c r="AA299" s="112"/>
      <c r="AB299" s="112"/>
      <c r="AC299" s="112"/>
      <c r="AD299" s="112"/>
      <c r="AE299" s="112"/>
      <c r="AF299" s="112"/>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c r="BK299" s="124"/>
      <c r="BL299" s="124"/>
      <c r="BM299" s="124"/>
      <c r="BN299" s="124"/>
      <c r="BO299" s="124"/>
      <c r="BP299" s="124"/>
      <c r="BQ299" s="124"/>
      <c r="BR299" s="124"/>
      <c r="BS299" s="124"/>
      <c r="BT299" s="124"/>
      <c r="BU299" s="124"/>
      <c r="BV299" s="124"/>
      <c r="BW299" s="124"/>
      <c r="BX299" s="124"/>
      <c r="BY299" s="124"/>
      <c r="BZ299" s="124"/>
      <c r="CA299" s="124"/>
    </row>
    <row r="300">
      <c r="D300" s="143"/>
      <c r="E300" s="129"/>
      <c r="F300" s="112"/>
      <c r="G300" s="112"/>
      <c r="H300" s="112"/>
      <c r="I300" s="112"/>
      <c r="J300" s="112"/>
      <c r="K300" s="112"/>
      <c r="L300" s="112"/>
      <c r="M300" s="112"/>
      <c r="N300" s="112"/>
      <c r="O300" s="112"/>
      <c r="P300" s="112"/>
      <c r="Q300" s="112"/>
      <c r="R300" s="112"/>
      <c r="S300" s="112"/>
      <c r="T300" s="112"/>
      <c r="U300" s="124"/>
      <c r="V300" s="124"/>
      <c r="W300" s="124"/>
      <c r="X300" s="124"/>
      <c r="Y300" s="124"/>
      <c r="Z300" s="112"/>
      <c r="AA300" s="112"/>
      <c r="AB300" s="112"/>
      <c r="AC300" s="112"/>
      <c r="AD300" s="112"/>
      <c r="AE300" s="112"/>
      <c r="AF300" s="112"/>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row>
    <row r="301">
      <c r="D301" s="143"/>
      <c r="E301" s="129"/>
      <c r="F301" s="112"/>
      <c r="G301" s="112"/>
      <c r="H301" s="112"/>
      <c r="I301" s="112"/>
      <c r="J301" s="112"/>
      <c r="K301" s="112"/>
      <c r="L301" s="112"/>
      <c r="M301" s="112"/>
      <c r="N301" s="112"/>
      <c r="O301" s="112"/>
      <c r="P301" s="112"/>
      <c r="Q301" s="112"/>
      <c r="R301" s="112"/>
      <c r="S301" s="112"/>
      <c r="T301" s="112"/>
      <c r="U301" s="124"/>
      <c r="V301" s="124"/>
      <c r="W301" s="124"/>
      <c r="X301" s="124"/>
      <c r="Y301" s="124"/>
      <c r="Z301" s="112"/>
      <c r="AA301" s="112"/>
      <c r="AB301" s="112"/>
      <c r="AC301" s="112"/>
      <c r="AD301" s="112"/>
      <c r="AE301" s="112"/>
      <c r="AF301" s="112"/>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row>
    <row r="302">
      <c r="D302" s="143"/>
      <c r="E302" s="129"/>
      <c r="F302" s="112"/>
      <c r="G302" s="112"/>
      <c r="H302" s="112"/>
      <c r="I302" s="112"/>
      <c r="J302" s="112"/>
      <c r="K302" s="112"/>
      <c r="L302" s="112"/>
      <c r="M302" s="112"/>
      <c r="N302" s="112"/>
      <c r="O302" s="112"/>
      <c r="P302" s="112"/>
      <c r="Q302" s="112"/>
      <c r="R302" s="112"/>
      <c r="S302" s="112"/>
      <c r="T302" s="112"/>
      <c r="U302" s="124"/>
      <c r="V302" s="124"/>
      <c r="W302" s="124"/>
      <c r="X302" s="124"/>
      <c r="Y302" s="124"/>
      <c r="Z302" s="112"/>
      <c r="AA302" s="112"/>
      <c r="AB302" s="112"/>
      <c r="AC302" s="112"/>
      <c r="AD302" s="112"/>
      <c r="AE302" s="112"/>
      <c r="AF302" s="112"/>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row>
    <row r="303">
      <c r="D303" s="143"/>
      <c r="E303" s="129"/>
      <c r="F303" s="112"/>
      <c r="G303" s="112"/>
      <c r="H303" s="112"/>
      <c r="I303" s="112"/>
      <c r="J303" s="112"/>
      <c r="K303" s="112"/>
      <c r="L303" s="112"/>
      <c r="M303" s="112"/>
      <c r="N303" s="112"/>
      <c r="O303" s="112"/>
      <c r="P303" s="112"/>
      <c r="Q303" s="112"/>
      <c r="R303" s="112"/>
      <c r="S303" s="112"/>
      <c r="T303" s="112"/>
      <c r="U303" s="124"/>
      <c r="V303" s="124"/>
      <c r="W303" s="124"/>
      <c r="X303" s="124"/>
      <c r="Y303" s="124"/>
      <c r="Z303" s="112"/>
      <c r="AA303" s="112"/>
      <c r="AB303" s="112"/>
      <c r="AC303" s="112"/>
      <c r="AD303" s="112"/>
      <c r="AE303" s="112"/>
      <c r="AF303" s="112"/>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row>
    <row r="304">
      <c r="D304" s="143"/>
      <c r="E304" s="129"/>
      <c r="F304" s="112"/>
      <c r="G304" s="112"/>
      <c r="H304" s="112"/>
      <c r="I304" s="112"/>
      <c r="J304" s="112"/>
      <c r="K304" s="112"/>
      <c r="L304" s="112"/>
      <c r="M304" s="112"/>
      <c r="N304" s="112"/>
      <c r="O304" s="112"/>
      <c r="P304" s="112"/>
      <c r="Q304" s="112"/>
      <c r="R304" s="112"/>
      <c r="S304" s="112"/>
      <c r="T304" s="112"/>
      <c r="U304" s="124"/>
      <c r="V304" s="124"/>
      <c r="W304" s="124"/>
      <c r="X304" s="124"/>
      <c r="Y304" s="124"/>
      <c r="Z304" s="112"/>
      <c r="AA304" s="112"/>
      <c r="AB304" s="112"/>
      <c r="AC304" s="112"/>
      <c r="AD304" s="112"/>
      <c r="AE304" s="112"/>
      <c r="AF304" s="112"/>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row>
    <row r="305">
      <c r="D305" s="143"/>
      <c r="E305" s="129"/>
      <c r="F305" s="112"/>
      <c r="G305" s="112"/>
      <c r="H305" s="112"/>
      <c r="I305" s="112"/>
      <c r="J305" s="112"/>
      <c r="K305" s="112"/>
      <c r="L305" s="112"/>
      <c r="M305" s="112"/>
      <c r="N305" s="112"/>
      <c r="O305" s="112"/>
      <c r="P305" s="112"/>
      <c r="Q305" s="112"/>
      <c r="R305" s="112"/>
      <c r="S305" s="112"/>
      <c r="T305" s="112"/>
      <c r="U305" s="124"/>
      <c r="V305" s="124"/>
      <c r="W305" s="124"/>
      <c r="X305" s="124"/>
      <c r="Y305" s="124"/>
      <c r="Z305" s="112"/>
      <c r="AA305" s="112"/>
      <c r="AB305" s="112"/>
      <c r="AC305" s="112"/>
      <c r="AD305" s="112"/>
      <c r="AE305" s="112"/>
      <c r="AF305" s="112"/>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row>
    <row r="306">
      <c r="D306" s="143"/>
      <c r="E306" s="129"/>
      <c r="F306" s="112"/>
      <c r="G306" s="112"/>
      <c r="H306" s="112"/>
      <c r="I306" s="112"/>
      <c r="J306" s="112"/>
      <c r="K306" s="112"/>
      <c r="L306" s="112"/>
      <c r="M306" s="112"/>
      <c r="N306" s="112"/>
      <c r="O306" s="112"/>
      <c r="P306" s="112"/>
      <c r="Q306" s="112"/>
      <c r="R306" s="112"/>
      <c r="S306" s="112"/>
      <c r="T306" s="112"/>
      <c r="U306" s="124"/>
      <c r="V306" s="124"/>
      <c r="W306" s="124"/>
      <c r="X306" s="124"/>
      <c r="Y306" s="124"/>
      <c r="Z306" s="112"/>
      <c r="AA306" s="112"/>
      <c r="AB306" s="112"/>
      <c r="AC306" s="112"/>
      <c r="AD306" s="112"/>
      <c r="AE306" s="112"/>
      <c r="AF306" s="112"/>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row>
    <row r="307">
      <c r="D307" s="143"/>
      <c r="E307" s="129"/>
      <c r="F307" s="112"/>
      <c r="G307" s="112"/>
      <c r="H307" s="112"/>
      <c r="I307" s="112"/>
      <c r="J307" s="112"/>
      <c r="K307" s="112"/>
      <c r="L307" s="112"/>
      <c r="M307" s="112"/>
      <c r="N307" s="112"/>
      <c r="O307" s="112"/>
      <c r="P307" s="112"/>
      <c r="Q307" s="112"/>
      <c r="R307" s="112"/>
      <c r="S307" s="112"/>
      <c r="T307" s="112"/>
      <c r="U307" s="124"/>
      <c r="V307" s="124"/>
      <c r="W307" s="124"/>
      <c r="X307" s="124"/>
      <c r="Y307" s="124"/>
      <c r="Z307" s="112"/>
      <c r="AA307" s="112"/>
      <c r="AB307" s="112"/>
      <c r="AC307" s="112"/>
      <c r="AD307" s="112"/>
      <c r="AE307" s="112"/>
      <c r="AF307" s="112"/>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row>
    <row r="308">
      <c r="D308" s="143"/>
      <c r="E308" s="129"/>
      <c r="F308" s="112"/>
      <c r="G308" s="112"/>
      <c r="H308" s="112"/>
      <c r="I308" s="112"/>
      <c r="J308" s="112"/>
      <c r="K308" s="112"/>
      <c r="L308" s="112"/>
      <c r="M308" s="112"/>
      <c r="N308" s="112"/>
      <c r="O308" s="112"/>
      <c r="P308" s="112"/>
      <c r="Q308" s="112"/>
      <c r="R308" s="112"/>
      <c r="S308" s="112"/>
      <c r="T308" s="112"/>
      <c r="U308" s="124"/>
      <c r="V308" s="124"/>
      <c r="W308" s="124"/>
      <c r="X308" s="124"/>
      <c r="Y308" s="124"/>
      <c r="Z308" s="112"/>
      <c r="AA308" s="112"/>
      <c r="AB308" s="112"/>
      <c r="AC308" s="112"/>
      <c r="AD308" s="112"/>
      <c r="AE308" s="112"/>
      <c r="AF308" s="112"/>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row>
    <row r="309">
      <c r="D309" s="143"/>
      <c r="E309" s="129"/>
      <c r="F309" s="112"/>
      <c r="G309" s="112"/>
      <c r="H309" s="112"/>
      <c r="I309" s="112"/>
      <c r="J309" s="112"/>
      <c r="K309" s="112"/>
      <c r="L309" s="112"/>
      <c r="M309" s="112"/>
      <c r="N309" s="112"/>
      <c r="O309" s="112"/>
      <c r="P309" s="112"/>
      <c r="Q309" s="112"/>
      <c r="R309" s="112"/>
      <c r="S309" s="112"/>
      <c r="T309" s="112"/>
      <c r="U309" s="124"/>
      <c r="V309" s="124"/>
      <c r="W309" s="124"/>
      <c r="X309" s="124"/>
      <c r="Y309" s="124"/>
      <c r="Z309" s="112"/>
      <c r="AA309" s="112"/>
      <c r="AB309" s="112"/>
      <c r="AC309" s="112"/>
      <c r="AD309" s="112"/>
      <c r="AE309" s="112"/>
      <c r="AF309" s="112"/>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row>
    <row r="310">
      <c r="D310" s="143"/>
      <c r="E310" s="129"/>
      <c r="F310" s="112"/>
      <c r="G310" s="112"/>
      <c r="H310" s="112"/>
      <c r="I310" s="112"/>
      <c r="J310" s="112"/>
      <c r="K310" s="112"/>
      <c r="L310" s="112"/>
      <c r="M310" s="112"/>
      <c r="N310" s="112"/>
      <c r="O310" s="112"/>
      <c r="P310" s="112"/>
      <c r="Q310" s="112"/>
      <c r="R310" s="112"/>
      <c r="S310" s="112"/>
      <c r="T310" s="112"/>
      <c r="U310" s="124"/>
      <c r="V310" s="124"/>
      <c r="W310" s="124"/>
      <c r="X310" s="124"/>
      <c r="Y310" s="124"/>
      <c r="Z310" s="112"/>
      <c r="AA310" s="112"/>
      <c r="AB310" s="112"/>
      <c r="AC310" s="112"/>
      <c r="AD310" s="112"/>
      <c r="AE310" s="112"/>
      <c r="AF310" s="112"/>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124"/>
      <c r="BO310" s="124"/>
      <c r="BP310" s="124"/>
      <c r="BQ310" s="124"/>
      <c r="BR310" s="124"/>
      <c r="BS310" s="124"/>
      <c r="BT310" s="124"/>
      <c r="BU310" s="124"/>
      <c r="BV310" s="124"/>
      <c r="BW310" s="124"/>
      <c r="BX310" s="124"/>
      <c r="BY310" s="124"/>
      <c r="BZ310" s="124"/>
      <c r="CA310" s="124"/>
    </row>
    <row r="311">
      <c r="D311" s="143"/>
      <c r="E311" s="129"/>
      <c r="F311" s="112"/>
      <c r="G311" s="112"/>
      <c r="H311" s="112"/>
      <c r="I311" s="112"/>
      <c r="J311" s="112"/>
      <c r="K311" s="112"/>
      <c r="L311" s="112"/>
      <c r="M311" s="112"/>
      <c r="N311" s="112"/>
      <c r="O311" s="112"/>
      <c r="P311" s="112"/>
      <c r="Q311" s="112"/>
      <c r="R311" s="112"/>
      <c r="S311" s="112"/>
      <c r="T311" s="112"/>
      <c r="U311" s="124"/>
      <c r="V311" s="124"/>
      <c r="W311" s="124"/>
      <c r="X311" s="124"/>
      <c r="Y311" s="124"/>
      <c r="Z311" s="112"/>
      <c r="AA311" s="112"/>
      <c r="AB311" s="112"/>
      <c r="AC311" s="112"/>
      <c r="AD311" s="112"/>
      <c r="AE311" s="112"/>
      <c r="AF311" s="112"/>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c r="BK311" s="124"/>
      <c r="BL311" s="124"/>
      <c r="BM311" s="124"/>
      <c r="BN311" s="124"/>
      <c r="BO311" s="124"/>
      <c r="BP311" s="124"/>
      <c r="BQ311" s="124"/>
      <c r="BR311" s="124"/>
      <c r="BS311" s="124"/>
      <c r="BT311" s="124"/>
      <c r="BU311" s="124"/>
      <c r="BV311" s="124"/>
      <c r="BW311" s="124"/>
      <c r="BX311" s="124"/>
      <c r="BY311" s="124"/>
      <c r="BZ311" s="124"/>
      <c r="CA311" s="124"/>
    </row>
    <row r="312">
      <c r="D312" s="143"/>
      <c r="E312" s="129"/>
      <c r="F312" s="112"/>
      <c r="G312" s="112"/>
      <c r="H312" s="112"/>
      <c r="I312" s="112"/>
      <c r="J312" s="112"/>
      <c r="K312" s="112"/>
      <c r="L312" s="112"/>
      <c r="M312" s="112"/>
      <c r="N312" s="112"/>
      <c r="O312" s="112"/>
      <c r="P312" s="112"/>
      <c r="Q312" s="112"/>
      <c r="R312" s="112"/>
      <c r="S312" s="112"/>
      <c r="T312" s="112"/>
      <c r="U312" s="124"/>
      <c r="V312" s="124"/>
      <c r="W312" s="124"/>
      <c r="X312" s="124"/>
      <c r="Y312" s="124"/>
      <c r="Z312" s="112"/>
      <c r="AA312" s="112"/>
      <c r="AB312" s="112"/>
      <c r="AC312" s="112"/>
      <c r="AD312" s="112"/>
      <c r="AE312" s="112"/>
      <c r="AF312" s="112"/>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124"/>
      <c r="BO312" s="124"/>
      <c r="BP312" s="124"/>
      <c r="BQ312" s="124"/>
      <c r="BR312" s="124"/>
      <c r="BS312" s="124"/>
      <c r="BT312" s="124"/>
      <c r="BU312" s="124"/>
      <c r="BV312" s="124"/>
      <c r="BW312" s="124"/>
      <c r="BX312" s="124"/>
      <c r="BY312" s="124"/>
      <c r="BZ312" s="124"/>
      <c r="CA312" s="124"/>
    </row>
    <row r="313">
      <c r="D313" s="143"/>
      <c r="E313" s="129"/>
      <c r="F313" s="112"/>
      <c r="G313" s="112"/>
      <c r="H313" s="112"/>
      <c r="I313" s="112"/>
      <c r="J313" s="112"/>
      <c r="K313" s="112"/>
      <c r="L313" s="112"/>
      <c r="M313" s="112"/>
      <c r="N313" s="112"/>
      <c r="O313" s="112"/>
      <c r="P313" s="112"/>
      <c r="Q313" s="112"/>
      <c r="R313" s="112"/>
      <c r="S313" s="112"/>
      <c r="T313" s="112"/>
      <c r="U313" s="124"/>
      <c r="V313" s="124"/>
      <c r="W313" s="124"/>
      <c r="X313" s="124"/>
      <c r="Y313" s="124"/>
      <c r="Z313" s="112"/>
      <c r="AA313" s="112"/>
      <c r="AB313" s="112"/>
      <c r="AC313" s="112"/>
      <c r="AD313" s="112"/>
      <c r="AE313" s="112"/>
      <c r="AF313" s="112"/>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124"/>
      <c r="BO313" s="124"/>
      <c r="BP313" s="124"/>
      <c r="BQ313" s="124"/>
      <c r="BR313" s="124"/>
      <c r="BS313" s="124"/>
      <c r="BT313" s="124"/>
      <c r="BU313" s="124"/>
      <c r="BV313" s="124"/>
      <c r="BW313" s="124"/>
      <c r="BX313" s="124"/>
      <c r="BY313" s="124"/>
      <c r="BZ313" s="124"/>
      <c r="CA313" s="124"/>
    </row>
    <row r="314">
      <c r="D314" s="143"/>
      <c r="E314" s="129"/>
      <c r="F314" s="112"/>
      <c r="G314" s="112"/>
      <c r="H314" s="112"/>
      <c r="I314" s="112"/>
      <c r="J314" s="112"/>
      <c r="K314" s="112"/>
      <c r="L314" s="112"/>
      <c r="M314" s="112"/>
      <c r="N314" s="112"/>
      <c r="O314" s="112"/>
      <c r="P314" s="112"/>
      <c r="Q314" s="112"/>
      <c r="R314" s="112"/>
      <c r="S314" s="112"/>
      <c r="T314" s="112"/>
      <c r="U314" s="124"/>
      <c r="V314" s="124"/>
      <c r="W314" s="124"/>
      <c r="X314" s="124"/>
      <c r="Y314" s="124"/>
      <c r="Z314" s="112"/>
      <c r="AA314" s="112"/>
      <c r="AB314" s="112"/>
      <c r="AC314" s="112"/>
      <c r="AD314" s="112"/>
      <c r="AE314" s="112"/>
      <c r="AF314" s="112"/>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row>
    <row r="315">
      <c r="D315" s="143"/>
      <c r="E315" s="129"/>
      <c r="F315" s="112"/>
      <c r="G315" s="112"/>
      <c r="H315" s="112"/>
      <c r="I315" s="112"/>
      <c r="J315" s="112"/>
      <c r="K315" s="112"/>
      <c r="L315" s="112"/>
      <c r="M315" s="112"/>
      <c r="N315" s="112"/>
      <c r="O315" s="112"/>
      <c r="P315" s="112"/>
      <c r="Q315" s="112"/>
      <c r="R315" s="112"/>
      <c r="S315" s="112"/>
      <c r="T315" s="112"/>
      <c r="U315" s="124"/>
      <c r="V315" s="124"/>
      <c r="W315" s="124"/>
      <c r="X315" s="124"/>
      <c r="Y315" s="124"/>
      <c r="Z315" s="112"/>
      <c r="AA315" s="112"/>
      <c r="AB315" s="112"/>
      <c r="AC315" s="112"/>
      <c r="AD315" s="112"/>
      <c r="AE315" s="112"/>
      <c r="AF315" s="112"/>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row>
    <row r="316">
      <c r="D316" s="143"/>
      <c r="E316" s="129"/>
      <c r="F316" s="112"/>
      <c r="G316" s="112"/>
      <c r="H316" s="112"/>
      <c r="I316" s="112"/>
      <c r="J316" s="112"/>
      <c r="K316" s="112"/>
      <c r="L316" s="112"/>
      <c r="M316" s="112"/>
      <c r="N316" s="112"/>
      <c r="O316" s="112"/>
      <c r="P316" s="112"/>
      <c r="Q316" s="112"/>
      <c r="R316" s="112"/>
      <c r="S316" s="112"/>
      <c r="T316" s="112"/>
      <c r="U316" s="124"/>
      <c r="V316" s="124"/>
      <c r="W316" s="124"/>
      <c r="X316" s="124"/>
      <c r="Y316" s="124"/>
      <c r="Z316" s="112"/>
      <c r="AA316" s="112"/>
      <c r="AB316" s="112"/>
      <c r="AC316" s="112"/>
      <c r="AD316" s="112"/>
      <c r="AE316" s="112"/>
      <c r="AF316" s="112"/>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124"/>
      <c r="BO316" s="124"/>
      <c r="BP316" s="124"/>
      <c r="BQ316" s="124"/>
      <c r="BR316" s="124"/>
      <c r="BS316" s="124"/>
      <c r="BT316" s="124"/>
      <c r="BU316" s="124"/>
      <c r="BV316" s="124"/>
      <c r="BW316" s="124"/>
      <c r="BX316" s="124"/>
      <c r="BY316" s="124"/>
      <c r="BZ316" s="124"/>
      <c r="CA316" s="124"/>
    </row>
    <row r="317">
      <c r="D317" s="143"/>
      <c r="E317" s="129"/>
      <c r="F317" s="112"/>
      <c r="G317" s="112"/>
      <c r="H317" s="112"/>
      <c r="I317" s="112"/>
      <c r="J317" s="112"/>
      <c r="K317" s="112"/>
      <c r="L317" s="112"/>
      <c r="M317" s="112"/>
      <c r="N317" s="112"/>
      <c r="O317" s="112"/>
      <c r="P317" s="112"/>
      <c r="Q317" s="112"/>
      <c r="R317" s="112"/>
      <c r="S317" s="112"/>
      <c r="T317" s="112"/>
      <c r="U317" s="124"/>
      <c r="V317" s="124"/>
      <c r="W317" s="124"/>
      <c r="X317" s="124"/>
      <c r="Y317" s="124"/>
      <c r="Z317" s="112"/>
      <c r="AA317" s="112"/>
      <c r="AB317" s="112"/>
      <c r="AC317" s="112"/>
      <c r="AD317" s="112"/>
      <c r="AE317" s="112"/>
      <c r="AF317" s="112"/>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124"/>
      <c r="BO317" s="124"/>
      <c r="BP317" s="124"/>
      <c r="BQ317" s="124"/>
      <c r="BR317" s="124"/>
      <c r="BS317" s="124"/>
      <c r="BT317" s="124"/>
      <c r="BU317" s="124"/>
      <c r="BV317" s="124"/>
      <c r="BW317" s="124"/>
      <c r="BX317" s="124"/>
      <c r="BY317" s="124"/>
      <c r="BZ317" s="124"/>
      <c r="CA317" s="124"/>
    </row>
    <row r="318">
      <c r="D318" s="143"/>
      <c r="E318" s="129"/>
      <c r="F318" s="112"/>
      <c r="G318" s="112"/>
      <c r="H318" s="112"/>
      <c r="I318" s="112"/>
      <c r="J318" s="112"/>
      <c r="K318" s="112"/>
      <c r="L318" s="112"/>
      <c r="M318" s="112"/>
      <c r="N318" s="112"/>
      <c r="O318" s="112"/>
      <c r="P318" s="112"/>
      <c r="Q318" s="112"/>
      <c r="R318" s="112"/>
      <c r="S318" s="112"/>
      <c r="T318" s="112"/>
      <c r="U318" s="124"/>
      <c r="V318" s="124"/>
      <c r="W318" s="124"/>
      <c r="X318" s="124"/>
      <c r="Y318" s="124"/>
      <c r="Z318" s="112"/>
      <c r="AA318" s="112"/>
      <c r="AB318" s="112"/>
      <c r="AC318" s="112"/>
      <c r="AD318" s="112"/>
      <c r="AE318" s="112"/>
      <c r="AF318" s="112"/>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c r="BK318" s="124"/>
      <c r="BL318" s="124"/>
      <c r="BM318" s="124"/>
      <c r="BN318" s="124"/>
      <c r="BO318" s="124"/>
      <c r="BP318" s="124"/>
      <c r="BQ318" s="124"/>
      <c r="BR318" s="124"/>
      <c r="BS318" s="124"/>
      <c r="BT318" s="124"/>
      <c r="BU318" s="124"/>
      <c r="BV318" s="124"/>
      <c r="BW318" s="124"/>
      <c r="BX318" s="124"/>
      <c r="BY318" s="124"/>
      <c r="BZ318" s="124"/>
      <c r="CA318" s="124"/>
    </row>
    <row r="319">
      <c r="D319" s="143"/>
      <c r="E319" s="129"/>
      <c r="F319" s="112"/>
      <c r="G319" s="112"/>
      <c r="H319" s="112"/>
      <c r="I319" s="112"/>
      <c r="J319" s="112"/>
      <c r="K319" s="112"/>
      <c r="L319" s="112"/>
      <c r="M319" s="112"/>
      <c r="N319" s="112"/>
      <c r="O319" s="112"/>
      <c r="P319" s="112"/>
      <c r="Q319" s="112"/>
      <c r="R319" s="112"/>
      <c r="S319" s="112"/>
      <c r="T319" s="112"/>
      <c r="U319" s="124"/>
      <c r="V319" s="124"/>
      <c r="W319" s="124"/>
      <c r="X319" s="124"/>
      <c r="Y319" s="124"/>
      <c r="Z319" s="112"/>
      <c r="AA319" s="112"/>
      <c r="AB319" s="112"/>
      <c r="AC319" s="112"/>
      <c r="AD319" s="112"/>
      <c r="AE319" s="112"/>
      <c r="AF319" s="112"/>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124"/>
      <c r="BO319" s="124"/>
      <c r="BP319" s="124"/>
      <c r="BQ319" s="124"/>
      <c r="BR319" s="124"/>
      <c r="BS319" s="124"/>
      <c r="BT319" s="124"/>
      <c r="BU319" s="124"/>
      <c r="BV319" s="124"/>
      <c r="BW319" s="124"/>
      <c r="BX319" s="124"/>
      <c r="BY319" s="124"/>
      <c r="BZ319" s="124"/>
      <c r="CA319" s="124"/>
    </row>
    <row r="320">
      <c r="D320" s="143"/>
      <c r="E320" s="129"/>
      <c r="F320" s="112"/>
      <c r="G320" s="112"/>
      <c r="H320" s="112"/>
      <c r="I320" s="112"/>
      <c r="J320" s="112"/>
      <c r="K320" s="112"/>
      <c r="L320" s="112"/>
      <c r="M320" s="112"/>
      <c r="N320" s="112"/>
      <c r="O320" s="112"/>
      <c r="P320" s="112"/>
      <c r="Q320" s="112"/>
      <c r="R320" s="112"/>
      <c r="S320" s="112"/>
      <c r="T320" s="112"/>
      <c r="U320" s="124"/>
      <c r="V320" s="124"/>
      <c r="W320" s="124"/>
      <c r="X320" s="124"/>
      <c r="Y320" s="124"/>
      <c r="Z320" s="112"/>
      <c r="AA320" s="112"/>
      <c r="AB320" s="112"/>
      <c r="AC320" s="112"/>
      <c r="AD320" s="112"/>
      <c r="AE320" s="112"/>
      <c r="AF320" s="112"/>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row>
    <row r="321">
      <c r="D321" s="143"/>
      <c r="E321" s="129"/>
      <c r="F321" s="112"/>
      <c r="G321" s="112"/>
      <c r="H321" s="112"/>
      <c r="I321" s="112"/>
      <c r="J321" s="112"/>
      <c r="K321" s="112"/>
      <c r="L321" s="112"/>
      <c r="M321" s="112"/>
      <c r="N321" s="112"/>
      <c r="O321" s="112"/>
      <c r="P321" s="112"/>
      <c r="Q321" s="112"/>
      <c r="R321" s="112"/>
      <c r="S321" s="112"/>
      <c r="T321" s="112"/>
      <c r="U321" s="124"/>
      <c r="V321" s="124"/>
      <c r="W321" s="124"/>
      <c r="X321" s="124"/>
      <c r="Y321" s="124"/>
      <c r="Z321" s="112"/>
      <c r="AA321" s="112"/>
      <c r="AB321" s="112"/>
      <c r="AC321" s="112"/>
      <c r="AD321" s="112"/>
      <c r="AE321" s="112"/>
      <c r="AF321" s="112"/>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c r="BZ321" s="124"/>
      <c r="CA321" s="124"/>
    </row>
    <row r="322">
      <c r="D322" s="143"/>
      <c r="E322" s="129"/>
      <c r="F322" s="112"/>
      <c r="G322" s="112"/>
      <c r="H322" s="112"/>
      <c r="I322" s="112"/>
      <c r="J322" s="112"/>
      <c r="K322" s="112"/>
      <c r="L322" s="112"/>
      <c r="M322" s="112"/>
      <c r="N322" s="112"/>
      <c r="O322" s="112"/>
      <c r="P322" s="112"/>
      <c r="Q322" s="112"/>
      <c r="R322" s="112"/>
      <c r="S322" s="112"/>
      <c r="T322" s="112"/>
      <c r="U322" s="124"/>
      <c r="V322" s="124"/>
      <c r="W322" s="124"/>
      <c r="X322" s="124"/>
      <c r="Y322" s="124"/>
      <c r="Z322" s="112"/>
      <c r="AA322" s="112"/>
      <c r="AB322" s="112"/>
      <c r="AC322" s="112"/>
      <c r="AD322" s="112"/>
      <c r="AE322" s="112"/>
      <c r="AF322" s="112"/>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124"/>
      <c r="BO322" s="124"/>
      <c r="BP322" s="124"/>
      <c r="BQ322" s="124"/>
      <c r="BR322" s="124"/>
      <c r="BS322" s="124"/>
      <c r="BT322" s="124"/>
      <c r="BU322" s="124"/>
      <c r="BV322" s="124"/>
      <c r="BW322" s="124"/>
      <c r="BX322" s="124"/>
      <c r="BY322" s="124"/>
      <c r="BZ322" s="124"/>
      <c r="CA322" s="124"/>
    </row>
    <row r="323">
      <c r="D323" s="143"/>
      <c r="E323" s="129"/>
      <c r="F323" s="112"/>
      <c r="G323" s="112"/>
      <c r="H323" s="112"/>
      <c r="I323" s="112"/>
      <c r="J323" s="112"/>
      <c r="K323" s="112"/>
      <c r="L323" s="112"/>
      <c r="M323" s="112"/>
      <c r="N323" s="112"/>
      <c r="O323" s="112"/>
      <c r="P323" s="112"/>
      <c r="Q323" s="112"/>
      <c r="R323" s="112"/>
      <c r="S323" s="112"/>
      <c r="T323" s="112"/>
      <c r="U323" s="124"/>
      <c r="V323" s="124"/>
      <c r="W323" s="124"/>
      <c r="X323" s="124"/>
      <c r="Y323" s="124"/>
      <c r="Z323" s="112"/>
      <c r="AA323" s="112"/>
      <c r="AB323" s="112"/>
      <c r="AC323" s="112"/>
      <c r="AD323" s="112"/>
      <c r="AE323" s="112"/>
      <c r="AF323" s="112"/>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4"/>
      <c r="BR323" s="124"/>
      <c r="BS323" s="124"/>
      <c r="BT323" s="124"/>
      <c r="BU323" s="124"/>
      <c r="BV323" s="124"/>
      <c r="BW323" s="124"/>
      <c r="BX323" s="124"/>
      <c r="BY323" s="124"/>
      <c r="BZ323" s="124"/>
      <c r="CA323" s="124"/>
    </row>
    <row r="324">
      <c r="D324" s="143"/>
      <c r="E324" s="129"/>
      <c r="F324" s="112"/>
      <c r="G324" s="112"/>
      <c r="H324" s="112"/>
      <c r="I324" s="112"/>
      <c r="J324" s="112"/>
      <c r="K324" s="112"/>
      <c r="L324" s="112"/>
      <c r="M324" s="112"/>
      <c r="N324" s="112"/>
      <c r="O324" s="112"/>
      <c r="P324" s="112"/>
      <c r="Q324" s="112"/>
      <c r="R324" s="112"/>
      <c r="S324" s="112"/>
      <c r="T324" s="112"/>
      <c r="U324" s="124"/>
      <c r="V324" s="124"/>
      <c r="W324" s="124"/>
      <c r="X324" s="124"/>
      <c r="Y324" s="124"/>
      <c r="Z324" s="112"/>
      <c r="AA324" s="112"/>
      <c r="AB324" s="112"/>
      <c r="AC324" s="112"/>
      <c r="AD324" s="112"/>
      <c r="AE324" s="112"/>
      <c r="AF324" s="112"/>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124"/>
      <c r="BO324" s="124"/>
      <c r="BP324" s="124"/>
      <c r="BQ324" s="124"/>
      <c r="BR324" s="124"/>
      <c r="BS324" s="124"/>
      <c r="BT324" s="124"/>
      <c r="BU324" s="124"/>
      <c r="BV324" s="124"/>
      <c r="BW324" s="124"/>
      <c r="BX324" s="124"/>
      <c r="BY324" s="124"/>
      <c r="BZ324" s="124"/>
      <c r="CA324" s="124"/>
    </row>
    <row r="325">
      <c r="D325" s="143"/>
      <c r="E325" s="129"/>
      <c r="F325" s="112"/>
      <c r="G325" s="112"/>
      <c r="H325" s="112"/>
      <c r="I325" s="112"/>
      <c r="J325" s="112"/>
      <c r="K325" s="112"/>
      <c r="L325" s="112"/>
      <c r="M325" s="112"/>
      <c r="N325" s="112"/>
      <c r="O325" s="112"/>
      <c r="P325" s="112"/>
      <c r="Q325" s="112"/>
      <c r="R325" s="112"/>
      <c r="S325" s="112"/>
      <c r="T325" s="112"/>
      <c r="U325" s="124"/>
      <c r="V325" s="124"/>
      <c r="W325" s="124"/>
      <c r="X325" s="124"/>
      <c r="Y325" s="124"/>
      <c r="Z325" s="112"/>
      <c r="AA325" s="112"/>
      <c r="AB325" s="112"/>
      <c r="AC325" s="112"/>
      <c r="AD325" s="112"/>
      <c r="AE325" s="112"/>
      <c r="AF325" s="112"/>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c r="BK325" s="124"/>
      <c r="BL325" s="124"/>
      <c r="BM325" s="124"/>
      <c r="BN325" s="124"/>
      <c r="BO325" s="124"/>
      <c r="BP325" s="124"/>
      <c r="BQ325" s="124"/>
      <c r="BR325" s="124"/>
      <c r="BS325" s="124"/>
      <c r="BT325" s="124"/>
      <c r="BU325" s="124"/>
      <c r="BV325" s="124"/>
      <c r="BW325" s="124"/>
      <c r="BX325" s="124"/>
      <c r="BY325" s="124"/>
      <c r="BZ325" s="124"/>
      <c r="CA325" s="124"/>
    </row>
    <row r="326">
      <c r="D326" s="143"/>
      <c r="E326" s="129"/>
      <c r="F326" s="112"/>
      <c r="G326" s="112"/>
      <c r="H326" s="112"/>
      <c r="I326" s="112"/>
      <c r="J326" s="112"/>
      <c r="K326" s="112"/>
      <c r="L326" s="112"/>
      <c r="M326" s="112"/>
      <c r="N326" s="112"/>
      <c r="O326" s="112"/>
      <c r="P326" s="112"/>
      <c r="Q326" s="112"/>
      <c r="R326" s="112"/>
      <c r="S326" s="112"/>
      <c r="T326" s="112"/>
      <c r="U326" s="124"/>
      <c r="V326" s="124"/>
      <c r="W326" s="124"/>
      <c r="X326" s="124"/>
      <c r="Y326" s="124"/>
      <c r="Z326" s="112"/>
      <c r="AA326" s="112"/>
      <c r="AB326" s="112"/>
      <c r="AC326" s="112"/>
      <c r="AD326" s="112"/>
      <c r="AE326" s="112"/>
      <c r="AF326" s="112"/>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row>
    <row r="327">
      <c r="D327" s="143"/>
      <c r="E327" s="129"/>
      <c r="F327" s="112"/>
      <c r="G327" s="112"/>
      <c r="H327" s="112"/>
      <c r="I327" s="112"/>
      <c r="J327" s="112"/>
      <c r="K327" s="112"/>
      <c r="L327" s="112"/>
      <c r="M327" s="112"/>
      <c r="N327" s="112"/>
      <c r="O327" s="112"/>
      <c r="P327" s="112"/>
      <c r="Q327" s="112"/>
      <c r="R327" s="112"/>
      <c r="S327" s="112"/>
      <c r="T327" s="112"/>
      <c r="U327" s="124"/>
      <c r="V327" s="124"/>
      <c r="W327" s="124"/>
      <c r="X327" s="124"/>
      <c r="Y327" s="124"/>
      <c r="Z327" s="112"/>
      <c r="AA327" s="112"/>
      <c r="AB327" s="112"/>
      <c r="AC327" s="112"/>
      <c r="AD327" s="112"/>
      <c r="AE327" s="112"/>
      <c r="AF327" s="112"/>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c r="BK327" s="124"/>
      <c r="BL327" s="124"/>
      <c r="BM327" s="124"/>
      <c r="BN327" s="124"/>
      <c r="BO327" s="124"/>
      <c r="BP327" s="124"/>
      <c r="BQ327" s="124"/>
      <c r="BR327" s="124"/>
      <c r="BS327" s="124"/>
      <c r="BT327" s="124"/>
      <c r="BU327" s="124"/>
      <c r="BV327" s="124"/>
      <c r="BW327" s="124"/>
      <c r="BX327" s="124"/>
      <c r="BY327" s="124"/>
      <c r="BZ327" s="124"/>
      <c r="CA327" s="124"/>
    </row>
    <row r="328">
      <c r="D328" s="143"/>
      <c r="E328" s="129"/>
      <c r="F328" s="112"/>
      <c r="G328" s="112"/>
      <c r="H328" s="112"/>
      <c r="I328" s="112"/>
      <c r="J328" s="112"/>
      <c r="K328" s="112"/>
      <c r="L328" s="112"/>
      <c r="M328" s="112"/>
      <c r="N328" s="112"/>
      <c r="O328" s="112"/>
      <c r="P328" s="112"/>
      <c r="Q328" s="112"/>
      <c r="R328" s="112"/>
      <c r="S328" s="112"/>
      <c r="T328" s="112"/>
      <c r="U328" s="124"/>
      <c r="V328" s="124"/>
      <c r="W328" s="124"/>
      <c r="X328" s="124"/>
      <c r="Y328" s="124"/>
      <c r="Z328" s="112"/>
      <c r="AA328" s="112"/>
      <c r="AB328" s="112"/>
      <c r="AC328" s="112"/>
      <c r="AD328" s="112"/>
      <c r="AE328" s="112"/>
      <c r="AF328" s="112"/>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124"/>
      <c r="BO328" s="124"/>
      <c r="BP328" s="124"/>
      <c r="BQ328" s="124"/>
      <c r="BR328" s="124"/>
      <c r="BS328" s="124"/>
      <c r="BT328" s="124"/>
      <c r="BU328" s="124"/>
      <c r="BV328" s="124"/>
      <c r="BW328" s="124"/>
      <c r="BX328" s="124"/>
      <c r="BY328" s="124"/>
      <c r="BZ328" s="124"/>
      <c r="CA328" s="124"/>
    </row>
    <row r="329">
      <c r="D329" s="143"/>
      <c r="E329" s="129"/>
      <c r="F329" s="112"/>
      <c r="G329" s="112"/>
      <c r="H329" s="112"/>
      <c r="I329" s="112"/>
      <c r="J329" s="112"/>
      <c r="K329" s="112"/>
      <c r="L329" s="112"/>
      <c r="M329" s="112"/>
      <c r="N329" s="112"/>
      <c r="O329" s="112"/>
      <c r="P329" s="112"/>
      <c r="Q329" s="112"/>
      <c r="R329" s="112"/>
      <c r="S329" s="112"/>
      <c r="T329" s="112"/>
      <c r="U329" s="124"/>
      <c r="V329" s="124"/>
      <c r="W329" s="124"/>
      <c r="X329" s="124"/>
      <c r="Y329" s="124"/>
      <c r="Z329" s="112"/>
      <c r="AA329" s="112"/>
      <c r="AB329" s="112"/>
      <c r="AC329" s="112"/>
      <c r="AD329" s="112"/>
      <c r="AE329" s="112"/>
      <c r="AF329" s="112"/>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row>
    <row r="330">
      <c r="D330" s="143"/>
      <c r="E330" s="129"/>
      <c r="F330" s="112"/>
      <c r="G330" s="112"/>
      <c r="H330" s="112"/>
      <c r="I330" s="112"/>
      <c r="J330" s="112"/>
      <c r="K330" s="112"/>
      <c r="L330" s="112"/>
      <c r="M330" s="112"/>
      <c r="N330" s="112"/>
      <c r="O330" s="112"/>
      <c r="P330" s="112"/>
      <c r="Q330" s="112"/>
      <c r="R330" s="112"/>
      <c r="S330" s="112"/>
      <c r="T330" s="112"/>
      <c r="U330" s="124"/>
      <c r="V330" s="124"/>
      <c r="W330" s="124"/>
      <c r="X330" s="124"/>
      <c r="Y330" s="124"/>
      <c r="Z330" s="112"/>
      <c r="AA330" s="112"/>
      <c r="AB330" s="112"/>
      <c r="AC330" s="112"/>
      <c r="AD330" s="112"/>
      <c r="AE330" s="112"/>
      <c r="AF330" s="112"/>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124"/>
      <c r="BO330" s="124"/>
      <c r="BP330" s="124"/>
      <c r="BQ330" s="124"/>
      <c r="BR330" s="124"/>
      <c r="BS330" s="124"/>
      <c r="BT330" s="124"/>
      <c r="BU330" s="124"/>
      <c r="BV330" s="124"/>
      <c r="BW330" s="124"/>
      <c r="BX330" s="124"/>
      <c r="BY330" s="124"/>
      <c r="BZ330" s="124"/>
      <c r="CA330" s="124"/>
    </row>
    <row r="331">
      <c r="D331" s="143"/>
      <c r="E331" s="129"/>
      <c r="F331" s="112"/>
      <c r="G331" s="112"/>
      <c r="H331" s="112"/>
      <c r="I331" s="112"/>
      <c r="J331" s="112"/>
      <c r="K331" s="112"/>
      <c r="L331" s="112"/>
      <c r="M331" s="112"/>
      <c r="N331" s="112"/>
      <c r="O331" s="112"/>
      <c r="P331" s="112"/>
      <c r="Q331" s="112"/>
      <c r="R331" s="112"/>
      <c r="S331" s="112"/>
      <c r="T331" s="112"/>
      <c r="U331" s="124"/>
      <c r="V331" s="124"/>
      <c r="W331" s="124"/>
      <c r="X331" s="124"/>
      <c r="Y331" s="124"/>
      <c r="Z331" s="112"/>
      <c r="AA331" s="112"/>
      <c r="AB331" s="112"/>
      <c r="AC331" s="112"/>
      <c r="AD331" s="112"/>
      <c r="AE331" s="112"/>
      <c r="AF331" s="112"/>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c r="BK331" s="124"/>
      <c r="BL331" s="124"/>
      <c r="BM331" s="124"/>
      <c r="BN331" s="124"/>
      <c r="BO331" s="124"/>
      <c r="BP331" s="124"/>
      <c r="BQ331" s="124"/>
      <c r="BR331" s="124"/>
      <c r="BS331" s="124"/>
      <c r="BT331" s="124"/>
      <c r="BU331" s="124"/>
      <c r="BV331" s="124"/>
      <c r="BW331" s="124"/>
      <c r="BX331" s="124"/>
      <c r="BY331" s="124"/>
      <c r="BZ331" s="124"/>
      <c r="CA331" s="124"/>
    </row>
    <row r="332">
      <c r="D332" s="143"/>
      <c r="E332" s="129"/>
      <c r="F332" s="112"/>
      <c r="G332" s="112"/>
      <c r="H332" s="112"/>
      <c r="I332" s="112"/>
      <c r="J332" s="112"/>
      <c r="K332" s="112"/>
      <c r="L332" s="112"/>
      <c r="M332" s="112"/>
      <c r="N332" s="112"/>
      <c r="O332" s="112"/>
      <c r="P332" s="112"/>
      <c r="Q332" s="112"/>
      <c r="R332" s="112"/>
      <c r="S332" s="112"/>
      <c r="T332" s="112"/>
      <c r="U332" s="124"/>
      <c r="V332" s="124"/>
      <c r="W332" s="124"/>
      <c r="X332" s="124"/>
      <c r="Y332" s="124"/>
      <c r="Z332" s="112"/>
      <c r="AA332" s="112"/>
      <c r="AB332" s="112"/>
      <c r="AC332" s="112"/>
      <c r="AD332" s="112"/>
      <c r="AE332" s="112"/>
      <c r="AF332" s="112"/>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row>
    <row r="333">
      <c r="D333" s="143"/>
      <c r="E333" s="129"/>
      <c r="F333" s="112"/>
      <c r="G333" s="112"/>
      <c r="H333" s="112"/>
      <c r="I333" s="112"/>
      <c r="J333" s="112"/>
      <c r="K333" s="112"/>
      <c r="L333" s="112"/>
      <c r="M333" s="112"/>
      <c r="N333" s="112"/>
      <c r="O333" s="112"/>
      <c r="P333" s="112"/>
      <c r="Q333" s="112"/>
      <c r="R333" s="112"/>
      <c r="S333" s="112"/>
      <c r="T333" s="112"/>
      <c r="U333" s="124"/>
      <c r="V333" s="124"/>
      <c r="W333" s="124"/>
      <c r="X333" s="124"/>
      <c r="Y333" s="124"/>
      <c r="Z333" s="112"/>
      <c r="AA333" s="112"/>
      <c r="AB333" s="112"/>
      <c r="AC333" s="112"/>
      <c r="AD333" s="112"/>
      <c r="AE333" s="112"/>
      <c r="AF333" s="112"/>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c r="BK333" s="124"/>
      <c r="BL333" s="124"/>
      <c r="BM333" s="124"/>
      <c r="BN333" s="124"/>
      <c r="BO333" s="124"/>
      <c r="BP333" s="124"/>
      <c r="BQ333" s="124"/>
      <c r="BR333" s="124"/>
      <c r="BS333" s="124"/>
      <c r="BT333" s="124"/>
      <c r="BU333" s="124"/>
      <c r="BV333" s="124"/>
      <c r="BW333" s="124"/>
      <c r="BX333" s="124"/>
      <c r="BY333" s="124"/>
      <c r="BZ333" s="124"/>
      <c r="CA333" s="124"/>
    </row>
    <row r="334">
      <c r="D334" s="143"/>
      <c r="E334" s="129"/>
      <c r="F334" s="112"/>
      <c r="G334" s="112"/>
      <c r="H334" s="112"/>
      <c r="I334" s="112"/>
      <c r="J334" s="112"/>
      <c r="K334" s="112"/>
      <c r="L334" s="112"/>
      <c r="M334" s="112"/>
      <c r="N334" s="112"/>
      <c r="O334" s="112"/>
      <c r="P334" s="112"/>
      <c r="Q334" s="112"/>
      <c r="R334" s="112"/>
      <c r="S334" s="112"/>
      <c r="T334" s="112"/>
      <c r="U334" s="124"/>
      <c r="V334" s="124"/>
      <c r="W334" s="124"/>
      <c r="X334" s="124"/>
      <c r="Y334" s="124"/>
      <c r="Z334" s="112"/>
      <c r="AA334" s="112"/>
      <c r="AB334" s="112"/>
      <c r="AC334" s="112"/>
      <c r="AD334" s="112"/>
      <c r="AE334" s="112"/>
      <c r="AF334" s="112"/>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c r="BK334" s="124"/>
      <c r="BL334" s="124"/>
      <c r="BM334" s="124"/>
      <c r="BN334" s="124"/>
      <c r="BO334" s="124"/>
      <c r="BP334" s="124"/>
      <c r="BQ334" s="124"/>
      <c r="BR334" s="124"/>
      <c r="BS334" s="124"/>
      <c r="BT334" s="124"/>
      <c r="BU334" s="124"/>
      <c r="BV334" s="124"/>
      <c r="BW334" s="124"/>
      <c r="BX334" s="124"/>
      <c r="BY334" s="124"/>
      <c r="BZ334" s="124"/>
      <c r="CA334" s="124"/>
    </row>
    <row r="335">
      <c r="D335" s="143"/>
      <c r="E335" s="129"/>
      <c r="F335" s="112"/>
      <c r="G335" s="112"/>
      <c r="H335" s="112"/>
      <c r="I335" s="112"/>
      <c r="J335" s="112"/>
      <c r="K335" s="112"/>
      <c r="L335" s="112"/>
      <c r="M335" s="112"/>
      <c r="N335" s="112"/>
      <c r="O335" s="112"/>
      <c r="P335" s="112"/>
      <c r="Q335" s="112"/>
      <c r="R335" s="112"/>
      <c r="S335" s="112"/>
      <c r="T335" s="112"/>
      <c r="U335" s="124"/>
      <c r="V335" s="124"/>
      <c r="W335" s="124"/>
      <c r="X335" s="124"/>
      <c r="Y335" s="124"/>
      <c r="Z335" s="112"/>
      <c r="AA335" s="112"/>
      <c r="AB335" s="112"/>
      <c r="AC335" s="112"/>
      <c r="AD335" s="112"/>
      <c r="AE335" s="112"/>
      <c r="AF335" s="112"/>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c r="BK335" s="124"/>
      <c r="BL335" s="124"/>
      <c r="BM335" s="124"/>
      <c r="BN335" s="124"/>
      <c r="BO335" s="124"/>
      <c r="BP335" s="124"/>
      <c r="BQ335" s="124"/>
      <c r="BR335" s="124"/>
      <c r="BS335" s="124"/>
      <c r="BT335" s="124"/>
      <c r="BU335" s="124"/>
      <c r="BV335" s="124"/>
      <c r="BW335" s="124"/>
      <c r="BX335" s="124"/>
      <c r="BY335" s="124"/>
      <c r="BZ335" s="124"/>
      <c r="CA335" s="124"/>
    </row>
    <row r="336">
      <c r="D336" s="143"/>
      <c r="E336" s="129"/>
      <c r="F336" s="112"/>
      <c r="G336" s="112"/>
      <c r="H336" s="112"/>
      <c r="I336" s="112"/>
      <c r="J336" s="112"/>
      <c r="K336" s="112"/>
      <c r="L336" s="112"/>
      <c r="M336" s="112"/>
      <c r="N336" s="112"/>
      <c r="O336" s="112"/>
      <c r="P336" s="112"/>
      <c r="Q336" s="112"/>
      <c r="R336" s="112"/>
      <c r="S336" s="112"/>
      <c r="T336" s="112"/>
      <c r="U336" s="124"/>
      <c r="V336" s="124"/>
      <c r="W336" s="124"/>
      <c r="X336" s="124"/>
      <c r="Y336" s="124"/>
      <c r="Z336" s="112"/>
      <c r="AA336" s="112"/>
      <c r="AB336" s="112"/>
      <c r="AC336" s="112"/>
      <c r="AD336" s="112"/>
      <c r="AE336" s="112"/>
      <c r="AF336" s="112"/>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c r="BK336" s="124"/>
      <c r="BL336" s="124"/>
      <c r="BM336" s="124"/>
      <c r="BN336" s="124"/>
      <c r="BO336" s="124"/>
      <c r="BP336" s="124"/>
      <c r="BQ336" s="124"/>
      <c r="BR336" s="124"/>
      <c r="BS336" s="124"/>
      <c r="BT336" s="124"/>
      <c r="BU336" s="124"/>
      <c r="BV336" s="124"/>
      <c r="BW336" s="124"/>
      <c r="BX336" s="124"/>
      <c r="BY336" s="124"/>
      <c r="BZ336" s="124"/>
      <c r="CA336" s="124"/>
    </row>
    <row r="337">
      <c r="D337" s="143"/>
      <c r="E337" s="129"/>
      <c r="F337" s="112"/>
      <c r="G337" s="112"/>
      <c r="H337" s="112"/>
      <c r="I337" s="112"/>
      <c r="J337" s="112"/>
      <c r="K337" s="112"/>
      <c r="L337" s="112"/>
      <c r="M337" s="112"/>
      <c r="N337" s="112"/>
      <c r="O337" s="112"/>
      <c r="P337" s="112"/>
      <c r="Q337" s="112"/>
      <c r="R337" s="112"/>
      <c r="S337" s="112"/>
      <c r="T337" s="112"/>
      <c r="U337" s="124"/>
      <c r="V337" s="124"/>
      <c r="W337" s="124"/>
      <c r="X337" s="124"/>
      <c r="Y337" s="124"/>
      <c r="Z337" s="112"/>
      <c r="AA337" s="112"/>
      <c r="AB337" s="112"/>
      <c r="AC337" s="112"/>
      <c r="AD337" s="112"/>
      <c r="AE337" s="112"/>
      <c r="AF337" s="112"/>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c r="BK337" s="124"/>
      <c r="BL337" s="124"/>
      <c r="BM337" s="124"/>
      <c r="BN337" s="124"/>
      <c r="BO337" s="124"/>
      <c r="BP337" s="124"/>
      <c r="BQ337" s="124"/>
      <c r="BR337" s="124"/>
      <c r="BS337" s="124"/>
      <c r="BT337" s="124"/>
      <c r="BU337" s="124"/>
      <c r="BV337" s="124"/>
      <c r="BW337" s="124"/>
      <c r="BX337" s="124"/>
      <c r="BY337" s="124"/>
      <c r="BZ337" s="124"/>
      <c r="CA337" s="124"/>
    </row>
    <row r="338">
      <c r="D338" s="143"/>
      <c r="E338" s="129"/>
      <c r="F338" s="112"/>
      <c r="G338" s="112"/>
      <c r="H338" s="112"/>
      <c r="I338" s="112"/>
      <c r="J338" s="112"/>
      <c r="K338" s="112"/>
      <c r="L338" s="112"/>
      <c r="M338" s="112"/>
      <c r="N338" s="112"/>
      <c r="O338" s="112"/>
      <c r="P338" s="112"/>
      <c r="Q338" s="112"/>
      <c r="R338" s="112"/>
      <c r="S338" s="112"/>
      <c r="T338" s="112"/>
      <c r="U338" s="124"/>
      <c r="V338" s="124"/>
      <c r="W338" s="124"/>
      <c r="X338" s="124"/>
      <c r="Y338" s="124"/>
      <c r="Z338" s="112"/>
      <c r="AA338" s="112"/>
      <c r="AB338" s="112"/>
      <c r="AC338" s="112"/>
      <c r="AD338" s="112"/>
      <c r="AE338" s="112"/>
      <c r="AF338" s="112"/>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row>
    <row r="339">
      <c r="D339" s="143"/>
      <c r="E339" s="129"/>
      <c r="F339" s="112"/>
      <c r="G339" s="112"/>
      <c r="H339" s="112"/>
      <c r="I339" s="112"/>
      <c r="J339" s="112"/>
      <c r="K339" s="112"/>
      <c r="L339" s="112"/>
      <c r="M339" s="112"/>
      <c r="N339" s="112"/>
      <c r="O339" s="112"/>
      <c r="P339" s="112"/>
      <c r="Q339" s="112"/>
      <c r="R339" s="112"/>
      <c r="S339" s="112"/>
      <c r="T339" s="112"/>
      <c r="U339" s="124"/>
      <c r="V339" s="124"/>
      <c r="W339" s="124"/>
      <c r="X339" s="124"/>
      <c r="Y339" s="124"/>
      <c r="Z339" s="112"/>
      <c r="AA339" s="112"/>
      <c r="AB339" s="112"/>
      <c r="AC339" s="112"/>
      <c r="AD339" s="112"/>
      <c r="AE339" s="112"/>
      <c r="AF339" s="112"/>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c r="BK339" s="124"/>
      <c r="BL339" s="124"/>
      <c r="BM339" s="124"/>
      <c r="BN339" s="124"/>
      <c r="BO339" s="124"/>
      <c r="BP339" s="124"/>
      <c r="BQ339" s="124"/>
      <c r="BR339" s="124"/>
      <c r="BS339" s="124"/>
      <c r="BT339" s="124"/>
      <c r="BU339" s="124"/>
      <c r="BV339" s="124"/>
      <c r="BW339" s="124"/>
      <c r="BX339" s="124"/>
      <c r="BY339" s="124"/>
      <c r="BZ339" s="124"/>
      <c r="CA339" s="124"/>
    </row>
    <row r="340">
      <c r="D340" s="143"/>
      <c r="E340" s="129"/>
      <c r="F340" s="112"/>
      <c r="G340" s="112"/>
      <c r="H340" s="112"/>
      <c r="I340" s="112"/>
      <c r="J340" s="112"/>
      <c r="K340" s="112"/>
      <c r="L340" s="112"/>
      <c r="M340" s="112"/>
      <c r="N340" s="112"/>
      <c r="O340" s="112"/>
      <c r="P340" s="112"/>
      <c r="Q340" s="112"/>
      <c r="R340" s="112"/>
      <c r="S340" s="112"/>
      <c r="T340" s="112"/>
      <c r="U340" s="124"/>
      <c r="V340" s="124"/>
      <c r="W340" s="124"/>
      <c r="X340" s="124"/>
      <c r="Y340" s="124"/>
      <c r="Z340" s="112"/>
      <c r="AA340" s="112"/>
      <c r="AB340" s="112"/>
      <c r="AC340" s="112"/>
      <c r="AD340" s="112"/>
      <c r="AE340" s="112"/>
      <c r="AF340" s="112"/>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c r="BK340" s="124"/>
      <c r="BL340" s="124"/>
      <c r="BM340" s="124"/>
      <c r="BN340" s="124"/>
      <c r="BO340" s="124"/>
      <c r="BP340" s="124"/>
      <c r="BQ340" s="124"/>
      <c r="BR340" s="124"/>
      <c r="BS340" s="124"/>
      <c r="BT340" s="124"/>
      <c r="BU340" s="124"/>
      <c r="BV340" s="124"/>
      <c r="BW340" s="124"/>
      <c r="BX340" s="124"/>
      <c r="BY340" s="124"/>
      <c r="BZ340" s="124"/>
      <c r="CA340" s="124"/>
    </row>
    <row r="341">
      <c r="D341" s="143"/>
      <c r="E341" s="129"/>
      <c r="F341" s="112"/>
      <c r="G341" s="112"/>
      <c r="H341" s="112"/>
      <c r="I341" s="112"/>
      <c r="J341" s="112"/>
      <c r="K341" s="112"/>
      <c r="L341" s="112"/>
      <c r="M341" s="112"/>
      <c r="N341" s="112"/>
      <c r="O341" s="112"/>
      <c r="P341" s="112"/>
      <c r="Q341" s="112"/>
      <c r="R341" s="112"/>
      <c r="S341" s="112"/>
      <c r="T341" s="112"/>
      <c r="U341" s="124"/>
      <c r="V341" s="124"/>
      <c r="W341" s="124"/>
      <c r="X341" s="124"/>
      <c r="Y341" s="124"/>
      <c r="Z341" s="112"/>
      <c r="AA341" s="112"/>
      <c r="AB341" s="112"/>
      <c r="AC341" s="112"/>
      <c r="AD341" s="112"/>
      <c r="AE341" s="112"/>
      <c r="AF341" s="112"/>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c r="BK341" s="124"/>
      <c r="BL341" s="124"/>
      <c r="BM341" s="124"/>
      <c r="BN341" s="124"/>
      <c r="BO341" s="124"/>
      <c r="BP341" s="124"/>
      <c r="BQ341" s="124"/>
      <c r="BR341" s="124"/>
      <c r="BS341" s="124"/>
      <c r="BT341" s="124"/>
      <c r="BU341" s="124"/>
      <c r="BV341" s="124"/>
      <c r="BW341" s="124"/>
      <c r="BX341" s="124"/>
      <c r="BY341" s="124"/>
      <c r="BZ341" s="124"/>
      <c r="CA341" s="124"/>
    </row>
    <row r="342">
      <c r="D342" s="143"/>
      <c r="E342" s="129"/>
      <c r="F342" s="112"/>
      <c r="G342" s="112"/>
      <c r="H342" s="112"/>
      <c r="I342" s="112"/>
      <c r="J342" s="112"/>
      <c r="K342" s="112"/>
      <c r="L342" s="112"/>
      <c r="M342" s="112"/>
      <c r="N342" s="112"/>
      <c r="O342" s="112"/>
      <c r="P342" s="112"/>
      <c r="Q342" s="112"/>
      <c r="R342" s="112"/>
      <c r="S342" s="112"/>
      <c r="T342" s="112"/>
      <c r="U342" s="124"/>
      <c r="V342" s="124"/>
      <c r="W342" s="124"/>
      <c r="X342" s="124"/>
      <c r="Y342" s="124"/>
      <c r="Z342" s="112"/>
      <c r="AA342" s="112"/>
      <c r="AB342" s="112"/>
      <c r="AC342" s="112"/>
      <c r="AD342" s="112"/>
      <c r="AE342" s="112"/>
      <c r="AF342" s="112"/>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c r="BK342" s="124"/>
      <c r="BL342" s="124"/>
      <c r="BM342" s="124"/>
      <c r="BN342" s="124"/>
      <c r="BO342" s="124"/>
      <c r="BP342" s="124"/>
      <c r="BQ342" s="124"/>
      <c r="BR342" s="124"/>
      <c r="BS342" s="124"/>
      <c r="BT342" s="124"/>
      <c r="BU342" s="124"/>
      <c r="BV342" s="124"/>
      <c r="BW342" s="124"/>
      <c r="BX342" s="124"/>
      <c r="BY342" s="124"/>
      <c r="BZ342" s="124"/>
      <c r="CA342" s="124"/>
    </row>
    <row r="343">
      <c r="D343" s="143"/>
      <c r="E343" s="129"/>
      <c r="F343" s="112"/>
      <c r="G343" s="112"/>
      <c r="H343" s="112"/>
      <c r="I343" s="112"/>
      <c r="J343" s="112"/>
      <c r="K343" s="112"/>
      <c r="L343" s="112"/>
      <c r="M343" s="112"/>
      <c r="N343" s="112"/>
      <c r="O343" s="112"/>
      <c r="P343" s="112"/>
      <c r="Q343" s="112"/>
      <c r="R343" s="112"/>
      <c r="S343" s="112"/>
      <c r="T343" s="112"/>
      <c r="U343" s="124"/>
      <c r="V343" s="124"/>
      <c r="W343" s="124"/>
      <c r="X343" s="124"/>
      <c r="Y343" s="124"/>
      <c r="Z343" s="112"/>
      <c r="AA343" s="112"/>
      <c r="AB343" s="112"/>
      <c r="AC343" s="112"/>
      <c r="AD343" s="112"/>
      <c r="AE343" s="112"/>
      <c r="AF343" s="112"/>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c r="BK343" s="124"/>
      <c r="BL343" s="124"/>
      <c r="BM343" s="124"/>
      <c r="BN343" s="124"/>
      <c r="BO343" s="124"/>
      <c r="BP343" s="124"/>
      <c r="BQ343" s="124"/>
      <c r="BR343" s="124"/>
      <c r="BS343" s="124"/>
      <c r="BT343" s="124"/>
      <c r="BU343" s="124"/>
      <c r="BV343" s="124"/>
      <c r="BW343" s="124"/>
      <c r="BX343" s="124"/>
      <c r="BY343" s="124"/>
      <c r="BZ343" s="124"/>
      <c r="CA343" s="124"/>
    </row>
    <row r="344">
      <c r="D344" s="143"/>
      <c r="E344" s="129"/>
      <c r="F344" s="112"/>
      <c r="G344" s="112"/>
      <c r="H344" s="112"/>
      <c r="I344" s="112"/>
      <c r="J344" s="112"/>
      <c r="K344" s="112"/>
      <c r="L344" s="112"/>
      <c r="M344" s="112"/>
      <c r="N344" s="112"/>
      <c r="O344" s="112"/>
      <c r="P344" s="112"/>
      <c r="Q344" s="112"/>
      <c r="R344" s="112"/>
      <c r="S344" s="112"/>
      <c r="T344" s="112"/>
      <c r="U344" s="124"/>
      <c r="V344" s="124"/>
      <c r="W344" s="124"/>
      <c r="X344" s="124"/>
      <c r="Y344" s="124"/>
      <c r="Z344" s="112"/>
      <c r="AA344" s="112"/>
      <c r="AB344" s="112"/>
      <c r="AC344" s="112"/>
      <c r="AD344" s="112"/>
      <c r="AE344" s="112"/>
      <c r="AF344" s="112"/>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c r="BK344" s="124"/>
      <c r="BL344" s="124"/>
      <c r="BM344" s="124"/>
      <c r="BN344" s="124"/>
      <c r="BO344" s="124"/>
      <c r="BP344" s="124"/>
      <c r="BQ344" s="124"/>
      <c r="BR344" s="124"/>
      <c r="BS344" s="124"/>
      <c r="BT344" s="124"/>
      <c r="BU344" s="124"/>
      <c r="BV344" s="124"/>
      <c r="BW344" s="124"/>
      <c r="BX344" s="124"/>
      <c r="BY344" s="124"/>
      <c r="BZ344" s="124"/>
      <c r="CA344" s="124"/>
    </row>
    <row r="345">
      <c r="D345" s="143"/>
      <c r="E345" s="129"/>
      <c r="F345" s="112"/>
      <c r="G345" s="112"/>
      <c r="H345" s="112"/>
      <c r="I345" s="112"/>
      <c r="J345" s="112"/>
      <c r="K345" s="112"/>
      <c r="L345" s="112"/>
      <c r="M345" s="112"/>
      <c r="N345" s="112"/>
      <c r="O345" s="112"/>
      <c r="P345" s="112"/>
      <c r="Q345" s="112"/>
      <c r="R345" s="112"/>
      <c r="S345" s="112"/>
      <c r="T345" s="112"/>
      <c r="U345" s="124"/>
      <c r="V345" s="124"/>
      <c r="W345" s="124"/>
      <c r="X345" s="124"/>
      <c r="Y345" s="124"/>
      <c r="Z345" s="112"/>
      <c r="AA345" s="112"/>
      <c r="AB345" s="112"/>
      <c r="AC345" s="112"/>
      <c r="AD345" s="112"/>
      <c r="AE345" s="112"/>
      <c r="AF345" s="112"/>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row>
    <row r="346">
      <c r="D346" s="143"/>
      <c r="E346" s="129"/>
      <c r="F346" s="112"/>
      <c r="G346" s="112"/>
      <c r="H346" s="112"/>
      <c r="I346" s="112"/>
      <c r="J346" s="112"/>
      <c r="K346" s="112"/>
      <c r="L346" s="112"/>
      <c r="M346" s="112"/>
      <c r="N346" s="112"/>
      <c r="O346" s="112"/>
      <c r="P346" s="112"/>
      <c r="Q346" s="112"/>
      <c r="R346" s="112"/>
      <c r="S346" s="112"/>
      <c r="T346" s="112"/>
      <c r="U346" s="124"/>
      <c r="V346" s="124"/>
      <c r="W346" s="124"/>
      <c r="X346" s="124"/>
      <c r="Y346" s="124"/>
      <c r="Z346" s="112"/>
      <c r="AA346" s="112"/>
      <c r="AB346" s="112"/>
      <c r="AC346" s="112"/>
      <c r="AD346" s="112"/>
      <c r="AE346" s="112"/>
      <c r="AF346" s="112"/>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c r="BK346" s="124"/>
      <c r="BL346" s="124"/>
      <c r="BM346" s="124"/>
      <c r="BN346" s="124"/>
      <c r="BO346" s="124"/>
      <c r="BP346" s="124"/>
      <c r="BQ346" s="124"/>
      <c r="BR346" s="124"/>
      <c r="BS346" s="124"/>
      <c r="BT346" s="124"/>
      <c r="BU346" s="124"/>
      <c r="BV346" s="124"/>
      <c r="BW346" s="124"/>
      <c r="BX346" s="124"/>
      <c r="BY346" s="124"/>
      <c r="BZ346" s="124"/>
      <c r="CA346" s="124"/>
    </row>
    <row r="347">
      <c r="D347" s="143"/>
      <c r="E347" s="129"/>
      <c r="F347" s="112"/>
      <c r="G347" s="112"/>
      <c r="H347" s="112"/>
      <c r="I347" s="112"/>
      <c r="J347" s="112"/>
      <c r="K347" s="112"/>
      <c r="L347" s="112"/>
      <c r="M347" s="112"/>
      <c r="N347" s="112"/>
      <c r="O347" s="112"/>
      <c r="P347" s="112"/>
      <c r="Q347" s="112"/>
      <c r="R347" s="112"/>
      <c r="S347" s="112"/>
      <c r="T347" s="112"/>
      <c r="U347" s="124"/>
      <c r="V347" s="124"/>
      <c r="W347" s="124"/>
      <c r="X347" s="124"/>
      <c r="Y347" s="124"/>
      <c r="Z347" s="112"/>
      <c r="AA347" s="112"/>
      <c r="AB347" s="112"/>
      <c r="AC347" s="112"/>
      <c r="AD347" s="112"/>
      <c r="AE347" s="112"/>
      <c r="AF347" s="112"/>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c r="BK347" s="124"/>
      <c r="BL347" s="124"/>
      <c r="BM347" s="124"/>
      <c r="BN347" s="124"/>
      <c r="BO347" s="124"/>
      <c r="BP347" s="124"/>
      <c r="BQ347" s="124"/>
      <c r="BR347" s="124"/>
      <c r="BS347" s="124"/>
      <c r="BT347" s="124"/>
      <c r="BU347" s="124"/>
      <c r="BV347" s="124"/>
      <c r="BW347" s="124"/>
      <c r="BX347" s="124"/>
      <c r="BY347" s="124"/>
      <c r="BZ347" s="124"/>
      <c r="CA347" s="124"/>
    </row>
    <row r="348">
      <c r="D348" s="143"/>
      <c r="E348" s="129"/>
      <c r="F348" s="112"/>
      <c r="G348" s="112"/>
      <c r="H348" s="112"/>
      <c r="I348" s="112"/>
      <c r="J348" s="112"/>
      <c r="K348" s="112"/>
      <c r="L348" s="112"/>
      <c r="M348" s="112"/>
      <c r="N348" s="112"/>
      <c r="O348" s="112"/>
      <c r="P348" s="112"/>
      <c r="Q348" s="112"/>
      <c r="R348" s="112"/>
      <c r="S348" s="112"/>
      <c r="T348" s="112"/>
      <c r="U348" s="124"/>
      <c r="V348" s="124"/>
      <c r="W348" s="124"/>
      <c r="X348" s="124"/>
      <c r="Y348" s="124"/>
      <c r="Z348" s="112"/>
      <c r="AA348" s="112"/>
      <c r="AB348" s="112"/>
      <c r="AC348" s="112"/>
      <c r="AD348" s="112"/>
      <c r="AE348" s="112"/>
      <c r="AF348" s="112"/>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c r="BK348" s="124"/>
      <c r="BL348" s="124"/>
      <c r="BM348" s="124"/>
      <c r="BN348" s="124"/>
      <c r="BO348" s="124"/>
      <c r="BP348" s="124"/>
      <c r="BQ348" s="124"/>
      <c r="BR348" s="124"/>
      <c r="BS348" s="124"/>
      <c r="BT348" s="124"/>
      <c r="BU348" s="124"/>
      <c r="BV348" s="124"/>
      <c r="BW348" s="124"/>
      <c r="BX348" s="124"/>
      <c r="BY348" s="124"/>
      <c r="BZ348" s="124"/>
      <c r="CA348" s="124"/>
    </row>
    <row r="349">
      <c r="D349" s="143"/>
      <c r="E349" s="129"/>
      <c r="F349" s="112"/>
      <c r="G349" s="112"/>
      <c r="H349" s="112"/>
      <c r="I349" s="112"/>
      <c r="J349" s="112"/>
      <c r="K349" s="112"/>
      <c r="L349" s="112"/>
      <c r="M349" s="112"/>
      <c r="N349" s="112"/>
      <c r="O349" s="112"/>
      <c r="P349" s="112"/>
      <c r="Q349" s="112"/>
      <c r="R349" s="112"/>
      <c r="S349" s="112"/>
      <c r="T349" s="112"/>
      <c r="U349" s="124"/>
      <c r="V349" s="124"/>
      <c r="W349" s="124"/>
      <c r="X349" s="124"/>
      <c r="Y349" s="124"/>
      <c r="Z349" s="112"/>
      <c r="AA349" s="112"/>
      <c r="AB349" s="112"/>
      <c r="AC349" s="112"/>
      <c r="AD349" s="112"/>
      <c r="AE349" s="112"/>
      <c r="AF349" s="112"/>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c r="BK349" s="124"/>
      <c r="BL349" s="124"/>
      <c r="BM349" s="124"/>
      <c r="BN349" s="124"/>
      <c r="BO349" s="124"/>
      <c r="BP349" s="124"/>
      <c r="BQ349" s="124"/>
      <c r="BR349" s="124"/>
      <c r="BS349" s="124"/>
      <c r="BT349" s="124"/>
      <c r="BU349" s="124"/>
      <c r="BV349" s="124"/>
      <c r="BW349" s="124"/>
      <c r="BX349" s="124"/>
      <c r="BY349" s="124"/>
      <c r="BZ349" s="124"/>
      <c r="CA349" s="124"/>
    </row>
    <row r="350">
      <c r="D350" s="143"/>
      <c r="E350" s="129"/>
      <c r="F350" s="112"/>
      <c r="G350" s="112"/>
      <c r="H350" s="112"/>
      <c r="I350" s="112"/>
      <c r="J350" s="112"/>
      <c r="K350" s="112"/>
      <c r="L350" s="112"/>
      <c r="M350" s="112"/>
      <c r="N350" s="112"/>
      <c r="O350" s="112"/>
      <c r="P350" s="112"/>
      <c r="Q350" s="112"/>
      <c r="R350" s="112"/>
      <c r="S350" s="112"/>
      <c r="T350" s="112"/>
      <c r="U350" s="124"/>
      <c r="V350" s="124"/>
      <c r="W350" s="124"/>
      <c r="X350" s="124"/>
      <c r="Y350" s="124"/>
      <c r="Z350" s="112"/>
      <c r="AA350" s="112"/>
      <c r="AB350" s="112"/>
      <c r="AC350" s="112"/>
      <c r="AD350" s="112"/>
      <c r="AE350" s="112"/>
      <c r="AF350" s="112"/>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c r="BK350" s="124"/>
      <c r="BL350" s="124"/>
      <c r="BM350" s="124"/>
      <c r="BN350" s="124"/>
      <c r="BO350" s="124"/>
      <c r="BP350" s="124"/>
      <c r="BQ350" s="124"/>
      <c r="BR350" s="124"/>
      <c r="BS350" s="124"/>
      <c r="BT350" s="124"/>
      <c r="BU350" s="124"/>
      <c r="BV350" s="124"/>
      <c r="BW350" s="124"/>
      <c r="BX350" s="124"/>
      <c r="BY350" s="124"/>
      <c r="BZ350" s="124"/>
      <c r="CA350" s="124"/>
    </row>
    <row r="351">
      <c r="D351" s="143"/>
      <c r="E351" s="129"/>
      <c r="F351" s="112"/>
      <c r="G351" s="112"/>
      <c r="H351" s="112"/>
      <c r="I351" s="112"/>
      <c r="J351" s="112"/>
      <c r="K351" s="112"/>
      <c r="L351" s="112"/>
      <c r="M351" s="112"/>
      <c r="N351" s="112"/>
      <c r="O351" s="112"/>
      <c r="P351" s="112"/>
      <c r="Q351" s="112"/>
      <c r="R351" s="112"/>
      <c r="S351" s="112"/>
      <c r="T351" s="112"/>
      <c r="U351" s="124"/>
      <c r="V351" s="124"/>
      <c r="W351" s="124"/>
      <c r="X351" s="124"/>
      <c r="Y351" s="124"/>
      <c r="Z351" s="112"/>
      <c r="AA351" s="112"/>
      <c r="AB351" s="112"/>
      <c r="AC351" s="112"/>
      <c r="AD351" s="112"/>
      <c r="AE351" s="112"/>
      <c r="AF351" s="112"/>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c r="BK351" s="124"/>
      <c r="BL351" s="124"/>
      <c r="BM351" s="124"/>
      <c r="BN351" s="124"/>
      <c r="BO351" s="124"/>
      <c r="BP351" s="124"/>
      <c r="BQ351" s="124"/>
      <c r="BR351" s="124"/>
      <c r="BS351" s="124"/>
      <c r="BT351" s="124"/>
      <c r="BU351" s="124"/>
      <c r="BV351" s="124"/>
      <c r="BW351" s="124"/>
      <c r="BX351" s="124"/>
      <c r="BY351" s="124"/>
      <c r="BZ351" s="124"/>
      <c r="CA351" s="124"/>
    </row>
    <row r="352">
      <c r="D352" s="143"/>
      <c r="E352" s="129"/>
      <c r="F352" s="112"/>
      <c r="G352" s="112"/>
      <c r="H352" s="112"/>
      <c r="I352" s="112"/>
      <c r="J352" s="112"/>
      <c r="K352" s="112"/>
      <c r="L352" s="112"/>
      <c r="M352" s="112"/>
      <c r="N352" s="112"/>
      <c r="O352" s="112"/>
      <c r="P352" s="112"/>
      <c r="Q352" s="112"/>
      <c r="R352" s="112"/>
      <c r="S352" s="112"/>
      <c r="T352" s="112"/>
      <c r="U352" s="124"/>
      <c r="V352" s="124"/>
      <c r="W352" s="124"/>
      <c r="X352" s="124"/>
      <c r="Y352" s="124"/>
      <c r="Z352" s="112"/>
      <c r="AA352" s="112"/>
      <c r="AB352" s="112"/>
      <c r="AC352" s="112"/>
      <c r="AD352" s="112"/>
      <c r="AE352" s="112"/>
      <c r="AF352" s="112"/>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c r="BK352" s="124"/>
      <c r="BL352" s="124"/>
      <c r="BM352" s="124"/>
      <c r="BN352" s="124"/>
      <c r="BO352" s="124"/>
      <c r="BP352" s="124"/>
      <c r="BQ352" s="124"/>
      <c r="BR352" s="124"/>
      <c r="BS352" s="124"/>
      <c r="BT352" s="124"/>
      <c r="BU352" s="124"/>
      <c r="BV352" s="124"/>
      <c r="BW352" s="124"/>
      <c r="BX352" s="124"/>
      <c r="BY352" s="124"/>
      <c r="BZ352" s="124"/>
      <c r="CA352" s="124"/>
    </row>
    <row r="353">
      <c r="D353" s="143"/>
      <c r="E353" s="129"/>
      <c r="F353" s="112"/>
      <c r="G353" s="112"/>
      <c r="H353" s="112"/>
      <c r="I353" s="112"/>
      <c r="J353" s="112"/>
      <c r="K353" s="112"/>
      <c r="L353" s="112"/>
      <c r="M353" s="112"/>
      <c r="N353" s="112"/>
      <c r="O353" s="112"/>
      <c r="P353" s="112"/>
      <c r="Q353" s="112"/>
      <c r="R353" s="112"/>
      <c r="S353" s="112"/>
      <c r="T353" s="112"/>
      <c r="U353" s="124"/>
      <c r="V353" s="124"/>
      <c r="W353" s="124"/>
      <c r="X353" s="124"/>
      <c r="Y353" s="124"/>
      <c r="Z353" s="112"/>
      <c r="AA353" s="112"/>
      <c r="AB353" s="112"/>
      <c r="AC353" s="112"/>
      <c r="AD353" s="112"/>
      <c r="AE353" s="112"/>
      <c r="AF353" s="112"/>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c r="BK353" s="124"/>
      <c r="BL353" s="124"/>
      <c r="BM353" s="124"/>
      <c r="BN353" s="124"/>
      <c r="BO353" s="124"/>
      <c r="BP353" s="124"/>
      <c r="BQ353" s="124"/>
      <c r="BR353" s="124"/>
      <c r="BS353" s="124"/>
      <c r="BT353" s="124"/>
      <c r="BU353" s="124"/>
      <c r="BV353" s="124"/>
      <c r="BW353" s="124"/>
      <c r="BX353" s="124"/>
      <c r="BY353" s="124"/>
      <c r="BZ353" s="124"/>
      <c r="CA353" s="124"/>
    </row>
    <row r="354">
      <c r="D354" s="143"/>
      <c r="E354" s="129"/>
      <c r="F354" s="112"/>
      <c r="G354" s="112"/>
      <c r="H354" s="112"/>
      <c r="I354" s="112"/>
      <c r="J354" s="112"/>
      <c r="K354" s="112"/>
      <c r="L354" s="112"/>
      <c r="M354" s="112"/>
      <c r="N354" s="112"/>
      <c r="O354" s="112"/>
      <c r="P354" s="112"/>
      <c r="Q354" s="112"/>
      <c r="R354" s="112"/>
      <c r="S354" s="112"/>
      <c r="T354" s="112"/>
      <c r="U354" s="124"/>
      <c r="V354" s="124"/>
      <c r="W354" s="124"/>
      <c r="X354" s="124"/>
      <c r="Y354" s="124"/>
      <c r="Z354" s="112"/>
      <c r="AA354" s="112"/>
      <c r="AB354" s="112"/>
      <c r="AC354" s="112"/>
      <c r="AD354" s="112"/>
      <c r="AE354" s="112"/>
      <c r="AF354" s="112"/>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row>
    <row r="355">
      <c r="D355" s="143"/>
      <c r="E355" s="129"/>
      <c r="F355" s="112"/>
      <c r="G355" s="112"/>
      <c r="H355" s="112"/>
      <c r="I355" s="112"/>
      <c r="J355" s="112"/>
      <c r="K355" s="112"/>
      <c r="L355" s="112"/>
      <c r="M355" s="112"/>
      <c r="N355" s="112"/>
      <c r="O355" s="112"/>
      <c r="P355" s="112"/>
      <c r="Q355" s="112"/>
      <c r="R355" s="112"/>
      <c r="S355" s="112"/>
      <c r="T355" s="112"/>
      <c r="U355" s="124"/>
      <c r="V355" s="124"/>
      <c r="W355" s="124"/>
      <c r="X355" s="124"/>
      <c r="Y355" s="124"/>
      <c r="Z355" s="112"/>
      <c r="AA355" s="112"/>
      <c r="AB355" s="112"/>
      <c r="AC355" s="112"/>
      <c r="AD355" s="112"/>
      <c r="AE355" s="112"/>
      <c r="AF355" s="112"/>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c r="BK355" s="124"/>
      <c r="BL355" s="124"/>
      <c r="BM355" s="124"/>
      <c r="BN355" s="124"/>
      <c r="BO355" s="124"/>
      <c r="BP355" s="124"/>
      <c r="BQ355" s="124"/>
      <c r="BR355" s="124"/>
      <c r="BS355" s="124"/>
      <c r="BT355" s="124"/>
      <c r="BU355" s="124"/>
      <c r="BV355" s="124"/>
      <c r="BW355" s="124"/>
      <c r="BX355" s="124"/>
      <c r="BY355" s="124"/>
      <c r="BZ355" s="124"/>
      <c r="CA355" s="124"/>
    </row>
    <row r="356">
      <c r="D356" s="143"/>
      <c r="E356" s="129"/>
      <c r="F356" s="112"/>
      <c r="G356" s="112"/>
      <c r="H356" s="112"/>
      <c r="I356" s="112"/>
      <c r="J356" s="112"/>
      <c r="K356" s="112"/>
      <c r="L356" s="112"/>
      <c r="M356" s="112"/>
      <c r="N356" s="112"/>
      <c r="O356" s="112"/>
      <c r="P356" s="112"/>
      <c r="Q356" s="112"/>
      <c r="R356" s="112"/>
      <c r="S356" s="112"/>
      <c r="T356" s="112"/>
      <c r="U356" s="124"/>
      <c r="V356" s="124"/>
      <c r="W356" s="124"/>
      <c r="X356" s="124"/>
      <c r="Y356" s="124"/>
      <c r="Z356" s="112"/>
      <c r="AA356" s="112"/>
      <c r="AB356" s="112"/>
      <c r="AC356" s="112"/>
      <c r="AD356" s="112"/>
      <c r="AE356" s="112"/>
      <c r="AF356" s="112"/>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row>
    <row r="357">
      <c r="D357" s="143"/>
      <c r="E357" s="129"/>
      <c r="F357" s="112"/>
      <c r="G357" s="112"/>
      <c r="H357" s="112"/>
      <c r="I357" s="112"/>
      <c r="J357" s="112"/>
      <c r="K357" s="112"/>
      <c r="L357" s="112"/>
      <c r="M357" s="112"/>
      <c r="N357" s="112"/>
      <c r="O357" s="112"/>
      <c r="P357" s="112"/>
      <c r="Q357" s="112"/>
      <c r="R357" s="112"/>
      <c r="S357" s="112"/>
      <c r="T357" s="112"/>
      <c r="U357" s="124"/>
      <c r="V357" s="124"/>
      <c r="W357" s="124"/>
      <c r="X357" s="124"/>
      <c r="Y357" s="124"/>
      <c r="Z357" s="112"/>
      <c r="AA357" s="112"/>
      <c r="AB357" s="112"/>
      <c r="AC357" s="112"/>
      <c r="AD357" s="112"/>
      <c r="AE357" s="112"/>
      <c r="AF357" s="112"/>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c r="BK357" s="124"/>
      <c r="BL357" s="124"/>
      <c r="BM357" s="124"/>
      <c r="BN357" s="124"/>
      <c r="BO357" s="124"/>
      <c r="BP357" s="124"/>
      <c r="BQ357" s="124"/>
      <c r="BR357" s="124"/>
      <c r="BS357" s="124"/>
      <c r="BT357" s="124"/>
      <c r="BU357" s="124"/>
      <c r="BV357" s="124"/>
      <c r="BW357" s="124"/>
      <c r="BX357" s="124"/>
      <c r="BY357" s="124"/>
      <c r="BZ357" s="124"/>
      <c r="CA357" s="124"/>
    </row>
    <row r="358">
      <c r="D358" s="143"/>
      <c r="E358" s="129"/>
      <c r="F358" s="112"/>
      <c r="G358" s="112"/>
      <c r="H358" s="112"/>
      <c r="I358" s="112"/>
      <c r="J358" s="112"/>
      <c r="K358" s="112"/>
      <c r="L358" s="112"/>
      <c r="M358" s="112"/>
      <c r="N358" s="112"/>
      <c r="O358" s="112"/>
      <c r="P358" s="112"/>
      <c r="Q358" s="112"/>
      <c r="R358" s="112"/>
      <c r="S358" s="112"/>
      <c r="T358" s="112"/>
      <c r="U358" s="124"/>
      <c r="V358" s="124"/>
      <c r="W358" s="124"/>
      <c r="X358" s="124"/>
      <c r="Y358" s="124"/>
      <c r="Z358" s="112"/>
      <c r="AA358" s="112"/>
      <c r="AB358" s="112"/>
      <c r="AC358" s="112"/>
      <c r="AD358" s="112"/>
      <c r="AE358" s="112"/>
      <c r="AF358" s="112"/>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c r="BK358" s="124"/>
      <c r="BL358" s="124"/>
      <c r="BM358" s="124"/>
      <c r="BN358" s="124"/>
      <c r="BO358" s="124"/>
      <c r="BP358" s="124"/>
      <c r="BQ358" s="124"/>
      <c r="BR358" s="124"/>
      <c r="BS358" s="124"/>
      <c r="BT358" s="124"/>
      <c r="BU358" s="124"/>
      <c r="BV358" s="124"/>
      <c r="BW358" s="124"/>
      <c r="BX358" s="124"/>
      <c r="BY358" s="124"/>
      <c r="BZ358" s="124"/>
      <c r="CA358" s="124"/>
    </row>
    <row r="359">
      <c r="D359" s="143"/>
      <c r="E359" s="129"/>
      <c r="F359" s="112"/>
      <c r="G359" s="112"/>
      <c r="H359" s="112"/>
      <c r="I359" s="112"/>
      <c r="J359" s="112"/>
      <c r="K359" s="112"/>
      <c r="L359" s="112"/>
      <c r="M359" s="112"/>
      <c r="N359" s="112"/>
      <c r="O359" s="112"/>
      <c r="P359" s="112"/>
      <c r="Q359" s="112"/>
      <c r="R359" s="112"/>
      <c r="S359" s="112"/>
      <c r="T359" s="112"/>
      <c r="U359" s="124"/>
      <c r="V359" s="124"/>
      <c r="W359" s="124"/>
      <c r="X359" s="124"/>
      <c r="Y359" s="124"/>
      <c r="Z359" s="112"/>
      <c r="AA359" s="112"/>
      <c r="AB359" s="112"/>
      <c r="AC359" s="112"/>
      <c r="AD359" s="112"/>
      <c r="AE359" s="112"/>
      <c r="AF359" s="112"/>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c r="BK359" s="124"/>
      <c r="BL359" s="124"/>
      <c r="BM359" s="124"/>
      <c r="BN359" s="124"/>
      <c r="BO359" s="124"/>
      <c r="BP359" s="124"/>
      <c r="BQ359" s="124"/>
      <c r="BR359" s="124"/>
      <c r="BS359" s="124"/>
      <c r="BT359" s="124"/>
      <c r="BU359" s="124"/>
      <c r="BV359" s="124"/>
      <c r="BW359" s="124"/>
      <c r="BX359" s="124"/>
      <c r="BY359" s="124"/>
      <c r="BZ359" s="124"/>
      <c r="CA359" s="124"/>
    </row>
    <row r="360">
      <c r="D360" s="143"/>
      <c r="E360" s="129"/>
      <c r="F360" s="112"/>
      <c r="G360" s="112"/>
      <c r="H360" s="112"/>
      <c r="I360" s="112"/>
      <c r="J360" s="112"/>
      <c r="K360" s="112"/>
      <c r="L360" s="112"/>
      <c r="M360" s="112"/>
      <c r="N360" s="112"/>
      <c r="O360" s="112"/>
      <c r="P360" s="112"/>
      <c r="Q360" s="112"/>
      <c r="R360" s="112"/>
      <c r="S360" s="112"/>
      <c r="T360" s="112"/>
      <c r="U360" s="124"/>
      <c r="V360" s="124"/>
      <c r="W360" s="124"/>
      <c r="X360" s="124"/>
      <c r="Y360" s="124"/>
      <c r="Z360" s="112"/>
      <c r="AA360" s="112"/>
      <c r="AB360" s="112"/>
      <c r="AC360" s="112"/>
      <c r="AD360" s="112"/>
      <c r="AE360" s="112"/>
      <c r="AF360" s="112"/>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row>
    <row r="361">
      <c r="D361" s="143"/>
      <c r="E361" s="129"/>
      <c r="F361" s="112"/>
      <c r="G361" s="112"/>
      <c r="H361" s="112"/>
      <c r="I361" s="112"/>
      <c r="J361" s="112"/>
      <c r="K361" s="112"/>
      <c r="L361" s="112"/>
      <c r="M361" s="112"/>
      <c r="N361" s="112"/>
      <c r="O361" s="112"/>
      <c r="P361" s="112"/>
      <c r="Q361" s="112"/>
      <c r="R361" s="112"/>
      <c r="S361" s="112"/>
      <c r="T361" s="112"/>
      <c r="U361" s="124"/>
      <c r="V361" s="124"/>
      <c r="W361" s="124"/>
      <c r="X361" s="124"/>
      <c r="Y361" s="124"/>
      <c r="Z361" s="112"/>
      <c r="AA361" s="112"/>
      <c r="AB361" s="112"/>
      <c r="AC361" s="112"/>
      <c r="AD361" s="112"/>
      <c r="AE361" s="112"/>
      <c r="AF361" s="112"/>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c r="BK361" s="124"/>
      <c r="BL361" s="124"/>
      <c r="BM361" s="124"/>
      <c r="BN361" s="124"/>
      <c r="BO361" s="124"/>
      <c r="BP361" s="124"/>
      <c r="BQ361" s="124"/>
      <c r="BR361" s="124"/>
      <c r="BS361" s="124"/>
      <c r="BT361" s="124"/>
      <c r="BU361" s="124"/>
      <c r="BV361" s="124"/>
      <c r="BW361" s="124"/>
      <c r="BX361" s="124"/>
      <c r="BY361" s="124"/>
      <c r="BZ361" s="124"/>
      <c r="CA361" s="124"/>
    </row>
    <row r="362">
      <c r="D362" s="143"/>
      <c r="E362" s="129"/>
      <c r="F362" s="112"/>
      <c r="G362" s="112"/>
      <c r="H362" s="112"/>
      <c r="I362" s="112"/>
      <c r="J362" s="112"/>
      <c r="K362" s="112"/>
      <c r="L362" s="112"/>
      <c r="M362" s="112"/>
      <c r="N362" s="112"/>
      <c r="O362" s="112"/>
      <c r="P362" s="112"/>
      <c r="Q362" s="112"/>
      <c r="R362" s="112"/>
      <c r="S362" s="112"/>
      <c r="T362" s="112"/>
      <c r="U362" s="124"/>
      <c r="V362" s="124"/>
      <c r="W362" s="124"/>
      <c r="X362" s="124"/>
      <c r="Y362" s="124"/>
      <c r="Z362" s="112"/>
      <c r="AA362" s="112"/>
      <c r="AB362" s="112"/>
      <c r="AC362" s="112"/>
      <c r="AD362" s="112"/>
      <c r="AE362" s="112"/>
      <c r="AF362" s="112"/>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row>
    <row r="363">
      <c r="D363" s="143"/>
      <c r="E363" s="129"/>
      <c r="F363" s="112"/>
      <c r="G363" s="112"/>
      <c r="H363" s="112"/>
      <c r="I363" s="112"/>
      <c r="J363" s="112"/>
      <c r="K363" s="112"/>
      <c r="L363" s="112"/>
      <c r="M363" s="112"/>
      <c r="N363" s="112"/>
      <c r="O363" s="112"/>
      <c r="P363" s="112"/>
      <c r="Q363" s="112"/>
      <c r="R363" s="112"/>
      <c r="S363" s="112"/>
      <c r="T363" s="112"/>
      <c r="U363" s="124"/>
      <c r="V363" s="124"/>
      <c r="W363" s="124"/>
      <c r="X363" s="124"/>
      <c r="Y363" s="124"/>
      <c r="Z363" s="112"/>
      <c r="AA363" s="112"/>
      <c r="AB363" s="112"/>
      <c r="AC363" s="112"/>
      <c r="AD363" s="112"/>
      <c r="AE363" s="112"/>
      <c r="AF363" s="112"/>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c r="BK363" s="124"/>
      <c r="BL363" s="124"/>
      <c r="BM363" s="124"/>
      <c r="BN363" s="124"/>
      <c r="BO363" s="124"/>
      <c r="BP363" s="124"/>
      <c r="BQ363" s="124"/>
      <c r="BR363" s="124"/>
      <c r="BS363" s="124"/>
      <c r="BT363" s="124"/>
      <c r="BU363" s="124"/>
      <c r="BV363" s="124"/>
      <c r="BW363" s="124"/>
      <c r="BX363" s="124"/>
      <c r="BY363" s="124"/>
      <c r="BZ363" s="124"/>
      <c r="CA363" s="124"/>
    </row>
    <row r="364">
      <c r="D364" s="143"/>
      <c r="E364" s="129"/>
      <c r="F364" s="112"/>
      <c r="G364" s="112"/>
      <c r="H364" s="112"/>
      <c r="I364" s="112"/>
      <c r="J364" s="112"/>
      <c r="K364" s="112"/>
      <c r="L364" s="112"/>
      <c r="M364" s="112"/>
      <c r="N364" s="112"/>
      <c r="O364" s="112"/>
      <c r="P364" s="112"/>
      <c r="Q364" s="112"/>
      <c r="R364" s="112"/>
      <c r="S364" s="112"/>
      <c r="T364" s="112"/>
      <c r="U364" s="124"/>
      <c r="V364" s="124"/>
      <c r="W364" s="124"/>
      <c r="X364" s="124"/>
      <c r="Y364" s="124"/>
      <c r="Z364" s="112"/>
      <c r="AA364" s="112"/>
      <c r="AB364" s="112"/>
      <c r="AC364" s="112"/>
      <c r="AD364" s="112"/>
      <c r="AE364" s="112"/>
      <c r="AF364" s="112"/>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124"/>
      <c r="BY364" s="124"/>
      <c r="BZ364" s="124"/>
      <c r="CA364" s="124"/>
    </row>
    <row r="365">
      <c r="D365" s="143"/>
      <c r="E365" s="129"/>
      <c r="F365" s="112"/>
      <c r="G365" s="112"/>
      <c r="H365" s="112"/>
      <c r="I365" s="112"/>
      <c r="J365" s="112"/>
      <c r="K365" s="112"/>
      <c r="L365" s="112"/>
      <c r="M365" s="112"/>
      <c r="N365" s="112"/>
      <c r="O365" s="112"/>
      <c r="P365" s="112"/>
      <c r="Q365" s="112"/>
      <c r="R365" s="112"/>
      <c r="S365" s="112"/>
      <c r="T365" s="112"/>
      <c r="U365" s="124"/>
      <c r="V365" s="124"/>
      <c r="W365" s="124"/>
      <c r="X365" s="124"/>
      <c r="Y365" s="124"/>
      <c r="Z365" s="112"/>
      <c r="AA365" s="112"/>
      <c r="AB365" s="112"/>
      <c r="AC365" s="112"/>
      <c r="AD365" s="112"/>
      <c r="AE365" s="112"/>
      <c r="AF365" s="112"/>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c r="BK365" s="124"/>
      <c r="BL365" s="124"/>
      <c r="BM365" s="124"/>
      <c r="BN365" s="124"/>
      <c r="BO365" s="124"/>
      <c r="BP365" s="124"/>
      <c r="BQ365" s="124"/>
      <c r="BR365" s="124"/>
      <c r="BS365" s="124"/>
      <c r="BT365" s="124"/>
      <c r="BU365" s="124"/>
      <c r="BV365" s="124"/>
      <c r="BW365" s="124"/>
      <c r="BX365" s="124"/>
      <c r="BY365" s="124"/>
      <c r="BZ365" s="124"/>
      <c r="CA365" s="124"/>
    </row>
    <row r="366">
      <c r="D366" s="143"/>
      <c r="E366" s="129"/>
      <c r="F366" s="112"/>
      <c r="G366" s="112"/>
      <c r="H366" s="112"/>
      <c r="I366" s="112"/>
      <c r="J366" s="112"/>
      <c r="K366" s="112"/>
      <c r="L366" s="112"/>
      <c r="M366" s="112"/>
      <c r="N366" s="112"/>
      <c r="O366" s="112"/>
      <c r="P366" s="112"/>
      <c r="Q366" s="112"/>
      <c r="R366" s="112"/>
      <c r="S366" s="112"/>
      <c r="T366" s="112"/>
      <c r="U366" s="124"/>
      <c r="V366" s="124"/>
      <c r="W366" s="124"/>
      <c r="X366" s="124"/>
      <c r="Y366" s="124"/>
      <c r="Z366" s="112"/>
      <c r="AA366" s="112"/>
      <c r="AB366" s="112"/>
      <c r="AC366" s="112"/>
      <c r="AD366" s="112"/>
      <c r="AE366" s="112"/>
      <c r="AF366" s="112"/>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row>
    <row r="367">
      <c r="D367" s="143"/>
      <c r="E367" s="129"/>
      <c r="F367" s="112"/>
      <c r="G367" s="112"/>
      <c r="H367" s="112"/>
      <c r="I367" s="112"/>
      <c r="J367" s="112"/>
      <c r="K367" s="112"/>
      <c r="L367" s="112"/>
      <c r="M367" s="112"/>
      <c r="N367" s="112"/>
      <c r="O367" s="112"/>
      <c r="P367" s="112"/>
      <c r="Q367" s="112"/>
      <c r="R367" s="112"/>
      <c r="S367" s="112"/>
      <c r="T367" s="112"/>
      <c r="U367" s="124"/>
      <c r="V367" s="124"/>
      <c r="W367" s="124"/>
      <c r="X367" s="124"/>
      <c r="Y367" s="124"/>
      <c r="Z367" s="112"/>
      <c r="AA367" s="112"/>
      <c r="AB367" s="112"/>
      <c r="AC367" s="112"/>
      <c r="AD367" s="112"/>
      <c r="AE367" s="112"/>
      <c r="AF367" s="112"/>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c r="BK367" s="124"/>
      <c r="BL367" s="124"/>
      <c r="BM367" s="124"/>
      <c r="BN367" s="124"/>
      <c r="BO367" s="124"/>
      <c r="BP367" s="124"/>
      <c r="BQ367" s="124"/>
      <c r="BR367" s="124"/>
      <c r="BS367" s="124"/>
      <c r="BT367" s="124"/>
      <c r="BU367" s="124"/>
      <c r="BV367" s="124"/>
      <c r="BW367" s="124"/>
      <c r="BX367" s="124"/>
      <c r="BY367" s="124"/>
      <c r="BZ367" s="124"/>
      <c r="CA367" s="124"/>
    </row>
    <row r="368">
      <c r="D368" s="143"/>
      <c r="E368" s="129"/>
      <c r="F368" s="112"/>
      <c r="G368" s="112"/>
      <c r="H368" s="112"/>
      <c r="I368" s="112"/>
      <c r="J368" s="112"/>
      <c r="K368" s="112"/>
      <c r="L368" s="112"/>
      <c r="M368" s="112"/>
      <c r="N368" s="112"/>
      <c r="O368" s="112"/>
      <c r="P368" s="112"/>
      <c r="Q368" s="112"/>
      <c r="R368" s="112"/>
      <c r="S368" s="112"/>
      <c r="T368" s="112"/>
      <c r="U368" s="124"/>
      <c r="V368" s="124"/>
      <c r="W368" s="124"/>
      <c r="X368" s="124"/>
      <c r="Y368" s="124"/>
      <c r="Z368" s="112"/>
      <c r="AA368" s="112"/>
      <c r="AB368" s="112"/>
      <c r="AC368" s="112"/>
      <c r="AD368" s="112"/>
      <c r="AE368" s="112"/>
      <c r="AF368" s="112"/>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row>
    <row r="369">
      <c r="D369" s="143"/>
      <c r="E369" s="129"/>
      <c r="F369" s="112"/>
      <c r="G369" s="112"/>
      <c r="H369" s="112"/>
      <c r="I369" s="112"/>
      <c r="J369" s="112"/>
      <c r="K369" s="112"/>
      <c r="L369" s="112"/>
      <c r="M369" s="112"/>
      <c r="N369" s="112"/>
      <c r="O369" s="112"/>
      <c r="P369" s="112"/>
      <c r="Q369" s="112"/>
      <c r="R369" s="112"/>
      <c r="S369" s="112"/>
      <c r="T369" s="112"/>
      <c r="U369" s="124"/>
      <c r="V369" s="124"/>
      <c r="W369" s="124"/>
      <c r="X369" s="124"/>
      <c r="Y369" s="124"/>
      <c r="Z369" s="112"/>
      <c r="AA369" s="112"/>
      <c r="AB369" s="112"/>
      <c r="AC369" s="112"/>
      <c r="AD369" s="112"/>
      <c r="AE369" s="112"/>
      <c r="AF369" s="112"/>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row>
    <row r="370">
      <c r="D370" s="143"/>
      <c r="E370" s="129"/>
      <c r="F370" s="112"/>
      <c r="G370" s="112"/>
      <c r="H370" s="112"/>
      <c r="I370" s="112"/>
      <c r="J370" s="112"/>
      <c r="K370" s="112"/>
      <c r="L370" s="112"/>
      <c r="M370" s="112"/>
      <c r="N370" s="112"/>
      <c r="O370" s="112"/>
      <c r="P370" s="112"/>
      <c r="Q370" s="112"/>
      <c r="R370" s="112"/>
      <c r="S370" s="112"/>
      <c r="T370" s="112"/>
      <c r="U370" s="124"/>
      <c r="V370" s="124"/>
      <c r="W370" s="124"/>
      <c r="X370" s="124"/>
      <c r="Y370" s="124"/>
      <c r="Z370" s="112"/>
      <c r="AA370" s="112"/>
      <c r="AB370" s="112"/>
      <c r="AC370" s="112"/>
      <c r="AD370" s="112"/>
      <c r="AE370" s="112"/>
      <c r="AF370" s="112"/>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c r="BK370" s="124"/>
      <c r="BL370" s="124"/>
      <c r="BM370" s="124"/>
      <c r="BN370" s="124"/>
      <c r="BO370" s="124"/>
      <c r="BP370" s="124"/>
      <c r="BQ370" s="124"/>
      <c r="BR370" s="124"/>
      <c r="BS370" s="124"/>
      <c r="BT370" s="124"/>
      <c r="BU370" s="124"/>
      <c r="BV370" s="124"/>
      <c r="BW370" s="124"/>
      <c r="BX370" s="124"/>
      <c r="BY370" s="124"/>
      <c r="BZ370" s="124"/>
      <c r="CA370" s="124"/>
    </row>
    <row r="371">
      <c r="D371" s="143"/>
      <c r="E371" s="129"/>
      <c r="F371" s="112"/>
      <c r="G371" s="112"/>
      <c r="H371" s="112"/>
      <c r="I371" s="112"/>
      <c r="J371" s="112"/>
      <c r="K371" s="112"/>
      <c r="L371" s="112"/>
      <c r="M371" s="112"/>
      <c r="N371" s="112"/>
      <c r="O371" s="112"/>
      <c r="P371" s="112"/>
      <c r="Q371" s="112"/>
      <c r="R371" s="112"/>
      <c r="S371" s="112"/>
      <c r="T371" s="112"/>
      <c r="U371" s="124"/>
      <c r="V371" s="124"/>
      <c r="W371" s="124"/>
      <c r="X371" s="124"/>
      <c r="Y371" s="124"/>
      <c r="Z371" s="112"/>
      <c r="AA371" s="112"/>
      <c r="AB371" s="112"/>
      <c r="AC371" s="112"/>
      <c r="AD371" s="112"/>
      <c r="AE371" s="112"/>
      <c r="AF371" s="112"/>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c r="BK371" s="124"/>
      <c r="BL371" s="124"/>
      <c r="BM371" s="124"/>
      <c r="BN371" s="124"/>
      <c r="BO371" s="124"/>
      <c r="BP371" s="124"/>
      <c r="BQ371" s="124"/>
      <c r="BR371" s="124"/>
      <c r="BS371" s="124"/>
      <c r="BT371" s="124"/>
      <c r="BU371" s="124"/>
      <c r="BV371" s="124"/>
      <c r="BW371" s="124"/>
      <c r="BX371" s="124"/>
      <c r="BY371" s="124"/>
      <c r="BZ371" s="124"/>
      <c r="CA371" s="124"/>
    </row>
    <row r="372">
      <c r="D372" s="143"/>
      <c r="E372" s="129"/>
      <c r="F372" s="112"/>
      <c r="G372" s="112"/>
      <c r="H372" s="112"/>
      <c r="I372" s="112"/>
      <c r="J372" s="112"/>
      <c r="K372" s="112"/>
      <c r="L372" s="112"/>
      <c r="M372" s="112"/>
      <c r="N372" s="112"/>
      <c r="O372" s="112"/>
      <c r="P372" s="112"/>
      <c r="Q372" s="112"/>
      <c r="R372" s="112"/>
      <c r="S372" s="112"/>
      <c r="T372" s="112"/>
      <c r="U372" s="124"/>
      <c r="V372" s="124"/>
      <c r="W372" s="124"/>
      <c r="X372" s="124"/>
      <c r="Y372" s="124"/>
      <c r="Z372" s="112"/>
      <c r="AA372" s="112"/>
      <c r="AB372" s="112"/>
      <c r="AC372" s="112"/>
      <c r="AD372" s="112"/>
      <c r="AE372" s="112"/>
      <c r="AF372" s="112"/>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row>
    <row r="373">
      <c r="D373" s="143"/>
      <c r="E373" s="129"/>
      <c r="F373" s="112"/>
      <c r="G373" s="112"/>
      <c r="H373" s="112"/>
      <c r="I373" s="112"/>
      <c r="J373" s="112"/>
      <c r="K373" s="112"/>
      <c r="L373" s="112"/>
      <c r="M373" s="112"/>
      <c r="N373" s="112"/>
      <c r="O373" s="112"/>
      <c r="P373" s="112"/>
      <c r="Q373" s="112"/>
      <c r="R373" s="112"/>
      <c r="S373" s="112"/>
      <c r="T373" s="112"/>
      <c r="U373" s="124"/>
      <c r="V373" s="124"/>
      <c r="W373" s="124"/>
      <c r="X373" s="124"/>
      <c r="Y373" s="124"/>
      <c r="Z373" s="112"/>
      <c r="AA373" s="112"/>
      <c r="AB373" s="112"/>
      <c r="AC373" s="112"/>
      <c r="AD373" s="112"/>
      <c r="AE373" s="112"/>
      <c r="AF373" s="112"/>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c r="BK373" s="124"/>
      <c r="BL373" s="124"/>
      <c r="BM373" s="124"/>
      <c r="BN373" s="124"/>
      <c r="BO373" s="124"/>
      <c r="BP373" s="124"/>
      <c r="BQ373" s="124"/>
      <c r="BR373" s="124"/>
      <c r="BS373" s="124"/>
      <c r="BT373" s="124"/>
      <c r="BU373" s="124"/>
      <c r="BV373" s="124"/>
      <c r="BW373" s="124"/>
      <c r="BX373" s="124"/>
      <c r="BY373" s="124"/>
      <c r="BZ373" s="124"/>
      <c r="CA373" s="124"/>
    </row>
    <row r="374">
      <c r="D374" s="143"/>
      <c r="E374" s="129"/>
      <c r="F374" s="112"/>
      <c r="G374" s="112"/>
      <c r="H374" s="112"/>
      <c r="I374" s="112"/>
      <c r="J374" s="112"/>
      <c r="K374" s="112"/>
      <c r="L374" s="112"/>
      <c r="M374" s="112"/>
      <c r="N374" s="112"/>
      <c r="O374" s="112"/>
      <c r="P374" s="112"/>
      <c r="Q374" s="112"/>
      <c r="R374" s="112"/>
      <c r="S374" s="112"/>
      <c r="T374" s="112"/>
      <c r="U374" s="124"/>
      <c r="V374" s="124"/>
      <c r="W374" s="124"/>
      <c r="X374" s="124"/>
      <c r="Y374" s="124"/>
      <c r="Z374" s="112"/>
      <c r="AA374" s="112"/>
      <c r="AB374" s="112"/>
      <c r="AC374" s="112"/>
      <c r="AD374" s="112"/>
      <c r="AE374" s="112"/>
      <c r="AF374" s="112"/>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row>
    <row r="375">
      <c r="D375" s="143"/>
      <c r="E375" s="129"/>
      <c r="F375" s="112"/>
      <c r="G375" s="112"/>
      <c r="H375" s="112"/>
      <c r="I375" s="112"/>
      <c r="J375" s="112"/>
      <c r="K375" s="112"/>
      <c r="L375" s="112"/>
      <c r="M375" s="112"/>
      <c r="N375" s="112"/>
      <c r="O375" s="112"/>
      <c r="P375" s="112"/>
      <c r="Q375" s="112"/>
      <c r="R375" s="112"/>
      <c r="S375" s="112"/>
      <c r="T375" s="112"/>
      <c r="U375" s="124"/>
      <c r="V375" s="124"/>
      <c r="W375" s="124"/>
      <c r="X375" s="124"/>
      <c r="Y375" s="124"/>
      <c r="Z375" s="112"/>
      <c r="AA375" s="112"/>
      <c r="AB375" s="112"/>
      <c r="AC375" s="112"/>
      <c r="AD375" s="112"/>
      <c r="AE375" s="112"/>
      <c r="AF375" s="112"/>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c r="BK375" s="124"/>
      <c r="BL375" s="124"/>
      <c r="BM375" s="124"/>
      <c r="BN375" s="124"/>
      <c r="BO375" s="124"/>
      <c r="BP375" s="124"/>
      <c r="BQ375" s="124"/>
      <c r="BR375" s="124"/>
      <c r="BS375" s="124"/>
      <c r="BT375" s="124"/>
      <c r="BU375" s="124"/>
      <c r="BV375" s="124"/>
      <c r="BW375" s="124"/>
      <c r="BX375" s="124"/>
      <c r="BY375" s="124"/>
      <c r="BZ375" s="124"/>
      <c r="CA375" s="124"/>
    </row>
    <row r="376">
      <c r="D376" s="143"/>
      <c r="E376" s="129"/>
      <c r="F376" s="112"/>
      <c r="G376" s="112"/>
      <c r="H376" s="112"/>
      <c r="I376" s="112"/>
      <c r="J376" s="112"/>
      <c r="K376" s="112"/>
      <c r="L376" s="112"/>
      <c r="M376" s="112"/>
      <c r="N376" s="112"/>
      <c r="O376" s="112"/>
      <c r="P376" s="112"/>
      <c r="Q376" s="112"/>
      <c r="R376" s="112"/>
      <c r="S376" s="112"/>
      <c r="T376" s="112"/>
      <c r="U376" s="124"/>
      <c r="V376" s="124"/>
      <c r="W376" s="124"/>
      <c r="X376" s="124"/>
      <c r="Y376" s="124"/>
      <c r="Z376" s="112"/>
      <c r="AA376" s="112"/>
      <c r="AB376" s="112"/>
      <c r="AC376" s="112"/>
      <c r="AD376" s="112"/>
      <c r="AE376" s="112"/>
      <c r="AF376" s="112"/>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c r="BK376" s="124"/>
      <c r="BL376" s="124"/>
      <c r="BM376" s="124"/>
      <c r="BN376" s="124"/>
      <c r="BO376" s="124"/>
      <c r="BP376" s="124"/>
      <c r="BQ376" s="124"/>
      <c r="BR376" s="124"/>
      <c r="BS376" s="124"/>
      <c r="BT376" s="124"/>
      <c r="BU376" s="124"/>
      <c r="BV376" s="124"/>
      <c r="BW376" s="124"/>
      <c r="BX376" s="124"/>
      <c r="BY376" s="124"/>
      <c r="BZ376" s="124"/>
      <c r="CA376" s="124"/>
    </row>
    <row r="377">
      <c r="D377" s="143"/>
      <c r="E377" s="129"/>
      <c r="F377" s="112"/>
      <c r="G377" s="112"/>
      <c r="H377" s="112"/>
      <c r="I377" s="112"/>
      <c r="J377" s="112"/>
      <c r="K377" s="112"/>
      <c r="L377" s="112"/>
      <c r="M377" s="112"/>
      <c r="N377" s="112"/>
      <c r="O377" s="112"/>
      <c r="P377" s="112"/>
      <c r="Q377" s="112"/>
      <c r="R377" s="112"/>
      <c r="S377" s="112"/>
      <c r="T377" s="112"/>
      <c r="U377" s="124"/>
      <c r="V377" s="124"/>
      <c r="W377" s="124"/>
      <c r="X377" s="124"/>
      <c r="Y377" s="124"/>
      <c r="Z377" s="112"/>
      <c r="AA377" s="112"/>
      <c r="AB377" s="112"/>
      <c r="AC377" s="112"/>
      <c r="AD377" s="112"/>
      <c r="AE377" s="112"/>
      <c r="AF377" s="112"/>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c r="BK377" s="124"/>
      <c r="BL377" s="124"/>
      <c r="BM377" s="124"/>
      <c r="BN377" s="124"/>
      <c r="BO377" s="124"/>
      <c r="BP377" s="124"/>
      <c r="BQ377" s="124"/>
      <c r="BR377" s="124"/>
      <c r="BS377" s="124"/>
      <c r="BT377" s="124"/>
      <c r="BU377" s="124"/>
      <c r="BV377" s="124"/>
      <c r="BW377" s="124"/>
      <c r="BX377" s="124"/>
      <c r="BY377" s="124"/>
      <c r="BZ377" s="124"/>
      <c r="CA377" s="124"/>
    </row>
    <row r="378">
      <c r="D378" s="143"/>
      <c r="E378" s="129"/>
      <c r="F378" s="112"/>
      <c r="G378" s="112"/>
      <c r="H378" s="112"/>
      <c r="I378" s="112"/>
      <c r="J378" s="112"/>
      <c r="K378" s="112"/>
      <c r="L378" s="112"/>
      <c r="M378" s="112"/>
      <c r="N378" s="112"/>
      <c r="O378" s="112"/>
      <c r="P378" s="112"/>
      <c r="Q378" s="112"/>
      <c r="R378" s="112"/>
      <c r="S378" s="112"/>
      <c r="T378" s="112"/>
      <c r="U378" s="124"/>
      <c r="V378" s="124"/>
      <c r="W378" s="124"/>
      <c r="X378" s="124"/>
      <c r="Y378" s="124"/>
      <c r="Z378" s="112"/>
      <c r="AA378" s="112"/>
      <c r="AB378" s="112"/>
      <c r="AC378" s="112"/>
      <c r="AD378" s="112"/>
      <c r="AE378" s="112"/>
      <c r="AF378" s="112"/>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row>
    <row r="379">
      <c r="D379" s="143"/>
      <c r="E379" s="129"/>
      <c r="F379" s="112"/>
      <c r="G379" s="112"/>
      <c r="H379" s="112"/>
      <c r="I379" s="112"/>
      <c r="J379" s="112"/>
      <c r="K379" s="112"/>
      <c r="L379" s="112"/>
      <c r="M379" s="112"/>
      <c r="N379" s="112"/>
      <c r="O379" s="112"/>
      <c r="P379" s="112"/>
      <c r="Q379" s="112"/>
      <c r="R379" s="112"/>
      <c r="S379" s="112"/>
      <c r="T379" s="112"/>
      <c r="U379" s="124"/>
      <c r="V379" s="124"/>
      <c r="W379" s="124"/>
      <c r="X379" s="124"/>
      <c r="Y379" s="124"/>
      <c r="Z379" s="112"/>
      <c r="AA379" s="112"/>
      <c r="AB379" s="112"/>
      <c r="AC379" s="112"/>
      <c r="AD379" s="112"/>
      <c r="AE379" s="112"/>
      <c r="AF379" s="112"/>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c r="BK379" s="124"/>
      <c r="BL379" s="124"/>
      <c r="BM379" s="124"/>
      <c r="BN379" s="124"/>
      <c r="BO379" s="124"/>
      <c r="BP379" s="124"/>
      <c r="BQ379" s="124"/>
      <c r="BR379" s="124"/>
      <c r="BS379" s="124"/>
      <c r="BT379" s="124"/>
      <c r="BU379" s="124"/>
      <c r="BV379" s="124"/>
      <c r="BW379" s="124"/>
      <c r="BX379" s="124"/>
      <c r="BY379" s="124"/>
      <c r="BZ379" s="124"/>
      <c r="CA379" s="124"/>
    </row>
    <row r="380">
      <c r="D380" s="143"/>
      <c r="E380" s="129"/>
      <c r="F380" s="112"/>
      <c r="G380" s="112"/>
      <c r="H380" s="112"/>
      <c r="I380" s="112"/>
      <c r="J380" s="112"/>
      <c r="K380" s="112"/>
      <c r="L380" s="112"/>
      <c r="M380" s="112"/>
      <c r="N380" s="112"/>
      <c r="O380" s="112"/>
      <c r="P380" s="112"/>
      <c r="Q380" s="112"/>
      <c r="R380" s="112"/>
      <c r="S380" s="112"/>
      <c r="T380" s="112"/>
      <c r="U380" s="124"/>
      <c r="V380" s="124"/>
      <c r="W380" s="124"/>
      <c r="X380" s="124"/>
      <c r="Y380" s="124"/>
      <c r="Z380" s="112"/>
      <c r="AA380" s="112"/>
      <c r="AB380" s="112"/>
      <c r="AC380" s="112"/>
      <c r="AD380" s="112"/>
      <c r="AE380" s="112"/>
      <c r="AF380" s="112"/>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c r="BK380" s="124"/>
      <c r="BL380" s="124"/>
      <c r="BM380" s="124"/>
      <c r="BN380" s="124"/>
      <c r="BO380" s="124"/>
      <c r="BP380" s="124"/>
      <c r="BQ380" s="124"/>
      <c r="BR380" s="124"/>
      <c r="BS380" s="124"/>
      <c r="BT380" s="124"/>
      <c r="BU380" s="124"/>
      <c r="BV380" s="124"/>
      <c r="BW380" s="124"/>
      <c r="BX380" s="124"/>
      <c r="BY380" s="124"/>
      <c r="BZ380" s="124"/>
      <c r="CA380" s="124"/>
    </row>
    <row r="381">
      <c r="D381" s="143"/>
      <c r="E381" s="129"/>
      <c r="F381" s="112"/>
      <c r="G381" s="112"/>
      <c r="H381" s="112"/>
      <c r="I381" s="112"/>
      <c r="J381" s="112"/>
      <c r="K381" s="112"/>
      <c r="L381" s="112"/>
      <c r="M381" s="112"/>
      <c r="N381" s="112"/>
      <c r="O381" s="112"/>
      <c r="P381" s="112"/>
      <c r="Q381" s="112"/>
      <c r="R381" s="112"/>
      <c r="S381" s="112"/>
      <c r="T381" s="112"/>
      <c r="U381" s="124"/>
      <c r="V381" s="124"/>
      <c r="W381" s="124"/>
      <c r="X381" s="124"/>
      <c r="Y381" s="124"/>
      <c r="Z381" s="112"/>
      <c r="AA381" s="112"/>
      <c r="AB381" s="112"/>
      <c r="AC381" s="112"/>
      <c r="AD381" s="112"/>
      <c r="AE381" s="112"/>
      <c r="AF381" s="112"/>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c r="BK381" s="124"/>
      <c r="BL381" s="124"/>
      <c r="BM381" s="124"/>
      <c r="BN381" s="124"/>
      <c r="BO381" s="124"/>
      <c r="BP381" s="124"/>
      <c r="BQ381" s="124"/>
      <c r="BR381" s="124"/>
      <c r="BS381" s="124"/>
      <c r="BT381" s="124"/>
      <c r="BU381" s="124"/>
      <c r="BV381" s="124"/>
      <c r="BW381" s="124"/>
      <c r="BX381" s="124"/>
      <c r="BY381" s="124"/>
      <c r="BZ381" s="124"/>
      <c r="CA381" s="124"/>
    </row>
    <row r="382">
      <c r="D382" s="143"/>
      <c r="E382" s="129"/>
      <c r="F382" s="112"/>
      <c r="G382" s="112"/>
      <c r="H382" s="112"/>
      <c r="I382" s="112"/>
      <c r="J382" s="112"/>
      <c r="K382" s="112"/>
      <c r="L382" s="112"/>
      <c r="M382" s="112"/>
      <c r="N382" s="112"/>
      <c r="O382" s="112"/>
      <c r="P382" s="112"/>
      <c r="Q382" s="112"/>
      <c r="R382" s="112"/>
      <c r="S382" s="112"/>
      <c r="T382" s="112"/>
      <c r="U382" s="124"/>
      <c r="V382" s="124"/>
      <c r="W382" s="124"/>
      <c r="X382" s="124"/>
      <c r="Y382" s="124"/>
      <c r="Z382" s="112"/>
      <c r="AA382" s="112"/>
      <c r="AB382" s="112"/>
      <c r="AC382" s="112"/>
      <c r="AD382" s="112"/>
      <c r="AE382" s="112"/>
      <c r="AF382" s="112"/>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row>
    <row r="383">
      <c r="D383" s="143"/>
      <c r="E383" s="129"/>
      <c r="F383" s="112"/>
      <c r="G383" s="112"/>
      <c r="H383" s="112"/>
      <c r="I383" s="112"/>
      <c r="J383" s="112"/>
      <c r="K383" s="112"/>
      <c r="L383" s="112"/>
      <c r="M383" s="112"/>
      <c r="N383" s="112"/>
      <c r="O383" s="112"/>
      <c r="P383" s="112"/>
      <c r="Q383" s="112"/>
      <c r="R383" s="112"/>
      <c r="S383" s="112"/>
      <c r="T383" s="112"/>
      <c r="U383" s="124"/>
      <c r="V383" s="124"/>
      <c r="W383" s="124"/>
      <c r="X383" s="124"/>
      <c r="Y383" s="124"/>
      <c r="Z383" s="112"/>
      <c r="AA383" s="112"/>
      <c r="AB383" s="112"/>
      <c r="AC383" s="112"/>
      <c r="AD383" s="112"/>
      <c r="AE383" s="112"/>
      <c r="AF383" s="112"/>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c r="BK383" s="124"/>
      <c r="BL383" s="124"/>
      <c r="BM383" s="124"/>
      <c r="BN383" s="124"/>
      <c r="BO383" s="124"/>
      <c r="BP383" s="124"/>
      <c r="BQ383" s="124"/>
      <c r="BR383" s="124"/>
      <c r="BS383" s="124"/>
      <c r="BT383" s="124"/>
      <c r="BU383" s="124"/>
      <c r="BV383" s="124"/>
      <c r="BW383" s="124"/>
      <c r="BX383" s="124"/>
      <c r="BY383" s="124"/>
      <c r="BZ383" s="124"/>
      <c r="CA383" s="124"/>
    </row>
    <row r="384">
      <c r="D384" s="143"/>
      <c r="E384" s="129"/>
      <c r="F384" s="112"/>
      <c r="G384" s="112"/>
      <c r="H384" s="112"/>
      <c r="I384" s="112"/>
      <c r="J384" s="112"/>
      <c r="K384" s="112"/>
      <c r="L384" s="112"/>
      <c r="M384" s="112"/>
      <c r="N384" s="112"/>
      <c r="O384" s="112"/>
      <c r="P384" s="112"/>
      <c r="Q384" s="112"/>
      <c r="R384" s="112"/>
      <c r="S384" s="112"/>
      <c r="T384" s="112"/>
      <c r="U384" s="124"/>
      <c r="V384" s="124"/>
      <c r="W384" s="124"/>
      <c r="X384" s="124"/>
      <c r="Y384" s="124"/>
      <c r="Z384" s="112"/>
      <c r="AA384" s="112"/>
      <c r="AB384" s="112"/>
      <c r="AC384" s="112"/>
      <c r="AD384" s="112"/>
      <c r="AE384" s="112"/>
      <c r="AF384" s="112"/>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row>
    <row r="385">
      <c r="D385" s="143"/>
      <c r="E385" s="129"/>
      <c r="F385" s="112"/>
      <c r="G385" s="112"/>
      <c r="H385" s="112"/>
      <c r="I385" s="112"/>
      <c r="J385" s="112"/>
      <c r="K385" s="112"/>
      <c r="L385" s="112"/>
      <c r="M385" s="112"/>
      <c r="N385" s="112"/>
      <c r="O385" s="112"/>
      <c r="P385" s="112"/>
      <c r="Q385" s="112"/>
      <c r="R385" s="112"/>
      <c r="S385" s="112"/>
      <c r="T385" s="112"/>
      <c r="U385" s="124"/>
      <c r="V385" s="124"/>
      <c r="W385" s="124"/>
      <c r="X385" s="124"/>
      <c r="Y385" s="124"/>
      <c r="Z385" s="112"/>
      <c r="AA385" s="112"/>
      <c r="AB385" s="112"/>
      <c r="AC385" s="112"/>
      <c r="AD385" s="112"/>
      <c r="AE385" s="112"/>
      <c r="AF385" s="112"/>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c r="BK385" s="124"/>
      <c r="BL385" s="124"/>
      <c r="BM385" s="124"/>
      <c r="BN385" s="124"/>
      <c r="BO385" s="124"/>
      <c r="BP385" s="124"/>
      <c r="BQ385" s="124"/>
      <c r="BR385" s="124"/>
      <c r="BS385" s="124"/>
      <c r="BT385" s="124"/>
      <c r="BU385" s="124"/>
      <c r="BV385" s="124"/>
      <c r="BW385" s="124"/>
      <c r="BX385" s="124"/>
      <c r="BY385" s="124"/>
      <c r="BZ385" s="124"/>
      <c r="CA385" s="124"/>
    </row>
    <row r="386">
      <c r="D386" s="143"/>
      <c r="E386" s="129"/>
      <c r="F386" s="112"/>
      <c r="G386" s="112"/>
      <c r="H386" s="112"/>
      <c r="I386" s="112"/>
      <c r="J386" s="112"/>
      <c r="K386" s="112"/>
      <c r="L386" s="112"/>
      <c r="M386" s="112"/>
      <c r="N386" s="112"/>
      <c r="O386" s="112"/>
      <c r="P386" s="112"/>
      <c r="Q386" s="112"/>
      <c r="R386" s="112"/>
      <c r="S386" s="112"/>
      <c r="T386" s="112"/>
      <c r="U386" s="124"/>
      <c r="V386" s="124"/>
      <c r="W386" s="124"/>
      <c r="X386" s="124"/>
      <c r="Y386" s="124"/>
      <c r="Z386" s="112"/>
      <c r="AA386" s="112"/>
      <c r="AB386" s="112"/>
      <c r="AC386" s="112"/>
      <c r="AD386" s="112"/>
      <c r="AE386" s="112"/>
      <c r="AF386" s="112"/>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c r="BK386" s="124"/>
      <c r="BL386" s="124"/>
      <c r="BM386" s="124"/>
      <c r="BN386" s="124"/>
      <c r="BO386" s="124"/>
      <c r="BP386" s="124"/>
      <c r="BQ386" s="124"/>
      <c r="BR386" s="124"/>
      <c r="BS386" s="124"/>
      <c r="BT386" s="124"/>
      <c r="BU386" s="124"/>
      <c r="BV386" s="124"/>
      <c r="BW386" s="124"/>
      <c r="BX386" s="124"/>
      <c r="BY386" s="124"/>
      <c r="BZ386" s="124"/>
      <c r="CA386" s="124"/>
    </row>
    <row r="387">
      <c r="D387" s="143"/>
      <c r="E387" s="129"/>
      <c r="F387" s="112"/>
      <c r="G387" s="112"/>
      <c r="H387" s="112"/>
      <c r="I387" s="112"/>
      <c r="J387" s="112"/>
      <c r="K387" s="112"/>
      <c r="L387" s="112"/>
      <c r="M387" s="112"/>
      <c r="N387" s="112"/>
      <c r="O387" s="112"/>
      <c r="P387" s="112"/>
      <c r="Q387" s="112"/>
      <c r="R387" s="112"/>
      <c r="S387" s="112"/>
      <c r="T387" s="112"/>
      <c r="U387" s="124"/>
      <c r="V387" s="124"/>
      <c r="W387" s="124"/>
      <c r="X387" s="124"/>
      <c r="Y387" s="124"/>
      <c r="Z387" s="112"/>
      <c r="AA387" s="112"/>
      <c r="AB387" s="112"/>
      <c r="AC387" s="112"/>
      <c r="AD387" s="112"/>
      <c r="AE387" s="112"/>
      <c r="AF387" s="112"/>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c r="BK387" s="124"/>
      <c r="BL387" s="124"/>
      <c r="BM387" s="124"/>
      <c r="BN387" s="124"/>
      <c r="BO387" s="124"/>
      <c r="BP387" s="124"/>
      <c r="BQ387" s="124"/>
      <c r="BR387" s="124"/>
      <c r="BS387" s="124"/>
      <c r="BT387" s="124"/>
      <c r="BU387" s="124"/>
      <c r="BV387" s="124"/>
      <c r="BW387" s="124"/>
      <c r="BX387" s="124"/>
      <c r="BY387" s="124"/>
      <c r="BZ387" s="124"/>
      <c r="CA387" s="124"/>
    </row>
    <row r="388">
      <c r="D388" s="143"/>
      <c r="E388" s="129"/>
      <c r="F388" s="112"/>
      <c r="G388" s="112"/>
      <c r="H388" s="112"/>
      <c r="I388" s="112"/>
      <c r="J388" s="112"/>
      <c r="K388" s="112"/>
      <c r="L388" s="112"/>
      <c r="M388" s="112"/>
      <c r="N388" s="112"/>
      <c r="O388" s="112"/>
      <c r="P388" s="112"/>
      <c r="Q388" s="112"/>
      <c r="R388" s="112"/>
      <c r="S388" s="112"/>
      <c r="T388" s="112"/>
      <c r="U388" s="124"/>
      <c r="V388" s="124"/>
      <c r="W388" s="124"/>
      <c r="X388" s="124"/>
      <c r="Y388" s="124"/>
      <c r="Z388" s="112"/>
      <c r="AA388" s="112"/>
      <c r="AB388" s="112"/>
      <c r="AC388" s="112"/>
      <c r="AD388" s="112"/>
      <c r="AE388" s="112"/>
      <c r="AF388" s="112"/>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c r="BK388" s="124"/>
      <c r="BL388" s="124"/>
      <c r="BM388" s="124"/>
      <c r="BN388" s="124"/>
      <c r="BO388" s="124"/>
      <c r="BP388" s="124"/>
      <c r="BQ388" s="124"/>
      <c r="BR388" s="124"/>
      <c r="BS388" s="124"/>
      <c r="BT388" s="124"/>
      <c r="BU388" s="124"/>
      <c r="BV388" s="124"/>
      <c r="BW388" s="124"/>
      <c r="BX388" s="124"/>
      <c r="BY388" s="124"/>
      <c r="BZ388" s="124"/>
      <c r="CA388" s="124"/>
    </row>
    <row r="389">
      <c r="D389" s="143"/>
      <c r="E389" s="129"/>
      <c r="F389" s="112"/>
      <c r="G389" s="112"/>
      <c r="H389" s="112"/>
      <c r="I389" s="112"/>
      <c r="J389" s="112"/>
      <c r="K389" s="112"/>
      <c r="L389" s="112"/>
      <c r="M389" s="112"/>
      <c r="N389" s="112"/>
      <c r="O389" s="112"/>
      <c r="P389" s="112"/>
      <c r="Q389" s="112"/>
      <c r="R389" s="112"/>
      <c r="S389" s="112"/>
      <c r="T389" s="112"/>
      <c r="U389" s="124"/>
      <c r="V389" s="124"/>
      <c r="W389" s="124"/>
      <c r="X389" s="124"/>
      <c r="Y389" s="124"/>
      <c r="Z389" s="112"/>
      <c r="AA389" s="112"/>
      <c r="AB389" s="112"/>
      <c r="AC389" s="112"/>
      <c r="AD389" s="112"/>
      <c r="AE389" s="112"/>
      <c r="AF389" s="112"/>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c r="BK389" s="124"/>
      <c r="BL389" s="124"/>
      <c r="BM389" s="124"/>
      <c r="BN389" s="124"/>
      <c r="BO389" s="124"/>
      <c r="BP389" s="124"/>
      <c r="BQ389" s="124"/>
      <c r="BR389" s="124"/>
      <c r="BS389" s="124"/>
      <c r="BT389" s="124"/>
      <c r="BU389" s="124"/>
      <c r="BV389" s="124"/>
      <c r="BW389" s="124"/>
      <c r="BX389" s="124"/>
      <c r="BY389" s="124"/>
      <c r="BZ389" s="124"/>
      <c r="CA389" s="124"/>
    </row>
    <row r="390">
      <c r="D390" s="143"/>
      <c r="E390" s="129"/>
      <c r="F390" s="112"/>
      <c r="G390" s="112"/>
      <c r="H390" s="112"/>
      <c r="I390" s="112"/>
      <c r="J390" s="112"/>
      <c r="K390" s="112"/>
      <c r="L390" s="112"/>
      <c r="M390" s="112"/>
      <c r="N390" s="112"/>
      <c r="O390" s="112"/>
      <c r="P390" s="112"/>
      <c r="Q390" s="112"/>
      <c r="R390" s="112"/>
      <c r="S390" s="112"/>
      <c r="T390" s="112"/>
      <c r="U390" s="124"/>
      <c r="V390" s="124"/>
      <c r="W390" s="124"/>
      <c r="X390" s="124"/>
      <c r="Y390" s="124"/>
      <c r="Z390" s="112"/>
      <c r="AA390" s="112"/>
      <c r="AB390" s="112"/>
      <c r="AC390" s="112"/>
      <c r="AD390" s="112"/>
      <c r="AE390" s="112"/>
      <c r="AF390" s="112"/>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row>
    <row r="391">
      <c r="D391" s="143"/>
      <c r="E391" s="129"/>
      <c r="F391" s="112"/>
      <c r="G391" s="112"/>
      <c r="H391" s="112"/>
      <c r="I391" s="112"/>
      <c r="J391" s="112"/>
      <c r="K391" s="112"/>
      <c r="L391" s="112"/>
      <c r="M391" s="112"/>
      <c r="N391" s="112"/>
      <c r="O391" s="112"/>
      <c r="P391" s="112"/>
      <c r="Q391" s="112"/>
      <c r="R391" s="112"/>
      <c r="S391" s="112"/>
      <c r="T391" s="112"/>
      <c r="U391" s="124"/>
      <c r="V391" s="124"/>
      <c r="W391" s="124"/>
      <c r="X391" s="124"/>
      <c r="Y391" s="124"/>
      <c r="Z391" s="112"/>
      <c r="AA391" s="112"/>
      <c r="AB391" s="112"/>
      <c r="AC391" s="112"/>
      <c r="AD391" s="112"/>
      <c r="AE391" s="112"/>
      <c r="AF391" s="112"/>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c r="BK391" s="124"/>
      <c r="BL391" s="124"/>
      <c r="BM391" s="124"/>
      <c r="BN391" s="124"/>
      <c r="BO391" s="124"/>
      <c r="BP391" s="124"/>
      <c r="BQ391" s="124"/>
      <c r="BR391" s="124"/>
      <c r="BS391" s="124"/>
      <c r="BT391" s="124"/>
      <c r="BU391" s="124"/>
      <c r="BV391" s="124"/>
      <c r="BW391" s="124"/>
      <c r="BX391" s="124"/>
      <c r="BY391" s="124"/>
      <c r="BZ391" s="124"/>
      <c r="CA391" s="124"/>
    </row>
    <row r="392">
      <c r="D392" s="143"/>
      <c r="E392" s="129"/>
      <c r="F392" s="112"/>
      <c r="G392" s="112"/>
      <c r="H392" s="112"/>
      <c r="I392" s="112"/>
      <c r="J392" s="112"/>
      <c r="K392" s="112"/>
      <c r="L392" s="112"/>
      <c r="M392" s="112"/>
      <c r="N392" s="112"/>
      <c r="O392" s="112"/>
      <c r="P392" s="112"/>
      <c r="Q392" s="112"/>
      <c r="R392" s="112"/>
      <c r="S392" s="112"/>
      <c r="T392" s="112"/>
      <c r="U392" s="124"/>
      <c r="V392" s="124"/>
      <c r="W392" s="124"/>
      <c r="X392" s="124"/>
      <c r="Y392" s="124"/>
      <c r="Z392" s="112"/>
      <c r="AA392" s="112"/>
      <c r="AB392" s="112"/>
      <c r="AC392" s="112"/>
      <c r="AD392" s="112"/>
      <c r="AE392" s="112"/>
      <c r="AF392" s="112"/>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c r="BK392" s="124"/>
      <c r="BL392" s="124"/>
      <c r="BM392" s="124"/>
      <c r="BN392" s="124"/>
      <c r="BO392" s="124"/>
      <c r="BP392" s="124"/>
      <c r="BQ392" s="124"/>
      <c r="BR392" s="124"/>
      <c r="BS392" s="124"/>
      <c r="BT392" s="124"/>
      <c r="BU392" s="124"/>
      <c r="BV392" s="124"/>
      <c r="BW392" s="124"/>
      <c r="BX392" s="124"/>
      <c r="BY392" s="124"/>
      <c r="BZ392" s="124"/>
      <c r="CA392" s="124"/>
    </row>
    <row r="393">
      <c r="D393" s="143"/>
      <c r="E393" s="129"/>
      <c r="F393" s="112"/>
      <c r="G393" s="112"/>
      <c r="H393" s="112"/>
      <c r="I393" s="112"/>
      <c r="J393" s="112"/>
      <c r="K393" s="112"/>
      <c r="L393" s="112"/>
      <c r="M393" s="112"/>
      <c r="N393" s="112"/>
      <c r="O393" s="112"/>
      <c r="P393" s="112"/>
      <c r="Q393" s="112"/>
      <c r="R393" s="112"/>
      <c r="S393" s="112"/>
      <c r="T393" s="112"/>
      <c r="U393" s="124"/>
      <c r="V393" s="124"/>
      <c r="W393" s="124"/>
      <c r="X393" s="124"/>
      <c r="Y393" s="124"/>
      <c r="Z393" s="112"/>
      <c r="AA393" s="112"/>
      <c r="AB393" s="112"/>
      <c r="AC393" s="112"/>
      <c r="AD393" s="112"/>
      <c r="AE393" s="112"/>
      <c r="AF393" s="112"/>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row>
    <row r="394">
      <c r="D394" s="143"/>
      <c r="E394" s="129"/>
      <c r="F394" s="112"/>
      <c r="G394" s="112"/>
      <c r="H394" s="112"/>
      <c r="I394" s="112"/>
      <c r="J394" s="112"/>
      <c r="K394" s="112"/>
      <c r="L394" s="112"/>
      <c r="M394" s="112"/>
      <c r="N394" s="112"/>
      <c r="O394" s="112"/>
      <c r="P394" s="112"/>
      <c r="Q394" s="112"/>
      <c r="R394" s="112"/>
      <c r="S394" s="112"/>
      <c r="T394" s="112"/>
      <c r="U394" s="124"/>
      <c r="V394" s="124"/>
      <c r="W394" s="124"/>
      <c r="X394" s="124"/>
      <c r="Y394" s="124"/>
      <c r="Z394" s="112"/>
      <c r="AA394" s="112"/>
      <c r="AB394" s="112"/>
      <c r="AC394" s="112"/>
      <c r="AD394" s="112"/>
      <c r="AE394" s="112"/>
      <c r="AF394" s="112"/>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row>
    <row r="395">
      <c r="D395" s="143"/>
      <c r="E395" s="129"/>
      <c r="F395" s="112"/>
      <c r="G395" s="112"/>
      <c r="H395" s="112"/>
      <c r="I395" s="112"/>
      <c r="J395" s="112"/>
      <c r="K395" s="112"/>
      <c r="L395" s="112"/>
      <c r="M395" s="112"/>
      <c r="N395" s="112"/>
      <c r="O395" s="112"/>
      <c r="P395" s="112"/>
      <c r="Q395" s="112"/>
      <c r="R395" s="112"/>
      <c r="S395" s="112"/>
      <c r="T395" s="112"/>
      <c r="U395" s="124"/>
      <c r="V395" s="124"/>
      <c r="W395" s="124"/>
      <c r="X395" s="124"/>
      <c r="Y395" s="124"/>
      <c r="Z395" s="112"/>
      <c r="AA395" s="112"/>
      <c r="AB395" s="112"/>
      <c r="AC395" s="112"/>
      <c r="AD395" s="112"/>
      <c r="AE395" s="112"/>
      <c r="AF395" s="112"/>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c r="BK395" s="124"/>
      <c r="BL395" s="124"/>
      <c r="BM395" s="124"/>
      <c r="BN395" s="124"/>
      <c r="BO395" s="124"/>
      <c r="BP395" s="124"/>
      <c r="BQ395" s="124"/>
      <c r="BR395" s="124"/>
      <c r="BS395" s="124"/>
      <c r="BT395" s="124"/>
      <c r="BU395" s="124"/>
      <c r="BV395" s="124"/>
      <c r="BW395" s="124"/>
      <c r="BX395" s="124"/>
      <c r="BY395" s="124"/>
      <c r="BZ395" s="124"/>
      <c r="CA395" s="124"/>
    </row>
    <row r="396">
      <c r="D396" s="143"/>
      <c r="E396" s="129"/>
      <c r="F396" s="112"/>
      <c r="G396" s="112"/>
      <c r="H396" s="112"/>
      <c r="I396" s="112"/>
      <c r="J396" s="112"/>
      <c r="K396" s="112"/>
      <c r="L396" s="112"/>
      <c r="M396" s="112"/>
      <c r="N396" s="112"/>
      <c r="O396" s="112"/>
      <c r="P396" s="112"/>
      <c r="Q396" s="112"/>
      <c r="R396" s="112"/>
      <c r="S396" s="112"/>
      <c r="T396" s="112"/>
      <c r="U396" s="124"/>
      <c r="V396" s="124"/>
      <c r="W396" s="124"/>
      <c r="X396" s="124"/>
      <c r="Y396" s="124"/>
      <c r="Z396" s="112"/>
      <c r="AA396" s="112"/>
      <c r="AB396" s="112"/>
      <c r="AC396" s="112"/>
      <c r="AD396" s="112"/>
      <c r="AE396" s="112"/>
      <c r="AF396" s="112"/>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row>
    <row r="397">
      <c r="D397" s="143"/>
      <c r="E397" s="129"/>
      <c r="F397" s="112"/>
      <c r="G397" s="112"/>
      <c r="H397" s="112"/>
      <c r="I397" s="112"/>
      <c r="J397" s="112"/>
      <c r="K397" s="112"/>
      <c r="L397" s="112"/>
      <c r="M397" s="112"/>
      <c r="N397" s="112"/>
      <c r="O397" s="112"/>
      <c r="P397" s="112"/>
      <c r="Q397" s="112"/>
      <c r="R397" s="112"/>
      <c r="S397" s="112"/>
      <c r="T397" s="112"/>
      <c r="U397" s="124"/>
      <c r="V397" s="124"/>
      <c r="W397" s="124"/>
      <c r="X397" s="124"/>
      <c r="Y397" s="124"/>
      <c r="Z397" s="112"/>
      <c r="AA397" s="112"/>
      <c r="AB397" s="112"/>
      <c r="AC397" s="112"/>
      <c r="AD397" s="112"/>
      <c r="AE397" s="112"/>
      <c r="AF397" s="112"/>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row>
    <row r="398">
      <c r="D398" s="143"/>
      <c r="E398" s="129"/>
      <c r="F398" s="112"/>
      <c r="G398" s="112"/>
      <c r="H398" s="112"/>
      <c r="I398" s="112"/>
      <c r="J398" s="112"/>
      <c r="K398" s="112"/>
      <c r="L398" s="112"/>
      <c r="M398" s="112"/>
      <c r="N398" s="112"/>
      <c r="O398" s="112"/>
      <c r="P398" s="112"/>
      <c r="Q398" s="112"/>
      <c r="R398" s="112"/>
      <c r="S398" s="112"/>
      <c r="T398" s="112"/>
      <c r="U398" s="124"/>
      <c r="V398" s="124"/>
      <c r="W398" s="124"/>
      <c r="X398" s="124"/>
      <c r="Y398" s="124"/>
      <c r="Z398" s="112"/>
      <c r="AA398" s="112"/>
      <c r="AB398" s="112"/>
      <c r="AC398" s="112"/>
      <c r="AD398" s="112"/>
      <c r="AE398" s="112"/>
      <c r="AF398" s="112"/>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row>
    <row r="399">
      <c r="D399" s="143"/>
      <c r="E399" s="129"/>
      <c r="F399" s="112"/>
      <c r="G399" s="112"/>
      <c r="H399" s="112"/>
      <c r="I399" s="112"/>
      <c r="J399" s="112"/>
      <c r="K399" s="112"/>
      <c r="L399" s="112"/>
      <c r="M399" s="112"/>
      <c r="N399" s="112"/>
      <c r="O399" s="112"/>
      <c r="P399" s="112"/>
      <c r="Q399" s="112"/>
      <c r="R399" s="112"/>
      <c r="S399" s="112"/>
      <c r="T399" s="112"/>
      <c r="U399" s="124"/>
      <c r="V399" s="124"/>
      <c r="W399" s="124"/>
      <c r="X399" s="124"/>
      <c r="Y399" s="124"/>
      <c r="Z399" s="112"/>
      <c r="AA399" s="112"/>
      <c r="AB399" s="112"/>
      <c r="AC399" s="112"/>
      <c r="AD399" s="112"/>
      <c r="AE399" s="112"/>
      <c r="AF399" s="112"/>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c r="BK399" s="124"/>
      <c r="BL399" s="124"/>
      <c r="BM399" s="124"/>
      <c r="BN399" s="124"/>
      <c r="BO399" s="124"/>
      <c r="BP399" s="124"/>
      <c r="BQ399" s="124"/>
      <c r="BR399" s="124"/>
      <c r="BS399" s="124"/>
      <c r="BT399" s="124"/>
      <c r="BU399" s="124"/>
      <c r="BV399" s="124"/>
      <c r="BW399" s="124"/>
      <c r="BX399" s="124"/>
      <c r="BY399" s="124"/>
      <c r="BZ399" s="124"/>
      <c r="CA399" s="124"/>
    </row>
    <row r="400">
      <c r="D400" s="143"/>
      <c r="E400" s="129"/>
      <c r="F400" s="112"/>
      <c r="G400" s="112"/>
      <c r="H400" s="112"/>
      <c r="I400" s="112"/>
      <c r="J400" s="112"/>
      <c r="K400" s="112"/>
      <c r="L400" s="112"/>
      <c r="M400" s="112"/>
      <c r="N400" s="112"/>
      <c r="O400" s="112"/>
      <c r="P400" s="112"/>
      <c r="Q400" s="112"/>
      <c r="R400" s="112"/>
      <c r="S400" s="112"/>
      <c r="T400" s="112"/>
      <c r="U400" s="124"/>
      <c r="V400" s="124"/>
      <c r="W400" s="124"/>
      <c r="X400" s="124"/>
      <c r="Y400" s="124"/>
      <c r="Z400" s="112"/>
      <c r="AA400" s="112"/>
      <c r="AB400" s="112"/>
      <c r="AC400" s="112"/>
      <c r="AD400" s="112"/>
      <c r="AE400" s="112"/>
      <c r="AF400" s="112"/>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row>
    <row r="401">
      <c r="D401" s="143"/>
      <c r="E401" s="129"/>
      <c r="F401" s="112"/>
      <c r="G401" s="112"/>
      <c r="H401" s="112"/>
      <c r="I401" s="112"/>
      <c r="J401" s="112"/>
      <c r="K401" s="112"/>
      <c r="L401" s="112"/>
      <c r="M401" s="112"/>
      <c r="N401" s="112"/>
      <c r="O401" s="112"/>
      <c r="P401" s="112"/>
      <c r="Q401" s="112"/>
      <c r="R401" s="112"/>
      <c r="S401" s="112"/>
      <c r="T401" s="112"/>
      <c r="U401" s="124"/>
      <c r="V401" s="124"/>
      <c r="W401" s="124"/>
      <c r="X401" s="124"/>
      <c r="Y401" s="124"/>
      <c r="Z401" s="112"/>
      <c r="AA401" s="112"/>
      <c r="AB401" s="112"/>
      <c r="AC401" s="112"/>
      <c r="AD401" s="112"/>
      <c r="AE401" s="112"/>
      <c r="AF401" s="112"/>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row>
    <row r="402">
      <c r="D402" s="143"/>
      <c r="E402" s="129"/>
      <c r="F402" s="112"/>
      <c r="G402" s="112"/>
      <c r="H402" s="112"/>
      <c r="I402" s="112"/>
      <c r="J402" s="112"/>
      <c r="K402" s="112"/>
      <c r="L402" s="112"/>
      <c r="M402" s="112"/>
      <c r="N402" s="112"/>
      <c r="O402" s="112"/>
      <c r="P402" s="112"/>
      <c r="Q402" s="112"/>
      <c r="R402" s="112"/>
      <c r="S402" s="112"/>
      <c r="T402" s="112"/>
      <c r="U402" s="124"/>
      <c r="V402" s="124"/>
      <c r="W402" s="124"/>
      <c r="X402" s="124"/>
      <c r="Y402" s="124"/>
      <c r="Z402" s="112"/>
      <c r="AA402" s="112"/>
      <c r="AB402" s="112"/>
      <c r="AC402" s="112"/>
      <c r="AD402" s="112"/>
      <c r="AE402" s="112"/>
      <c r="AF402" s="112"/>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row>
    <row r="403">
      <c r="D403" s="143"/>
      <c r="E403" s="129"/>
      <c r="F403" s="112"/>
      <c r="G403" s="112"/>
      <c r="H403" s="112"/>
      <c r="I403" s="112"/>
      <c r="J403" s="112"/>
      <c r="K403" s="112"/>
      <c r="L403" s="112"/>
      <c r="M403" s="112"/>
      <c r="N403" s="112"/>
      <c r="O403" s="112"/>
      <c r="P403" s="112"/>
      <c r="Q403" s="112"/>
      <c r="R403" s="112"/>
      <c r="S403" s="112"/>
      <c r="T403" s="112"/>
      <c r="U403" s="124"/>
      <c r="V403" s="124"/>
      <c r="W403" s="124"/>
      <c r="X403" s="124"/>
      <c r="Y403" s="124"/>
      <c r="Z403" s="112"/>
      <c r="AA403" s="112"/>
      <c r="AB403" s="112"/>
      <c r="AC403" s="112"/>
      <c r="AD403" s="112"/>
      <c r="AE403" s="112"/>
      <c r="AF403" s="112"/>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c r="BK403" s="124"/>
      <c r="BL403" s="124"/>
      <c r="BM403" s="124"/>
      <c r="BN403" s="124"/>
      <c r="BO403" s="124"/>
      <c r="BP403" s="124"/>
      <c r="BQ403" s="124"/>
      <c r="BR403" s="124"/>
      <c r="BS403" s="124"/>
      <c r="BT403" s="124"/>
      <c r="BU403" s="124"/>
      <c r="BV403" s="124"/>
      <c r="BW403" s="124"/>
      <c r="BX403" s="124"/>
      <c r="BY403" s="124"/>
      <c r="BZ403" s="124"/>
      <c r="CA403" s="124"/>
    </row>
    <row r="404">
      <c r="D404" s="143"/>
      <c r="E404" s="129"/>
      <c r="F404" s="112"/>
      <c r="G404" s="112"/>
      <c r="H404" s="112"/>
      <c r="I404" s="112"/>
      <c r="J404" s="112"/>
      <c r="K404" s="112"/>
      <c r="L404" s="112"/>
      <c r="M404" s="112"/>
      <c r="N404" s="112"/>
      <c r="O404" s="112"/>
      <c r="P404" s="112"/>
      <c r="Q404" s="112"/>
      <c r="R404" s="112"/>
      <c r="S404" s="112"/>
      <c r="T404" s="112"/>
      <c r="U404" s="124"/>
      <c r="V404" s="124"/>
      <c r="W404" s="124"/>
      <c r="X404" s="124"/>
      <c r="Y404" s="124"/>
      <c r="Z404" s="112"/>
      <c r="AA404" s="112"/>
      <c r="AB404" s="112"/>
      <c r="AC404" s="112"/>
      <c r="AD404" s="112"/>
      <c r="AE404" s="112"/>
      <c r="AF404" s="112"/>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row>
    <row r="405">
      <c r="D405" s="143"/>
      <c r="E405" s="129"/>
      <c r="F405" s="112"/>
      <c r="G405" s="112"/>
      <c r="H405" s="112"/>
      <c r="I405" s="112"/>
      <c r="J405" s="112"/>
      <c r="K405" s="112"/>
      <c r="L405" s="112"/>
      <c r="M405" s="112"/>
      <c r="N405" s="112"/>
      <c r="O405" s="112"/>
      <c r="P405" s="112"/>
      <c r="Q405" s="112"/>
      <c r="R405" s="112"/>
      <c r="S405" s="112"/>
      <c r="T405" s="112"/>
      <c r="U405" s="124"/>
      <c r="V405" s="124"/>
      <c r="W405" s="124"/>
      <c r="X405" s="124"/>
      <c r="Y405" s="124"/>
      <c r="Z405" s="112"/>
      <c r="AA405" s="112"/>
      <c r="AB405" s="112"/>
      <c r="AC405" s="112"/>
      <c r="AD405" s="112"/>
      <c r="AE405" s="112"/>
      <c r="AF405" s="112"/>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row>
    <row r="406">
      <c r="D406" s="143"/>
      <c r="E406" s="129"/>
      <c r="F406" s="112"/>
      <c r="G406" s="112"/>
      <c r="H406" s="112"/>
      <c r="I406" s="112"/>
      <c r="J406" s="112"/>
      <c r="K406" s="112"/>
      <c r="L406" s="112"/>
      <c r="M406" s="112"/>
      <c r="N406" s="112"/>
      <c r="O406" s="112"/>
      <c r="P406" s="112"/>
      <c r="Q406" s="112"/>
      <c r="R406" s="112"/>
      <c r="S406" s="112"/>
      <c r="T406" s="112"/>
      <c r="U406" s="124"/>
      <c r="V406" s="124"/>
      <c r="W406" s="124"/>
      <c r="X406" s="124"/>
      <c r="Y406" s="124"/>
      <c r="Z406" s="112"/>
      <c r="AA406" s="112"/>
      <c r="AB406" s="112"/>
      <c r="AC406" s="112"/>
      <c r="AD406" s="112"/>
      <c r="AE406" s="112"/>
      <c r="AF406" s="112"/>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row>
    <row r="407">
      <c r="D407" s="143"/>
      <c r="E407" s="129"/>
      <c r="F407" s="112"/>
      <c r="G407" s="112"/>
      <c r="H407" s="112"/>
      <c r="I407" s="112"/>
      <c r="J407" s="112"/>
      <c r="K407" s="112"/>
      <c r="L407" s="112"/>
      <c r="M407" s="112"/>
      <c r="N407" s="112"/>
      <c r="O407" s="112"/>
      <c r="P407" s="112"/>
      <c r="Q407" s="112"/>
      <c r="R407" s="112"/>
      <c r="S407" s="112"/>
      <c r="T407" s="112"/>
      <c r="U407" s="124"/>
      <c r="V407" s="124"/>
      <c r="W407" s="124"/>
      <c r="X407" s="124"/>
      <c r="Y407" s="124"/>
      <c r="Z407" s="112"/>
      <c r="AA407" s="112"/>
      <c r="AB407" s="112"/>
      <c r="AC407" s="112"/>
      <c r="AD407" s="112"/>
      <c r="AE407" s="112"/>
      <c r="AF407" s="112"/>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row>
    <row r="408">
      <c r="D408" s="143"/>
      <c r="E408" s="129"/>
      <c r="F408" s="112"/>
      <c r="G408" s="112"/>
      <c r="H408" s="112"/>
      <c r="I408" s="112"/>
      <c r="J408" s="112"/>
      <c r="K408" s="112"/>
      <c r="L408" s="112"/>
      <c r="M408" s="112"/>
      <c r="N408" s="112"/>
      <c r="O408" s="112"/>
      <c r="P408" s="112"/>
      <c r="Q408" s="112"/>
      <c r="R408" s="112"/>
      <c r="S408" s="112"/>
      <c r="T408" s="112"/>
      <c r="U408" s="124"/>
      <c r="V408" s="124"/>
      <c r="W408" s="124"/>
      <c r="X408" s="124"/>
      <c r="Y408" s="124"/>
      <c r="Z408" s="112"/>
      <c r="AA408" s="112"/>
      <c r="AB408" s="112"/>
      <c r="AC408" s="112"/>
      <c r="AD408" s="112"/>
      <c r="AE408" s="112"/>
      <c r="AF408" s="112"/>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24"/>
      <c r="BP408" s="124"/>
      <c r="BQ408" s="124"/>
      <c r="BR408" s="124"/>
      <c r="BS408" s="124"/>
      <c r="BT408" s="124"/>
      <c r="BU408" s="124"/>
      <c r="BV408" s="124"/>
      <c r="BW408" s="124"/>
      <c r="BX408" s="124"/>
      <c r="BY408" s="124"/>
      <c r="BZ408" s="124"/>
      <c r="CA408" s="124"/>
    </row>
    <row r="409">
      <c r="D409" s="143"/>
      <c r="E409" s="129"/>
      <c r="F409" s="112"/>
      <c r="G409" s="112"/>
      <c r="H409" s="112"/>
      <c r="I409" s="112"/>
      <c r="J409" s="112"/>
      <c r="K409" s="112"/>
      <c r="L409" s="112"/>
      <c r="M409" s="112"/>
      <c r="N409" s="112"/>
      <c r="O409" s="112"/>
      <c r="P409" s="112"/>
      <c r="Q409" s="112"/>
      <c r="R409" s="112"/>
      <c r="S409" s="112"/>
      <c r="T409" s="112"/>
      <c r="U409" s="124"/>
      <c r="V409" s="124"/>
      <c r="W409" s="124"/>
      <c r="X409" s="124"/>
      <c r="Y409" s="124"/>
      <c r="Z409" s="112"/>
      <c r="AA409" s="112"/>
      <c r="AB409" s="112"/>
      <c r="AC409" s="112"/>
      <c r="AD409" s="112"/>
      <c r="AE409" s="112"/>
      <c r="AF409" s="112"/>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row>
    <row r="410">
      <c r="D410" s="143"/>
      <c r="E410" s="129"/>
      <c r="F410" s="112"/>
      <c r="G410" s="112"/>
      <c r="H410" s="112"/>
      <c r="I410" s="112"/>
      <c r="J410" s="112"/>
      <c r="K410" s="112"/>
      <c r="L410" s="112"/>
      <c r="M410" s="112"/>
      <c r="N410" s="112"/>
      <c r="O410" s="112"/>
      <c r="P410" s="112"/>
      <c r="Q410" s="112"/>
      <c r="R410" s="112"/>
      <c r="S410" s="112"/>
      <c r="T410" s="112"/>
      <c r="U410" s="124"/>
      <c r="V410" s="124"/>
      <c r="W410" s="124"/>
      <c r="X410" s="124"/>
      <c r="Y410" s="124"/>
      <c r="Z410" s="112"/>
      <c r="AA410" s="112"/>
      <c r="AB410" s="112"/>
      <c r="AC410" s="112"/>
      <c r="AD410" s="112"/>
      <c r="AE410" s="112"/>
      <c r="AF410" s="112"/>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row>
    <row r="411">
      <c r="D411" s="143"/>
      <c r="E411" s="129"/>
      <c r="F411" s="112"/>
      <c r="G411" s="112"/>
      <c r="H411" s="112"/>
      <c r="I411" s="112"/>
      <c r="J411" s="112"/>
      <c r="K411" s="112"/>
      <c r="L411" s="112"/>
      <c r="M411" s="112"/>
      <c r="N411" s="112"/>
      <c r="O411" s="112"/>
      <c r="P411" s="112"/>
      <c r="Q411" s="112"/>
      <c r="R411" s="112"/>
      <c r="S411" s="112"/>
      <c r="T411" s="112"/>
      <c r="U411" s="124"/>
      <c r="V411" s="124"/>
      <c r="W411" s="124"/>
      <c r="X411" s="124"/>
      <c r="Y411" s="124"/>
      <c r="Z411" s="112"/>
      <c r="AA411" s="112"/>
      <c r="AB411" s="112"/>
      <c r="AC411" s="112"/>
      <c r="AD411" s="112"/>
      <c r="AE411" s="112"/>
      <c r="AF411" s="112"/>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c r="BK411" s="124"/>
      <c r="BL411" s="124"/>
      <c r="BM411" s="124"/>
      <c r="BN411" s="124"/>
      <c r="BO411" s="124"/>
      <c r="BP411" s="124"/>
      <c r="BQ411" s="124"/>
      <c r="BR411" s="124"/>
      <c r="BS411" s="124"/>
      <c r="BT411" s="124"/>
      <c r="BU411" s="124"/>
      <c r="BV411" s="124"/>
      <c r="BW411" s="124"/>
      <c r="BX411" s="124"/>
      <c r="BY411" s="124"/>
      <c r="BZ411" s="124"/>
      <c r="CA411" s="124"/>
    </row>
    <row r="412">
      <c r="D412" s="143"/>
      <c r="E412" s="129"/>
      <c r="F412" s="112"/>
      <c r="G412" s="112"/>
      <c r="H412" s="112"/>
      <c r="I412" s="112"/>
      <c r="J412" s="112"/>
      <c r="K412" s="112"/>
      <c r="L412" s="112"/>
      <c r="M412" s="112"/>
      <c r="N412" s="112"/>
      <c r="O412" s="112"/>
      <c r="P412" s="112"/>
      <c r="Q412" s="112"/>
      <c r="R412" s="112"/>
      <c r="S412" s="112"/>
      <c r="T412" s="112"/>
      <c r="U412" s="124"/>
      <c r="V412" s="124"/>
      <c r="W412" s="124"/>
      <c r="X412" s="124"/>
      <c r="Y412" s="124"/>
      <c r="Z412" s="112"/>
      <c r="AA412" s="112"/>
      <c r="AB412" s="112"/>
      <c r="AC412" s="112"/>
      <c r="AD412" s="112"/>
      <c r="AE412" s="112"/>
      <c r="AF412" s="112"/>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row>
    <row r="413">
      <c r="D413" s="143"/>
      <c r="E413" s="129"/>
      <c r="F413" s="112"/>
      <c r="G413" s="112"/>
      <c r="H413" s="112"/>
      <c r="I413" s="112"/>
      <c r="J413" s="112"/>
      <c r="K413" s="112"/>
      <c r="L413" s="112"/>
      <c r="M413" s="112"/>
      <c r="N413" s="112"/>
      <c r="O413" s="112"/>
      <c r="P413" s="112"/>
      <c r="Q413" s="112"/>
      <c r="R413" s="112"/>
      <c r="S413" s="112"/>
      <c r="T413" s="112"/>
      <c r="U413" s="124"/>
      <c r="V413" s="124"/>
      <c r="W413" s="124"/>
      <c r="X413" s="124"/>
      <c r="Y413" s="124"/>
      <c r="Z413" s="112"/>
      <c r="AA413" s="112"/>
      <c r="AB413" s="112"/>
      <c r="AC413" s="112"/>
      <c r="AD413" s="112"/>
      <c r="AE413" s="112"/>
      <c r="AF413" s="112"/>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c r="BK413" s="124"/>
      <c r="BL413" s="124"/>
      <c r="BM413" s="124"/>
      <c r="BN413" s="124"/>
      <c r="BO413" s="124"/>
      <c r="BP413" s="124"/>
      <c r="BQ413" s="124"/>
      <c r="BR413" s="124"/>
      <c r="BS413" s="124"/>
      <c r="BT413" s="124"/>
      <c r="BU413" s="124"/>
      <c r="BV413" s="124"/>
      <c r="BW413" s="124"/>
      <c r="BX413" s="124"/>
      <c r="BY413" s="124"/>
      <c r="BZ413" s="124"/>
      <c r="CA413" s="124"/>
    </row>
    <row r="414">
      <c r="D414" s="143"/>
      <c r="E414" s="129"/>
      <c r="F414" s="112"/>
      <c r="G414" s="112"/>
      <c r="H414" s="112"/>
      <c r="I414" s="112"/>
      <c r="J414" s="112"/>
      <c r="K414" s="112"/>
      <c r="L414" s="112"/>
      <c r="M414" s="112"/>
      <c r="N414" s="112"/>
      <c r="O414" s="112"/>
      <c r="P414" s="112"/>
      <c r="Q414" s="112"/>
      <c r="R414" s="112"/>
      <c r="S414" s="112"/>
      <c r="T414" s="112"/>
      <c r="U414" s="124"/>
      <c r="V414" s="124"/>
      <c r="W414" s="124"/>
      <c r="X414" s="124"/>
      <c r="Y414" s="124"/>
      <c r="Z414" s="112"/>
      <c r="AA414" s="112"/>
      <c r="AB414" s="112"/>
      <c r="AC414" s="112"/>
      <c r="AD414" s="112"/>
      <c r="AE414" s="112"/>
      <c r="AF414" s="112"/>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c r="BK414" s="124"/>
      <c r="BL414" s="124"/>
      <c r="BM414" s="124"/>
      <c r="BN414" s="124"/>
      <c r="BO414" s="124"/>
      <c r="BP414" s="124"/>
      <c r="BQ414" s="124"/>
      <c r="BR414" s="124"/>
      <c r="BS414" s="124"/>
      <c r="BT414" s="124"/>
      <c r="BU414" s="124"/>
      <c r="BV414" s="124"/>
      <c r="BW414" s="124"/>
      <c r="BX414" s="124"/>
      <c r="BY414" s="124"/>
      <c r="BZ414" s="124"/>
      <c r="CA414" s="124"/>
    </row>
    <row r="415">
      <c r="D415" s="143"/>
      <c r="E415" s="129"/>
      <c r="F415" s="112"/>
      <c r="G415" s="112"/>
      <c r="H415" s="112"/>
      <c r="I415" s="112"/>
      <c r="J415" s="112"/>
      <c r="K415" s="112"/>
      <c r="L415" s="112"/>
      <c r="M415" s="112"/>
      <c r="N415" s="112"/>
      <c r="O415" s="112"/>
      <c r="P415" s="112"/>
      <c r="Q415" s="112"/>
      <c r="R415" s="112"/>
      <c r="S415" s="112"/>
      <c r="T415" s="112"/>
      <c r="U415" s="124"/>
      <c r="V415" s="124"/>
      <c r="W415" s="124"/>
      <c r="X415" s="124"/>
      <c r="Y415" s="124"/>
      <c r="Z415" s="112"/>
      <c r="AA415" s="112"/>
      <c r="AB415" s="112"/>
      <c r="AC415" s="112"/>
      <c r="AD415" s="112"/>
      <c r="AE415" s="112"/>
      <c r="AF415" s="112"/>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row>
    <row r="416">
      <c r="D416" s="143"/>
      <c r="E416" s="129"/>
      <c r="F416" s="112"/>
      <c r="G416" s="112"/>
      <c r="H416" s="112"/>
      <c r="I416" s="112"/>
      <c r="J416" s="112"/>
      <c r="K416" s="112"/>
      <c r="L416" s="112"/>
      <c r="M416" s="112"/>
      <c r="N416" s="112"/>
      <c r="O416" s="112"/>
      <c r="P416" s="112"/>
      <c r="Q416" s="112"/>
      <c r="R416" s="112"/>
      <c r="S416" s="112"/>
      <c r="T416" s="112"/>
      <c r="U416" s="124"/>
      <c r="V416" s="124"/>
      <c r="W416" s="124"/>
      <c r="X416" s="124"/>
      <c r="Y416" s="124"/>
      <c r="Z416" s="112"/>
      <c r="AA416" s="112"/>
      <c r="AB416" s="112"/>
      <c r="AC416" s="112"/>
      <c r="AD416" s="112"/>
      <c r="AE416" s="112"/>
      <c r="AF416" s="112"/>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c r="BK416" s="124"/>
      <c r="BL416" s="124"/>
      <c r="BM416" s="124"/>
      <c r="BN416" s="124"/>
      <c r="BO416" s="124"/>
      <c r="BP416" s="124"/>
      <c r="BQ416" s="124"/>
      <c r="BR416" s="124"/>
      <c r="BS416" s="124"/>
      <c r="BT416" s="124"/>
      <c r="BU416" s="124"/>
      <c r="BV416" s="124"/>
      <c r="BW416" s="124"/>
      <c r="BX416" s="124"/>
      <c r="BY416" s="124"/>
      <c r="BZ416" s="124"/>
      <c r="CA416" s="124"/>
    </row>
    <row r="417">
      <c r="D417" s="143"/>
      <c r="E417" s="129"/>
      <c r="F417" s="112"/>
      <c r="G417" s="112"/>
      <c r="H417" s="112"/>
      <c r="I417" s="112"/>
      <c r="J417" s="112"/>
      <c r="K417" s="112"/>
      <c r="L417" s="112"/>
      <c r="M417" s="112"/>
      <c r="N417" s="112"/>
      <c r="O417" s="112"/>
      <c r="P417" s="112"/>
      <c r="Q417" s="112"/>
      <c r="R417" s="112"/>
      <c r="S417" s="112"/>
      <c r="T417" s="112"/>
      <c r="U417" s="124"/>
      <c r="V417" s="124"/>
      <c r="W417" s="124"/>
      <c r="X417" s="124"/>
      <c r="Y417" s="124"/>
      <c r="Z417" s="112"/>
      <c r="AA417" s="112"/>
      <c r="AB417" s="112"/>
      <c r="AC417" s="112"/>
      <c r="AD417" s="112"/>
      <c r="AE417" s="112"/>
      <c r="AF417" s="112"/>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4"/>
      <c r="BR417" s="124"/>
      <c r="BS417" s="124"/>
      <c r="BT417" s="124"/>
      <c r="BU417" s="124"/>
      <c r="BV417" s="124"/>
      <c r="BW417" s="124"/>
      <c r="BX417" s="124"/>
      <c r="BY417" s="124"/>
      <c r="BZ417" s="124"/>
      <c r="CA417" s="124"/>
    </row>
    <row r="418">
      <c r="D418" s="143"/>
      <c r="E418" s="129"/>
      <c r="F418" s="112"/>
      <c r="G418" s="112"/>
      <c r="H418" s="112"/>
      <c r="I418" s="112"/>
      <c r="J418" s="112"/>
      <c r="K418" s="112"/>
      <c r="L418" s="112"/>
      <c r="M418" s="112"/>
      <c r="N418" s="112"/>
      <c r="O418" s="112"/>
      <c r="P418" s="112"/>
      <c r="Q418" s="112"/>
      <c r="R418" s="112"/>
      <c r="S418" s="112"/>
      <c r="T418" s="112"/>
      <c r="U418" s="124"/>
      <c r="V418" s="124"/>
      <c r="W418" s="124"/>
      <c r="X418" s="124"/>
      <c r="Y418" s="124"/>
      <c r="Z418" s="112"/>
      <c r="AA418" s="112"/>
      <c r="AB418" s="112"/>
      <c r="AC418" s="112"/>
      <c r="AD418" s="112"/>
      <c r="AE418" s="112"/>
      <c r="AF418" s="112"/>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c r="BK418" s="124"/>
      <c r="BL418" s="124"/>
      <c r="BM418" s="124"/>
      <c r="BN418" s="124"/>
      <c r="BO418" s="124"/>
      <c r="BP418" s="124"/>
      <c r="BQ418" s="124"/>
      <c r="BR418" s="124"/>
      <c r="BS418" s="124"/>
      <c r="BT418" s="124"/>
      <c r="BU418" s="124"/>
      <c r="BV418" s="124"/>
      <c r="BW418" s="124"/>
      <c r="BX418" s="124"/>
      <c r="BY418" s="124"/>
      <c r="BZ418" s="124"/>
      <c r="CA418" s="124"/>
    </row>
    <row r="419">
      <c r="D419" s="143"/>
      <c r="E419" s="129"/>
      <c r="F419" s="112"/>
      <c r="G419" s="112"/>
      <c r="H419" s="112"/>
      <c r="I419" s="112"/>
      <c r="J419" s="112"/>
      <c r="K419" s="112"/>
      <c r="L419" s="112"/>
      <c r="M419" s="112"/>
      <c r="N419" s="112"/>
      <c r="O419" s="112"/>
      <c r="P419" s="112"/>
      <c r="Q419" s="112"/>
      <c r="R419" s="112"/>
      <c r="S419" s="112"/>
      <c r="T419" s="112"/>
      <c r="U419" s="124"/>
      <c r="V419" s="124"/>
      <c r="W419" s="124"/>
      <c r="X419" s="124"/>
      <c r="Y419" s="124"/>
      <c r="Z419" s="112"/>
      <c r="AA419" s="112"/>
      <c r="AB419" s="112"/>
      <c r="AC419" s="112"/>
      <c r="AD419" s="112"/>
      <c r="AE419" s="112"/>
      <c r="AF419" s="112"/>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c r="BK419" s="124"/>
      <c r="BL419" s="124"/>
      <c r="BM419" s="124"/>
      <c r="BN419" s="124"/>
      <c r="BO419" s="124"/>
      <c r="BP419" s="124"/>
      <c r="BQ419" s="124"/>
      <c r="BR419" s="124"/>
      <c r="BS419" s="124"/>
      <c r="BT419" s="124"/>
      <c r="BU419" s="124"/>
      <c r="BV419" s="124"/>
      <c r="BW419" s="124"/>
      <c r="BX419" s="124"/>
      <c r="BY419" s="124"/>
      <c r="BZ419" s="124"/>
      <c r="CA419" s="124"/>
    </row>
    <row r="420">
      <c r="D420" s="143"/>
      <c r="E420" s="129"/>
      <c r="F420" s="112"/>
      <c r="G420" s="112"/>
      <c r="H420" s="112"/>
      <c r="I420" s="112"/>
      <c r="J420" s="112"/>
      <c r="K420" s="112"/>
      <c r="L420" s="112"/>
      <c r="M420" s="112"/>
      <c r="N420" s="112"/>
      <c r="O420" s="112"/>
      <c r="P420" s="112"/>
      <c r="Q420" s="112"/>
      <c r="R420" s="112"/>
      <c r="S420" s="112"/>
      <c r="T420" s="112"/>
      <c r="U420" s="124"/>
      <c r="V420" s="124"/>
      <c r="W420" s="124"/>
      <c r="X420" s="124"/>
      <c r="Y420" s="124"/>
      <c r="Z420" s="112"/>
      <c r="AA420" s="112"/>
      <c r="AB420" s="112"/>
      <c r="AC420" s="112"/>
      <c r="AD420" s="112"/>
      <c r="AE420" s="112"/>
      <c r="AF420" s="112"/>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row>
    <row r="421">
      <c r="D421" s="143"/>
      <c r="E421" s="129"/>
      <c r="F421" s="112"/>
      <c r="G421" s="112"/>
      <c r="H421" s="112"/>
      <c r="I421" s="112"/>
      <c r="J421" s="112"/>
      <c r="K421" s="112"/>
      <c r="L421" s="112"/>
      <c r="M421" s="112"/>
      <c r="N421" s="112"/>
      <c r="O421" s="112"/>
      <c r="P421" s="112"/>
      <c r="Q421" s="112"/>
      <c r="R421" s="112"/>
      <c r="S421" s="112"/>
      <c r="T421" s="112"/>
      <c r="U421" s="124"/>
      <c r="V421" s="124"/>
      <c r="W421" s="124"/>
      <c r="X421" s="124"/>
      <c r="Y421" s="124"/>
      <c r="Z421" s="112"/>
      <c r="AA421" s="112"/>
      <c r="AB421" s="112"/>
      <c r="AC421" s="112"/>
      <c r="AD421" s="112"/>
      <c r="AE421" s="112"/>
      <c r="AF421" s="112"/>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row>
    <row r="422">
      <c r="D422" s="143"/>
      <c r="E422" s="129"/>
      <c r="F422" s="112"/>
      <c r="G422" s="112"/>
      <c r="H422" s="112"/>
      <c r="I422" s="112"/>
      <c r="J422" s="112"/>
      <c r="K422" s="112"/>
      <c r="L422" s="112"/>
      <c r="M422" s="112"/>
      <c r="N422" s="112"/>
      <c r="O422" s="112"/>
      <c r="P422" s="112"/>
      <c r="Q422" s="112"/>
      <c r="R422" s="112"/>
      <c r="S422" s="112"/>
      <c r="T422" s="112"/>
      <c r="U422" s="124"/>
      <c r="V422" s="124"/>
      <c r="W422" s="124"/>
      <c r="X422" s="124"/>
      <c r="Y422" s="124"/>
      <c r="Z422" s="112"/>
      <c r="AA422" s="112"/>
      <c r="AB422" s="112"/>
      <c r="AC422" s="112"/>
      <c r="AD422" s="112"/>
      <c r="AE422" s="112"/>
      <c r="AF422" s="112"/>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c r="BK422" s="124"/>
      <c r="BL422" s="124"/>
      <c r="BM422" s="124"/>
      <c r="BN422" s="124"/>
      <c r="BO422" s="124"/>
      <c r="BP422" s="124"/>
      <c r="BQ422" s="124"/>
      <c r="BR422" s="124"/>
      <c r="BS422" s="124"/>
      <c r="BT422" s="124"/>
      <c r="BU422" s="124"/>
      <c r="BV422" s="124"/>
      <c r="BW422" s="124"/>
      <c r="BX422" s="124"/>
      <c r="BY422" s="124"/>
      <c r="BZ422" s="124"/>
      <c r="CA422" s="124"/>
    </row>
    <row r="423">
      <c r="D423" s="143"/>
      <c r="E423" s="129"/>
      <c r="F423" s="112"/>
      <c r="G423" s="112"/>
      <c r="H423" s="112"/>
      <c r="I423" s="112"/>
      <c r="J423" s="112"/>
      <c r="K423" s="112"/>
      <c r="L423" s="112"/>
      <c r="M423" s="112"/>
      <c r="N423" s="112"/>
      <c r="O423" s="112"/>
      <c r="P423" s="112"/>
      <c r="Q423" s="112"/>
      <c r="R423" s="112"/>
      <c r="S423" s="112"/>
      <c r="T423" s="112"/>
      <c r="U423" s="124"/>
      <c r="V423" s="124"/>
      <c r="W423" s="124"/>
      <c r="X423" s="124"/>
      <c r="Y423" s="124"/>
      <c r="Z423" s="112"/>
      <c r="AA423" s="112"/>
      <c r="AB423" s="112"/>
      <c r="AC423" s="112"/>
      <c r="AD423" s="112"/>
      <c r="AE423" s="112"/>
      <c r="AF423" s="112"/>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4"/>
      <c r="BV423" s="124"/>
      <c r="BW423" s="124"/>
      <c r="BX423" s="124"/>
      <c r="BY423" s="124"/>
      <c r="BZ423" s="124"/>
      <c r="CA423" s="124"/>
    </row>
    <row r="424">
      <c r="D424" s="143"/>
      <c r="E424" s="129"/>
      <c r="F424" s="112"/>
      <c r="G424" s="112"/>
      <c r="H424" s="112"/>
      <c r="I424" s="112"/>
      <c r="J424" s="112"/>
      <c r="K424" s="112"/>
      <c r="L424" s="112"/>
      <c r="M424" s="112"/>
      <c r="N424" s="112"/>
      <c r="O424" s="112"/>
      <c r="P424" s="112"/>
      <c r="Q424" s="112"/>
      <c r="R424" s="112"/>
      <c r="S424" s="112"/>
      <c r="T424" s="112"/>
      <c r="U424" s="124"/>
      <c r="V424" s="124"/>
      <c r="W424" s="124"/>
      <c r="X424" s="124"/>
      <c r="Y424" s="124"/>
      <c r="Z424" s="112"/>
      <c r="AA424" s="112"/>
      <c r="AB424" s="112"/>
      <c r="AC424" s="112"/>
      <c r="AD424" s="112"/>
      <c r="AE424" s="112"/>
      <c r="AF424" s="112"/>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c r="BK424" s="124"/>
      <c r="BL424" s="124"/>
      <c r="BM424" s="124"/>
      <c r="BN424" s="124"/>
      <c r="BO424" s="124"/>
      <c r="BP424" s="124"/>
      <c r="BQ424" s="124"/>
      <c r="BR424" s="124"/>
      <c r="BS424" s="124"/>
      <c r="BT424" s="124"/>
      <c r="BU424" s="124"/>
      <c r="BV424" s="124"/>
      <c r="BW424" s="124"/>
      <c r="BX424" s="124"/>
      <c r="BY424" s="124"/>
      <c r="BZ424" s="124"/>
      <c r="CA424" s="124"/>
    </row>
    <row r="425">
      <c r="D425" s="143"/>
      <c r="E425" s="129"/>
      <c r="F425" s="112"/>
      <c r="G425" s="112"/>
      <c r="H425" s="112"/>
      <c r="I425" s="112"/>
      <c r="J425" s="112"/>
      <c r="K425" s="112"/>
      <c r="L425" s="112"/>
      <c r="M425" s="112"/>
      <c r="N425" s="112"/>
      <c r="O425" s="112"/>
      <c r="P425" s="112"/>
      <c r="Q425" s="112"/>
      <c r="R425" s="112"/>
      <c r="S425" s="112"/>
      <c r="T425" s="112"/>
      <c r="U425" s="124"/>
      <c r="V425" s="124"/>
      <c r="W425" s="124"/>
      <c r="X425" s="124"/>
      <c r="Y425" s="124"/>
      <c r="Z425" s="112"/>
      <c r="AA425" s="112"/>
      <c r="AB425" s="112"/>
      <c r="AC425" s="112"/>
      <c r="AD425" s="112"/>
      <c r="AE425" s="112"/>
      <c r="AF425" s="112"/>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c r="BK425" s="124"/>
      <c r="BL425" s="124"/>
      <c r="BM425" s="124"/>
      <c r="BN425" s="124"/>
      <c r="BO425" s="124"/>
      <c r="BP425" s="124"/>
      <c r="BQ425" s="124"/>
      <c r="BR425" s="124"/>
      <c r="BS425" s="124"/>
      <c r="BT425" s="124"/>
      <c r="BU425" s="124"/>
      <c r="BV425" s="124"/>
      <c r="BW425" s="124"/>
      <c r="BX425" s="124"/>
      <c r="BY425" s="124"/>
      <c r="BZ425" s="124"/>
      <c r="CA425" s="124"/>
    </row>
    <row r="426">
      <c r="D426" s="143"/>
      <c r="E426" s="129"/>
      <c r="F426" s="112"/>
      <c r="G426" s="112"/>
      <c r="H426" s="112"/>
      <c r="I426" s="112"/>
      <c r="J426" s="112"/>
      <c r="K426" s="112"/>
      <c r="L426" s="112"/>
      <c r="M426" s="112"/>
      <c r="N426" s="112"/>
      <c r="O426" s="112"/>
      <c r="P426" s="112"/>
      <c r="Q426" s="112"/>
      <c r="R426" s="112"/>
      <c r="S426" s="112"/>
      <c r="T426" s="112"/>
      <c r="U426" s="124"/>
      <c r="V426" s="124"/>
      <c r="W426" s="124"/>
      <c r="X426" s="124"/>
      <c r="Y426" s="124"/>
      <c r="Z426" s="112"/>
      <c r="AA426" s="112"/>
      <c r="AB426" s="112"/>
      <c r="AC426" s="112"/>
      <c r="AD426" s="112"/>
      <c r="AE426" s="112"/>
      <c r="AF426" s="112"/>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c r="BK426" s="124"/>
      <c r="BL426" s="124"/>
      <c r="BM426" s="124"/>
      <c r="BN426" s="124"/>
      <c r="BO426" s="124"/>
      <c r="BP426" s="124"/>
      <c r="BQ426" s="124"/>
      <c r="BR426" s="124"/>
      <c r="BS426" s="124"/>
      <c r="BT426" s="124"/>
      <c r="BU426" s="124"/>
      <c r="BV426" s="124"/>
      <c r="BW426" s="124"/>
      <c r="BX426" s="124"/>
      <c r="BY426" s="124"/>
      <c r="BZ426" s="124"/>
      <c r="CA426" s="124"/>
    </row>
    <row r="427">
      <c r="D427" s="143"/>
      <c r="E427" s="129"/>
      <c r="F427" s="112"/>
      <c r="G427" s="112"/>
      <c r="H427" s="112"/>
      <c r="I427" s="112"/>
      <c r="J427" s="112"/>
      <c r="K427" s="112"/>
      <c r="L427" s="112"/>
      <c r="M427" s="112"/>
      <c r="N427" s="112"/>
      <c r="O427" s="112"/>
      <c r="P427" s="112"/>
      <c r="Q427" s="112"/>
      <c r="R427" s="112"/>
      <c r="S427" s="112"/>
      <c r="T427" s="112"/>
      <c r="U427" s="124"/>
      <c r="V427" s="124"/>
      <c r="W427" s="124"/>
      <c r="X427" s="124"/>
      <c r="Y427" s="124"/>
      <c r="Z427" s="112"/>
      <c r="AA427" s="112"/>
      <c r="AB427" s="112"/>
      <c r="AC427" s="112"/>
      <c r="AD427" s="112"/>
      <c r="AE427" s="112"/>
      <c r="AF427" s="112"/>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row>
    <row r="428">
      <c r="D428" s="143"/>
      <c r="E428" s="129"/>
      <c r="F428" s="112"/>
      <c r="G428" s="112"/>
      <c r="H428" s="112"/>
      <c r="I428" s="112"/>
      <c r="J428" s="112"/>
      <c r="K428" s="112"/>
      <c r="L428" s="112"/>
      <c r="M428" s="112"/>
      <c r="N428" s="112"/>
      <c r="O428" s="112"/>
      <c r="P428" s="112"/>
      <c r="Q428" s="112"/>
      <c r="R428" s="112"/>
      <c r="S428" s="112"/>
      <c r="T428" s="112"/>
      <c r="U428" s="124"/>
      <c r="V428" s="124"/>
      <c r="W428" s="124"/>
      <c r="X428" s="124"/>
      <c r="Y428" s="124"/>
      <c r="Z428" s="112"/>
      <c r="AA428" s="112"/>
      <c r="AB428" s="112"/>
      <c r="AC428" s="112"/>
      <c r="AD428" s="112"/>
      <c r="AE428" s="112"/>
      <c r="AF428" s="112"/>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c r="BK428" s="124"/>
      <c r="BL428" s="124"/>
      <c r="BM428" s="124"/>
      <c r="BN428" s="124"/>
      <c r="BO428" s="124"/>
      <c r="BP428" s="124"/>
      <c r="BQ428" s="124"/>
      <c r="BR428" s="124"/>
      <c r="BS428" s="124"/>
      <c r="BT428" s="124"/>
      <c r="BU428" s="124"/>
      <c r="BV428" s="124"/>
      <c r="BW428" s="124"/>
      <c r="BX428" s="124"/>
      <c r="BY428" s="124"/>
      <c r="BZ428" s="124"/>
      <c r="CA428" s="124"/>
    </row>
    <row r="429">
      <c r="D429" s="143"/>
      <c r="E429" s="129"/>
      <c r="F429" s="112"/>
      <c r="G429" s="112"/>
      <c r="H429" s="112"/>
      <c r="I429" s="112"/>
      <c r="J429" s="112"/>
      <c r="K429" s="112"/>
      <c r="L429" s="112"/>
      <c r="M429" s="112"/>
      <c r="N429" s="112"/>
      <c r="O429" s="112"/>
      <c r="P429" s="112"/>
      <c r="Q429" s="112"/>
      <c r="R429" s="112"/>
      <c r="S429" s="112"/>
      <c r="T429" s="112"/>
      <c r="U429" s="124"/>
      <c r="V429" s="124"/>
      <c r="W429" s="124"/>
      <c r="X429" s="124"/>
      <c r="Y429" s="124"/>
      <c r="Z429" s="112"/>
      <c r="AA429" s="112"/>
      <c r="AB429" s="112"/>
      <c r="AC429" s="112"/>
      <c r="AD429" s="112"/>
      <c r="AE429" s="112"/>
      <c r="AF429" s="112"/>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c r="BK429" s="124"/>
      <c r="BL429" s="124"/>
      <c r="BM429" s="124"/>
      <c r="BN429" s="124"/>
      <c r="BO429" s="124"/>
      <c r="BP429" s="124"/>
      <c r="BQ429" s="124"/>
      <c r="BR429" s="124"/>
      <c r="BS429" s="124"/>
      <c r="BT429" s="124"/>
      <c r="BU429" s="124"/>
      <c r="BV429" s="124"/>
      <c r="BW429" s="124"/>
      <c r="BX429" s="124"/>
      <c r="BY429" s="124"/>
      <c r="BZ429" s="124"/>
      <c r="CA429" s="124"/>
    </row>
    <row r="430">
      <c r="D430" s="143"/>
      <c r="E430" s="129"/>
      <c r="F430" s="112"/>
      <c r="G430" s="112"/>
      <c r="H430" s="112"/>
      <c r="I430" s="112"/>
      <c r="J430" s="112"/>
      <c r="K430" s="112"/>
      <c r="L430" s="112"/>
      <c r="M430" s="112"/>
      <c r="N430" s="112"/>
      <c r="O430" s="112"/>
      <c r="P430" s="112"/>
      <c r="Q430" s="112"/>
      <c r="R430" s="112"/>
      <c r="S430" s="112"/>
      <c r="T430" s="112"/>
      <c r="U430" s="124"/>
      <c r="V430" s="124"/>
      <c r="W430" s="124"/>
      <c r="X430" s="124"/>
      <c r="Y430" s="124"/>
      <c r="Z430" s="112"/>
      <c r="AA430" s="112"/>
      <c r="AB430" s="112"/>
      <c r="AC430" s="112"/>
      <c r="AD430" s="112"/>
      <c r="AE430" s="112"/>
      <c r="AF430" s="112"/>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c r="BK430" s="124"/>
      <c r="BL430" s="124"/>
      <c r="BM430" s="124"/>
      <c r="BN430" s="124"/>
      <c r="BO430" s="124"/>
      <c r="BP430" s="124"/>
      <c r="BQ430" s="124"/>
      <c r="BR430" s="124"/>
      <c r="BS430" s="124"/>
      <c r="BT430" s="124"/>
      <c r="BU430" s="124"/>
      <c r="BV430" s="124"/>
      <c r="BW430" s="124"/>
      <c r="BX430" s="124"/>
      <c r="BY430" s="124"/>
      <c r="BZ430" s="124"/>
      <c r="CA430" s="124"/>
    </row>
    <row r="431">
      <c r="D431" s="143"/>
      <c r="E431" s="129"/>
      <c r="F431" s="112"/>
      <c r="G431" s="112"/>
      <c r="H431" s="112"/>
      <c r="I431" s="112"/>
      <c r="J431" s="112"/>
      <c r="K431" s="112"/>
      <c r="L431" s="112"/>
      <c r="M431" s="112"/>
      <c r="N431" s="112"/>
      <c r="O431" s="112"/>
      <c r="P431" s="112"/>
      <c r="Q431" s="112"/>
      <c r="R431" s="112"/>
      <c r="S431" s="112"/>
      <c r="T431" s="112"/>
      <c r="U431" s="124"/>
      <c r="V431" s="124"/>
      <c r="W431" s="124"/>
      <c r="X431" s="124"/>
      <c r="Y431" s="124"/>
      <c r="Z431" s="112"/>
      <c r="AA431" s="112"/>
      <c r="AB431" s="112"/>
      <c r="AC431" s="112"/>
      <c r="AD431" s="112"/>
      <c r="AE431" s="112"/>
      <c r="AF431" s="112"/>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4"/>
      <c r="BR431" s="124"/>
      <c r="BS431" s="124"/>
      <c r="BT431" s="124"/>
      <c r="BU431" s="124"/>
      <c r="BV431" s="124"/>
      <c r="BW431" s="124"/>
      <c r="BX431" s="124"/>
      <c r="BY431" s="124"/>
      <c r="BZ431" s="124"/>
      <c r="CA431" s="124"/>
    </row>
    <row r="432">
      <c r="D432" s="143"/>
      <c r="E432" s="129"/>
      <c r="F432" s="112"/>
      <c r="G432" s="112"/>
      <c r="H432" s="112"/>
      <c r="I432" s="112"/>
      <c r="J432" s="112"/>
      <c r="K432" s="112"/>
      <c r="L432" s="112"/>
      <c r="M432" s="112"/>
      <c r="N432" s="112"/>
      <c r="O432" s="112"/>
      <c r="P432" s="112"/>
      <c r="Q432" s="112"/>
      <c r="R432" s="112"/>
      <c r="S432" s="112"/>
      <c r="T432" s="112"/>
      <c r="U432" s="124"/>
      <c r="V432" s="124"/>
      <c r="W432" s="124"/>
      <c r="X432" s="124"/>
      <c r="Y432" s="124"/>
      <c r="Z432" s="112"/>
      <c r="AA432" s="112"/>
      <c r="AB432" s="112"/>
      <c r="AC432" s="112"/>
      <c r="AD432" s="112"/>
      <c r="AE432" s="112"/>
      <c r="AF432" s="112"/>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c r="BK432" s="124"/>
      <c r="BL432" s="124"/>
      <c r="BM432" s="124"/>
      <c r="BN432" s="124"/>
      <c r="BO432" s="124"/>
      <c r="BP432" s="124"/>
      <c r="BQ432" s="124"/>
      <c r="BR432" s="124"/>
      <c r="BS432" s="124"/>
      <c r="BT432" s="124"/>
      <c r="BU432" s="124"/>
      <c r="BV432" s="124"/>
      <c r="BW432" s="124"/>
      <c r="BX432" s="124"/>
      <c r="BY432" s="124"/>
      <c r="BZ432" s="124"/>
      <c r="CA432" s="124"/>
    </row>
    <row r="433">
      <c r="D433" s="143"/>
      <c r="E433" s="129"/>
      <c r="F433" s="112"/>
      <c r="G433" s="112"/>
      <c r="H433" s="112"/>
      <c r="I433" s="112"/>
      <c r="J433" s="112"/>
      <c r="K433" s="112"/>
      <c r="L433" s="112"/>
      <c r="M433" s="112"/>
      <c r="N433" s="112"/>
      <c r="O433" s="112"/>
      <c r="P433" s="112"/>
      <c r="Q433" s="112"/>
      <c r="R433" s="112"/>
      <c r="S433" s="112"/>
      <c r="T433" s="112"/>
      <c r="U433" s="124"/>
      <c r="V433" s="124"/>
      <c r="W433" s="124"/>
      <c r="X433" s="124"/>
      <c r="Y433" s="124"/>
      <c r="Z433" s="112"/>
      <c r="AA433" s="112"/>
      <c r="AB433" s="112"/>
      <c r="AC433" s="112"/>
      <c r="AD433" s="112"/>
      <c r="AE433" s="112"/>
      <c r="AF433" s="112"/>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c r="BK433" s="124"/>
      <c r="BL433" s="124"/>
      <c r="BM433" s="124"/>
      <c r="BN433" s="124"/>
      <c r="BO433" s="124"/>
      <c r="BP433" s="124"/>
      <c r="BQ433" s="124"/>
      <c r="BR433" s="124"/>
      <c r="BS433" s="124"/>
      <c r="BT433" s="124"/>
      <c r="BU433" s="124"/>
      <c r="BV433" s="124"/>
      <c r="BW433" s="124"/>
      <c r="BX433" s="124"/>
      <c r="BY433" s="124"/>
      <c r="BZ433" s="124"/>
      <c r="CA433" s="124"/>
    </row>
    <row r="434">
      <c r="D434" s="143"/>
      <c r="E434" s="129"/>
      <c r="F434" s="112"/>
      <c r="G434" s="112"/>
      <c r="H434" s="112"/>
      <c r="I434" s="112"/>
      <c r="J434" s="112"/>
      <c r="K434" s="112"/>
      <c r="L434" s="112"/>
      <c r="M434" s="112"/>
      <c r="N434" s="112"/>
      <c r="O434" s="112"/>
      <c r="P434" s="112"/>
      <c r="Q434" s="112"/>
      <c r="R434" s="112"/>
      <c r="S434" s="112"/>
      <c r="T434" s="112"/>
      <c r="U434" s="124"/>
      <c r="V434" s="124"/>
      <c r="W434" s="124"/>
      <c r="X434" s="124"/>
      <c r="Y434" s="124"/>
      <c r="Z434" s="112"/>
      <c r="AA434" s="112"/>
      <c r="AB434" s="112"/>
      <c r="AC434" s="112"/>
      <c r="AD434" s="112"/>
      <c r="AE434" s="112"/>
      <c r="AF434" s="112"/>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c r="BK434" s="124"/>
      <c r="BL434" s="124"/>
      <c r="BM434" s="124"/>
      <c r="BN434" s="124"/>
      <c r="BO434" s="124"/>
      <c r="BP434" s="124"/>
      <c r="BQ434" s="124"/>
      <c r="BR434" s="124"/>
      <c r="BS434" s="124"/>
      <c r="BT434" s="124"/>
      <c r="BU434" s="124"/>
      <c r="BV434" s="124"/>
      <c r="BW434" s="124"/>
      <c r="BX434" s="124"/>
      <c r="BY434" s="124"/>
      <c r="BZ434" s="124"/>
      <c r="CA434" s="124"/>
    </row>
    <row r="435">
      <c r="D435" s="143"/>
      <c r="E435" s="129"/>
      <c r="F435" s="112"/>
      <c r="G435" s="112"/>
      <c r="H435" s="112"/>
      <c r="I435" s="112"/>
      <c r="J435" s="112"/>
      <c r="K435" s="112"/>
      <c r="L435" s="112"/>
      <c r="M435" s="112"/>
      <c r="N435" s="112"/>
      <c r="O435" s="112"/>
      <c r="P435" s="112"/>
      <c r="Q435" s="112"/>
      <c r="R435" s="112"/>
      <c r="S435" s="112"/>
      <c r="T435" s="112"/>
      <c r="U435" s="124"/>
      <c r="V435" s="124"/>
      <c r="W435" s="124"/>
      <c r="X435" s="124"/>
      <c r="Y435" s="124"/>
      <c r="Z435" s="112"/>
      <c r="AA435" s="112"/>
      <c r="AB435" s="112"/>
      <c r="AC435" s="112"/>
      <c r="AD435" s="112"/>
      <c r="AE435" s="112"/>
      <c r="AF435" s="112"/>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row>
    <row r="436">
      <c r="D436" s="143"/>
      <c r="E436" s="129"/>
      <c r="F436" s="112"/>
      <c r="G436" s="112"/>
      <c r="H436" s="112"/>
      <c r="I436" s="112"/>
      <c r="J436" s="112"/>
      <c r="K436" s="112"/>
      <c r="L436" s="112"/>
      <c r="M436" s="112"/>
      <c r="N436" s="112"/>
      <c r="O436" s="112"/>
      <c r="P436" s="112"/>
      <c r="Q436" s="112"/>
      <c r="R436" s="112"/>
      <c r="S436" s="112"/>
      <c r="T436" s="112"/>
      <c r="U436" s="124"/>
      <c r="V436" s="124"/>
      <c r="W436" s="124"/>
      <c r="X436" s="124"/>
      <c r="Y436" s="124"/>
      <c r="Z436" s="112"/>
      <c r="AA436" s="112"/>
      <c r="AB436" s="112"/>
      <c r="AC436" s="112"/>
      <c r="AD436" s="112"/>
      <c r="AE436" s="112"/>
      <c r="AF436" s="112"/>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c r="BK436" s="124"/>
      <c r="BL436" s="124"/>
      <c r="BM436" s="124"/>
      <c r="BN436" s="124"/>
      <c r="BO436" s="124"/>
      <c r="BP436" s="124"/>
      <c r="BQ436" s="124"/>
      <c r="BR436" s="124"/>
      <c r="BS436" s="124"/>
      <c r="BT436" s="124"/>
      <c r="BU436" s="124"/>
      <c r="BV436" s="124"/>
      <c r="BW436" s="124"/>
      <c r="BX436" s="124"/>
      <c r="BY436" s="124"/>
      <c r="BZ436" s="124"/>
      <c r="CA436" s="124"/>
    </row>
    <row r="437">
      <c r="D437" s="143"/>
      <c r="E437" s="129"/>
      <c r="F437" s="112"/>
      <c r="G437" s="112"/>
      <c r="H437" s="112"/>
      <c r="I437" s="112"/>
      <c r="J437" s="112"/>
      <c r="K437" s="112"/>
      <c r="L437" s="112"/>
      <c r="M437" s="112"/>
      <c r="N437" s="112"/>
      <c r="O437" s="112"/>
      <c r="P437" s="112"/>
      <c r="Q437" s="112"/>
      <c r="R437" s="112"/>
      <c r="S437" s="112"/>
      <c r="T437" s="112"/>
      <c r="U437" s="124"/>
      <c r="V437" s="124"/>
      <c r="W437" s="124"/>
      <c r="X437" s="124"/>
      <c r="Y437" s="124"/>
      <c r="Z437" s="112"/>
      <c r="AA437" s="112"/>
      <c r="AB437" s="112"/>
      <c r="AC437" s="112"/>
      <c r="AD437" s="112"/>
      <c r="AE437" s="112"/>
      <c r="AF437" s="112"/>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c r="BK437" s="124"/>
      <c r="BL437" s="124"/>
      <c r="BM437" s="124"/>
      <c r="BN437" s="124"/>
      <c r="BO437" s="124"/>
      <c r="BP437" s="124"/>
      <c r="BQ437" s="124"/>
      <c r="BR437" s="124"/>
      <c r="BS437" s="124"/>
      <c r="BT437" s="124"/>
      <c r="BU437" s="124"/>
      <c r="BV437" s="124"/>
      <c r="BW437" s="124"/>
      <c r="BX437" s="124"/>
      <c r="BY437" s="124"/>
      <c r="BZ437" s="124"/>
      <c r="CA437" s="124"/>
    </row>
    <row r="438">
      <c r="D438" s="143"/>
      <c r="E438" s="129"/>
      <c r="F438" s="112"/>
      <c r="G438" s="112"/>
      <c r="H438" s="112"/>
      <c r="I438" s="112"/>
      <c r="J438" s="112"/>
      <c r="K438" s="112"/>
      <c r="L438" s="112"/>
      <c r="M438" s="112"/>
      <c r="N438" s="112"/>
      <c r="O438" s="112"/>
      <c r="P438" s="112"/>
      <c r="Q438" s="112"/>
      <c r="R438" s="112"/>
      <c r="S438" s="112"/>
      <c r="T438" s="112"/>
      <c r="U438" s="124"/>
      <c r="V438" s="124"/>
      <c r="W438" s="124"/>
      <c r="X438" s="124"/>
      <c r="Y438" s="124"/>
      <c r="Z438" s="112"/>
      <c r="AA438" s="112"/>
      <c r="AB438" s="112"/>
      <c r="AC438" s="112"/>
      <c r="AD438" s="112"/>
      <c r="AE438" s="112"/>
      <c r="AF438" s="112"/>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c r="BK438" s="124"/>
      <c r="BL438" s="124"/>
      <c r="BM438" s="124"/>
      <c r="BN438" s="124"/>
      <c r="BO438" s="124"/>
      <c r="BP438" s="124"/>
      <c r="BQ438" s="124"/>
      <c r="BR438" s="124"/>
      <c r="BS438" s="124"/>
      <c r="BT438" s="124"/>
      <c r="BU438" s="124"/>
      <c r="BV438" s="124"/>
      <c r="BW438" s="124"/>
      <c r="BX438" s="124"/>
      <c r="BY438" s="124"/>
      <c r="BZ438" s="124"/>
      <c r="CA438" s="124"/>
    </row>
    <row r="439">
      <c r="D439" s="143"/>
      <c r="E439" s="129"/>
      <c r="F439" s="112"/>
      <c r="G439" s="112"/>
      <c r="H439" s="112"/>
      <c r="I439" s="112"/>
      <c r="J439" s="112"/>
      <c r="K439" s="112"/>
      <c r="L439" s="112"/>
      <c r="M439" s="112"/>
      <c r="N439" s="112"/>
      <c r="O439" s="112"/>
      <c r="P439" s="112"/>
      <c r="Q439" s="112"/>
      <c r="R439" s="112"/>
      <c r="S439" s="112"/>
      <c r="T439" s="112"/>
      <c r="U439" s="124"/>
      <c r="V439" s="124"/>
      <c r="W439" s="124"/>
      <c r="X439" s="124"/>
      <c r="Y439" s="124"/>
      <c r="Z439" s="112"/>
      <c r="AA439" s="112"/>
      <c r="AB439" s="112"/>
      <c r="AC439" s="112"/>
      <c r="AD439" s="112"/>
      <c r="AE439" s="112"/>
      <c r="AF439" s="112"/>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c r="BK439" s="124"/>
      <c r="BL439" s="124"/>
      <c r="BM439" s="124"/>
      <c r="BN439" s="124"/>
      <c r="BO439" s="124"/>
      <c r="BP439" s="124"/>
      <c r="BQ439" s="124"/>
      <c r="BR439" s="124"/>
      <c r="BS439" s="124"/>
      <c r="BT439" s="124"/>
      <c r="BU439" s="124"/>
      <c r="BV439" s="124"/>
      <c r="BW439" s="124"/>
      <c r="BX439" s="124"/>
      <c r="BY439" s="124"/>
      <c r="BZ439" s="124"/>
      <c r="CA439" s="124"/>
    </row>
    <row r="440">
      <c r="D440" s="143"/>
      <c r="E440" s="129"/>
      <c r="F440" s="112"/>
      <c r="G440" s="112"/>
      <c r="H440" s="112"/>
      <c r="I440" s="112"/>
      <c r="J440" s="112"/>
      <c r="K440" s="112"/>
      <c r="L440" s="112"/>
      <c r="M440" s="112"/>
      <c r="N440" s="112"/>
      <c r="O440" s="112"/>
      <c r="P440" s="112"/>
      <c r="Q440" s="112"/>
      <c r="R440" s="112"/>
      <c r="S440" s="112"/>
      <c r="T440" s="112"/>
      <c r="U440" s="124"/>
      <c r="V440" s="124"/>
      <c r="W440" s="124"/>
      <c r="X440" s="124"/>
      <c r="Y440" s="124"/>
      <c r="Z440" s="112"/>
      <c r="AA440" s="112"/>
      <c r="AB440" s="112"/>
      <c r="AC440" s="112"/>
      <c r="AD440" s="112"/>
      <c r="AE440" s="112"/>
      <c r="AF440" s="112"/>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c r="BK440" s="124"/>
      <c r="BL440" s="124"/>
      <c r="BM440" s="124"/>
      <c r="BN440" s="124"/>
      <c r="BO440" s="124"/>
      <c r="BP440" s="124"/>
      <c r="BQ440" s="124"/>
      <c r="BR440" s="124"/>
      <c r="BS440" s="124"/>
      <c r="BT440" s="124"/>
      <c r="BU440" s="124"/>
      <c r="BV440" s="124"/>
      <c r="BW440" s="124"/>
      <c r="BX440" s="124"/>
      <c r="BY440" s="124"/>
      <c r="BZ440" s="124"/>
      <c r="CA440" s="124"/>
    </row>
    <row r="441">
      <c r="D441" s="143"/>
      <c r="E441" s="129"/>
      <c r="F441" s="112"/>
      <c r="G441" s="112"/>
      <c r="H441" s="112"/>
      <c r="I441" s="112"/>
      <c r="J441" s="112"/>
      <c r="K441" s="112"/>
      <c r="L441" s="112"/>
      <c r="M441" s="112"/>
      <c r="N441" s="112"/>
      <c r="O441" s="112"/>
      <c r="P441" s="112"/>
      <c r="Q441" s="112"/>
      <c r="R441" s="112"/>
      <c r="S441" s="112"/>
      <c r="T441" s="112"/>
      <c r="U441" s="124"/>
      <c r="V441" s="124"/>
      <c r="W441" s="124"/>
      <c r="X441" s="124"/>
      <c r="Y441" s="124"/>
      <c r="Z441" s="112"/>
      <c r="AA441" s="112"/>
      <c r="AB441" s="112"/>
      <c r="AC441" s="112"/>
      <c r="AD441" s="112"/>
      <c r="AE441" s="112"/>
      <c r="AF441" s="112"/>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row>
    <row r="442">
      <c r="D442" s="143"/>
      <c r="E442" s="129"/>
      <c r="F442" s="112"/>
      <c r="G442" s="112"/>
      <c r="H442" s="112"/>
      <c r="I442" s="112"/>
      <c r="J442" s="112"/>
      <c r="K442" s="112"/>
      <c r="L442" s="112"/>
      <c r="M442" s="112"/>
      <c r="N442" s="112"/>
      <c r="O442" s="112"/>
      <c r="P442" s="112"/>
      <c r="Q442" s="112"/>
      <c r="R442" s="112"/>
      <c r="S442" s="112"/>
      <c r="T442" s="112"/>
      <c r="U442" s="124"/>
      <c r="V442" s="124"/>
      <c r="W442" s="124"/>
      <c r="X442" s="124"/>
      <c r="Y442" s="124"/>
      <c r="Z442" s="112"/>
      <c r="AA442" s="112"/>
      <c r="AB442" s="112"/>
      <c r="AC442" s="112"/>
      <c r="AD442" s="112"/>
      <c r="AE442" s="112"/>
      <c r="AF442" s="112"/>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c r="BK442" s="124"/>
      <c r="BL442" s="124"/>
      <c r="BM442" s="124"/>
      <c r="BN442" s="124"/>
      <c r="BO442" s="124"/>
      <c r="BP442" s="124"/>
      <c r="BQ442" s="124"/>
      <c r="BR442" s="124"/>
      <c r="BS442" s="124"/>
      <c r="BT442" s="124"/>
      <c r="BU442" s="124"/>
      <c r="BV442" s="124"/>
      <c r="BW442" s="124"/>
      <c r="BX442" s="124"/>
      <c r="BY442" s="124"/>
      <c r="BZ442" s="124"/>
      <c r="CA442" s="124"/>
    </row>
    <row r="443">
      <c r="D443" s="143"/>
      <c r="E443" s="129"/>
      <c r="F443" s="112"/>
      <c r="G443" s="112"/>
      <c r="H443" s="112"/>
      <c r="I443" s="112"/>
      <c r="J443" s="112"/>
      <c r="K443" s="112"/>
      <c r="L443" s="112"/>
      <c r="M443" s="112"/>
      <c r="N443" s="112"/>
      <c r="O443" s="112"/>
      <c r="P443" s="112"/>
      <c r="Q443" s="112"/>
      <c r="R443" s="112"/>
      <c r="S443" s="112"/>
      <c r="T443" s="112"/>
      <c r="U443" s="124"/>
      <c r="V443" s="124"/>
      <c r="W443" s="124"/>
      <c r="X443" s="124"/>
      <c r="Y443" s="124"/>
      <c r="Z443" s="112"/>
      <c r="AA443" s="112"/>
      <c r="AB443" s="112"/>
      <c r="AC443" s="112"/>
      <c r="AD443" s="112"/>
      <c r="AE443" s="112"/>
      <c r="AF443" s="112"/>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c r="BK443" s="124"/>
      <c r="BL443" s="124"/>
      <c r="BM443" s="124"/>
      <c r="BN443" s="124"/>
      <c r="BO443" s="124"/>
      <c r="BP443" s="124"/>
      <c r="BQ443" s="124"/>
      <c r="BR443" s="124"/>
      <c r="BS443" s="124"/>
      <c r="BT443" s="124"/>
      <c r="BU443" s="124"/>
      <c r="BV443" s="124"/>
      <c r="BW443" s="124"/>
      <c r="BX443" s="124"/>
      <c r="BY443" s="124"/>
      <c r="BZ443" s="124"/>
      <c r="CA443" s="124"/>
    </row>
    <row r="444">
      <c r="D444" s="143"/>
      <c r="E444" s="129"/>
      <c r="F444" s="112"/>
      <c r="G444" s="112"/>
      <c r="H444" s="112"/>
      <c r="I444" s="112"/>
      <c r="J444" s="112"/>
      <c r="K444" s="112"/>
      <c r="L444" s="112"/>
      <c r="M444" s="112"/>
      <c r="N444" s="112"/>
      <c r="O444" s="112"/>
      <c r="P444" s="112"/>
      <c r="Q444" s="112"/>
      <c r="R444" s="112"/>
      <c r="S444" s="112"/>
      <c r="T444" s="112"/>
      <c r="U444" s="124"/>
      <c r="V444" s="124"/>
      <c r="W444" s="124"/>
      <c r="X444" s="124"/>
      <c r="Y444" s="124"/>
      <c r="Z444" s="112"/>
      <c r="AA444" s="112"/>
      <c r="AB444" s="112"/>
      <c r="AC444" s="112"/>
      <c r="AD444" s="112"/>
      <c r="AE444" s="112"/>
      <c r="AF444" s="112"/>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c r="BK444" s="124"/>
      <c r="BL444" s="124"/>
      <c r="BM444" s="124"/>
      <c r="BN444" s="124"/>
      <c r="BO444" s="124"/>
      <c r="BP444" s="124"/>
      <c r="BQ444" s="124"/>
      <c r="BR444" s="124"/>
      <c r="BS444" s="124"/>
      <c r="BT444" s="124"/>
      <c r="BU444" s="124"/>
      <c r="BV444" s="124"/>
      <c r="BW444" s="124"/>
      <c r="BX444" s="124"/>
      <c r="BY444" s="124"/>
      <c r="BZ444" s="124"/>
      <c r="CA444" s="124"/>
    </row>
    <row r="445">
      <c r="D445" s="143"/>
      <c r="E445" s="129"/>
      <c r="F445" s="112"/>
      <c r="G445" s="112"/>
      <c r="H445" s="112"/>
      <c r="I445" s="112"/>
      <c r="J445" s="112"/>
      <c r="K445" s="112"/>
      <c r="L445" s="112"/>
      <c r="M445" s="112"/>
      <c r="N445" s="112"/>
      <c r="O445" s="112"/>
      <c r="P445" s="112"/>
      <c r="Q445" s="112"/>
      <c r="R445" s="112"/>
      <c r="S445" s="112"/>
      <c r="T445" s="112"/>
      <c r="U445" s="124"/>
      <c r="V445" s="124"/>
      <c r="W445" s="124"/>
      <c r="X445" s="124"/>
      <c r="Y445" s="124"/>
      <c r="Z445" s="112"/>
      <c r="AA445" s="112"/>
      <c r="AB445" s="112"/>
      <c r="AC445" s="112"/>
      <c r="AD445" s="112"/>
      <c r="AE445" s="112"/>
      <c r="AF445" s="112"/>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c r="BK445" s="124"/>
      <c r="BL445" s="124"/>
      <c r="BM445" s="124"/>
      <c r="BN445" s="124"/>
      <c r="BO445" s="124"/>
      <c r="BP445" s="124"/>
      <c r="BQ445" s="124"/>
      <c r="BR445" s="124"/>
      <c r="BS445" s="124"/>
      <c r="BT445" s="124"/>
      <c r="BU445" s="124"/>
      <c r="BV445" s="124"/>
      <c r="BW445" s="124"/>
      <c r="BX445" s="124"/>
      <c r="BY445" s="124"/>
      <c r="BZ445" s="124"/>
      <c r="CA445" s="124"/>
    </row>
    <row r="446">
      <c r="D446" s="143"/>
      <c r="E446" s="129"/>
      <c r="F446" s="112"/>
      <c r="G446" s="112"/>
      <c r="H446" s="112"/>
      <c r="I446" s="112"/>
      <c r="J446" s="112"/>
      <c r="K446" s="112"/>
      <c r="L446" s="112"/>
      <c r="M446" s="112"/>
      <c r="N446" s="112"/>
      <c r="O446" s="112"/>
      <c r="P446" s="112"/>
      <c r="Q446" s="112"/>
      <c r="R446" s="112"/>
      <c r="S446" s="112"/>
      <c r="T446" s="112"/>
      <c r="U446" s="124"/>
      <c r="V446" s="124"/>
      <c r="W446" s="124"/>
      <c r="X446" s="124"/>
      <c r="Y446" s="124"/>
      <c r="Z446" s="112"/>
      <c r="AA446" s="112"/>
      <c r="AB446" s="112"/>
      <c r="AC446" s="112"/>
      <c r="AD446" s="112"/>
      <c r="AE446" s="112"/>
      <c r="AF446" s="112"/>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c r="BK446" s="124"/>
      <c r="BL446" s="124"/>
      <c r="BM446" s="124"/>
      <c r="BN446" s="124"/>
      <c r="BO446" s="124"/>
      <c r="BP446" s="124"/>
      <c r="BQ446" s="124"/>
      <c r="BR446" s="124"/>
      <c r="BS446" s="124"/>
      <c r="BT446" s="124"/>
      <c r="BU446" s="124"/>
      <c r="BV446" s="124"/>
      <c r="BW446" s="124"/>
      <c r="BX446" s="124"/>
      <c r="BY446" s="124"/>
      <c r="BZ446" s="124"/>
      <c r="CA446" s="124"/>
    </row>
    <row r="447">
      <c r="D447" s="143"/>
      <c r="E447" s="129"/>
      <c r="F447" s="112"/>
      <c r="G447" s="112"/>
      <c r="H447" s="112"/>
      <c r="I447" s="112"/>
      <c r="J447" s="112"/>
      <c r="K447" s="112"/>
      <c r="L447" s="112"/>
      <c r="M447" s="112"/>
      <c r="N447" s="112"/>
      <c r="O447" s="112"/>
      <c r="P447" s="112"/>
      <c r="Q447" s="112"/>
      <c r="R447" s="112"/>
      <c r="S447" s="112"/>
      <c r="T447" s="112"/>
      <c r="U447" s="124"/>
      <c r="V447" s="124"/>
      <c r="W447" s="124"/>
      <c r="X447" s="124"/>
      <c r="Y447" s="124"/>
      <c r="Z447" s="112"/>
      <c r="AA447" s="112"/>
      <c r="AB447" s="112"/>
      <c r="AC447" s="112"/>
      <c r="AD447" s="112"/>
      <c r="AE447" s="112"/>
      <c r="AF447" s="112"/>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row>
    <row r="448">
      <c r="D448" s="143"/>
      <c r="E448" s="129"/>
      <c r="F448" s="112"/>
      <c r="G448" s="112"/>
      <c r="H448" s="112"/>
      <c r="I448" s="112"/>
      <c r="J448" s="112"/>
      <c r="K448" s="112"/>
      <c r="L448" s="112"/>
      <c r="M448" s="112"/>
      <c r="N448" s="112"/>
      <c r="O448" s="112"/>
      <c r="P448" s="112"/>
      <c r="Q448" s="112"/>
      <c r="R448" s="112"/>
      <c r="S448" s="112"/>
      <c r="T448" s="112"/>
      <c r="U448" s="124"/>
      <c r="V448" s="124"/>
      <c r="W448" s="124"/>
      <c r="X448" s="124"/>
      <c r="Y448" s="124"/>
      <c r="Z448" s="112"/>
      <c r="AA448" s="112"/>
      <c r="AB448" s="112"/>
      <c r="AC448" s="112"/>
      <c r="AD448" s="112"/>
      <c r="AE448" s="112"/>
      <c r="AF448" s="112"/>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c r="BK448" s="124"/>
      <c r="BL448" s="124"/>
      <c r="BM448" s="124"/>
      <c r="BN448" s="124"/>
      <c r="BO448" s="124"/>
      <c r="BP448" s="124"/>
      <c r="BQ448" s="124"/>
      <c r="BR448" s="124"/>
      <c r="BS448" s="124"/>
      <c r="BT448" s="124"/>
      <c r="BU448" s="124"/>
      <c r="BV448" s="124"/>
      <c r="BW448" s="124"/>
      <c r="BX448" s="124"/>
      <c r="BY448" s="124"/>
      <c r="BZ448" s="124"/>
      <c r="CA448" s="124"/>
    </row>
    <row r="449">
      <c r="D449" s="143"/>
      <c r="E449" s="129"/>
      <c r="F449" s="112"/>
      <c r="G449" s="112"/>
      <c r="H449" s="112"/>
      <c r="I449" s="112"/>
      <c r="J449" s="112"/>
      <c r="K449" s="112"/>
      <c r="L449" s="112"/>
      <c r="M449" s="112"/>
      <c r="N449" s="112"/>
      <c r="O449" s="112"/>
      <c r="P449" s="112"/>
      <c r="Q449" s="112"/>
      <c r="R449" s="112"/>
      <c r="S449" s="112"/>
      <c r="T449" s="112"/>
      <c r="U449" s="124"/>
      <c r="V449" s="124"/>
      <c r="W449" s="124"/>
      <c r="X449" s="124"/>
      <c r="Y449" s="124"/>
      <c r="Z449" s="112"/>
      <c r="AA449" s="112"/>
      <c r="AB449" s="112"/>
      <c r="AC449" s="112"/>
      <c r="AD449" s="112"/>
      <c r="AE449" s="112"/>
      <c r="AF449" s="112"/>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c r="BK449" s="124"/>
      <c r="BL449" s="124"/>
      <c r="BM449" s="124"/>
      <c r="BN449" s="124"/>
      <c r="BO449" s="124"/>
      <c r="BP449" s="124"/>
      <c r="BQ449" s="124"/>
      <c r="BR449" s="124"/>
      <c r="BS449" s="124"/>
      <c r="BT449" s="124"/>
      <c r="BU449" s="124"/>
      <c r="BV449" s="124"/>
      <c r="BW449" s="124"/>
      <c r="BX449" s="124"/>
      <c r="BY449" s="124"/>
      <c r="BZ449" s="124"/>
      <c r="CA449" s="124"/>
    </row>
    <row r="450">
      <c r="D450" s="143"/>
      <c r="E450" s="129"/>
      <c r="F450" s="112"/>
      <c r="G450" s="112"/>
      <c r="H450" s="112"/>
      <c r="I450" s="112"/>
      <c r="J450" s="112"/>
      <c r="K450" s="112"/>
      <c r="L450" s="112"/>
      <c r="M450" s="112"/>
      <c r="N450" s="112"/>
      <c r="O450" s="112"/>
      <c r="P450" s="112"/>
      <c r="Q450" s="112"/>
      <c r="R450" s="112"/>
      <c r="S450" s="112"/>
      <c r="T450" s="112"/>
      <c r="U450" s="124"/>
      <c r="V450" s="124"/>
      <c r="W450" s="124"/>
      <c r="X450" s="124"/>
      <c r="Y450" s="124"/>
      <c r="Z450" s="112"/>
      <c r="AA450" s="112"/>
      <c r="AB450" s="112"/>
      <c r="AC450" s="112"/>
      <c r="AD450" s="112"/>
      <c r="AE450" s="112"/>
      <c r="AF450" s="112"/>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c r="BK450" s="124"/>
      <c r="BL450" s="124"/>
      <c r="BM450" s="124"/>
      <c r="BN450" s="124"/>
      <c r="BO450" s="124"/>
      <c r="BP450" s="124"/>
      <c r="BQ450" s="124"/>
      <c r="BR450" s="124"/>
      <c r="BS450" s="124"/>
      <c r="BT450" s="124"/>
      <c r="BU450" s="124"/>
      <c r="BV450" s="124"/>
      <c r="BW450" s="124"/>
      <c r="BX450" s="124"/>
      <c r="BY450" s="124"/>
      <c r="BZ450" s="124"/>
      <c r="CA450" s="124"/>
    </row>
    <row r="451">
      <c r="D451" s="143"/>
      <c r="E451" s="129"/>
      <c r="F451" s="112"/>
      <c r="G451" s="112"/>
      <c r="H451" s="112"/>
      <c r="I451" s="112"/>
      <c r="J451" s="112"/>
      <c r="K451" s="112"/>
      <c r="L451" s="112"/>
      <c r="M451" s="112"/>
      <c r="N451" s="112"/>
      <c r="O451" s="112"/>
      <c r="P451" s="112"/>
      <c r="Q451" s="112"/>
      <c r="R451" s="112"/>
      <c r="S451" s="112"/>
      <c r="T451" s="112"/>
      <c r="U451" s="124"/>
      <c r="V451" s="124"/>
      <c r="W451" s="124"/>
      <c r="X451" s="124"/>
      <c r="Y451" s="124"/>
      <c r="Z451" s="112"/>
      <c r="AA451" s="112"/>
      <c r="AB451" s="112"/>
      <c r="AC451" s="112"/>
      <c r="AD451" s="112"/>
      <c r="AE451" s="112"/>
      <c r="AF451" s="112"/>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c r="BK451" s="124"/>
      <c r="BL451" s="124"/>
      <c r="BM451" s="124"/>
      <c r="BN451" s="124"/>
      <c r="BO451" s="124"/>
      <c r="BP451" s="124"/>
      <c r="BQ451" s="124"/>
      <c r="BR451" s="124"/>
      <c r="BS451" s="124"/>
      <c r="BT451" s="124"/>
      <c r="BU451" s="124"/>
      <c r="BV451" s="124"/>
      <c r="BW451" s="124"/>
      <c r="BX451" s="124"/>
      <c r="BY451" s="124"/>
      <c r="BZ451" s="124"/>
      <c r="CA451" s="124"/>
    </row>
    <row r="452">
      <c r="D452" s="143"/>
      <c r="E452" s="129"/>
      <c r="F452" s="112"/>
      <c r="G452" s="112"/>
      <c r="H452" s="112"/>
      <c r="I452" s="112"/>
      <c r="J452" s="112"/>
      <c r="K452" s="112"/>
      <c r="L452" s="112"/>
      <c r="M452" s="112"/>
      <c r="N452" s="112"/>
      <c r="O452" s="112"/>
      <c r="P452" s="112"/>
      <c r="Q452" s="112"/>
      <c r="R452" s="112"/>
      <c r="S452" s="112"/>
      <c r="T452" s="112"/>
      <c r="U452" s="124"/>
      <c r="V452" s="124"/>
      <c r="W452" s="124"/>
      <c r="X452" s="124"/>
      <c r="Y452" s="124"/>
      <c r="Z452" s="112"/>
      <c r="AA452" s="112"/>
      <c r="AB452" s="112"/>
      <c r="AC452" s="112"/>
      <c r="AD452" s="112"/>
      <c r="AE452" s="112"/>
      <c r="AF452" s="112"/>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c r="BK452" s="124"/>
      <c r="BL452" s="124"/>
      <c r="BM452" s="124"/>
      <c r="BN452" s="124"/>
      <c r="BO452" s="124"/>
      <c r="BP452" s="124"/>
      <c r="BQ452" s="124"/>
      <c r="BR452" s="124"/>
      <c r="BS452" s="124"/>
      <c r="BT452" s="124"/>
      <c r="BU452" s="124"/>
      <c r="BV452" s="124"/>
      <c r="BW452" s="124"/>
      <c r="BX452" s="124"/>
      <c r="BY452" s="124"/>
      <c r="BZ452" s="124"/>
      <c r="CA452" s="124"/>
    </row>
    <row r="453">
      <c r="D453" s="143"/>
      <c r="E453" s="129"/>
      <c r="F453" s="112"/>
      <c r="G453" s="112"/>
      <c r="H453" s="112"/>
      <c r="I453" s="112"/>
      <c r="J453" s="112"/>
      <c r="K453" s="112"/>
      <c r="L453" s="112"/>
      <c r="M453" s="112"/>
      <c r="N453" s="112"/>
      <c r="O453" s="112"/>
      <c r="P453" s="112"/>
      <c r="Q453" s="112"/>
      <c r="R453" s="112"/>
      <c r="S453" s="112"/>
      <c r="T453" s="112"/>
      <c r="U453" s="124"/>
      <c r="V453" s="124"/>
      <c r="W453" s="124"/>
      <c r="X453" s="124"/>
      <c r="Y453" s="124"/>
      <c r="Z453" s="112"/>
      <c r="AA453" s="112"/>
      <c r="AB453" s="112"/>
      <c r="AC453" s="112"/>
      <c r="AD453" s="112"/>
      <c r="AE453" s="112"/>
      <c r="AF453" s="112"/>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row>
    <row r="454">
      <c r="D454" s="143"/>
      <c r="E454" s="129"/>
      <c r="F454" s="112"/>
      <c r="G454" s="112"/>
      <c r="H454" s="112"/>
      <c r="I454" s="112"/>
      <c r="J454" s="112"/>
      <c r="K454" s="112"/>
      <c r="L454" s="112"/>
      <c r="M454" s="112"/>
      <c r="N454" s="112"/>
      <c r="O454" s="112"/>
      <c r="P454" s="112"/>
      <c r="Q454" s="112"/>
      <c r="R454" s="112"/>
      <c r="S454" s="112"/>
      <c r="T454" s="112"/>
      <c r="U454" s="124"/>
      <c r="V454" s="124"/>
      <c r="W454" s="124"/>
      <c r="X454" s="124"/>
      <c r="Y454" s="124"/>
      <c r="Z454" s="112"/>
      <c r="AA454" s="112"/>
      <c r="AB454" s="112"/>
      <c r="AC454" s="112"/>
      <c r="AD454" s="112"/>
      <c r="AE454" s="112"/>
      <c r="AF454" s="112"/>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c r="BK454" s="124"/>
      <c r="BL454" s="124"/>
      <c r="BM454" s="124"/>
      <c r="BN454" s="124"/>
      <c r="BO454" s="124"/>
      <c r="BP454" s="124"/>
      <c r="BQ454" s="124"/>
      <c r="BR454" s="124"/>
      <c r="BS454" s="124"/>
      <c r="BT454" s="124"/>
      <c r="BU454" s="124"/>
      <c r="BV454" s="124"/>
      <c r="BW454" s="124"/>
      <c r="BX454" s="124"/>
      <c r="BY454" s="124"/>
      <c r="BZ454" s="124"/>
      <c r="CA454" s="124"/>
    </row>
    <row r="455">
      <c r="D455" s="143"/>
      <c r="E455" s="129"/>
      <c r="F455" s="112"/>
      <c r="G455" s="112"/>
      <c r="H455" s="112"/>
      <c r="I455" s="112"/>
      <c r="J455" s="112"/>
      <c r="K455" s="112"/>
      <c r="L455" s="112"/>
      <c r="M455" s="112"/>
      <c r="N455" s="112"/>
      <c r="O455" s="112"/>
      <c r="P455" s="112"/>
      <c r="Q455" s="112"/>
      <c r="R455" s="112"/>
      <c r="S455" s="112"/>
      <c r="T455" s="112"/>
      <c r="U455" s="124"/>
      <c r="V455" s="124"/>
      <c r="W455" s="124"/>
      <c r="X455" s="124"/>
      <c r="Y455" s="124"/>
      <c r="Z455" s="112"/>
      <c r="AA455" s="112"/>
      <c r="AB455" s="112"/>
      <c r="AC455" s="112"/>
      <c r="AD455" s="112"/>
      <c r="AE455" s="112"/>
      <c r="AF455" s="112"/>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c r="BK455" s="124"/>
      <c r="BL455" s="124"/>
      <c r="BM455" s="124"/>
      <c r="BN455" s="124"/>
      <c r="BO455" s="124"/>
      <c r="BP455" s="124"/>
      <c r="BQ455" s="124"/>
      <c r="BR455" s="124"/>
      <c r="BS455" s="124"/>
      <c r="BT455" s="124"/>
      <c r="BU455" s="124"/>
      <c r="BV455" s="124"/>
      <c r="BW455" s="124"/>
      <c r="BX455" s="124"/>
      <c r="BY455" s="124"/>
      <c r="BZ455" s="124"/>
      <c r="CA455" s="124"/>
    </row>
    <row r="456">
      <c r="D456" s="143"/>
      <c r="E456" s="129"/>
      <c r="F456" s="112"/>
      <c r="G456" s="112"/>
      <c r="H456" s="112"/>
      <c r="I456" s="112"/>
      <c r="J456" s="112"/>
      <c r="K456" s="112"/>
      <c r="L456" s="112"/>
      <c r="M456" s="112"/>
      <c r="N456" s="112"/>
      <c r="O456" s="112"/>
      <c r="P456" s="112"/>
      <c r="Q456" s="112"/>
      <c r="R456" s="112"/>
      <c r="S456" s="112"/>
      <c r="T456" s="112"/>
      <c r="U456" s="124"/>
      <c r="V456" s="124"/>
      <c r="W456" s="124"/>
      <c r="X456" s="124"/>
      <c r="Y456" s="124"/>
      <c r="Z456" s="112"/>
      <c r="AA456" s="112"/>
      <c r="AB456" s="112"/>
      <c r="AC456" s="112"/>
      <c r="AD456" s="112"/>
      <c r="AE456" s="112"/>
      <c r="AF456" s="112"/>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c r="BK456" s="124"/>
      <c r="BL456" s="124"/>
      <c r="BM456" s="124"/>
      <c r="BN456" s="124"/>
      <c r="BO456" s="124"/>
      <c r="BP456" s="124"/>
      <c r="BQ456" s="124"/>
      <c r="BR456" s="124"/>
      <c r="BS456" s="124"/>
      <c r="BT456" s="124"/>
      <c r="BU456" s="124"/>
      <c r="BV456" s="124"/>
      <c r="BW456" s="124"/>
      <c r="BX456" s="124"/>
      <c r="BY456" s="124"/>
      <c r="BZ456" s="124"/>
      <c r="CA456" s="124"/>
    </row>
    <row r="457">
      <c r="D457" s="143"/>
      <c r="E457" s="129"/>
      <c r="F457" s="112"/>
      <c r="G457" s="112"/>
      <c r="H457" s="112"/>
      <c r="I457" s="112"/>
      <c r="J457" s="112"/>
      <c r="K457" s="112"/>
      <c r="L457" s="112"/>
      <c r="M457" s="112"/>
      <c r="N457" s="112"/>
      <c r="O457" s="112"/>
      <c r="P457" s="112"/>
      <c r="Q457" s="112"/>
      <c r="R457" s="112"/>
      <c r="S457" s="112"/>
      <c r="T457" s="112"/>
      <c r="U457" s="124"/>
      <c r="V457" s="124"/>
      <c r="W457" s="124"/>
      <c r="X457" s="124"/>
      <c r="Y457" s="124"/>
      <c r="Z457" s="112"/>
      <c r="AA457" s="112"/>
      <c r="AB457" s="112"/>
      <c r="AC457" s="112"/>
      <c r="AD457" s="112"/>
      <c r="AE457" s="112"/>
      <c r="AF457" s="112"/>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c r="BK457" s="124"/>
      <c r="BL457" s="124"/>
      <c r="BM457" s="124"/>
      <c r="BN457" s="124"/>
      <c r="BO457" s="124"/>
      <c r="BP457" s="124"/>
      <c r="BQ457" s="124"/>
      <c r="BR457" s="124"/>
      <c r="BS457" s="124"/>
      <c r="BT457" s="124"/>
      <c r="BU457" s="124"/>
      <c r="BV457" s="124"/>
      <c r="BW457" s="124"/>
      <c r="BX457" s="124"/>
      <c r="BY457" s="124"/>
      <c r="BZ457" s="124"/>
      <c r="CA457" s="124"/>
    </row>
    <row r="458">
      <c r="D458" s="143"/>
      <c r="E458" s="129"/>
      <c r="F458" s="112"/>
      <c r="G458" s="112"/>
      <c r="H458" s="112"/>
      <c r="I458" s="112"/>
      <c r="J458" s="112"/>
      <c r="K458" s="112"/>
      <c r="L458" s="112"/>
      <c r="M458" s="112"/>
      <c r="N458" s="112"/>
      <c r="O458" s="112"/>
      <c r="P458" s="112"/>
      <c r="Q458" s="112"/>
      <c r="R458" s="112"/>
      <c r="S458" s="112"/>
      <c r="T458" s="112"/>
      <c r="U458" s="124"/>
      <c r="V458" s="124"/>
      <c r="W458" s="124"/>
      <c r="X458" s="124"/>
      <c r="Y458" s="124"/>
      <c r="Z458" s="112"/>
      <c r="AA458" s="112"/>
      <c r="AB458" s="112"/>
      <c r="AC458" s="112"/>
      <c r="AD458" s="112"/>
      <c r="AE458" s="112"/>
      <c r="AF458" s="112"/>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c r="BK458" s="124"/>
      <c r="BL458" s="124"/>
      <c r="BM458" s="124"/>
      <c r="BN458" s="124"/>
      <c r="BO458" s="124"/>
      <c r="BP458" s="124"/>
      <c r="BQ458" s="124"/>
      <c r="BR458" s="124"/>
      <c r="BS458" s="124"/>
      <c r="BT458" s="124"/>
      <c r="BU458" s="124"/>
      <c r="BV458" s="124"/>
      <c r="BW458" s="124"/>
      <c r="BX458" s="124"/>
      <c r="BY458" s="124"/>
      <c r="BZ458" s="124"/>
      <c r="CA458" s="124"/>
    </row>
    <row r="459">
      <c r="D459" s="143"/>
      <c r="E459" s="129"/>
      <c r="F459" s="112"/>
      <c r="G459" s="112"/>
      <c r="H459" s="112"/>
      <c r="I459" s="112"/>
      <c r="J459" s="112"/>
      <c r="K459" s="112"/>
      <c r="L459" s="112"/>
      <c r="M459" s="112"/>
      <c r="N459" s="112"/>
      <c r="O459" s="112"/>
      <c r="P459" s="112"/>
      <c r="Q459" s="112"/>
      <c r="R459" s="112"/>
      <c r="S459" s="112"/>
      <c r="T459" s="112"/>
      <c r="U459" s="124"/>
      <c r="V459" s="124"/>
      <c r="W459" s="124"/>
      <c r="X459" s="124"/>
      <c r="Y459" s="124"/>
      <c r="Z459" s="112"/>
      <c r="AA459" s="112"/>
      <c r="AB459" s="112"/>
      <c r="AC459" s="112"/>
      <c r="AD459" s="112"/>
      <c r="AE459" s="112"/>
      <c r="AF459" s="112"/>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row>
    <row r="460">
      <c r="D460" s="143"/>
      <c r="E460" s="129"/>
      <c r="F460" s="112"/>
      <c r="G460" s="112"/>
      <c r="H460" s="112"/>
      <c r="I460" s="112"/>
      <c r="J460" s="112"/>
      <c r="K460" s="112"/>
      <c r="L460" s="112"/>
      <c r="M460" s="112"/>
      <c r="N460" s="112"/>
      <c r="O460" s="112"/>
      <c r="P460" s="112"/>
      <c r="Q460" s="112"/>
      <c r="R460" s="112"/>
      <c r="S460" s="112"/>
      <c r="T460" s="112"/>
      <c r="U460" s="124"/>
      <c r="V460" s="124"/>
      <c r="W460" s="124"/>
      <c r="X460" s="124"/>
      <c r="Y460" s="124"/>
      <c r="Z460" s="112"/>
      <c r="AA460" s="112"/>
      <c r="AB460" s="112"/>
      <c r="AC460" s="112"/>
      <c r="AD460" s="112"/>
      <c r="AE460" s="112"/>
      <c r="AF460" s="112"/>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c r="BK460" s="124"/>
      <c r="BL460" s="124"/>
      <c r="BM460" s="124"/>
      <c r="BN460" s="124"/>
      <c r="BO460" s="124"/>
      <c r="BP460" s="124"/>
      <c r="BQ460" s="124"/>
      <c r="BR460" s="124"/>
      <c r="BS460" s="124"/>
      <c r="BT460" s="124"/>
      <c r="BU460" s="124"/>
      <c r="BV460" s="124"/>
      <c r="BW460" s="124"/>
      <c r="BX460" s="124"/>
      <c r="BY460" s="124"/>
      <c r="BZ460" s="124"/>
      <c r="CA460" s="124"/>
    </row>
    <row r="461">
      <c r="D461" s="143"/>
      <c r="E461" s="129"/>
      <c r="F461" s="112"/>
      <c r="G461" s="112"/>
      <c r="H461" s="112"/>
      <c r="I461" s="112"/>
      <c r="J461" s="112"/>
      <c r="K461" s="112"/>
      <c r="L461" s="112"/>
      <c r="M461" s="112"/>
      <c r="N461" s="112"/>
      <c r="O461" s="112"/>
      <c r="P461" s="112"/>
      <c r="Q461" s="112"/>
      <c r="R461" s="112"/>
      <c r="S461" s="112"/>
      <c r="T461" s="112"/>
      <c r="U461" s="124"/>
      <c r="V461" s="124"/>
      <c r="W461" s="124"/>
      <c r="X461" s="124"/>
      <c r="Y461" s="124"/>
      <c r="Z461" s="112"/>
      <c r="AA461" s="112"/>
      <c r="AB461" s="112"/>
      <c r="AC461" s="112"/>
      <c r="AD461" s="112"/>
      <c r="AE461" s="112"/>
      <c r="AF461" s="112"/>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c r="BK461" s="124"/>
      <c r="BL461" s="124"/>
      <c r="BM461" s="124"/>
      <c r="BN461" s="124"/>
      <c r="BO461" s="124"/>
      <c r="BP461" s="124"/>
      <c r="BQ461" s="124"/>
      <c r="BR461" s="124"/>
      <c r="BS461" s="124"/>
      <c r="BT461" s="124"/>
      <c r="BU461" s="124"/>
      <c r="BV461" s="124"/>
      <c r="BW461" s="124"/>
      <c r="BX461" s="124"/>
      <c r="BY461" s="124"/>
      <c r="BZ461" s="124"/>
      <c r="CA461" s="124"/>
    </row>
    <row r="462">
      <c r="D462" s="143"/>
      <c r="E462" s="129"/>
      <c r="F462" s="112"/>
      <c r="G462" s="112"/>
      <c r="H462" s="112"/>
      <c r="I462" s="112"/>
      <c r="J462" s="112"/>
      <c r="K462" s="112"/>
      <c r="L462" s="112"/>
      <c r="M462" s="112"/>
      <c r="N462" s="112"/>
      <c r="O462" s="112"/>
      <c r="P462" s="112"/>
      <c r="Q462" s="112"/>
      <c r="R462" s="112"/>
      <c r="S462" s="112"/>
      <c r="T462" s="112"/>
      <c r="U462" s="124"/>
      <c r="V462" s="124"/>
      <c r="W462" s="124"/>
      <c r="X462" s="124"/>
      <c r="Y462" s="124"/>
      <c r="Z462" s="112"/>
      <c r="AA462" s="112"/>
      <c r="AB462" s="112"/>
      <c r="AC462" s="112"/>
      <c r="AD462" s="112"/>
      <c r="AE462" s="112"/>
      <c r="AF462" s="112"/>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c r="BK462" s="124"/>
      <c r="BL462" s="124"/>
      <c r="BM462" s="124"/>
      <c r="BN462" s="124"/>
      <c r="BO462" s="124"/>
      <c r="BP462" s="124"/>
      <c r="BQ462" s="124"/>
      <c r="BR462" s="124"/>
      <c r="BS462" s="124"/>
      <c r="BT462" s="124"/>
      <c r="BU462" s="124"/>
      <c r="BV462" s="124"/>
      <c r="BW462" s="124"/>
      <c r="BX462" s="124"/>
      <c r="BY462" s="124"/>
      <c r="BZ462" s="124"/>
      <c r="CA462" s="124"/>
    </row>
    <row r="463">
      <c r="D463" s="143"/>
      <c r="E463" s="129"/>
      <c r="F463" s="112"/>
      <c r="G463" s="112"/>
      <c r="H463" s="112"/>
      <c r="I463" s="112"/>
      <c r="J463" s="112"/>
      <c r="K463" s="112"/>
      <c r="L463" s="112"/>
      <c r="M463" s="112"/>
      <c r="N463" s="112"/>
      <c r="O463" s="112"/>
      <c r="P463" s="112"/>
      <c r="Q463" s="112"/>
      <c r="R463" s="112"/>
      <c r="S463" s="112"/>
      <c r="T463" s="112"/>
      <c r="U463" s="124"/>
      <c r="V463" s="124"/>
      <c r="W463" s="124"/>
      <c r="X463" s="124"/>
      <c r="Y463" s="124"/>
      <c r="Z463" s="112"/>
      <c r="AA463" s="112"/>
      <c r="AB463" s="112"/>
      <c r="AC463" s="112"/>
      <c r="AD463" s="112"/>
      <c r="AE463" s="112"/>
      <c r="AF463" s="112"/>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c r="BK463" s="124"/>
      <c r="BL463" s="124"/>
      <c r="BM463" s="124"/>
      <c r="BN463" s="124"/>
      <c r="BO463" s="124"/>
      <c r="BP463" s="124"/>
      <c r="BQ463" s="124"/>
      <c r="BR463" s="124"/>
      <c r="BS463" s="124"/>
      <c r="BT463" s="124"/>
      <c r="BU463" s="124"/>
      <c r="BV463" s="124"/>
      <c r="BW463" s="124"/>
      <c r="BX463" s="124"/>
      <c r="BY463" s="124"/>
      <c r="BZ463" s="124"/>
      <c r="CA463" s="124"/>
    </row>
    <row r="464">
      <c r="D464" s="143"/>
      <c r="E464" s="129"/>
      <c r="F464" s="112"/>
      <c r="G464" s="112"/>
      <c r="H464" s="112"/>
      <c r="I464" s="112"/>
      <c r="J464" s="112"/>
      <c r="K464" s="112"/>
      <c r="L464" s="112"/>
      <c r="M464" s="112"/>
      <c r="N464" s="112"/>
      <c r="O464" s="112"/>
      <c r="P464" s="112"/>
      <c r="Q464" s="112"/>
      <c r="R464" s="112"/>
      <c r="S464" s="112"/>
      <c r="T464" s="112"/>
      <c r="U464" s="124"/>
      <c r="V464" s="124"/>
      <c r="W464" s="124"/>
      <c r="X464" s="124"/>
      <c r="Y464" s="124"/>
      <c r="Z464" s="112"/>
      <c r="AA464" s="112"/>
      <c r="AB464" s="112"/>
      <c r="AC464" s="112"/>
      <c r="AD464" s="112"/>
      <c r="AE464" s="112"/>
      <c r="AF464" s="112"/>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c r="BK464" s="124"/>
      <c r="BL464" s="124"/>
      <c r="BM464" s="124"/>
      <c r="BN464" s="124"/>
      <c r="BO464" s="124"/>
      <c r="BP464" s="124"/>
      <c r="BQ464" s="124"/>
      <c r="BR464" s="124"/>
      <c r="BS464" s="124"/>
      <c r="BT464" s="124"/>
      <c r="BU464" s="124"/>
      <c r="BV464" s="124"/>
      <c r="BW464" s="124"/>
      <c r="BX464" s="124"/>
      <c r="BY464" s="124"/>
      <c r="BZ464" s="124"/>
      <c r="CA464" s="124"/>
    </row>
    <row r="465">
      <c r="D465" s="143"/>
      <c r="E465" s="129"/>
      <c r="F465" s="112"/>
      <c r="G465" s="112"/>
      <c r="H465" s="112"/>
      <c r="I465" s="112"/>
      <c r="J465" s="112"/>
      <c r="K465" s="112"/>
      <c r="L465" s="112"/>
      <c r="M465" s="112"/>
      <c r="N465" s="112"/>
      <c r="O465" s="112"/>
      <c r="P465" s="112"/>
      <c r="Q465" s="112"/>
      <c r="R465" s="112"/>
      <c r="S465" s="112"/>
      <c r="T465" s="112"/>
      <c r="U465" s="124"/>
      <c r="V465" s="124"/>
      <c r="W465" s="124"/>
      <c r="X465" s="124"/>
      <c r="Y465" s="124"/>
      <c r="Z465" s="112"/>
      <c r="AA465" s="112"/>
      <c r="AB465" s="112"/>
      <c r="AC465" s="112"/>
      <c r="AD465" s="112"/>
      <c r="AE465" s="112"/>
      <c r="AF465" s="112"/>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row>
    <row r="466">
      <c r="D466" s="143"/>
      <c r="E466" s="129"/>
      <c r="F466" s="112"/>
      <c r="G466" s="112"/>
      <c r="H466" s="112"/>
      <c r="I466" s="112"/>
      <c r="J466" s="112"/>
      <c r="K466" s="112"/>
      <c r="L466" s="112"/>
      <c r="M466" s="112"/>
      <c r="N466" s="112"/>
      <c r="O466" s="112"/>
      <c r="P466" s="112"/>
      <c r="Q466" s="112"/>
      <c r="R466" s="112"/>
      <c r="S466" s="112"/>
      <c r="T466" s="112"/>
      <c r="U466" s="124"/>
      <c r="V466" s="124"/>
      <c r="W466" s="124"/>
      <c r="X466" s="124"/>
      <c r="Y466" s="124"/>
      <c r="Z466" s="112"/>
      <c r="AA466" s="112"/>
      <c r="AB466" s="112"/>
      <c r="AC466" s="112"/>
      <c r="AD466" s="112"/>
      <c r="AE466" s="112"/>
      <c r="AF466" s="112"/>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c r="BK466" s="124"/>
      <c r="BL466" s="124"/>
      <c r="BM466" s="124"/>
      <c r="BN466" s="124"/>
      <c r="BO466" s="124"/>
      <c r="BP466" s="124"/>
      <c r="BQ466" s="124"/>
      <c r="BR466" s="124"/>
      <c r="BS466" s="124"/>
      <c r="BT466" s="124"/>
      <c r="BU466" s="124"/>
      <c r="BV466" s="124"/>
      <c r="BW466" s="124"/>
      <c r="BX466" s="124"/>
      <c r="BY466" s="124"/>
      <c r="BZ466" s="124"/>
      <c r="CA466" s="124"/>
    </row>
    <row r="467">
      <c r="D467" s="143"/>
      <c r="E467" s="129"/>
      <c r="F467" s="112"/>
      <c r="G467" s="112"/>
      <c r="H467" s="112"/>
      <c r="I467" s="112"/>
      <c r="J467" s="112"/>
      <c r="K467" s="112"/>
      <c r="L467" s="112"/>
      <c r="M467" s="112"/>
      <c r="N467" s="112"/>
      <c r="O467" s="112"/>
      <c r="P467" s="112"/>
      <c r="Q467" s="112"/>
      <c r="R467" s="112"/>
      <c r="S467" s="112"/>
      <c r="T467" s="112"/>
      <c r="U467" s="124"/>
      <c r="V467" s="124"/>
      <c r="W467" s="124"/>
      <c r="X467" s="124"/>
      <c r="Y467" s="124"/>
      <c r="Z467" s="112"/>
      <c r="AA467" s="112"/>
      <c r="AB467" s="112"/>
      <c r="AC467" s="112"/>
      <c r="AD467" s="112"/>
      <c r="AE467" s="112"/>
      <c r="AF467" s="112"/>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c r="BK467" s="124"/>
      <c r="BL467" s="124"/>
      <c r="BM467" s="124"/>
      <c r="BN467" s="124"/>
      <c r="BO467" s="124"/>
      <c r="BP467" s="124"/>
      <c r="BQ467" s="124"/>
      <c r="BR467" s="124"/>
      <c r="BS467" s="124"/>
      <c r="BT467" s="124"/>
      <c r="BU467" s="124"/>
      <c r="BV467" s="124"/>
      <c r="BW467" s="124"/>
      <c r="BX467" s="124"/>
      <c r="BY467" s="124"/>
      <c r="BZ467" s="124"/>
      <c r="CA467" s="124"/>
    </row>
    <row r="468">
      <c r="D468" s="143"/>
      <c r="E468" s="129"/>
      <c r="F468" s="112"/>
      <c r="G468" s="112"/>
      <c r="H468" s="112"/>
      <c r="I468" s="112"/>
      <c r="J468" s="112"/>
      <c r="K468" s="112"/>
      <c r="L468" s="112"/>
      <c r="M468" s="112"/>
      <c r="N468" s="112"/>
      <c r="O468" s="112"/>
      <c r="P468" s="112"/>
      <c r="Q468" s="112"/>
      <c r="R468" s="112"/>
      <c r="S468" s="112"/>
      <c r="T468" s="112"/>
      <c r="U468" s="124"/>
      <c r="V468" s="124"/>
      <c r="W468" s="124"/>
      <c r="X468" s="124"/>
      <c r="Y468" s="124"/>
      <c r="Z468" s="112"/>
      <c r="AA468" s="112"/>
      <c r="AB468" s="112"/>
      <c r="AC468" s="112"/>
      <c r="AD468" s="112"/>
      <c r="AE468" s="112"/>
      <c r="AF468" s="112"/>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c r="BK468" s="124"/>
      <c r="BL468" s="124"/>
      <c r="BM468" s="124"/>
      <c r="BN468" s="124"/>
      <c r="BO468" s="124"/>
      <c r="BP468" s="124"/>
      <c r="BQ468" s="124"/>
      <c r="BR468" s="124"/>
      <c r="BS468" s="124"/>
      <c r="BT468" s="124"/>
      <c r="BU468" s="124"/>
      <c r="BV468" s="124"/>
      <c r="BW468" s="124"/>
      <c r="BX468" s="124"/>
      <c r="BY468" s="124"/>
      <c r="BZ468" s="124"/>
      <c r="CA468" s="124"/>
    </row>
    <row r="469">
      <c r="D469" s="143"/>
      <c r="E469" s="129"/>
      <c r="F469" s="112"/>
      <c r="G469" s="112"/>
      <c r="H469" s="112"/>
      <c r="I469" s="112"/>
      <c r="J469" s="112"/>
      <c r="K469" s="112"/>
      <c r="L469" s="112"/>
      <c r="M469" s="112"/>
      <c r="N469" s="112"/>
      <c r="O469" s="112"/>
      <c r="P469" s="112"/>
      <c r="Q469" s="112"/>
      <c r="R469" s="112"/>
      <c r="S469" s="112"/>
      <c r="T469" s="112"/>
      <c r="U469" s="124"/>
      <c r="V469" s="124"/>
      <c r="W469" s="124"/>
      <c r="X469" s="124"/>
      <c r="Y469" s="124"/>
      <c r="Z469" s="112"/>
      <c r="AA469" s="112"/>
      <c r="AB469" s="112"/>
      <c r="AC469" s="112"/>
      <c r="AD469" s="112"/>
      <c r="AE469" s="112"/>
      <c r="AF469" s="112"/>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4"/>
      <c r="BS469" s="124"/>
      <c r="BT469" s="124"/>
      <c r="BU469" s="124"/>
      <c r="BV469" s="124"/>
      <c r="BW469" s="124"/>
      <c r="BX469" s="124"/>
      <c r="BY469" s="124"/>
      <c r="BZ469" s="124"/>
      <c r="CA469" s="124"/>
    </row>
    <row r="470">
      <c r="D470" s="143"/>
      <c r="E470" s="129"/>
      <c r="F470" s="112"/>
      <c r="G470" s="112"/>
      <c r="H470" s="112"/>
      <c r="I470" s="112"/>
      <c r="J470" s="112"/>
      <c r="K470" s="112"/>
      <c r="L470" s="112"/>
      <c r="M470" s="112"/>
      <c r="N470" s="112"/>
      <c r="O470" s="112"/>
      <c r="P470" s="112"/>
      <c r="Q470" s="112"/>
      <c r="R470" s="112"/>
      <c r="S470" s="112"/>
      <c r="T470" s="112"/>
      <c r="U470" s="124"/>
      <c r="V470" s="124"/>
      <c r="W470" s="124"/>
      <c r="X470" s="124"/>
      <c r="Y470" s="124"/>
      <c r="Z470" s="112"/>
      <c r="AA470" s="112"/>
      <c r="AB470" s="112"/>
      <c r="AC470" s="112"/>
      <c r="AD470" s="112"/>
      <c r="AE470" s="112"/>
      <c r="AF470" s="112"/>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c r="BK470" s="124"/>
      <c r="BL470" s="124"/>
      <c r="BM470" s="124"/>
      <c r="BN470" s="124"/>
      <c r="BO470" s="124"/>
      <c r="BP470" s="124"/>
      <c r="BQ470" s="124"/>
      <c r="BR470" s="124"/>
      <c r="BS470" s="124"/>
      <c r="BT470" s="124"/>
      <c r="BU470" s="124"/>
      <c r="BV470" s="124"/>
      <c r="BW470" s="124"/>
      <c r="BX470" s="124"/>
      <c r="BY470" s="124"/>
      <c r="BZ470" s="124"/>
      <c r="CA470" s="124"/>
    </row>
    <row r="471">
      <c r="D471" s="143"/>
      <c r="E471" s="129"/>
      <c r="F471" s="112"/>
      <c r="G471" s="112"/>
      <c r="H471" s="112"/>
      <c r="I471" s="112"/>
      <c r="J471" s="112"/>
      <c r="K471" s="112"/>
      <c r="L471" s="112"/>
      <c r="M471" s="112"/>
      <c r="N471" s="112"/>
      <c r="O471" s="112"/>
      <c r="P471" s="112"/>
      <c r="Q471" s="112"/>
      <c r="R471" s="112"/>
      <c r="S471" s="112"/>
      <c r="T471" s="112"/>
      <c r="U471" s="124"/>
      <c r="V471" s="124"/>
      <c r="W471" s="124"/>
      <c r="X471" s="124"/>
      <c r="Y471" s="124"/>
      <c r="Z471" s="112"/>
      <c r="AA471" s="112"/>
      <c r="AB471" s="112"/>
      <c r="AC471" s="112"/>
      <c r="AD471" s="112"/>
      <c r="AE471" s="112"/>
      <c r="AF471" s="112"/>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row>
    <row r="472">
      <c r="D472" s="143"/>
      <c r="E472" s="129"/>
      <c r="F472" s="112"/>
      <c r="G472" s="112"/>
      <c r="H472" s="112"/>
      <c r="I472" s="112"/>
      <c r="J472" s="112"/>
      <c r="K472" s="112"/>
      <c r="L472" s="112"/>
      <c r="M472" s="112"/>
      <c r="N472" s="112"/>
      <c r="O472" s="112"/>
      <c r="P472" s="112"/>
      <c r="Q472" s="112"/>
      <c r="R472" s="112"/>
      <c r="S472" s="112"/>
      <c r="T472" s="112"/>
      <c r="U472" s="124"/>
      <c r="V472" s="124"/>
      <c r="W472" s="124"/>
      <c r="X472" s="124"/>
      <c r="Y472" s="124"/>
      <c r="Z472" s="112"/>
      <c r="AA472" s="112"/>
      <c r="AB472" s="112"/>
      <c r="AC472" s="112"/>
      <c r="AD472" s="112"/>
      <c r="AE472" s="112"/>
      <c r="AF472" s="112"/>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c r="BK472" s="124"/>
      <c r="BL472" s="124"/>
      <c r="BM472" s="124"/>
      <c r="BN472" s="124"/>
      <c r="BO472" s="124"/>
      <c r="BP472" s="124"/>
      <c r="BQ472" s="124"/>
      <c r="BR472" s="124"/>
      <c r="BS472" s="124"/>
      <c r="BT472" s="124"/>
      <c r="BU472" s="124"/>
      <c r="BV472" s="124"/>
      <c r="BW472" s="124"/>
      <c r="BX472" s="124"/>
      <c r="BY472" s="124"/>
      <c r="BZ472" s="124"/>
      <c r="CA472" s="124"/>
    </row>
    <row r="473">
      <c r="D473" s="143"/>
      <c r="E473" s="129"/>
      <c r="F473" s="112"/>
      <c r="G473" s="112"/>
      <c r="H473" s="112"/>
      <c r="I473" s="112"/>
      <c r="J473" s="112"/>
      <c r="K473" s="112"/>
      <c r="L473" s="112"/>
      <c r="M473" s="112"/>
      <c r="N473" s="112"/>
      <c r="O473" s="112"/>
      <c r="P473" s="112"/>
      <c r="Q473" s="112"/>
      <c r="R473" s="112"/>
      <c r="S473" s="112"/>
      <c r="T473" s="112"/>
      <c r="U473" s="124"/>
      <c r="V473" s="124"/>
      <c r="W473" s="124"/>
      <c r="X473" s="124"/>
      <c r="Y473" s="124"/>
      <c r="Z473" s="112"/>
      <c r="AA473" s="112"/>
      <c r="AB473" s="112"/>
      <c r="AC473" s="112"/>
      <c r="AD473" s="112"/>
      <c r="AE473" s="112"/>
      <c r="AF473" s="112"/>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4"/>
      <c r="BR473" s="124"/>
      <c r="BS473" s="124"/>
      <c r="BT473" s="124"/>
      <c r="BU473" s="124"/>
      <c r="BV473" s="124"/>
      <c r="BW473" s="124"/>
      <c r="BX473" s="124"/>
      <c r="BY473" s="124"/>
      <c r="BZ473" s="124"/>
      <c r="CA473" s="124"/>
    </row>
    <row r="474">
      <c r="D474" s="143"/>
      <c r="E474" s="129"/>
      <c r="F474" s="112"/>
      <c r="G474" s="112"/>
      <c r="H474" s="112"/>
      <c r="I474" s="112"/>
      <c r="J474" s="112"/>
      <c r="K474" s="112"/>
      <c r="L474" s="112"/>
      <c r="M474" s="112"/>
      <c r="N474" s="112"/>
      <c r="O474" s="112"/>
      <c r="P474" s="112"/>
      <c r="Q474" s="112"/>
      <c r="R474" s="112"/>
      <c r="S474" s="112"/>
      <c r="T474" s="112"/>
      <c r="U474" s="124"/>
      <c r="V474" s="124"/>
      <c r="W474" s="124"/>
      <c r="X474" s="124"/>
      <c r="Y474" s="124"/>
      <c r="Z474" s="112"/>
      <c r="AA474" s="112"/>
      <c r="AB474" s="112"/>
      <c r="AC474" s="112"/>
      <c r="AD474" s="112"/>
      <c r="AE474" s="112"/>
      <c r="AF474" s="112"/>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c r="BK474" s="124"/>
      <c r="BL474" s="124"/>
      <c r="BM474" s="124"/>
      <c r="BN474" s="124"/>
      <c r="BO474" s="124"/>
      <c r="BP474" s="124"/>
      <c r="BQ474" s="124"/>
      <c r="BR474" s="124"/>
      <c r="BS474" s="124"/>
      <c r="BT474" s="124"/>
      <c r="BU474" s="124"/>
      <c r="BV474" s="124"/>
      <c r="BW474" s="124"/>
      <c r="BX474" s="124"/>
      <c r="BY474" s="124"/>
      <c r="BZ474" s="124"/>
      <c r="CA474" s="124"/>
    </row>
    <row r="475">
      <c r="D475" s="143"/>
      <c r="E475" s="129"/>
      <c r="F475" s="112"/>
      <c r="G475" s="112"/>
      <c r="H475" s="112"/>
      <c r="I475" s="112"/>
      <c r="J475" s="112"/>
      <c r="K475" s="112"/>
      <c r="L475" s="112"/>
      <c r="M475" s="112"/>
      <c r="N475" s="112"/>
      <c r="O475" s="112"/>
      <c r="P475" s="112"/>
      <c r="Q475" s="112"/>
      <c r="R475" s="112"/>
      <c r="S475" s="112"/>
      <c r="T475" s="112"/>
      <c r="U475" s="124"/>
      <c r="V475" s="124"/>
      <c r="W475" s="124"/>
      <c r="X475" s="124"/>
      <c r="Y475" s="124"/>
      <c r="Z475" s="112"/>
      <c r="AA475" s="112"/>
      <c r="AB475" s="112"/>
      <c r="AC475" s="112"/>
      <c r="AD475" s="112"/>
      <c r="AE475" s="112"/>
      <c r="AF475" s="112"/>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c r="BK475" s="124"/>
      <c r="BL475" s="124"/>
      <c r="BM475" s="124"/>
      <c r="BN475" s="124"/>
      <c r="BO475" s="124"/>
      <c r="BP475" s="124"/>
      <c r="BQ475" s="124"/>
      <c r="BR475" s="124"/>
      <c r="BS475" s="124"/>
      <c r="BT475" s="124"/>
      <c r="BU475" s="124"/>
      <c r="BV475" s="124"/>
      <c r="BW475" s="124"/>
      <c r="BX475" s="124"/>
      <c r="BY475" s="124"/>
      <c r="BZ475" s="124"/>
      <c r="CA475" s="124"/>
    </row>
    <row r="476">
      <c r="D476" s="143"/>
      <c r="E476" s="129"/>
      <c r="F476" s="112"/>
      <c r="G476" s="112"/>
      <c r="H476" s="112"/>
      <c r="I476" s="112"/>
      <c r="J476" s="112"/>
      <c r="K476" s="112"/>
      <c r="L476" s="112"/>
      <c r="M476" s="112"/>
      <c r="N476" s="112"/>
      <c r="O476" s="112"/>
      <c r="P476" s="112"/>
      <c r="Q476" s="112"/>
      <c r="R476" s="112"/>
      <c r="S476" s="112"/>
      <c r="T476" s="112"/>
      <c r="U476" s="124"/>
      <c r="V476" s="124"/>
      <c r="W476" s="124"/>
      <c r="X476" s="124"/>
      <c r="Y476" s="124"/>
      <c r="Z476" s="112"/>
      <c r="AA476" s="112"/>
      <c r="AB476" s="112"/>
      <c r="AC476" s="112"/>
      <c r="AD476" s="112"/>
      <c r="AE476" s="112"/>
      <c r="AF476" s="112"/>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c r="BK476" s="124"/>
      <c r="BL476" s="124"/>
      <c r="BM476" s="124"/>
      <c r="BN476" s="124"/>
      <c r="BO476" s="124"/>
      <c r="BP476" s="124"/>
      <c r="BQ476" s="124"/>
      <c r="BR476" s="124"/>
      <c r="BS476" s="124"/>
      <c r="BT476" s="124"/>
      <c r="BU476" s="124"/>
      <c r="BV476" s="124"/>
      <c r="BW476" s="124"/>
      <c r="BX476" s="124"/>
      <c r="BY476" s="124"/>
      <c r="BZ476" s="124"/>
      <c r="CA476" s="124"/>
    </row>
    <row r="477">
      <c r="D477" s="143"/>
      <c r="E477" s="129"/>
      <c r="F477" s="112"/>
      <c r="G477" s="112"/>
      <c r="H477" s="112"/>
      <c r="I477" s="112"/>
      <c r="J477" s="112"/>
      <c r="K477" s="112"/>
      <c r="L477" s="112"/>
      <c r="M477" s="112"/>
      <c r="N477" s="112"/>
      <c r="O477" s="112"/>
      <c r="P477" s="112"/>
      <c r="Q477" s="112"/>
      <c r="R477" s="112"/>
      <c r="S477" s="112"/>
      <c r="T477" s="112"/>
      <c r="U477" s="124"/>
      <c r="V477" s="124"/>
      <c r="W477" s="124"/>
      <c r="X477" s="124"/>
      <c r="Y477" s="124"/>
      <c r="Z477" s="112"/>
      <c r="AA477" s="112"/>
      <c r="AB477" s="112"/>
      <c r="AC477" s="112"/>
      <c r="AD477" s="112"/>
      <c r="AE477" s="112"/>
      <c r="AF477" s="112"/>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row>
    <row r="478">
      <c r="D478" s="143"/>
      <c r="E478" s="129"/>
      <c r="F478" s="112"/>
      <c r="G478" s="112"/>
      <c r="H478" s="112"/>
      <c r="I478" s="112"/>
      <c r="J478" s="112"/>
      <c r="K478" s="112"/>
      <c r="L478" s="112"/>
      <c r="M478" s="112"/>
      <c r="N478" s="112"/>
      <c r="O478" s="112"/>
      <c r="P478" s="112"/>
      <c r="Q478" s="112"/>
      <c r="R478" s="112"/>
      <c r="S478" s="112"/>
      <c r="T478" s="112"/>
      <c r="U478" s="124"/>
      <c r="V478" s="124"/>
      <c r="W478" s="124"/>
      <c r="X478" s="124"/>
      <c r="Y478" s="124"/>
      <c r="Z478" s="112"/>
      <c r="AA478" s="112"/>
      <c r="AB478" s="112"/>
      <c r="AC478" s="112"/>
      <c r="AD478" s="112"/>
      <c r="AE478" s="112"/>
      <c r="AF478" s="112"/>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c r="BK478" s="124"/>
      <c r="BL478" s="124"/>
      <c r="BM478" s="124"/>
      <c r="BN478" s="124"/>
      <c r="BO478" s="124"/>
      <c r="BP478" s="124"/>
      <c r="BQ478" s="124"/>
      <c r="BR478" s="124"/>
      <c r="BS478" s="124"/>
      <c r="BT478" s="124"/>
      <c r="BU478" s="124"/>
      <c r="BV478" s="124"/>
      <c r="BW478" s="124"/>
      <c r="BX478" s="124"/>
      <c r="BY478" s="124"/>
      <c r="BZ478" s="124"/>
      <c r="CA478" s="124"/>
    </row>
    <row r="479">
      <c r="D479" s="143"/>
      <c r="E479" s="129"/>
      <c r="F479" s="112"/>
      <c r="G479" s="112"/>
      <c r="H479" s="112"/>
      <c r="I479" s="112"/>
      <c r="J479" s="112"/>
      <c r="K479" s="112"/>
      <c r="L479" s="112"/>
      <c r="M479" s="112"/>
      <c r="N479" s="112"/>
      <c r="O479" s="112"/>
      <c r="P479" s="112"/>
      <c r="Q479" s="112"/>
      <c r="R479" s="112"/>
      <c r="S479" s="112"/>
      <c r="T479" s="112"/>
      <c r="U479" s="124"/>
      <c r="V479" s="124"/>
      <c r="W479" s="124"/>
      <c r="X479" s="124"/>
      <c r="Y479" s="124"/>
      <c r="Z479" s="112"/>
      <c r="AA479" s="112"/>
      <c r="AB479" s="112"/>
      <c r="AC479" s="112"/>
      <c r="AD479" s="112"/>
      <c r="AE479" s="112"/>
      <c r="AF479" s="112"/>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c r="BK479" s="124"/>
      <c r="BL479" s="124"/>
      <c r="BM479" s="124"/>
      <c r="BN479" s="124"/>
      <c r="BO479" s="124"/>
      <c r="BP479" s="124"/>
      <c r="BQ479" s="124"/>
      <c r="BR479" s="124"/>
      <c r="BS479" s="124"/>
      <c r="BT479" s="124"/>
      <c r="BU479" s="124"/>
      <c r="BV479" s="124"/>
      <c r="BW479" s="124"/>
      <c r="BX479" s="124"/>
      <c r="BY479" s="124"/>
      <c r="BZ479" s="124"/>
      <c r="CA479" s="124"/>
    </row>
    <row r="480">
      <c r="D480" s="143"/>
      <c r="E480" s="129"/>
      <c r="F480" s="112"/>
      <c r="G480" s="112"/>
      <c r="H480" s="112"/>
      <c r="I480" s="112"/>
      <c r="J480" s="112"/>
      <c r="K480" s="112"/>
      <c r="L480" s="112"/>
      <c r="M480" s="112"/>
      <c r="N480" s="112"/>
      <c r="O480" s="112"/>
      <c r="P480" s="112"/>
      <c r="Q480" s="112"/>
      <c r="R480" s="112"/>
      <c r="S480" s="112"/>
      <c r="T480" s="112"/>
      <c r="U480" s="124"/>
      <c r="V480" s="124"/>
      <c r="W480" s="124"/>
      <c r="X480" s="124"/>
      <c r="Y480" s="124"/>
      <c r="Z480" s="112"/>
      <c r="AA480" s="112"/>
      <c r="AB480" s="112"/>
      <c r="AC480" s="112"/>
      <c r="AD480" s="112"/>
      <c r="AE480" s="112"/>
      <c r="AF480" s="112"/>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c r="BK480" s="124"/>
      <c r="BL480" s="124"/>
      <c r="BM480" s="124"/>
      <c r="BN480" s="124"/>
      <c r="BO480" s="124"/>
      <c r="BP480" s="124"/>
      <c r="BQ480" s="124"/>
      <c r="BR480" s="124"/>
      <c r="BS480" s="124"/>
      <c r="BT480" s="124"/>
      <c r="BU480" s="124"/>
      <c r="BV480" s="124"/>
      <c r="BW480" s="124"/>
      <c r="BX480" s="124"/>
      <c r="BY480" s="124"/>
      <c r="BZ480" s="124"/>
      <c r="CA480" s="124"/>
    </row>
    <row r="481">
      <c r="D481" s="143"/>
      <c r="E481" s="129"/>
      <c r="F481" s="112"/>
      <c r="G481" s="112"/>
      <c r="H481" s="112"/>
      <c r="I481" s="112"/>
      <c r="J481" s="112"/>
      <c r="K481" s="112"/>
      <c r="L481" s="112"/>
      <c r="M481" s="112"/>
      <c r="N481" s="112"/>
      <c r="O481" s="112"/>
      <c r="P481" s="112"/>
      <c r="Q481" s="112"/>
      <c r="R481" s="112"/>
      <c r="S481" s="112"/>
      <c r="T481" s="112"/>
      <c r="U481" s="124"/>
      <c r="V481" s="124"/>
      <c r="W481" s="124"/>
      <c r="X481" s="124"/>
      <c r="Y481" s="124"/>
      <c r="Z481" s="112"/>
      <c r="AA481" s="112"/>
      <c r="AB481" s="112"/>
      <c r="AC481" s="112"/>
      <c r="AD481" s="112"/>
      <c r="AE481" s="112"/>
      <c r="AF481" s="112"/>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c r="BK481" s="124"/>
      <c r="BL481" s="124"/>
      <c r="BM481" s="124"/>
      <c r="BN481" s="124"/>
      <c r="BO481" s="124"/>
      <c r="BP481" s="124"/>
      <c r="BQ481" s="124"/>
      <c r="BR481" s="124"/>
      <c r="BS481" s="124"/>
      <c r="BT481" s="124"/>
      <c r="BU481" s="124"/>
      <c r="BV481" s="124"/>
      <c r="BW481" s="124"/>
      <c r="BX481" s="124"/>
      <c r="BY481" s="124"/>
      <c r="BZ481" s="124"/>
      <c r="CA481" s="124"/>
    </row>
    <row r="482">
      <c r="D482" s="143"/>
      <c r="E482" s="129"/>
      <c r="F482" s="112"/>
      <c r="G482" s="112"/>
      <c r="H482" s="112"/>
      <c r="I482" s="112"/>
      <c r="J482" s="112"/>
      <c r="K482" s="112"/>
      <c r="L482" s="112"/>
      <c r="M482" s="112"/>
      <c r="N482" s="112"/>
      <c r="O482" s="112"/>
      <c r="P482" s="112"/>
      <c r="Q482" s="112"/>
      <c r="R482" s="112"/>
      <c r="S482" s="112"/>
      <c r="T482" s="112"/>
      <c r="U482" s="124"/>
      <c r="V482" s="124"/>
      <c r="W482" s="124"/>
      <c r="X482" s="124"/>
      <c r="Y482" s="124"/>
      <c r="Z482" s="112"/>
      <c r="AA482" s="112"/>
      <c r="AB482" s="112"/>
      <c r="AC482" s="112"/>
      <c r="AD482" s="112"/>
      <c r="AE482" s="112"/>
      <c r="AF482" s="112"/>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c r="BK482" s="124"/>
      <c r="BL482" s="124"/>
      <c r="BM482" s="124"/>
      <c r="BN482" s="124"/>
      <c r="BO482" s="124"/>
      <c r="BP482" s="124"/>
      <c r="BQ482" s="124"/>
      <c r="BR482" s="124"/>
      <c r="BS482" s="124"/>
      <c r="BT482" s="124"/>
      <c r="BU482" s="124"/>
      <c r="BV482" s="124"/>
      <c r="BW482" s="124"/>
      <c r="BX482" s="124"/>
      <c r="BY482" s="124"/>
      <c r="BZ482" s="124"/>
      <c r="CA482" s="124"/>
    </row>
    <row r="483">
      <c r="D483" s="143"/>
      <c r="E483" s="129"/>
      <c r="F483" s="112"/>
      <c r="G483" s="112"/>
      <c r="H483" s="112"/>
      <c r="I483" s="112"/>
      <c r="J483" s="112"/>
      <c r="K483" s="112"/>
      <c r="L483" s="112"/>
      <c r="M483" s="112"/>
      <c r="N483" s="112"/>
      <c r="O483" s="112"/>
      <c r="P483" s="112"/>
      <c r="Q483" s="112"/>
      <c r="R483" s="112"/>
      <c r="S483" s="112"/>
      <c r="T483" s="112"/>
      <c r="U483" s="124"/>
      <c r="V483" s="124"/>
      <c r="W483" s="124"/>
      <c r="X483" s="124"/>
      <c r="Y483" s="124"/>
      <c r="Z483" s="112"/>
      <c r="AA483" s="112"/>
      <c r="AB483" s="112"/>
      <c r="AC483" s="112"/>
      <c r="AD483" s="112"/>
      <c r="AE483" s="112"/>
      <c r="AF483" s="112"/>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row>
    <row r="484">
      <c r="D484" s="143"/>
      <c r="E484" s="129"/>
      <c r="F484" s="112"/>
      <c r="G484" s="112"/>
      <c r="H484" s="112"/>
      <c r="I484" s="112"/>
      <c r="J484" s="112"/>
      <c r="K484" s="112"/>
      <c r="L484" s="112"/>
      <c r="M484" s="112"/>
      <c r="N484" s="112"/>
      <c r="O484" s="112"/>
      <c r="P484" s="112"/>
      <c r="Q484" s="112"/>
      <c r="R484" s="112"/>
      <c r="S484" s="112"/>
      <c r="T484" s="112"/>
      <c r="U484" s="124"/>
      <c r="V484" s="124"/>
      <c r="W484" s="124"/>
      <c r="X484" s="124"/>
      <c r="Y484" s="124"/>
      <c r="Z484" s="112"/>
      <c r="AA484" s="112"/>
      <c r="AB484" s="112"/>
      <c r="AC484" s="112"/>
      <c r="AD484" s="112"/>
      <c r="AE484" s="112"/>
      <c r="AF484" s="112"/>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c r="BK484" s="124"/>
      <c r="BL484" s="124"/>
      <c r="BM484" s="124"/>
      <c r="BN484" s="124"/>
      <c r="BO484" s="124"/>
      <c r="BP484" s="124"/>
      <c r="BQ484" s="124"/>
      <c r="BR484" s="124"/>
      <c r="BS484" s="124"/>
      <c r="BT484" s="124"/>
      <c r="BU484" s="124"/>
      <c r="BV484" s="124"/>
      <c r="BW484" s="124"/>
      <c r="BX484" s="124"/>
      <c r="BY484" s="124"/>
      <c r="BZ484" s="124"/>
      <c r="CA484" s="124"/>
    </row>
    <row r="485">
      <c r="D485" s="143"/>
      <c r="E485" s="129"/>
      <c r="F485" s="112"/>
      <c r="G485" s="112"/>
      <c r="H485" s="112"/>
      <c r="I485" s="112"/>
      <c r="J485" s="112"/>
      <c r="K485" s="112"/>
      <c r="L485" s="112"/>
      <c r="M485" s="112"/>
      <c r="N485" s="112"/>
      <c r="O485" s="112"/>
      <c r="P485" s="112"/>
      <c r="Q485" s="112"/>
      <c r="R485" s="112"/>
      <c r="S485" s="112"/>
      <c r="T485" s="112"/>
      <c r="U485" s="124"/>
      <c r="V485" s="124"/>
      <c r="W485" s="124"/>
      <c r="X485" s="124"/>
      <c r="Y485" s="124"/>
      <c r="Z485" s="112"/>
      <c r="AA485" s="112"/>
      <c r="AB485" s="112"/>
      <c r="AC485" s="112"/>
      <c r="AD485" s="112"/>
      <c r="AE485" s="112"/>
      <c r="AF485" s="112"/>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c r="BK485" s="124"/>
      <c r="BL485" s="124"/>
      <c r="BM485" s="124"/>
      <c r="BN485" s="124"/>
      <c r="BO485" s="124"/>
      <c r="BP485" s="124"/>
      <c r="BQ485" s="124"/>
      <c r="BR485" s="124"/>
      <c r="BS485" s="124"/>
      <c r="BT485" s="124"/>
      <c r="BU485" s="124"/>
      <c r="BV485" s="124"/>
      <c r="BW485" s="124"/>
      <c r="BX485" s="124"/>
      <c r="BY485" s="124"/>
      <c r="BZ485" s="124"/>
      <c r="CA485" s="124"/>
    </row>
    <row r="486">
      <c r="D486" s="143"/>
      <c r="E486" s="129"/>
      <c r="F486" s="112"/>
      <c r="G486" s="112"/>
      <c r="H486" s="112"/>
      <c r="I486" s="112"/>
      <c r="J486" s="112"/>
      <c r="K486" s="112"/>
      <c r="L486" s="112"/>
      <c r="M486" s="112"/>
      <c r="N486" s="112"/>
      <c r="O486" s="112"/>
      <c r="P486" s="112"/>
      <c r="Q486" s="112"/>
      <c r="R486" s="112"/>
      <c r="S486" s="112"/>
      <c r="T486" s="112"/>
      <c r="U486" s="124"/>
      <c r="V486" s="124"/>
      <c r="W486" s="124"/>
      <c r="X486" s="124"/>
      <c r="Y486" s="124"/>
      <c r="Z486" s="112"/>
      <c r="AA486" s="112"/>
      <c r="AB486" s="112"/>
      <c r="AC486" s="112"/>
      <c r="AD486" s="112"/>
      <c r="AE486" s="112"/>
      <c r="AF486" s="112"/>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c r="BK486" s="124"/>
      <c r="BL486" s="124"/>
      <c r="BM486" s="124"/>
      <c r="BN486" s="124"/>
      <c r="BO486" s="124"/>
      <c r="BP486" s="124"/>
      <c r="BQ486" s="124"/>
      <c r="BR486" s="124"/>
      <c r="BS486" s="124"/>
      <c r="BT486" s="124"/>
      <c r="BU486" s="124"/>
      <c r="BV486" s="124"/>
      <c r="BW486" s="124"/>
      <c r="BX486" s="124"/>
      <c r="BY486" s="124"/>
      <c r="BZ486" s="124"/>
      <c r="CA486" s="124"/>
    </row>
    <row r="487">
      <c r="D487" s="143"/>
      <c r="E487" s="129"/>
      <c r="F487" s="112"/>
      <c r="G487" s="112"/>
      <c r="H487" s="112"/>
      <c r="I487" s="112"/>
      <c r="J487" s="112"/>
      <c r="K487" s="112"/>
      <c r="L487" s="112"/>
      <c r="M487" s="112"/>
      <c r="N487" s="112"/>
      <c r="O487" s="112"/>
      <c r="P487" s="112"/>
      <c r="Q487" s="112"/>
      <c r="R487" s="112"/>
      <c r="S487" s="112"/>
      <c r="T487" s="112"/>
      <c r="U487" s="124"/>
      <c r="V487" s="124"/>
      <c r="W487" s="124"/>
      <c r="X487" s="124"/>
      <c r="Y487" s="124"/>
      <c r="Z487" s="112"/>
      <c r="AA487" s="112"/>
      <c r="AB487" s="112"/>
      <c r="AC487" s="112"/>
      <c r="AD487" s="112"/>
      <c r="AE487" s="112"/>
      <c r="AF487" s="112"/>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c r="BK487" s="124"/>
      <c r="BL487" s="124"/>
      <c r="BM487" s="124"/>
      <c r="BN487" s="124"/>
      <c r="BO487" s="124"/>
      <c r="BP487" s="124"/>
      <c r="BQ487" s="124"/>
      <c r="BR487" s="124"/>
      <c r="BS487" s="124"/>
      <c r="BT487" s="124"/>
      <c r="BU487" s="124"/>
      <c r="BV487" s="124"/>
      <c r="BW487" s="124"/>
      <c r="BX487" s="124"/>
      <c r="BY487" s="124"/>
      <c r="BZ487" s="124"/>
      <c r="CA487" s="124"/>
    </row>
    <row r="488">
      <c r="D488" s="143"/>
      <c r="E488" s="129"/>
      <c r="F488" s="112"/>
      <c r="G488" s="112"/>
      <c r="H488" s="112"/>
      <c r="I488" s="112"/>
      <c r="J488" s="112"/>
      <c r="K488" s="112"/>
      <c r="L488" s="112"/>
      <c r="M488" s="112"/>
      <c r="N488" s="112"/>
      <c r="O488" s="112"/>
      <c r="P488" s="112"/>
      <c r="Q488" s="112"/>
      <c r="R488" s="112"/>
      <c r="S488" s="112"/>
      <c r="T488" s="112"/>
      <c r="U488" s="124"/>
      <c r="V488" s="124"/>
      <c r="W488" s="124"/>
      <c r="X488" s="124"/>
      <c r="Y488" s="124"/>
      <c r="Z488" s="112"/>
      <c r="AA488" s="112"/>
      <c r="AB488" s="112"/>
      <c r="AC488" s="112"/>
      <c r="AD488" s="112"/>
      <c r="AE488" s="112"/>
      <c r="AF488" s="112"/>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c r="BK488" s="124"/>
      <c r="BL488" s="124"/>
      <c r="BM488" s="124"/>
      <c r="BN488" s="124"/>
      <c r="BO488" s="124"/>
      <c r="BP488" s="124"/>
      <c r="BQ488" s="124"/>
      <c r="BR488" s="124"/>
      <c r="BS488" s="124"/>
      <c r="BT488" s="124"/>
      <c r="BU488" s="124"/>
      <c r="BV488" s="124"/>
      <c r="BW488" s="124"/>
      <c r="BX488" s="124"/>
      <c r="BY488" s="124"/>
      <c r="BZ488" s="124"/>
      <c r="CA488" s="124"/>
    </row>
    <row r="489">
      <c r="D489" s="143"/>
      <c r="E489" s="129"/>
      <c r="F489" s="112"/>
      <c r="G489" s="112"/>
      <c r="H489" s="112"/>
      <c r="I489" s="112"/>
      <c r="J489" s="112"/>
      <c r="K489" s="112"/>
      <c r="L489" s="112"/>
      <c r="M489" s="112"/>
      <c r="N489" s="112"/>
      <c r="O489" s="112"/>
      <c r="P489" s="112"/>
      <c r="Q489" s="112"/>
      <c r="R489" s="112"/>
      <c r="S489" s="112"/>
      <c r="T489" s="112"/>
      <c r="U489" s="124"/>
      <c r="V489" s="124"/>
      <c r="W489" s="124"/>
      <c r="X489" s="124"/>
      <c r="Y489" s="124"/>
      <c r="Z489" s="112"/>
      <c r="AA489" s="112"/>
      <c r="AB489" s="112"/>
      <c r="AC489" s="112"/>
      <c r="AD489" s="112"/>
      <c r="AE489" s="112"/>
      <c r="AF489" s="112"/>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row>
    <row r="490">
      <c r="D490" s="143"/>
      <c r="E490" s="129"/>
      <c r="F490" s="112"/>
      <c r="G490" s="112"/>
      <c r="H490" s="112"/>
      <c r="I490" s="112"/>
      <c r="J490" s="112"/>
      <c r="K490" s="112"/>
      <c r="L490" s="112"/>
      <c r="M490" s="112"/>
      <c r="N490" s="112"/>
      <c r="O490" s="112"/>
      <c r="P490" s="112"/>
      <c r="Q490" s="112"/>
      <c r="R490" s="112"/>
      <c r="S490" s="112"/>
      <c r="T490" s="112"/>
      <c r="U490" s="124"/>
      <c r="V490" s="124"/>
      <c r="W490" s="124"/>
      <c r="X490" s="124"/>
      <c r="Y490" s="124"/>
      <c r="Z490" s="112"/>
      <c r="AA490" s="112"/>
      <c r="AB490" s="112"/>
      <c r="AC490" s="112"/>
      <c r="AD490" s="112"/>
      <c r="AE490" s="112"/>
      <c r="AF490" s="112"/>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c r="BK490" s="124"/>
      <c r="BL490" s="124"/>
      <c r="BM490" s="124"/>
      <c r="BN490" s="124"/>
      <c r="BO490" s="124"/>
      <c r="BP490" s="124"/>
      <c r="BQ490" s="124"/>
      <c r="BR490" s="124"/>
      <c r="BS490" s="124"/>
      <c r="BT490" s="124"/>
      <c r="BU490" s="124"/>
      <c r="BV490" s="124"/>
      <c r="BW490" s="124"/>
      <c r="BX490" s="124"/>
      <c r="BY490" s="124"/>
      <c r="BZ490" s="124"/>
      <c r="CA490" s="124"/>
    </row>
    <row r="491">
      <c r="D491" s="143"/>
      <c r="E491" s="129"/>
      <c r="F491" s="112"/>
      <c r="G491" s="112"/>
      <c r="H491" s="112"/>
      <c r="I491" s="112"/>
      <c r="J491" s="112"/>
      <c r="K491" s="112"/>
      <c r="L491" s="112"/>
      <c r="M491" s="112"/>
      <c r="N491" s="112"/>
      <c r="O491" s="112"/>
      <c r="P491" s="112"/>
      <c r="Q491" s="112"/>
      <c r="R491" s="112"/>
      <c r="S491" s="112"/>
      <c r="T491" s="112"/>
      <c r="U491" s="124"/>
      <c r="V491" s="124"/>
      <c r="W491" s="124"/>
      <c r="X491" s="124"/>
      <c r="Y491" s="124"/>
      <c r="Z491" s="112"/>
      <c r="AA491" s="112"/>
      <c r="AB491" s="112"/>
      <c r="AC491" s="112"/>
      <c r="AD491" s="112"/>
      <c r="AE491" s="112"/>
      <c r="AF491" s="112"/>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c r="BK491" s="124"/>
      <c r="BL491" s="124"/>
      <c r="BM491" s="124"/>
      <c r="BN491" s="124"/>
      <c r="BO491" s="124"/>
      <c r="BP491" s="124"/>
      <c r="BQ491" s="124"/>
      <c r="BR491" s="124"/>
      <c r="BS491" s="124"/>
      <c r="BT491" s="124"/>
      <c r="BU491" s="124"/>
      <c r="BV491" s="124"/>
      <c r="BW491" s="124"/>
      <c r="BX491" s="124"/>
      <c r="BY491" s="124"/>
      <c r="BZ491" s="124"/>
      <c r="CA491" s="124"/>
    </row>
    <row r="492">
      <c r="D492" s="143"/>
      <c r="E492" s="129"/>
      <c r="F492" s="112"/>
      <c r="G492" s="112"/>
      <c r="H492" s="112"/>
      <c r="I492" s="112"/>
      <c r="J492" s="112"/>
      <c r="K492" s="112"/>
      <c r="L492" s="112"/>
      <c r="M492" s="112"/>
      <c r="N492" s="112"/>
      <c r="O492" s="112"/>
      <c r="P492" s="112"/>
      <c r="Q492" s="112"/>
      <c r="R492" s="112"/>
      <c r="S492" s="112"/>
      <c r="T492" s="112"/>
      <c r="U492" s="124"/>
      <c r="V492" s="124"/>
      <c r="W492" s="124"/>
      <c r="X492" s="124"/>
      <c r="Y492" s="124"/>
      <c r="Z492" s="112"/>
      <c r="AA492" s="112"/>
      <c r="AB492" s="112"/>
      <c r="AC492" s="112"/>
      <c r="AD492" s="112"/>
      <c r="AE492" s="112"/>
      <c r="AF492" s="112"/>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c r="BK492" s="124"/>
      <c r="BL492" s="124"/>
      <c r="BM492" s="124"/>
      <c r="BN492" s="124"/>
      <c r="BO492" s="124"/>
      <c r="BP492" s="124"/>
      <c r="BQ492" s="124"/>
      <c r="BR492" s="124"/>
      <c r="BS492" s="124"/>
      <c r="BT492" s="124"/>
      <c r="BU492" s="124"/>
      <c r="BV492" s="124"/>
      <c r="BW492" s="124"/>
      <c r="BX492" s="124"/>
      <c r="BY492" s="124"/>
      <c r="BZ492" s="124"/>
      <c r="CA492" s="124"/>
    </row>
    <row r="493">
      <c r="D493" s="143"/>
      <c r="E493" s="129"/>
      <c r="F493" s="112"/>
      <c r="G493" s="112"/>
      <c r="H493" s="112"/>
      <c r="I493" s="112"/>
      <c r="J493" s="112"/>
      <c r="K493" s="112"/>
      <c r="L493" s="112"/>
      <c r="M493" s="112"/>
      <c r="N493" s="112"/>
      <c r="O493" s="112"/>
      <c r="P493" s="112"/>
      <c r="Q493" s="112"/>
      <c r="R493" s="112"/>
      <c r="S493" s="112"/>
      <c r="T493" s="112"/>
      <c r="U493" s="124"/>
      <c r="V493" s="124"/>
      <c r="W493" s="124"/>
      <c r="X493" s="124"/>
      <c r="Y493" s="124"/>
      <c r="Z493" s="112"/>
      <c r="AA493" s="112"/>
      <c r="AB493" s="112"/>
      <c r="AC493" s="112"/>
      <c r="AD493" s="112"/>
      <c r="AE493" s="112"/>
      <c r="AF493" s="112"/>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c r="BK493" s="124"/>
      <c r="BL493" s="124"/>
      <c r="BM493" s="124"/>
      <c r="BN493" s="124"/>
      <c r="BO493" s="124"/>
      <c r="BP493" s="124"/>
      <c r="BQ493" s="124"/>
      <c r="BR493" s="124"/>
      <c r="BS493" s="124"/>
      <c r="BT493" s="124"/>
      <c r="BU493" s="124"/>
      <c r="BV493" s="124"/>
      <c r="BW493" s="124"/>
      <c r="BX493" s="124"/>
      <c r="BY493" s="124"/>
      <c r="BZ493" s="124"/>
      <c r="CA493" s="124"/>
    </row>
    <row r="494">
      <c r="D494" s="143"/>
      <c r="E494" s="129"/>
      <c r="F494" s="112"/>
      <c r="G494" s="112"/>
      <c r="H494" s="112"/>
      <c r="I494" s="112"/>
      <c r="J494" s="112"/>
      <c r="K494" s="112"/>
      <c r="L494" s="112"/>
      <c r="M494" s="112"/>
      <c r="N494" s="112"/>
      <c r="O494" s="112"/>
      <c r="P494" s="112"/>
      <c r="Q494" s="112"/>
      <c r="R494" s="112"/>
      <c r="S494" s="112"/>
      <c r="T494" s="112"/>
      <c r="U494" s="124"/>
      <c r="V494" s="124"/>
      <c r="W494" s="124"/>
      <c r="X494" s="124"/>
      <c r="Y494" s="124"/>
      <c r="Z494" s="112"/>
      <c r="AA494" s="112"/>
      <c r="AB494" s="112"/>
      <c r="AC494" s="112"/>
      <c r="AD494" s="112"/>
      <c r="AE494" s="112"/>
      <c r="AF494" s="112"/>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c r="BK494" s="124"/>
      <c r="BL494" s="124"/>
      <c r="BM494" s="124"/>
      <c r="BN494" s="124"/>
      <c r="BO494" s="124"/>
      <c r="BP494" s="124"/>
      <c r="BQ494" s="124"/>
      <c r="BR494" s="124"/>
      <c r="BS494" s="124"/>
      <c r="BT494" s="124"/>
      <c r="BU494" s="124"/>
      <c r="BV494" s="124"/>
      <c r="BW494" s="124"/>
      <c r="BX494" s="124"/>
      <c r="BY494" s="124"/>
      <c r="BZ494" s="124"/>
      <c r="CA494" s="124"/>
    </row>
    <row r="495">
      <c r="D495" s="143"/>
      <c r="E495" s="129"/>
      <c r="F495" s="112"/>
      <c r="G495" s="112"/>
      <c r="H495" s="112"/>
      <c r="I495" s="112"/>
      <c r="J495" s="112"/>
      <c r="K495" s="112"/>
      <c r="L495" s="112"/>
      <c r="M495" s="112"/>
      <c r="N495" s="112"/>
      <c r="O495" s="112"/>
      <c r="P495" s="112"/>
      <c r="Q495" s="112"/>
      <c r="R495" s="112"/>
      <c r="S495" s="112"/>
      <c r="T495" s="112"/>
      <c r="U495" s="124"/>
      <c r="V495" s="124"/>
      <c r="W495" s="124"/>
      <c r="X495" s="124"/>
      <c r="Y495" s="124"/>
      <c r="Z495" s="112"/>
      <c r="AA495" s="112"/>
      <c r="AB495" s="112"/>
      <c r="AC495" s="112"/>
      <c r="AD495" s="112"/>
      <c r="AE495" s="112"/>
      <c r="AF495" s="112"/>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row>
    <row r="496">
      <c r="D496" s="143"/>
      <c r="E496" s="129"/>
      <c r="F496" s="112"/>
      <c r="G496" s="112"/>
      <c r="H496" s="112"/>
      <c r="I496" s="112"/>
      <c r="J496" s="112"/>
      <c r="K496" s="112"/>
      <c r="L496" s="112"/>
      <c r="M496" s="112"/>
      <c r="N496" s="112"/>
      <c r="O496" s="112"/>
      <c r="P496" s="112"/>
      <c r="Q496" s="112"/>
      <c r="R496" s="112"/>
      <c r="S496" s="112"/>
      <c r="T496" s="112"/>
      <c r="U496" s="124"/>
      <c r="V496" s="124"/>
      <c r="W496" s="124"/>
      <c r="X496" s="124"/>
      <c r="Y496" s="124"/>
      <c r="Z496" s="112"/>
      <c r="AA496" s="112"/>
      <c r="AB496" s="112"/>
      <c r="AC496" s="112"/>
      <c r="AD496" s="112"/>
      <c r="AE496" s="112"/>
      <c r="AF496" s="112"/>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c r="BK496" s="124"/>
      <c r="BL496" s="124"/>
      <c r="BM496" s="124"/>
      <c r="BN496" s="124"/>
      <c r="BO496" s="124"/>
      <c r="BP496" s="124"/>
      <c r="BQ496" s="124"/>
      <c r="BR496" s="124"/>
      <c r="BS496" s="124"/>
      <c r="BT496" s="124"/>
      <c r="BU496" s="124"/>
      <c r="BV496" s="124"/>
      <c r="BW496" s="124"/>
      <c r="BX496" s="124"/>
      <c r="BY496" s="124"/>
      <c r="BZ496" s="124"/>
      <c r="CA496" s="124"/>
    </row>
    <row r="497">
      <c r="D497" s="143"/>
      <c r="E497" s="129"/>
      <c r="F497" s="112"/>
      <c r="G497" s="112"/>
      <c r="H497" s="112"/>
      <c r="I497" s="112"/>
      <c r="J497" s="112"/>
      <c r="K497" s="112"/>
      <c r="L497" s="112"/>
      <c r="M497" s="112"/>
      <c r="N497" s="112"/>
      <c r="O497" s="112"/>
      <c r="P497" s="112"/>
      <c r="Q497" s="112"/>
      <c r="R497" s="112"/>
      <c r="S497" s="112"/>
      <c r="T497" s="112"/>
      <c r="U497" s="124"/>
      <c r="V497" s="124"/>
      <c r="W497" s="124"/>
      <c r="X497" s="124"/>
      <c r="Y497" s="124"/>
      <c r="Z497" s="112"/>
      <c r="AA497" s="112"/>
      <c r="AB497" s="112"/>
      <c r="AC497" s="112"/>
      <c r="AD497" s="112"/>
      <c r="AE497" s="112"/>
      <c r="AF497" s="112"/>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c r="BK497" s="124"/>
      <c r="BL497" s="124"/>
      <c r="BM497" s="124"/>
      <c r="BN497" s="124"/>
      <c r="BO497" s="124"/>
      <c r="BP497" s="124"/>
      <c r="BQ497" s="124"/>
      <c r="BR497" s="124"/>
      <c r="BS497" s="124"/>
      <c r="BT497" s="124"/>
      <c r="BU497" s="124"/>
      <c r="BV497" s="124"/>
      <c r="BW497" s="124"/>
      <c r="BX497" s="124"/>
      <c r="BY497" s="124"/>
      <c r="BZ497" s="124"/>
      <c r="CA497" s="124"/>
    </row>
    <row r="498">
      <c r="D498" s="143"/>
      <c r="E498" s="129"/>
      <c r="F498" s="112"/>
      <c r="G498" s="112"/>
      <c r="H498" s="112"/>
      <c r="I498" s="112"/>
      <c r="J498" s="112"/>
      <c r="K498" s="112"/>
      <c r="L498" s="112"/>
      <c r="M498" s="112"/>
      <c r="N498" s="112"/>
      <c r="O498" s="112"/>
      <c r="P498" s="112"/>
      <c r="Q498" s="112"/>
      <c r="R498" s="112"/>
      <c r="S498" s="112"/>
      <c r="T498" s="112"/>
      <c r="U498" s="124"/>
      <c r="V498" s="124"/>
      <c r="W498" s="124"/>
      <c r="X498" s="124"/>
      <c r="Y498" s="124"/>
      <c r="Z498" s="112"/>
      <c r="AA498" s="112"/>
      <c r="AB498" s="112"/>
      <c r="AC498" s="112"/>
      <c r="AD498" s="112"/>
      <c r="AE498" s="112"/>
      <c r="AF498" s="112"/>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c r="BK498" s="124"/>
      <c r="BL498" s="124"/>
      <c r="BM498" s="124"/>
      <c r="BN498" s="124"/>
      <c r="BO498" s="124"/>
      <c r="BP498" s="124"/>
      <c r="BQ498" s="124"/>
      <c r="BR498" s="124"/>
      <c r="BS498" s="124"/>
      <c r="BT498" s="124"/>
      <c r="BU498" s="124"/>
      <c r="BV498" s="124"/>
      <c r="BW498" s="124"/>
      <c r="BX498" s="124"/>
      <c r="BY498" s="124"/>
      <c r="BZ498" s="124"/>
      <c r="CA498" s="124"/>
    </row>
    <row r="499">
      <c r="D499" s="143"/>
      <c r="E499" s="129"/>
      <c r="F499" s="112"/>
      <c r="G499" s="112"/>
      <c r="H499" s="112"/>
      <c r="I499" s="112"/>
      <c r="J499" s="112"/>
      <c r="K499" s="112"/>
      <c r="L499" s="112"/>
      <c r="M499" s="112"/>
      <c r="N499" s="112"/>
      <c r="O499" s="112"/>
      <c r="P499" s="112"/>
      <c r="Q499" s="112"/>
      <c r="R499" s="112"/>
      <c r="S499" s="112"/>
      <c r="T499" s="112"/>
      <c r="U499" s="124"/>
      <c r="V499" s="124"/>
      <c r="W499" s="124"/>
      <c r="X499" s="124"/>
      <c r="Y499" s="124"/>
      <c r="Z499" s="112"/>
      <c r="AA499" s="112"/>
      <c r="AB499" s="112"/>
      <c r="AC499" s="112"/>
      <c r="AD499" s="112"/>
      <c r="AE499" s="112"/>
      <c r="AF499" s="112"/>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c r="BK499" s="124"/>
      <c r="BL499" s="124"/>
      <c r="BM499" s="124"/>
      <c r="BN499" s="124"/>
      <c r="BO499" s="124"/>
      <c r="BP499" s="124"/>
      <c r="BQ499" s="124"/>
      <c r="BR499" s="124"/>
      <c r="BS499" s="124"/>
      <c r="BT499" s="124"/>
      <c r="BU499" s="124"/>
      <c r="BV499" s="124"/>
      <c r="BW499" s="124"/>
      <c r="BX499" s="124"/>
      <c r="BY499" s="124"/>
      <c r="BZ499" s="124"/>
      <c r="CA499" s="124"/>
    </row>
    <row r="500">
      <c r="D500" s="143"/>
      <c r="E500" s="129"/>
      <c r="F500" s="112"/>
      <c r="G500" s="112"/>
      <c r="H500" s="112"/>
      <c r="I500" s="112"/>
      <c r="J500" s="112"/>
      <c r="K500" s="112"/>
      <c r="L500" s="112"/>
      <c r="M500" s="112"/>
      <c r="N500" s="112"/>
      <c r="O500" s="112"/>
      <c r="P500" s="112"/>
      <c r="Q500" s="112"/>
      <c r="R500" s="112"/>
      <c r="S500" s="112"/>
      <c r="T500" s="112"/>
      <c r="U500" s="124"/>
      <c r="V500" s="124"/>
      <c r="W500" s="124"/>
      <c r="X500" s="124"/>
      <c r="Y500" s="124"/>
      <c r="Z500" s="112"/>
      <c r="AA500" s="112"/>
      <c r="AB500" s="112"/>
      <c r="AC500" s="112"/>
      <c r="AD500" s="112"/>
      <c r="AE500" s="112"/>
      <c r="AF500" s="112"/>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c r="BK500" s="124"/>
      <c r="BL500" s="124"/>
      <c r="BM500" s="124"/>
      <c r="BN500" s="124"/>
      <c r="BO500" s="124"/>
      <c r="BP500" s="124"/>
      <c r="BQ500" s="124"/>
      <c r="BR500" s="124"/>
      <c r="BS500" s="124"/>
      <c r="BT500" s="124"/>
      <c r="BU500" s="124"/>
      <c r="BV500" s="124"/>
      <c r="BW500" s="124"/>
      <c r="BX500" s="124"/>
      <c r="BY500" s="124"/>
      <c r="BZ500" s="124"/>
      <c r="CA500" s="124"/>
    </row>
    <row r="501">
      <c r="D501" s="143"/>
      <c r="E501" s="129"/>
      <c r="F501" s="112"/>
      <c r="G501" s="112"/>
      <c r="H501" s="112"/>
      <c r="I501" s="112"/>
      <c r="J501" s="112"/>
      <c r="K501" s="112"/>
      <c r="L501" s="112"/>
      <c r="M501" s="112"/>
      <c r="N501" s="112"/>
      <c r="O501" s="112"/>
      <c r="P501" s="112"/>
      <c r="Q501" s="112"/>
      <c r="R501" s="112"/>
      <c r="S501" s="112"/>
      <c r="T501" s="112"/>
      <c r="U501" s="124"/>
      <c r="V501" s="124"/>
      <c r="W501" s="124"/>
      <c r="X501" s="124"/>
      <c r="Y501" s="124"/>
      <c r="Z501" s="112"/>
      <c r="AA501" s="112"/>
      <c r="AB501" s="112"/>
      <c r="AC501" s="112"/>
      <c r="AD501" s="112"/>
      <c r="AE501" s="112"/>
      <c r="AF501" s="112"/>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row>
    <row r="502">
      <c r="D502" s="143"/>
      <c r="E502" s="129"/>
      <c r="F502" s="112"/>
      <c r="G502" s="112"/>
      <c r="H502" s="112"/>
      <c r="I502" s="112"/>
      <c r="J502" s="112"/>
      <c r="K502" s="112"/>
      <c r="L502" s="112"/>
      <c r="M502" s="112"/>
      <c r="N502" s="112"/>
      <c r="O502" s="112"/>
      <c r="P502" s="112"/>
      <c r="Q502" s="112"/>
      <c r="R502" s="112"/>
      <c r="S502" s="112"/>
      <c r="T502" s="112"/>
      <c r="U502" s="124"/>
      <c r="V502" s="124"/>
      <c r="W502" s="124"/>
      <c r="X502" s="124"/>
      <c r="Y502" s="124"/>
      <c r="Z502" s="112"/>
      <c r="AA502" s="112"/>
      <c r="AB502" s="112"/>
      <c r="AC502" s="112"/>
      <c r="AD502" s="112"/>
      <c r="AE502" s="112"/>
      <c r="AF502" s="112"/>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c r="BK502" s="124"/>
      <c r="BL502" s="124"/>
      <c r="BM502" s="124"/>
      <c r="BN502" s="124"/>
      <c r="BO502" s="124"/>
      <c r="BP502" s="124"/>
      <c r="BQ502" s="124"/>
      <c r="BR502" s="124"/>
      <c r="BS502" s="124"/>
      <c r="BT502" s="124"/>
      <c r="BU502" s="124"/>
      <c r="BV502" s="124"/>
      <c r="BW502" s="124"/>
      <c r="BX502" s="124"/>
      <c r="BY502" s="124"/>
      <c r="BZ502" s="124"/>
      <c r="CA502" s="124"/>
    </row>
    <row r="503">
      <c r="D503" s="143"/>
      <c r="E503" s="129"/>
      <c r="F503" s="112"/>
      <c r="G503" s="112"/>
      <c r="H503" s="112"/>
      <c r="I503" s="112"/>
      <c r="J503" s="112"/>
      <c r="K503" s="112"/>
      <c r="L503" s="112"/>
      <c r="M503" s="112"/>
      <c r="N503" s="112"/>
      <c r="O503" s="112"/>
      <c r="P503" s="112"/>
      <c r="Q503" s="112"/>
      <c r="R503" s="112"/>
      <c r="S503" s="112"/>
      <c r="T503" s="112"/>
      <c r="U503" s="124"/>
      <c r="V503" s="124"/>
      <c r="W503" s="124"/>
      <c r="X503" s="124"/>
      <c r="Y503" s="124"/>
      <c r="Z503" s="112"/>
      <c r="AA503" s="112"/>
      <c r="AB503" s="112"/>
      <c r="AC503" s="112"/>
      <c r="AD503" s="112"/>
      <c r="AE503" s="112"/>
      <c r="AF503" s="112"/>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4"/>
      <c r="BR503" s="124"/>
      <c r="BS503" s="124"/>
      <c r="BT503" s="124"/>
      <c r="BU503" s="124"/>
      <c r="BV503" s="124"/>
      <c r="BW503" s="124"/>
      <c r="BX503" s="124"/>
      <c r="BY503" s="124"/>
      <c r="BZ503" s="124"/>
      <c r="CA503" s="124"/>
    </row>
    <row r="504">
      <c r="D504" s="143"/>
      <c r="E504" s="129"/>
      <c r="F504" s="112"/>
      <c r="G504" s="112"/>
      <c r="H504" s="112"/>
      <c r="I504" s="112"/>
      <c r="J504" s="112"/>
      <c r="K504" s="112"/>
      <c r="L504" s="112"/>
      <c r="M504" s="112"/>
      <c r="N504" s="112"/>
      <c r="O504" s="112"/>
      <c r="P504" s="112"/>
      <c r="Q504" s="112"/>
      <c r="R504" s="112"/>
      <c r="S504" s="112"/>
      <c r="T504" s="112"/>
      <c r="U504" s="124"/>
      <c r="V504" s="124"/>
      <c r="W504" s="124"/>
      <c r="X504" s="124"/>
      <c r="Y504" s="124"/>
      <c r="Z504" s="112"/>
      <c r="AA504" s="112"/>
      <c r="AB504" s="112"/>
      <c r="AC504" s="112"/>
      <c r="AD504" s="112"/>
      <c r="AE504" s="112"/>
      <c r="AF504" s="112"/>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c r="BK504" s="124"/>
      <c r="BL504" s="124"/>
      <c r="BM504" s="124"/>
      <c r="BN504" s="124"/>
      <c r="BO504" s="124"/>
      <c r="BP504" s="124"/>
      <c r="BQ504" s="124"/>
      <c r="BR504" s="124"/>
      <c r="BS504" s="124"/>
      <c r="BT504" s="124"/>
      <c r="BU504" s="124"/>
      <c r="BV504" s="124"/>
      <c r="BW504" s="124"/>
      <c r="BX504" s="124"/>
      <c r="BY504" s="124"/>
      <c r="BZ504" s="124"/>
      <c r="CA504" s="124"/>
    </row>
    <row r="505">
      <c r="D505" s="143"/>
      <c r="E505" s="129"/>
      <c r="F505" s="112"/>
      <c r="G505" s="112"/>
      <c r="H505" s="112"/>
      <c r="I505" s="112"/>
      <c r="J505" s="112"/>
      <c r="K505" s="112"/>
      <c r="L505" s="112"/>
      <c r="M505" s="112"/>
      <c r="N505" s="112"/>
      <c r="O505" s="112"/>
      <c r="P505" s="112"/>
      <c r="Q505" s="112"/>
      <c r="R505" s="112"/>
      <c r="S505" s="112"/>
      <c r="T505" s="112"/>
      <c r="U505" s="124"/>
      <c r="V505" s="124"/>
      <c r="W505" s="124"/>
      <c r="X505" s="124"/>
      <c r="Y505" s="124"/>
      <c r="Z505" s="112"/>
      <c r="AA505" s="112"/>
      <c r="AB505" s="112"/>
      <c r="AC505" s="112"/>
      <c r="AD505" s="112"/>
      <c r="AE505" s="112"/>
      <c r="AF505" s="112"/>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c r="BK505" s="124"/>
      <c r="BL505" s="124"/>
      <c r="BM505" s="124"/>
      <c r="BN505" s="124"/>
      <c r="BO505" s="124"/>
      <c r="BP505" s="124"/>
      <c r="BQ505" s="124"/>
      <c r="BR505" s="124"/>
      <c r="BS505" s="124"/>
      <c r="BT505" s="124"/>
      <c r="BU505" s="124"/>
      <c r="BV505" s="124"/>
      <c r="BW505" s="124"/>
      <c r="BX505" s="124"/>
      <c r="BY505" s="124"/>
      <c r="BZ505" s="124"/>
      <c r="CA505" s="124"/>
    </row>
    <row r="506">
      <c r="D506" s="143"/>
      <c r="E506" s="129"/>
      <c r="F506" s="112"/>
      <c r="G506" s="112"/>
      <c r="H506" s="112"/>
      <c r="I506" s="112"/>
      <c r="J506" s="112"/>
      <c r="K506" s="112"/>
      <c r="L506" s="112"/>
      <c r="M506" s="112"/>
      <c r="N506" s="112"/>
      <c r="O506" s="112"/>
      <c r="P506" s="112"/>
      <c r="Q506" s="112"/>
      <c r="R506" s="112"/>
      <c r="S506" s="112"/>
      <c r="T506" s="112"/>
      <c r="U506" s="124"/>
      <c r="V506" s="124"/>
      <c r="W506" s="124"/>
      <c r="X506" s="124"/>
      <c r="Y506" s="124"/>
      <c r="Z506" s="112"/>
      <c r="AA506" s="112"/>
      <c r="AB506" s="112"/>
      <c r="AC506" s="112"/>
      <c r="AD506" s="112"/>
      <c r="AE506" s="112"/>
      <c r="AF506" s="112"/>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c r="BK506" s="124"/>
      <c r="BL506" s="124"/>
      <c r="BM506" s="124"/>
      <c r="BN506" s="124"/>
      <c r="BO506" s="124"/>
      <c r="BP506" s="124"/>
      <c r="BQ506" s="124"/>
      <c r="BR506" s="124"/>
      <c r="BS506" s="124"/>
      <c r="BT506" s="124"/>
      <c r="BU506" s="124"/>
      <c r="BV506" s="124"/>
      <c r="BW506" s="124"/>
      <c r="BX506" s="124"/>
      <c r="BY506" s="124"/>
      <c r="BZ506" s="124"/>
      <c r="CA506" s="124"/>
    </row>
    <row r="507">
      <c r="D507" s="143"/>
      <c r="E507" s="129"/>
      <c r="F507" s="112"/>
      <c r="G507" s="112"/>
      <c r="H507" s="112"/>
      <c r="I507" s="112"/>
      <c r="J507" s="112"/>
      <c r="K507" s="112"/>
      <c r="L507" s="112"/>
      <c r="M507" s="112"/>
      <c r="N507" s="112"/>
      <c r="O507" s="112"/>
      <c r="P507" s="112"/>
      <c r="Q507" s="112"/>
      <c r="R507" s="112"/>
      <c r="S507" s="112"/>
      <c r="T507" s="112"/>
      <c r="U507" s="124"/>
      <c r="V507" s="124"/>
      <c r="W507" s="124"/>
      <c r="X507" s="124"/>
      <c r="Y507" s="124"/>
      <c r="Z507" s="112"/>
      <c r="AA507" s="112"/>
      <c r="AB507" s="112"/>
      <c r="AC507" s="112"/>
      <c r="AD507" s="112"/>
      <c r="AE507" s="112"/>
      <c r="AF507" s="112"/>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row>
    <row r="508">
      <c r="D508" s="143"/>
      <c r="E508" s="129"/>
      <c r="F508" s="112"/>
      <c r="G508" s="112"/>
      <c r="H508" s="112"/>
      <c r="I508" s="112"/>
      <c r="J508" s="112"/>
      <c r="K508" s="112"/>
      <c r="L508" s="112"/>
      <c r="M508" s="112"/>
      <c r="N508" s="112"/>
      <c r="O508" s="112"/>
      <c r="P508" s="112"/>
      <c r="Q508" s="112"/>
      <c r="R508" s="112"/>
      <c r="S508" s="112"/>
      <c r="T508" s="112"/>
      <c r="U508" s="124"/>
      <c r="V508" s="124"/>
      <c r="W508" s="124"/>
      <c r="X508" s="124"/>
      <c r="Y508" s="124"/>
      <c r="Z508" s="112"/>
      <c r="AA508" s="112"/>
      <c r="AB508" s="112"/>
      <c r="AC508" s="112"/>
      <c r="AD508" s="112"/>
      <c r="AE508" s="112"/>
      <c r="AF508" s="112"/>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c r="BK508" s="124"/>
      <c r="BL508" s="124"/>
      <c r="BM508" s="124"/>
      <c r="BN508" s="124"/>
      <c r="BO508" s="124"/>
      <c r="BP508" s="124"/>
      <c r="BQ508" s="124"/>
      <c r="BR508" s="124"/>
      <c r="BS508" s="124"/>
      <c r="BT508" s="124"/>
      <c r="BU508" s="124"/>
      <c r="BV508" s="124"/>
      <c r="BW508" s="124"/>
      <c r="BX508" s="124"/>
      <c r="BY508" s="124"/>
      <c r="BZ508" s="124"/>
      <c r="CA508" s="124"/>
    </row>
    <row r="509">
      <c r="D509" s="143"/>
      <c r="E509" s="129"/>
      <c r="F509" s="112"/>
      <c r="G509" s="112"/>
      <c r="H509" s="112"/>
      <c r="I509" s="112"/>
      <c r="J509" s="112"/>
      <c r="K509" s="112"/>
      <c r="L509" s="112"/>
      <c r="M509" s="112"/>
      <c r="N509" s="112"/>
      <c r="O509" s="112"/>
      <c r="P509" s="112"/>
      <c r="Q509" s="112"/>
      <c r="R509" s="112"/>
      <c r="S509" s="112"/>
      <c r="T509" s="112"/>
      <c r="U509" s="124"/>
      <c r="V509" s="124"/>
      <c r="W509" s="124"/>
      <c r="X509" s="124"/>
      <c r="Y509" s="124"/>
      <c r="Z509" s="112"/>
      <c r="AA509" s="112"/>
      <c r="AB509" s="112"/>
      <c r="AC509" s="112"/>
      <c r="AD509" s="112"/>
      <c r="AE509" s="112"/>
      <c r="AF509" s="112"/>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c r="BK509" s="124"/>
      <c r="BL509" s="124"/>
      <c r="BM509" s="124"/>
      <c r="BN509" s="124"/>
      <c r="BO509" s="124"/>
      <c r="BP509" s="124"/>
      <c r="BQ509" s="124"/>
      <c r="BR509" s="124"/>
      <c r="BS509" s="124"/>
      <c r="BT509" s="124"/>
      <c r="BU509" s="124"/>
      <c r="BV509" s="124"/>
      <c r="BW509" s="124"/>
      <c r="BX509" s="124"/>
      <c r="BY509" s="124"/>
      <c r="BZ509" s="124"/>
      <c r="CA509" s="124"/>
    </row>
    <row r="510">
      <c r="D510" s="143"/>
      <c r="E510" s="129"/>
      <c r="F510" s="112"/>
      <c r="G510" s="112"/>
      <c r="H510" s="112"/>
      <c r="I510" s="112"/>
      <c r="J510" s="112"/>
      <c r="K510" s="112"/>
      <c r="L510" s="112"/>
      <c r="M510" s="112"/>
      <c r="N510" s="112"/>
      <c r="O510" s="112"/>
      <c r="P510" s="112"/>
      <c r="Q510" s="112"/>
      <c r="R510" s="112"/>
      <c r="S510" s="112"/>
      <c r="T510" s="112"/>
      <c r="U510" s="124"/>
      <c r="V510" s="124"/>
      <c r="W510" s="124"/>
      <c r="X510" s="124"/>
      <c r="Y510" s="124"/>
      <c r="Z510" s="112"/>
      <c r="AA510" s="112"/>
      <c r="AB510" s="112"/>
      <c r="AC510" s="112"/>
      <c r="AD510" s="112"/>
      <c r="AE510" s="112"/>
      <c r="AF510" s="112"/>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c r="BK510" s="124"/>
      <c r="BL510" s="124"/>
      <c r="BM510" s="124"/>
      <c r="BN510" s="124"/>
      <c r="BO510" s="124"/>
      <c r="BP510" s="124"/>
      <c r="BQ510" s="124"/>
      <c r="BR510" s="124"/>
      <c r="BS510" s="124"/>
      <c r="BT510" s="124"/>
      <c r="BU510" s="124"/>
      <c r="BV510" s="124"/>
      <c r="BW510" s="124"/>
      <c r="BX510" s="124"/>
      <c r="BY510" s="124"/>
      <c r="BZ510" s="124"/>
      <c r="CA510" s="124"/>
    </row>
    <row r="511">
      <c r="D511" s="143"/>
      <c r="E511" s="129"/>
      <c r="F511" s="112"/>
      <c r="G511" s="112"/>
      <c r="H511" s="112"/>
      <c r="I511" s="112"/>
      <c r="J511" s="112"/>
      <c r="K511" s="112"/>
      <c r="L511" s="112"/>
      <c r="M511" s="112"/>
      <c r="N511" s="112"/>
      <c r="O511" s="112"/>
      <c r="P511" s="112"/>
      <c r="Q511" s="112"/>
      <c r="R511" s="112"/>
      <c r="S511" s="112"/>
      <c r="T511" s="112"/>
      <c r="U511" s="124"/>
      <c r="V511" s="124"/>
      <c r="W511" s="124"/>
      <c r="X511" s="124"/>
      <c r="Y511" s="124"/>
      <c r="Z511" s="112"/>
      <c r="AA511" s="112"/>
      <c r="AB511" s="112"/>
      <c r="AC511" s="112"/>
      <c r="AD511" s="112"/>
      <c r="AE511" s="112"/>
      <c r="AF511" s="112"/>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c r="BK511" s="124"/>
      <c r="BL511" s="124"/>
      <c r="BM511" s="124"/>
      <c r="BN511" s="124"/>
      <c r="BO511" s="124"/>
      <c r="BP511" s="124"/>
      <c r="BQ511" s="124"/>
      <c r="BR511" s="124"/>
      <c r="BS511" s="124"/>
      <c r="BT511" s="124"/>
      <c r="BU511" s="124"/>
      <c r="BV511" s="124"/>
      <c r="BW511" s="124"/>
      <c r="BX511" s="124"/>
      <c r="BY511" s="124"/>
      <c r="BZ511" s="124"/>
      <c r="CA511" s="124"/>
    </row>
    <row r="512">
      <c r="D512" s="143"/>
      <c r="E512" s="129"/>
      <c r="F512" s="112"/>
      <c r="G512" s="112"/>
      <c r="H512" s="112"/>
      <c r="I512" s="112"/>
      <c r="J512" s="112"/>
      <c r="K512" s="112"/>
      <c r="L512" s="112"/>
      <c r="M512" s="112"/>
      <c r="N512" s="112"/>
      <c r="O512" s="112"/>
      <c r="P512" s="112"/>
      <c r="Q512" s="112"/>
      <c r="R512" s="112"/>
      <c r="S512" s="112"/>
      <c r="T512" s="112"/>
      <c r="U512" s="124"/>
      <c r="V512" s="124"/>
      <c r="W512" s="124"/>
      <c r="X512" s="124"/>
      <c r="Y512" s="124"/>
      <c r="Z512" s="112"/>
      <c r="AA512" s="112"/>
      <c r="AB512" s="112"/>
      <c r="AC512" s="112"/>
      <c r="AD512" s="112"/>
      <c r="AE512" s="112"/>
      <c r="AF512" s="112"/>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c r="BK512" s="124"/>
      <c r="BL512" s="124"/>
      <c r="BM512" s="124"/>
      <c r="BN512" s="124"/>
      <c r="BO512" s="124"/>
      <c r="BP512" s="124"/>
      <c r="BQ512" s="124"/>
      <c r="BR512" s="124"/>
      <c r="BS512" s="124"/>
      <c r="BT512" s="124"/>
      <c r="BU512" s="124"/>
      <c r="BV512" s="124"/>
      <c r="BW512" s="124"/>
      <c r="BX512" s="124"/>
      <c r="BY512" s="124"/>
      <c r="BZ512" s="124"/>
      <c r="CA512" s="124"/>
    </row>
    <row r="513">
      <c r="D513" s="143"/>
      <c r="E513" s="129"/>
      <c r="F513" s="112"/>
      <c r="G513" s="112"/>
      <c r="H513" s="112"/>
      <c r="I513" s="112"/>
      <c r="J513" s="112"/>
      <c r="K513" s="112"/>
      <c r="L513" s="112"/>
      <c r="M513" s="112"/>
      <c r="N513" s="112"/>
      <c r="O513" s="112"/>
      <c r="P513" s="112"/>
      <c r="Q513" s="112"/>
      <c r="R513" s="112"/>
      <c r="S513" s="112"/>
      <c r="T513" s="112"/>
      <c r="U513" s="124"/>
      <c r="V513" s="124"/>
      <c r="W513" s="124"/>
      <c r="X513" s="124"/>
      <c r="Y513" s="124"/>
      <c r="Z513" s="112"/>
      <c r="AA513" s="112"/>
      <c r="AB513" s="112"/>
      <c r="AC513" s="112"/>
      <c r="AD513" s="112"/>
      <c r="AE513" s="112"/>
      <c r="AF513" s="112"/>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c r="BK513" s="124"/>
      <c r="BL513" s="124"/>
      <c r="BM513" s="124"/>
      <c r="BN513" s="124"/>
      <c r="BO513" s="124"/>
      <c r="BP513" s="124"/>
      <c r="BQ513" s="124"/>
      <c r="BR513" s="124"/>
      <c r="BS513" s="124"/>
      <c r="BT513" s="124"/>
      <c r="BU513" s="124"/>
      <c r="BV513" s="124"/>
      <c r="BW513" s="124"/>
      <c r="BX513" s="124"/>
      <c r="BY513" s="124"/>
      <c r="BZ513" s="124"/>
      <c r="CA513" s="124"/>
    </row>
    <row r="514">
      <c r="D514" s="143"/>
      <c r="E514" s="129"/>
      <c r="F514" s="112"/>
      <c r="G514" s="112"/>
      <c r="H514" s="112"/>
      <c r="I514" s="112"/>
      <c r="J514" s="112"/>
      <c r="K514" s="112"/>
      <c r="L514" s="112"/>
      <c r="M514" s="112"/>
      <c r="N514" s="112"/>
      <c r="O514" s="112"/>
      <c r="P514" s="112"/>
      <c r="Q514" s="112"/>
      <c r="R514" s="112"/>
      <c r="S514" s="112"/>
      <c r="T514" s="112"/>
      <c r="U514" s="124"/>
      <c r="V514" s="124"/>
      <c r="W514" s="124"/>
      <c r="X514" s="124"/>
      <c r="Y514" s="124"/>
      <c r="Z514" s="112"/>
      <c r="AA514" s="112"/>
      <c r="AB514" s="112"/>
      <c r="AC514" s="112"/>
      <c r="AD514" s="112"/>
      <c r="AE514" s="112"/>
      <c r="AF514" s="112"/>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c r="BK514" s="124"/>
      <c r="BL514" s="124"/>
      <c r="BM514" s="124"/>
      <c r="BN514" s="124"/>
      <c r="BO514" s="124"/>
      <c r="BP514" s="124"/>
      <c r="BQ514" s="124"/>
      <c r="BR514" s="124"/>
      <c r="BS514" s="124"/>
      <c r="BT514" s="124"/>
      <c r="BU514" s="124"/>
      <c r="BV514" s="124"/>
      <c r="BW514" s="124"/>
      <c r="BX514" s="124"/>
      <c r="BY514" s="124"/>
      <c r="BZ514" s="124"/>
      <c r="CA514" s="124"/>
    </row>
    <row r="515">
      <c r="D515" s="143"/>
      <c r="E515" s="129"/>
      <c r="F515" s="112"/>
      <c r="G515" s="112"/>
      <c r="H515" s="112"/>
      <c r="I515" s="112"/>
      <c r="J515" s="112"/>
      <c r="K515" s="112"/>
      <c r="L515" s="112"/>
      <c r="M515" s="112"/>
      <c r="N515" s="112"/>
      <c r="O515" s="112"/>
      <c r="P515" s="112"/>
      <c r="Q515" s="112"/>
      <c r="R515" s="112"/>
      <c r="S515" s="112"/>
      <c r="T515" s="112"/>
      <c r="U515" s="124"/>
      <c r="V515" s="124"/>
      <c r="W515" s="124"/>
      <c r="X515" s="124"/>
      <c r="Y515" s="124"/>
      <c r="Z515" s="112"/>
      <c r="AA515" s="112"/>
      <c r="AB515" s="112"/>
      <c r="AC515" s="112"/>
      <c r="AD515" s="112"/>
      <c r="AE515" s="112"/>
      <c r="AF515" s="112"/>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c r="BK515" s="124"/>
      <c r="BL515" s="124"/>
      <c r="BM515" s="124"/>
      <c r="BN515" s="124"/>
      <c r="BO515" s="124"/>
      <c r="BP515" s="124"/>
      <c r="BQ515" s="124"/>
      <c r="BR515" s="124"/>
      <c r="BS515" s="124"/>
      <c r="BT515" s="124"/>
      <c r="BU515" s="124"/>
      <c r="BV515" s="124"/>
      <c r="BW515" s="124"/>
      <c r="BX515" s="124"/>
      <c r="BY515" s="124"/>
      <c r="BZ515" s="124"/>
      <c r="CA515" s="124"/>
    </row>
    <row r="516">
      <c r="D516" s="143"/>
      <c r="E516" s="129"/>
      <c r="F516" s="112"/>
      <c r="G516" s="112"/>
      <c r="H516" s="112"/>
      <c r="I516" s="112"/>
      <c r="J516" s="112"/>
      <c r="K516" s="112"/>
      <c r="L516" s="112"/>
      <c r="M516" s="112"/>
      <c r="N516" s="112"/>
      <c r="O516" s="112"/>
      <c r="P516" s="112"/>
      <c r="Q516" s="112"/>
      <c r="R516" s="112"/>
      <c r="S516" s="112"/>
      <c r="T516" s="112"/>
      <c r="U516" s="124"/>
      <c r="V516" s="124"/>
      <c r="W516" s="124"/>
      <c r="X516" s="124"/>
      <c r="Y516" s="124"/>
      <c r="Z516" s="112"/>
      <c r="AA516" s="112"/>
      <c r="AB516" s="112"/>
      <c r="AC516" s="112"/>
      <c r="AD516" s="112"/>
      <c r="AE516" s="112"/>
      <c r="AF516" s="112"/>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c r="BK516" s="124"/>
      <c r="BL516" s="124"/>
      <c r="BM516" s="124"/>
      <c r="BN516" s="124"/>
      <c r="BO516" s="124"/>
      <c r="BP516" s="124"/>
      <c r="BQ516" s="124"/>
      <c r="BR516" s="124"/>
      <c r="BS516" s="124"/>
      <c r="BT516" s="124"/>
      <c r="BU516" s="124"/>
      <c r="BV516" s="124"/>
      <c r="BW516" s="124"/>
      <c r="BX516" s="124"/>
      <c r="BY516" s="124"/>
      <c r="BZ516" s="124"/>
      <c r="CA516" s="124"/>
    </row>
    <row r="517">
      <c r="D517" s="143"/>
      <c r="E517" s="129"/>
      <c r="F517" s="112"/>
      <c r="G517" s="112"/>
      <c r="H517" s="112"/>
      <c r="I517" s="112"/>
      <c r="J517" s="112"/>
      <c r="K517" s="112"/>
      <c r="L517" s="112"/>
      <c r="M517" s="112"/>
      <c r="N517" s="112"/>
      <c r="O517" s="112"/>
      <c r="P517" s="112"/>
      <c r="Q517" s="112"/>
      <c r="R517" s="112"/>
      <c r="S517" s="112"/>
      <c r="T517" s="112"/>
      <c r="U517" s="124"/>
      <c r="V517" s="124"/>
      <c r="W517" s="124"/>
      <c r="X517" s="124"/>
      <c r="Y517" s="124"/>
      <c r="Z517" s="112"/>
      <c r="AA517" s="112"/>
      <c r="AB517" s="112"/>
      <c r="AC517" s="112"/>
      <c r="AD517" s="112"/>
      <c r="AE517" s="112"/>
      <c r="AF517" s="112"/>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c r="BK517" s="124"/>
      <c r="BL517" s="124"/>
      <c r="BM517" s="124"/>
      <c r="BN517" s="124"/>
      <c r="BO517" s="124"/>
      <c r="BP517" s="124"/>
      <c r="BQ517" s="124"/>
      <c r="BR517" s="124"/>
      <c r="BS517" s="124"/>
      <c r="BT517" s="124"/>
      <c r="BU517" s="124"/>
      <c r="BV517" s="124"/>
      <c r="BW517" s="124"/>
      <c r="BX517" s="124"/>
      <c r="BY517" s="124"/>
      <c r="BZ517" s="124"/>
      <c r="CA517" s="124"/>
    </row>
    <row r="518">
      <c r="D518" s="143"/>
      <c r="E518" s="129"/>
      <c r="F518" s="112"/>
      <c r="G518" s="112"/>
      <c r="H518" s="112"/>
      <c r="I518" s="112"/>
      <c r="J518" s="112"/>
      <c r="K518" s="112"/>
      <c r="L518" s="112"/>
      <c r="M518" s="112"/>
      <c r="N518" s="112"/>
      <c r="O518" s="112"/>
      <c r="P518" s="112"/>
      <c r="Q518" s="112"/>
      <c r="R518" s="112"/>
      <c r="S518" s="112"/>
      <c r="T518" s="112"/>
      <c r="U518" s="124"/>
      <c r="V518" s="124"/>
      <c r="W518" s="124"/>
      <c r="X518" s="124"/>
      <c r="Y518" s="124"/>
      <c r="Z518" s="112"/>
      <c r="AA518" s="112"/>
      <c r="AB518" s="112"/>
      <c r="AC518" s="112"/>
      <c r="AD518" s="112"/>
      <c r="AE518" s="112"/>
      <c r="AF518" s="112"/>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c r="BK518" s="124"/>
      <c r="BL518" s="124"/>
      <c r="BM518" s="124"/>
      <c r="BN518" s="124"/>
      <c r="BO518" s="124"/>
      <c r="BP518" s="124"/>
      <c r="BQ518" s="124"/>
      <c r="BR518" s="124"/>
      <c r="BS518" s="124"/>
      <c r="BT518" s="124"/>
      <c r="BU518" s="124"/>
      <c r="BV518" s="124"/>
      <c r="BW518" s="124"/>
      <c r="BX518" s="124"/>
      <c r="BY518" s="124"/>
      <c r="BZ518" s="124"/>
      <c r="CA518" s="124"/>
    </row>
    <row r="519">
      <c r="D519" s="143"/>
      <c r="E519" s="129"/>
      <c r="F519" s="112"/>
      <c r="G519" s="112"/>
      <c r="H519" s="112"/>
      <c r="I519" s="112"/>
      <c r="J519" s="112"/>
      <c r="K519" s="112"/>
      <c r="L519" s="112"/>
      <c r="M519" s="112"/>
      <c r="N519" s="112"/>
      <c r="O519" s="112"/>
      <c r="P519" s="112"/>
      <c r="Q519" s="112"/>
      <c r="R519" s="112"/>
      <c r="S519" s="112"/>
      <c r="T519" s="112"/>
      <c r="U519" s="124"/>
      <c r="V519" s="124"/>
      <c r="W519" s="124"/>
      <c r="X519" s="124"/>
      <c r="Y519" s="124"/>
      <c r="Z519" s="112"/>
      <c r="AA519" s="112"/>
      <c r="AB519" s="112"/>
      <c r="AC519" s="112"/>
      <c r="AD519" s="112"/>
      <c r="AE519" s="112"/>
      <c r="AF519" s="112"/>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c r="BK519" s="124"/>
      <c r="BL519" s="124"/>
      <c r="BM519" s="124"/>
      <c r="BN519" s="124"/>
      <c r="BO519" s="124"/>
      <c r="BP519" s="124"/>
      <c r="BQ519" s="124"/>
      <c r="BR519" s="124"/>
      <c r="BS519" s="124"/>
      <c r="BT519" s="124"/>
      <c r="BU519" s="124"/>
      <c r="BV519" s="124"/>
      <c r="BW519" s="124"/>
      <c r="BX519" s="124"/>
      <c r="BY519" s="124"/>
      <c r="BZ519" s="124"/>
      <c r="CA519" s="124"/>
    </row>
    <row r="520">
      <c r="D520" s="143"/>
      <c r="E520" s="129"/>
      <c r="F520" s="112"/>
      <c r="G520" s="112"/>
      <c r="H520" s="112"/>
      <c r="I520" s="112"/>
      <c r="J520" s="112"/>
      <c r="K520" s="112"/>
      <c r="L520" s="112"/>
      <c r="M520" s="112"/>
      <c r="N520" s="112"/>
      <c r="O520" s="112"/>
      <c r="P520" s="112"/>
      <c r="Q520" s="112"/>
      <c r="R520" s="112"/>
      <c r="S520" s="112"/>
      <c r="T520" s="112"/>
      <c r="U520" s="124"/>
      <c r="V520" s="124"/>
      <c r="W520" s="124"/>
      <c r="X520" s="124"/>
      <c r="Y520" s="124"/>
      <c r="Z520" s="112"/>
      <c r="AA520" s="112"/>
      <c r="AB520" s="112"/>
      <c r="AC520" s="112"/>
      <c r="AD520" s="112"/>
      <c r="AE520" s="112"/>
      <c r="AF520" s="112"/>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c r="BK520" s="124"/>
      <c r="BL520" s="124"/>
      <c r="BM520" s="124"/>
      <c r="BN520" s="124"/>
      <c r="BO520" s="124"/>
      <c r="BP520" s="124"/>
      <c r="BQ520" s="124"/>
      <c r="BR520" s="124"/>
      <c r="BS520" s="124"/>
      <c r="BT520" s="124"/>
      <c r="BU520" s="124"/>
      <c r="BV520" s="124"/>
      <c r="BW520" s="124"/>
      <c r="BX520" s="124"/>
      <c r="BY520" s="124"/>
      <c r="BZ520" s="124"/>
      <c r="CA520" s="124"/>
    </row>
    <row r="521">
      <c r="D521" s="143"/>
      <c r="E521" s="129"/>
      <c r="F521" s="112"/>
      <c r="G521" s="112"/>
      <c r="H521" s="112"/>
      <c r="I521" s="112"/>
      <c r="J521" s="112"/>
      <c r="K521" s="112"/>
      <c r="L521" s="112"/>
      <c r="M521" s="112"/>
      <c r="N521" s="112"/>
      <c r="O521" s="112"/>
      <c r="P521" s="112"/>
      <c r="Q521" s="112"/>
      <c r="R521" s="112"/>
      <c r="S521" s="112"/>
      <c r="T521" s="112"/>
      <c r="U521" s="124"/>
      <c r="V521" s="124"/>
      <c r="W521" s="124"/>
      <c r="X521" s="124"/>
      <c r="Y521" s="124"/>
      <c r="Z521" s="112"/>
      <c r="AA521" s="112"/>
      <c r="AB521" s="112"/>
      <c r="AC521" s="112"/>
      <c r="AD521" s="112"/>
      <c r="AE521" s="112"/>
      <c r="AF521" s="112"/>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c r="BK521" s="124"/>
      <c r="BL521" s="124"/>
      <c r="BM521" s="124"/>
      <c r="BN521" s="124"/>
      <c r="BO521" s="124"/>
      <c r="BP521" s="124"/>
      <c r="BQ521" s="124"/>
      <c r="BR521" s="124"/>
      <c r="BS521" s="124"/>
      <c r="BT521" s="124"/>
      <c r="BU521" s="124"/>
      <c r="BV521" s="124"/>
      <c r="BW521" s="124"/>
      <c r="BX521" s="124"/>
      <c r="BY521" s="124"/>
      <c r="BZ521" s="124"/>
      <c r="CA521" s="124"/>
    </row>
    <row r="522">
      <c r="D522" s="143"/>
      <c r="E522" s="129"/>
      <c r="F522" s="112"/>
      <c r="G522" s="112"/>
      <c r="H522" s="112"/>
      <c r="I522" s="112"/>
      <c r="J522" s="112"/>
      <c r="K522" s="112"/>
      <c r="L522" s="112"/>
      <c r="M522" s="112"/>
      <c r="N522" s="112"/>
      <c r="O522" s="112"/>
      <c r="P522" s="112"/>
      <c r="Q522" s="112"/>
      <c r="R522" s="112"/>
      <c r="S522" s="112"/>
      <c r="T522" s="112"/>
      <c r="U522" s="124"/>
      <c r="V522" s="124"/>
      <c r="W522" s="124"/>
      <c r="X522" s="124"/>
      <c r="Y522" s="124"/>
      <c r="Z522" s="112"/>
      <c r="AA522" s="112"/>
      <c r="AB522" s="112"/>
      <c r="AC522" s="112"/>
      <c r="AD522" s="112"/>
      <c r="AE522" s="112"/>
      <c r="AF522" s="112"/>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c r="BK522" s="124"/>
      <c r="BL522" s="124"/>
      <c r="BM522" s="124"/>
      <c r="BN522" s="124"/>
      <c r="BO522" s="124"/>
      <c r="BP522" s="124"/>
      <c r="BQ522" s="124"/>
      <c r="BR522" s="124"/>
      <c r="BS522" s="124"/>
      <c r="BT522" s="124"/>
      <c r="BU522" s="124"/>
      <c r="BV522" s="124"/>
      <c r="BW522" s="124"/>
      <c r="BX522" s="124"/>
      <c r="BY522" s="124"/>
      <c r="BZ522" s="124"/>
      <c r="CA522" s="124"/>
    </row>
    <row r="523">
      <c r="D523" s="143"/>
      <c r="E523" s="129"/>
      <c r="F523" s="112"/>
      <c r="G523" s="112"/>
      <c r="H523" s="112"/>
      <c r="I523" s="112"/>
      <c r="J523" s="112"/>
      <c r="K523" s="112"/>
      <c r="L523" s="112"/>
      <c r="M523" s="112"/>
      <c r="N523" s="112"/>
      <c r="O523" s="112"/>
      <c r="P523" s="112"/>
      <c r="Q523" s="112"/>
      <c r="R523" s="112"/>
      <c r="S523" s="112"/>
      <c r="T523" s="112"/>
      <c r="U523" s="124"/>
      <c r="V523" s="124"/>
      <c r="W523" s="124"/>
      <c r="X523" s="124"/>
      <c r="Y523" s="124"/>
      <c r="Z523" s="112"/>
      <c r="AA523" s="112"/>
      <c r="AB523" s="112"/>
      <c r="AC523" s="112"/>
      <c r="AD523" s="112"/>
      <c r="AE523" s="112"/>
      <c r="AF523" s="112"/>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c r="BK523" s="124"/>
      <c r="BL523" s="124"/>
      <c r="BM523" s="124"/>
      <c r="BN523" s="124"/>
      <c r="BO523" s="124"/>
      <c r="BP523" s="124"/>
      <c r="BQ523" s="124"/>
      <c r="BR523" s="124"/>
      <c r="BS523" s="124"/>
      <c r="BT523" s="124"/>
      <c r="BU523" s="124"/>
      <c r="BV523" s="124"/>
      <c r="BW523" s="124"/>
      <c r="BX523" s="124"/>
      <c r="BY523" s="124"/>
      <c r="BZ523" s="124"/>
      <c r="CA523" s="124"/>
    </row>
    <row r="524">
      <c r="D524" s="143"/>
      <c r="E524" s="129"/>
      <c r="F524" s="112"/>
      <c r="G524" s="112"/>
      <c r="H524" s="112"/>
      <c r="I524" s="112"/>
      <c r="J524" s="112"/>
      <c r="K524" s="112"/>
      <c r="L524" s="112"/>
      <c r="M524" s="112"/>
      <c r="N524" s="112"/>
      <c r="O524" s="112"/>
      <c r="P524" s="112"/>
      <c r="Q524" s="112"/>
      <c r="R524" s="112"/>
      <c r="S524" s="112"/>
      <c r="T524" s="112"/>
      <c r="U524" s="124"/>
      <c r="V524" s="124"/>
      <c r="W524" s="124"/>
      <c r="X524" s="124"/>
      <c r="Y524" s="124"/>
      <c r="Z524" s="112"/>
      <c r="AA524" s="112"/>
      <c r="AB524" s="112"/>
      <c r="AC524" s="112"/>
      <c r="AD524" s="112"/>
      <c r="AE524" s="112"/>
      <c r="AF524" s="112"/>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c r="BK524" s="124"/>
      <c r="BL524" s="124"/>
      <c r="BM524" s="124"/>
      <c r="BN524" s="124"/>
      <c r="BO524" s="124"/>
      <c r="BP524" s="124"/>
      <c r="BQ524" s="124"/>
      <c r="BR524" s="124"/>
      <c r="BS524" s="124"/>
      <c r="BT524" s="124"/>
      <c r="BU524" s="124"/>
      <c r="BV524" s="124"/>
      <c r="BW524" s="124"/>
      <c r="BX524" s="124"/>
      <c r="BY524" s="124"/>
      <c r="BZ524" s="124"/>
      <c r="CA524" s="124"/>
    </row>
    <row r="525">
      <c r="D525" s="143"/>
      <c r="E525" s="129"/>
      <c r="F525" s="112"/>
      <c r="G525" s="112"/>
      <c r="H525" s="112"/>
      <c r="I525" s="112"/>
      <c r="J525" s="112"/>
      <c r="K525" s="112"/>
      <c r="L525" s="112"/>
      <c r="M525" s="112"/>
      <c r="N525" s="112"/>
      <c r="O525" s="112"/>
      <c r="P525" s="112"/>
      <c r="Q525" s="112"/>
      <c r="R525" s="112"/>
      <c r="S525" s="112"/>
      <c r="T525" s="112"/>
      <c r="U525" s="124"/>
      <c r="V525" s="124"/>
      <c r="W525" s="124"/>
      <c r="X525" s="124"/>
      <c r="Y525" s="124"/>
      <c r="Z525" s="112"/>
      <c r="AA525" s="112"/>
      <c r="AB525" s="112"/>
      <c r="AC525" s="112"/>
      <c r="AD525" s="112"/>
      <c r="AE525" s="112"/>
      <c r="AF525" s="112"/>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c r="BK525" s="124"/>
      <c r="BL525" s="124"/>
      <c r="BM525" s="124"/>
      <c r="BN525" s="124"/>
      <c r="BO525" s="124"/>
      <c r="BP525" s="124"/>
      <c r="BQ525" s="124"/>
      <c r="BR525" s="124"/>
      <c r="BS525" s="124"/>
      <c r="BT525" s="124"/>
      <c r="BU525" s="124"/>
      <c r="BV525" s="124"/>
      <c r="BW525" s="124"/>
      <c r="BX525" s="124"/>
      <c r="BY525" s="124"/>
      <c r="BZ525" s="124"/>
      <c r="CA525" s="124"/>
    </row>
    <row r="526">
      <c r="D526" s="143"/>
      <c r="E526" s="129"/>
      <c r="F526" s="112"/>
      <c r="G526" s="112"/>
      <c r="H526" s="112"/>
      <c r="I526" s="112"/>
      <c r="J526" s="112"/>
      <c r="K526" s="112"/>
      <c r="L526" s="112"/>
      <c r="M526" s="112"/>
      <c r="N526" s="112"/>
      <c r="O526" s="112"/>
      <c r="P526" s="112"/>
      <c r="Q526" s="112"/>
      <c r="R526" s="112"/>
      <c r="S526" s="112"/>
      <c r="T526" s="112"/>
      <c r="U526" s="124"/>
      <c r="V526" s="124"/>
      <c r="W526" s="124"/>
      <c r="X526" s="124"/>
      <c r="Y526" s="124"/>
      <c r="Z526" s="112"/>
      <c r="AA526" s="112"/>
      <c r="AB526" s="112"/>
      <c r="AC526" s="112"/>
      <c r="AD526" s="112"/>
      <c r="AE526" s="112"/>
      <c r="AF526" s="112"/>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c r="BK526" s="124"/>
      <c r="BL526" s="124"/>
      <c r="BM526" s="124"/>
      <c r="BN526" s="124"/>
      <c r="BO526" s="124"/>
      <c r="BP526" s="124"/>
      <c r="BQ526" s="124"/>
      <c r="BR526" s="124"/>
      <c r="BS526" s="124"/>
      <c r="BT526" s="124"/>
      <c r="BU526" s="124"/>
      <c r="BV526" s="124"/>
      <c r="BW526" s="124"/>
      <c r="BX526" s="124"/>
      <c r="BY526" s="124"/>
      <c r="BZ526" s="124"/>
      <c r="CA526" s="124"/>
    </row>
    <row r="527">
      <c r="D527" s="143"/>
      <c r="E527" s="129"/>
      <c r="F527" s="112"/>
      <c r="G527" s="112"/>
      <c r="H527" s="112"/>
      <c r="I527" s="112"/>
      <c r="J527" s="112"/>
      <c r="K527" s="112"/>
      <c r="L527" s="112"/>
      <c r="M527" s="112"/>
      <c r="N527" s="112"/>
      <c r="O527" s="112"/>
      <c r="P527" s="112"/>
      <c r="Q527" s="112"/>
      <c r="R527" s="112"/>
      <c r="S527" s="112"/>
      <c r="T527" s="112"/>
      <c r="U527" s="124"/>
      <c r="V527" s="124"/>
      <c r="W527" s="124"/>
      <c r="X527" s="124"/>
      <c r="Y527" s="124"/>
      <c r="Z527" s="112"/>
      <c r="AA527" s="112"/>
      <c r="AB527" s="112"/>
      <c r="AC527" s="112"/>
      <c r="AD527" s="112"/>
      <c r="AE527" s="112"/>
      <c r="AF527" s="112"/>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c r="BK527" s="124"/>
      <c r="BL527" s="124"/>
      <c r="BM527" s="124"/>
      <c r="BN527" s="124"/>
      <c r="BO527" s="124"/>
      <c r="BP527" s="124"/>
      <c r="BQ527" s="124"/>
      <c r="BR527" s="124"/>
      <c r="BS527" s="124"/>
      <c r="BT527" s="124"/>
      <c r="BU527" s="124"/>
      <c r="BV527" s="124"/>
      <c r="BW527" s="124"/>
      <c r="BX527" s="124"/>
      <c r="BY527" s="124"/>
      <c r="BZ527" s="124"/>
      <c r="CA527" s="124"/>
    </row>
    <row r="528">
      <c r="D528" s="143"/>
      <c r="E528" s="129"/>
      <c r="F528" s="112"/>
      <c r="G528" s="112"/>
      <c r="H528" s="112"/>
      <c r="I528" s="112"/>
      <c r="J528" s="112"/>
      <c r="K528" s="112"/>
      <c r="L528" s="112"/>
      <c r="M528" s="112"/>
      <c r="N528" s="112"/>
      <c r="O528" s="112"/>
      <c r="P528" s="112"/>
      <c r="Q528" s="112"/>
      <c r="R528" s="112"/>
      <c r="S528" s="112"/>
      <c r="T528" s="112"/>
      <c r="U528" s="124"/>
      <c r="V528" s="124"/>
      <c r="W528" s="124"/>
      <c r="X528" s="124"/>
      <c r="Y528" s="124"/>
      <c r="Z528" s="112"/>
      <c r="AA528" s="112"/>
      <c r="AB528" s="112"/>
      <c r="AC528" s="112"/>
      <c r="AD528" s="112"/>
      <c r="AE528" s="112"/>
      <c r="AF528" s="112"/>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c r="BK528" s="124"/>
      <c r="BL528" s="124"/>
      <c r="BM528" s="124"/>
      <c r="BN528" s="124"/>
      <c r="BO528" s="124"/>
      <c r="BP528" s="124"/>
      <c r="BQ528" s="124"/>
      <c r="BR528" s="124"/>
      <c r="BS528" s="124"/>
      <c r="BT528" s="124"/>
      <c r="BU528" s="124"/>
      <c r="BV528" s="124"/>
      <c r="BW528" s="124"/>
      <c r="BX528" s="124"/>
      <c r="BY528" s="124"/>
      <c r="BZ528" s="124"/>
      <c r="CA528" s="124"/>
    </row>
    <row r="529">
      <c r="D529" s="143"/>
      <c r="E529" s="129"/>
      <c r="F529" s="112"/>
      <c r="G529" s="112"/>
      <c r="H529" s="112"/>
      <c r="I529" s="112"/>
      <c r="J529" s="112"/>
      <c r="K529" s="112"/>
      <c r="L529" s="112"/>
      <c r="M529" s="112"/>
      <c r="N529" s="112"/>
      <c r="O529" s="112"/>
      <c r="P529" s="112"/>
      <c r="Q529" s="112"/>
      <c r="R529" s="112"/>
      <c r="S529" s="112"/>
      <c r="T529" s="112"/>
      <c r="U529" s="124"/>
      <c r="V529" s="124"/>
      <c r="W529" s="124"/>
      <c r="X529" s="124"/>
      <c r="Y529" s="124"/>
      <c r="Z529" s="112"/>
      <c r="AA529" s="112"/>
      <c r="AB529" s="112"/>
      <c r="AC529" s="112"/>
      <c r="AD529" s="112"/>
      <c r="AE529" s="112"/>
      <c r="AF529" s="112"/>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c r="BK529" s="124"/>
      <c r="BL529" s="124"/>
      <c r="BM529" s="124"/>
      <c r="BN529" s="124"/>
      <c r="BO529" s="124"/>
      <c r="BP529" s="124"/>
      <c r="BQ529" s="124"/>
      <c r="BR529" s="124"/>
      <c r="BS529" s="124"/>
      <c r="BT529" s="124"/>
      <c r="BU529" s="124"/>
      <c r="BV529" s="124"/>
      <c r="BW529" s="124"/>
      <c r="BX529" s="124"/>
      <c r="BY529" s="124"/>
      <c r="BZ529" s="124"/>
      <c r="CA529" s="124"/>
    </row>
    <row r="530">
      <c r="D530" s="143"/>
      <c r="E530" s="129"/>
      <c r="F530" s="112"/>
      <c r="G530" s="112"/>
      <c r="H530" s="112"/>
      <c r="I530" s="112"/>
      <c r="J530" s="112"/>
      <c r="K530" s="112"/>
      <c r="L530" s="112"/>
      <c r="M530" s="112"/>
      <c r="N530" s="112"/>
      <c r="O530" s="112"/>
      <c r="P530" s="112"/>
      <c r="Q530" s="112"/>
      <c r="R530" s="112"/>
      <c r="S530" s="112"/>
      <c r="T530" s="112"/>
      <c r="U530" s="124"/>
      <c r="V530" s="124"/>
      <c r="W530" s="124"/>
      <c r="X530" s="124"/>
      <c r="Y530" s="124"/>
      <c r="Z530" s="112"/>
      <c r="AA530" s="112"/>
      <c r="AB530" s="112"/>
      <c r="AC530" s="112"/>
      <c r="AD530" s="112"/>
      <c r="AE530" s="112"/>
      <c r="AF530" s="112"/>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c r="BK530" s="124"/>
      <c r="BL530" s="124"/>
      <c r="BM530" s="124"/>
      <c r="BN530" s="124"/>
      <c r="BO530" s="124"/>
      <c r="BP530" s="124"/>
      <c r="BQ530" s="124"/>
      <c r="BR530" s="124"/>
      <c r="BS530" s="124"/>
      <c r="BT530" s="124"/>
      <c r="BU530" s="124"/>
      <c r="BV530" s="124"/>
      <c r="BW530" s="124"/>
      <c r="BX530" s="124"/>
      <c r="BY530" s="124"/>
      <c r="BZ530" s="124"/>
      <c r="CA530" s="124"/>
    </row>
    <row r="531">
      <c r="D531" s="143"/>
      <c r="E531" s="129"/>
      <c r="F531" s="112"/>
      <c r="G531" s="112"/>
      <c r="H531" s="112"/>
      <c r="I531" s="112"/>
      <c r="J531" s="112"/>
      <c r="K531" s="112"/>
      <c r="L531" s="112"/>
      <c r="M531" s="112"/>
      <c r="N531" s="112"/>
      <c r="O531" s="112"/>
      <c r="P531" s="112"/>
      <c r="Q531" s="112"/>
      <c r="R531" s="112"/>
      <c r="S531" s="112"/>
      <c r="T531" s="112"/>
      <c r="U531" s="124"/>
      <c r="V531" s="124"/>
      <c r="W531" s="124"/>
      <c r="X531" s="124"/>
      <c r="Y531" s="124"/>
      <c r="Z531" s="112"/>
      <c r="AA531" s="112"/>
      <c r="AB531" s="112"/>
      <c r="AC531" s="112"/>
      <c r="AD531" s="112"/>
      <c r="AE531" s="112"/>
      <c r="AF531" s="112"/>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c r="BK531" s="124"/>
      <c r="BL531" s="124"/>
      <c r="BM531" s="124"/>
      <c r="BN531" s="124"/>
      <c r="BO531" s="124"/>
      <c r="BP531" s="124"/>
      <c r="BQ531" s="124"/>
      <c r="BR531" s="124"/>
      <c r="BS531" s="124"/>
      <c r="BT531" s="124"/>
      <c r="BU531" s="124"/>
      <c r="BV531" s="124"/>
      <c r="BW531" s="124"/>
      <c r="BX531" s="124"/>
      <c r="BY531" s="124"/>
      <c r="BZ531" s="124"/>
      <c r="CA531" s="124"/>
    </row>
    <row r="532">
      <c r="D532" s="143"/>
      <c r="E532" s="129"/>
      <c r="F532" s="112"/>
      <c r="G532" s="112"/>
      <c r="H532" s="112"/>
      <c r="I532" s="112"/>
      <c r="J532" s="112"/>
      <c r="K532" s="112"/>
      <c r="L532" s="112"/>
      <c r="M532" s="112"/>
      <c r="N532" s="112"/>
      <c r="O532" s="112"/>
      <c r="P532" s="112"/>
      <c r="Q532" s="112"/>
      <c r="R532" s="112"/>
      <c r="S532" s="112"/>
      <c r="T532" s="112"/>
      <c r="U532" s="124"/>
      <c r="V532" s="124"/>
      <c r="W532" s="124"/>
      <c r="X532" s="124"/>
      <c r="Y532" s="124"/>
      <c r="Z532" s="112"/>
      <c r="AA532" s="112"/>
      <c r="AB532" s="112"/>
      <c r="AC532" s="112"/>
      <c r="AD532" s="112"/>
      <c r="AE532" s="112"/>
      <c r="AF532" s="112"/>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c r="BK532" s="124"/>
      <c r="BL532" s="124"/>
      <c r="BM532" s="124"/>
      <c r="BN532" s="124"/>
      <c r="BO532" s="124"/>
      <c r="BP532" s="124"/>
      <c r="BQ532" s="124"/>
      <c r="BR532" s="124"/>
      <c r="BS532" s="124"/>
      <c r="BT532" s="124"/>
      <c r="BU532" s="124"/>
      <c r="BV532" s="124"/>
      <c r="BW532" s="124"/>
      <c r="BX532" s="124"/>
      <c r="BY532" s="124"/>
      <c r="BZ532" s="124"/>
      <c r="CA532" s="124"/>
    </row>
    <row r="533">
      <c r="D533" s="143"/>
      <c r="E533" s="129"/>
      <c r="F533" s="112"/>
      <c r="G533" s="112"/>
      <c r="H533" s="112"/>
      <c r="I533" s="112"/>
      <c r="J533" s="112"/>
      <c r="K533" s="112"/>
      <c r="L533" s="112"/>
      <c r="M533" s="112"/>
      <c r="N533" s="112"/>
      <c r="O533" s="112"/>
      <c r="P533" s="112"/>
      <c r="Q533" s="112"/>
      <c r="R533" s="112"/>
      <c r="S533" s="112"/>
      <c r="T533" s="112"/>
      <c r="U533" s="124"/>
      <c r="V533" s="124"/>
      <c r="W533" s="124"/>
      <c r="X533" s="124"/>
      <c r="Y533" s="124"/>
      <c r="Z533" s="112"/>
      <c r="AA533" s="112"/>
      <c r="AB533" s="112"/>
      <c r="AC533" s="112"/>
      <c r="AD533" s="112"/>
      <c r="AE533" s="112"/>
      <c r="AF533" s="112"/>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c r="BK533" s="124"/>
      <c r="BL533" s="124"/>
      <c r="BM533" s="124"/>
      <c r="BN533" s="124"/>
      <c r="BO533" s="124"/>
      <c r="BP533" s="124"/>
      <c r="BQ533" s="124"/>
      <c r="BR533" s="124"/>
      <c r="BS533" s="124"/>
      <c r="BT533" s="124"/>
      <c r="BU533" s="124"/>
      <c r="BV533" s="124"/>
      <c r="BW533" s="124"/>
      <c r="BX533" s="124"/>
      <c r="BY533" s="124"/>
      <c r="BZ533" s="124"/>
      <c r="CA533" s="124"/>
    </row>
    <row r="534">
      <c r="D534" s="143"/>
      <c r="E534" s="129"/>
      <c r="F534" s="112"/>
      <c r="G534" s="112"/>
      <c r="H534" s="112"/>
      <c r="I534" s="112"/>
      <c r="J534" s="112"/>
      <c r="K534" s="112"/>
      <c r="L534" s="112"/>
      <c r="M534" s="112"/>
      <c r="N534" s="112"/>
      <c r="O534" s="112"/>
      <c r="P534" s="112"/>
      <c r="Q534" s="112"/>
      <c r="R534" s="112"/>
      <c r="S534" s="112"/>
      <c r="T534" s="112"/>
      <c r="U534" s="124"/>
      <c r="V534" s="124"/>
      <c r="W534" s="124"/>
      <c r="X534" s="124"/>
      <c r="Y534" s="124"/>
      <c r="Z534" s="112"/>
      <c r="AA534" s="112"/>
      <c r="AB534" s="112"/>
      <c r="AC534" s="112"/>
      <c r="AD534" s="112"/>
      <c r="AE534" s="112"/>
      <c r="AF534" s="112"/>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c r="BK534" s="124"/>
      <c r="BL534" s="124"/>
      <c r="BM534" s="124"/>
      <c r="BN534" s="124"/>
      <c r="BO534" s="124"/>
      <c r="BP534" s="124"/>
      <c r="BQ534" s="124"/>
      <c r="BR534" s="124"/>
      <c r="BS534" s="124"/>
      <c r="BT534" s="124"/>
      <c r="BU534" s="124"/>
      <c r="BV534" s="124"/>
      <c r="BW534" s="124"/>
      <c r="BX534" s="124"/>
      <c r="BY534" s="124"/>
      <c r="BZ534" s="124"/>
      <c r="CA534" s="124"/>
    </row>
    <row r="535">
      <c r="D535" s="143"/>
      <c r="E535" s="129"/>
      <c r="F535" s="112"/>
      <c r="G535" s="112"/>
      <c r="H535" s="112"/>
      <c r="I535" s="112"/>
      <c r="J535" s="112"/>
      <c r="K535" s="112"/>
      <c r="L535" s="112"/>
      <c r="M535" s="112"/>
      <c r="N535" s="112"/>
      <c r="O535" s="112"/>
      <c r="P535" s="112"/>
      <c r="Q535" s="112"/>
      <c r="R535" s="112"/>
      <c r="S535" s="112"/>
      <c r="T535" s="112"/>
      <c r="U535" s="124"/>
      <c r="V535" s="124"/>
      <c r="W535" s="124"/>
      <c r="X535" s="124"/>
      <c r="Y535" s="124"/>
      <c r="Z535" s="112"/>
      <c r="AA535" s="112"/>
      <c r="AB535" s="112"/>
      <c r="AC535" s="112"/>
      <c r="AD535" s="112"/>
      <c r="AE535" s="112"/>
      <c r="AF535" s="112"/>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c r="BK535" s="124"/>
      <c r="BL535" s="124"/>
      <c r="BM535" s="124"/>
      <c r="BN535" s="124"/>
      <c r="BO535" s="124"/>
      <c r="BP535" s="124"/>
      <c r="BQ535" s="124"/>
      <c r="BR535" s="124"/>
      <c r="BS535" s="124"/>
      <c r="BT535" s="124"/>
      <c r="BU535" s="124"/>
      <c r="BV535" s="124"/>
      <c r="BW535" s="124"/>
      <c r="BX535" s="124"/>
      <c r="BY535" s="124"/>
      <c r="BZ535" s="124"/>
      <c r="CA535" s="124"/>
    </row>
    <row r="536">
      <c r="D536" s="143"/>
      <c r="E536" s="129"/>
      <c r="F536" s="112"/>
      <c r="G536" s="112"/>
      <c r="H536" s="112"/>
      <c r="I536" s="112"/>
      <c r="J536" s="112"/>
      <c r="K536" s="112"/>
      <c r="L536" s="112"/>
      <c r="M536" s="112"/>
      <c r="N536" s="112"/>
      <c r="O536" s="112"/>
      <c r="P536" s="112"/>
      <c r="Q536" s="112"/>
      <c r="R536" s="112"/>
      <c r="S536" s="112"/>
      <c r="T536" s="112"/>
      <c r="U536" s="124"/>
      <c r="V536" s="124"/>
      <c r="W536" s="124"/>
      <c r="X536" s="124"/>
      <c r="Y536" s="124"/>
      <c r="Z536" s="112"/>
      <c r="AA536" s="112"/>
      <c r="AB536" s="112"/>
      <c r="AC536" s="112"/>
      <c r="AD536" s="112"/>
      <c r="AE536" s="112"/>
      <c r="AF536" s="112"/>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c r="BK536" s="124"/>
      <c r="BL536" s="124"/>
      <c r="BM536" s="124"/>
      <c r="BN536" s="124"/>
      <c r="BO536" s="124"/>
      <c r="BP536" s="124"/>
      <c r="BQ536" s="124"/>
      <c r="BR536" s="124"/>
      <c r="BS536" s="124"/>
      <c r="BT536" s="124"/>
      <c r="BU536" s="124"/>
      <c r="BV536" s="124"/>
      <c r="BW536" s="124"/>
      <c r="BX536" s="124"/>
      <c r="BY536" s="124"/>
      <c r="BZ536" s="124"/>
      <c r="CA536" s="124"/>
    </row>
    <row r="537">
      <c r="D537" s="143"/>
      <c r="E537" s="129"/>
      <c r="F537" s="112"/>
      <c r="G537" s="112"/>
      <c r="H537" s="112"/>
      <c r="I537" s="112"/>
      <c r="J537" s="112"/>
      <c r="K537" s="112"/>
      <c r="L537" s="112"/>
      <c r="M537" s="112"/>
      <c r="N537" s="112"/>
      <c r="O537" s="112"/>
      <c r="P537" s="112"/>
      <c r="Q537" s="112"/>
      <c r="R537" s="112"/>
      <c r="S537" s="112"/>
      <c r="T537" s="112"/>
      <c r="U537" s="124"/>
      <c r="V537" s="124"/>
      <c r="W537" s="124"/>
      <c r="X537" s="124"/>
      <c r="Y537" s="124"/>
      <c r="Z537" s="112"/>
      <c r="AA537" s="112"/>
      <c r="AB537" s="112"/>
      <c r="AC537" s="112"/>
      <c r="AD537" s="112"/>
      <c r="AE537" s="112"/>
      <c r="AF537" s="112"/>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c r="BK537" s="124"/>
      <c r="BL537" s="124"/>
      <c r="BM537" s="124"/>
      <c r="BN537" s="124"/>
      <c r="BO537" s="124"/>
      <c r="BP537" s="124"/>
      <c r="BQ537" s="124"/>
      <c r="BR537" s="124"/>
      <c r="BS537" s="124"/>
      <c r="BT537" s="124"/>
      <c r="BU537" s="124"/>
      <c r="BV537" s="124"/>
      <c r="BW537" s="124"/>
      <c r="BX537" s="124"/>
      <c r="BY537" s="124"/>
      <c r="BZ537" s="124"/>
      <c r="CA537" s="124"/>
    </row>
    <row r="538">
      <c r="D538" s="143"/>
      <c r="E538" s="129"/>
      <c r="F538" s="112"/>
      <c r="G538" s="112"/>
      <c r="H538" s="112"/>
      <c r="I538" s="112"/>
      <c r="J538" s="112"/>
      <c r="K538" s="112"/>
      <c r="L538" s="112"/>
      <c r="M538" s="112"/>
      <c r="N538" s="112"/>
      <c r="O538" s="112"/>
      <c r="P538" s="112"/>
      <c r="Q538" s="112"/>
      <c r="R538" s="112"/>
      <c r="S538" s="112"/>
      <c r="T538" s="112"/>
      <c r="U538" s="124"/>
      <c r="V538" s="124"/>
      <c r="W538" s="124"/>
      <c r="X538" s="124"/>
      <c r="Y538" s="124"/>
      <c r="Z538" s="112"/>
      <c r="AA538" s="112"/>
      <c r="AB538" s="112"/>
      <c r="AC538" s="112"/>
      <c r="AD538" s="112"/>
      <c r="AE538" s="112"/>
      <c r="AF538" s="112"/>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c r="BK538" s="124"/>
      <c r="BL538" s="124"/>
      <c r="BM538" s="124"/>
      <c r="BN538" s="124"/>
      <c r="BO538" s="124"/>
      <c r="BP538" s="124"/>
      <c r="BQ538" s="124"/>
      <c r="BR538" s="124"/>
      <c r="BS538" s="124"/>
      <c r="BT538" s="124"/>
      <c r="BU538" s="124"/>
      <c r="BV538" s="124"/>
      <c r="BW538" s="124"/>
      <c r="BX538" s="124"/>
      <c r="BY538" s="124"/>
      <c r="BZ538" s="124"/>
      <c r="CA538" s="124"/>
    </row>
    <row r="539">
      <c r="D539" s="143"/>
      <c r="E539" s="129"/>
      <c r="F539" s="112"/>
      <c r="G539" s="112"/>
      <c r="H539" s="112"/>
      <c r="I539" s="112"/>
      <c r="J539" s="112"/>
      <c r="K539" s="112"/>
      <c r="L539" s="112"/>
      <c r="M539" s="112"/>
      <c r="N539" s="112"/>
      <c r="O539" s="112"/>
      <c r="P539" s="112"/>
      <c r="Q539" s="112"/>
      <c r="R539" s="112"/>
      <c r="S539" s="112"/>
      <c r="T539" s="112"/>
      <c r="U539" s="124"/>
      <c r="V539" s="124"/>
      <c r="W539" s="124"/>
      <c r="X539" s="124"/>
      <c r="Y539" s="124"/>
      <c r="Z539" s="112"/>
      <c r="AA539" s="112"/>
      <c r="AB539" s="112"/>
      <c r="AC539" s="112"/>
      <c r="AD539" s="112"/>
      <c r="AE539" s="112"/>
      <c r="AF539" s="112"/>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c r="BK539" s="124"/>
      <c r="BL539" s="124"/>
      <c r="BM539" s="124"/>
      <c r="BN539" s="124"/>
      <c r="BO539" s="124"/>
      <c r="BP539" s="124"/>
      <c r="BQ539" s="124"/>
      <c r="BR539" s="124"/>
      <c r="BS539" s="124"/>
      <c r="BT539" s="124"/>
      <c r="BU539" s="124"/>
      <c r="BV539" s="124"/>
      <c r="BW539" s="124"/>
      <c r="BX539" s="124"/>
      <c r="BY539" s="124"/>
      <c r="BZ539" s="124"/>
      <c r="CA539" s="124"/>
    </row>
    <row r="540">
      <c r="D540" s="143"/>
      <c r="E540" s="129"/>
      <c r="F540" s="112"/>
      <c r="G540" s="112"/>
      <c r="H540" s="112"/>
      <c r="I540" s="112"/>
      <c r="J540" s="112"/>
      <c r="K540" s="112"/>
      <c r="L540" s="112"/>
      <c r="M540" s="112"/>
      <c r="N540" s="112"/>
      <c r="O540" s="112"/>
      <c r="P540" s="112"/>
      <c r="Q540" s="112"/>
      <c r="R540" s="112"/>
      <c r="S540" s="112"/>
      <c r="T540" s="112"/>
      <c r="U540" s="124"/>
      <c r="V540" s="124"/>
      <c r="W540" s="124"/>
      <c r="X540" s="124"/>
      <c r="Y540" s="124"/>
      <c r="Z540" s="112"/>
      <c r="AA540" s="112"/>
      <c r="AB540" s="112"/>
      <c r="AC540" s="112"/>
      <c r="AD540" s="112"/>
      <c r="AE540" s="112"/>
      <c r="AF540" s="112"/>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c r="BK540" s="124"/>
      <c r="BL540" s="124"/>
      <c r="BM540" s="124"/>
      <c r="BN540" s="124"/>
      <c r="BO540" s="124"/>
      <c r="BP540" s="124"/>
      <c r="BQ540" s="124"/>
      <c r="BR540" s="124"/>
      <c r="BS540" s="124"/>
      <c r="BT540" s="124"/>
      <c r="BU540" s="124"/>
      <c r="BV540" s="124"/>
      <c r="BW540" s="124"/>
      <c r="BX540" s="124"/>
      <c r="BY540" s="124"/>
      <c r="BZ540" s="124"/>
      <c r="CA540" s="124"/>
    </row>
    <row r="541">
      <c r="D541" s="143"/>
      <c r="E541" s="129"/>
      <c r="F541" s="112"/>
      <c r="G541" s="112"/>
      <c r="H541" s="112"/>
      <c r="I541" s="112"/>
      <c r="J541" s="112"/>
      <c r="K541" s="112"/>
      <c r="L541" s="112"/>
      <c r="M541" s="112"/>
      <c r="N541" s="112"/>
      <c r="O541" s="112"/>
      <c r="P541" s="112"/>
      <c r="Q541" s="112"/>
      <c r="R541" s="112"/>
      <c r="S541" s="112"/>
      <c r="T541" s="112"/>
      <c r="U541" s="124"/>
      <c r="V541" s="124"/>
      <c r="W541" s="124"/>
      <c r="X541" s="124"/>
      <c r="Y541" s="124"/>
      <c r="Z541" s="112"/>
      <c r="AA541" s="112"/>
      <c r="AB541" s="112"/>
      <c r="AC541" s="112"/>
      <c r="AD541" s="112"/>
      <c r="AE541" s="112"/>
      <c r="AF541" s="112"/>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c r="BK541" s="124"/>
      <c r="BL541" s="124"/>
      <c r="BM541" s="124"/>
      <c r="BN541" s="124"/>
      <c r="BO541" s="124"/>
      <c r="BP541" s="124"/>
      <c r="BQ541" s="124"/>
      <c r="BR541" s="124"/>
      <c r="BS541" s="124"/>
      <c r="BT541" s="124"/>
      <c r="BU541" s="124"/>
      <c r="BV541" s="124"/>
      <c r="BW541" s="124"/>
      <c r="BX541" s="124"/>
      <c r="BY541" s="124"/>
      <c r="BZ541" s="124"/>
      <c r="CA541" s="124"/>
    </row>
    <row r="542">
      <c r="D542" s="143"/>
      <c r="E542" s="129"/>
      <c r="F542" s="112"/>
      <c r="G542" s="112"/>
      <c r="H542" s="112"/>
      <c r="I542" s="112"/>
      <c r="J542" s="112"/>
      <c r="K542" s="112"/>
      <c r="L542" s="112"/>
      <c r="M542" s="112"/>
      <c r="N542" s="112"/>
      <c r="O542" s="112"/>
      <c r="P542" s="112"/>
      <c r="Q542" s="112"/>
      <c r="R542" s="112"/>
      <c r="S542" s="112"/>
      <c r="T542" s="112"/>
      <c r="U542" s="124"/>
      <c r="V542" s="124"/>
      <c r="W542" s="124"/>
      <c r="X542" s="124"/>
      <c r="Y542" s="124"/>
      <c r="Z542" s="112"/>
      <c r="AA542" s="112"/>
      <c r="AB542" s="112"/>
      <c r="AC542" s="112"/>
      <c r="AD542" s="112"/>
      <c r="AE542" s="112"/>
      <c r="AF542" s="112"/>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row>
    <row r="543">
      <c r="D543" s="143"/>
      <c r="E543" s="129"/>
      <c r="F543" s="112"/>
      <c r="G543" s="112"/>
      <c r="H543" s="112"/>
      <c r="I543" s="112"/>
      <c r="J543" s="112"/>
      <c r="K543" s="112"/>
      <c r="L543" s="112"/>
      <c r="M543" s="112"/>
      <c r="N543" s="112"/>
      <c r="O543" s="112"/>
      <c r="P543" s="112"/>
      <c r="Q543" s="112"/>
      <c r="R543" s="112"/>
      <c r="S543" s="112"/>
      <c r="T543" s="112"/>
      <c r="U543" s="124"/>
      <c r="V543" s="124"/>
      <c r="W543" s="124"/>
      <c r="X543" s="124"/>
      <c r="Y543" s="124"/>
      <c r="Z543" s="112"/>
      <c r="AA543" s="112"/>
      <c r="AB543" s="112"/>
      <c r="AC543" s="112"/>
      <c r="AD543" s="112"/>
      <c r="AE543" s="112"/>
      <c r="AF543" s="112"/>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c r="BK543" s="124"/>
      <c r="BL543" s="124"/>
      <c r="BM543" s="124"/>
      <c r="BN543" s="124"/>
      <c r="BO543" s="124"/>
      <c r="BP543" s="124"/>
      <c r="BQ543" s="124"/>
      <c r="BR543" s="124"/>
      <c r="BS543" s="124"/>
      <c r="BT543" s="124"/>
      <c r="BU543" s="124"/>
      <c r="BV543" s="124"/>
      <c r="BW543" s="124"/>
      <c r="BX543" s="124"/>
      <c r="BY543" s="124"/>
      <c r="BZ543" s="124"/>
      <c r="CA543" s="124"/>
    </row>
    <row r="544">
      <c r="D544" s="143"/>
      <c r="E544" s="129"/>
      <c r="F544" s="112"/>
      <c r="G544" s="112"/>
      <c r="H544" s="112"/>
      <c r="I544" s="112"/>
      <c r="J544" s="112"/>
      <c r="K544" s="112"/>
      <c r="L544" s="112"/>
      <c r="M544" s="112"/>
      <c r="N544" s="112"/>
      <c r="O544" s="112"/>
      <c r="P544" s="112"/>
      <c r="Q544" s="112"/>
      <c r="R544" s="112"/>
      <c r="S544" s="112"/>
      <c r="T544" s="112"/>
      <c r="U544" s="124"/>
      <c r="V544" s="124"/>
      <c r="W544" s="124"/>
      <c r="X544" s="124"/>
      <c r="Y544" s="124"/>
      <c r="Z544" s="112"/>
      <c r="AA544" s="112"/>
      <c r="AB544" s="112"/>
      <c r="AC544" s="112"/>
      <c r="AD544" s="112"/>
      <c r="AE544" s="112"/>
      <c r="AF544" s="112"/>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c r="BK544" s="124"/>
      <c r="BL544" s="124"/>
      <c r="BM544" s="124"/>
      <c r="BN544" s="124"/>
      <c r="BO544" s="124"/>
      <c r="BP544" s="124"/>
      <c r="BQ544" s="124"/>
      <c r="BR544" s="124"/>
      <c r="BS544" s="124"/>
      <c r="BT544" s="124"/>
      <c r="BU544" s="124"/>
      <c r="BV544" s="124"/>
      <c r="BW544" s="124"/>
      <c r="BX544" s="124"/>
      <c r="BY544" s="124"/>
      <c r="BZ544" s="124"/>
      <c r="CA544" s="124"/>
    </row>
    <row r="545">
      <c r="D545" s="143"/>
      <c r="E545" s="129"/>
      <c r="F545" s="112"/>
      <c r="G545" s="112"/>
      <c r="H545" s="112"/>
      <c r="I545" s="112"/>
      <c r="J545" s="112"/>
      <c r="K545" s="112"/>
      <c r="L545" s="112"/>
      <c r="M545" s="112"/>
      <c r="N545" s="112"/>
      <c r="O545" s="112"/>
      <c r="P545" s="112"/>
      <c r="Q545" s="112"/>
      <c r="R545" s="112"/>
      <c r="S545" s="112"/>
      <c r="T545" s="112"/>
      <c r="U545" s="124"/>
      <c r="V545" s="124"/>
      <c r="W545" s="124"/>
      <c r="X545" s="124"/>
      <c r="Y545" s="124"/>
      <c r="Z545" s="112"/>
      <c r="AA545" s="112"/>
      <c r="AB545" s="112"/>
      <c r="AC545" s="112"/>
      <c r="AD545" s="112"/>
      <c r="AE545" s="112"/>
      <c r="AF545" s="112"/>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c r="BK545" s="124"/>
      <c r="BL545" s="124"/>
      <c r="BM545" s="124"/>
      <c r="BN545" s="124"/>
      <c r="BO545" s="124"/>
      <c r="BP545" s="124"/>
      <c r="BQ545" s="124"/>
      <c r="BR545" s="124"/>
      <c r="BS545" s="124"/>
      <c r="BT545" s="124"/>
      <c r="BU545" s="124"/>
      <c r="BV545" s="124"/>
      <c r="BW545" s="124"/>
      <c r="BX545" s="124"/>
      <c r="BY545" s="124"/>
      <c r="BZ545" s="124"/>
      <c r="CA545" s="124"/>
    </row>
    <row r="546">
      <c r="D546" s="143"/>
      <c r="E546" s="129"/>
      <c r="F546" s="112"/>
      <c r="G546" s="112"/>
      <c r="H546" s="112"/>
      <c r="I546" s="112"/>
      <c r="J546" s="112"/>
      <c r="K546" s="112"/>
      <c r="L546" s="112"/>
      <c r="M546" s="112"/>
      <c r="N546" s="112"/>
      <c r="O546" s="112"/>
      <c r="P546" s="112"/>
      <c r="Q546" s="112"/>
      <c r="R546" s="112"/>
      <c r="S546" s="112"/>
      <c r="T546" s="112"/>
      <c r="U546" s="124"/>
      <c r="V546" s="124"/>
      <c r="W546" s="124"/>
      <c r="X546" s="124"/>
      <c r="Y546" s="124"/>
      <c r="Z546" s="112"/>
      <c r="AA546" s="112"/>
      <c r="AB546" s="112"/>
      <c r="AC546" s="112"/>
      <c r="AD546" s="112"/>
      <c r="AE546" s="112"/>
      <c r="AF546" s="112"/>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c r="BK546" s="124"/>
      <c r="BL546" s="124"/>
      <c r="BM546" s="124"/>
      <c r="BN546" s="124"/>
      <c r="BO546" s="124"/>
      <c r="BP546" s="124"/>
      <c r="BQ546" s="124"/>
      <c r="BR546" s="124"/>
      <c r="BS546" s="124"/>
      <c r="BT546" s="124"/>
      <c r="BU546" s="124"/>
      <c r="BV546" s="124"/>
      <c r="BW546" s="124"/>
      <c r="BX546" s="124"/>
      <c r="BY546" s="124"/>
      <c r="BZ546" s="124"/>
      <c r="CA546" s="124"/>
    </row>
    <row r="547">
      <c r="D547" s="143"/>
      <c r="E547" s="129"/>
      <c r="F547" s="112"/>
      <c r="G547" s="112"/>
      <c r="H547" s="112"/>
      <c r="I547" s="112"/>
      <c r="J547" s="112"/>
      <c r="K547" s="112"/>
      <c r="L547" s="112"/>
      <c r="M547" s="112"/>
      <c r="N547" s="112"/>
      <c r="O547" s="112"/>
      <c r="P547" s="112"/>
      <c r="Q547" s="112"/>
      <c r="R547" s="112"/>
      <c r="S547" s="112"/>
      <c r="T547" s="112"/>
      <c r="U547" s="124"/>
      <c r="V547" s="124"/>
      <c r="W547" s="124"/>
      <c r="X547" s="124"/>
      <c r="Y547" s="124"/>
      <c r="Z547" s="112"/>
      <c r="AA547" s="112"/>
      <c r="AB547" s="112"/>
      <c r="AC547" s="112"/>
      <c r="AD547" s="112"/>
      <c r="AE547" s="112"/>
      <c r="AF547" s="112"/>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c r="BK547" s="124"/>
      <c r="BL547" s="124"/>
      <c r="BM547" s="124"/>
      <c r="BN547" s="124"/>
      <c r="BO547" s="124"/>
      <c r="BP547" s="124"/>
      <c r="BQ547" s="124"/>
      <c r="BR547" s="124"/>
      <c r="BS547" s="124"/>
      <c r="BT547" s="124"/>
      <c r="BU547" s="124"/>
      <c r="BV547" s="124"/>
      <c r="BW547" s="124"/>
      <c r="BX547" s="124"/>
      <c r="BY547" s="124"/>
      <c r="BZ547" s="124"/>
      <c r="CA547" s="124"/>
    </row>
    <row r="548">
      <c r="D548" s="143"/>
      <c r="E548" s="129"/>
      <c r="F548" s="112"/>
      <c r="G548" s="112"/>
      <c r="H548" s="112"/>
      <c r="I548" s="112"/>
      <c r="J548" s="112"/>
      <c r="K548" s="112"/>
      <c r="L548" s="112"/>
      <c r="M548" s="112"/>
      <c r="N548" s="112"/>
      <c r="O548" s="112"/>
      <c r="P548" s="112"/>
      <c r="Q548" s="112"/>
      <c r="R548" s="112"/>
      <c r="S548" s="112"/>
      <c r="T548" s="112"/>
      <c r="U548" s="124"/>
      <c r="V548" s="124"/>
      <c r="W548" s="124"/>
      <c r="X548" s="124"/>
      <c r="Y548" s="124"/>
      <c r="Z548" s="112"/>
      <c r="AA548" s="112"/>
      <c r="AB548" s="112"/>
      <c r="AC548" s="112"/>
      <c r="AD548" s="112"/>
      <c r="AE548" s="112"/>
      <c r="AF548" s="112"/>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row>
    <row r="549">
      <c r="D549" s="143"/>
      <c r="E549" s="129"/>
      <c r="F549" s="112"/>
      <c r="G549" s="112"/>
      <c r="H549" s="112"/>
      <c r="I549" s="112"/>
      <c r="J549" s="112"/>
      <c r="K549" s="112"/>
      <c r="L549" s="112"/>
      <c r="M549" s="112"/>
      <c r="N549" s="112"/>
      <c r="O549" s="112"/>
      <c r="P549" s="112"/>
      <c r="Q549" s="112"/>
      <c r="R549" s="112"/>
      <c r="S549" s="112"/>
      <c r="T549" s="112"/>
      <c r="U549" s="124"/>
      <c r="V549" s="124"/>
      <c r="W549" s="124"/>
      <c r="X549" s="124"/>
      <c r="Y549" s="124"/>
      <c r="Z549" s="112"/>
      <c r="AA549" s="112"/>
      <c r="AB549" s="112"/>
      <c r="AC549" s="112"/>
      <c r="AD549" s="112"/>
      <c r="AE549" s="112"/>
      <c r="AF549" s="112"/>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c r="BK549" s="124"/>
      <c r="BL549" s="124"/>
      <c r="BM549" s="124"/>
      <c r="BN549" s="124"/>
      <c r="BO549" s="124"/>
      <c r="BP549" s="124"/>
      <c r="BQ549" s="124"/>
      <c r="BR549" s="124"/>
      <c r="BS549" s="124"/>
      <c r="BT549" s="124"/>
      <c r="BU549" s="124"/>
      <c r="BV549" s="124"/>
      <c r="BW549" s="124"/>
      <c r="BX549" s="124"/>
      <c r="BY549" s="124"/>
      <c r="BZ549" s="124"/>
      <c r="CA549" s="124"/>
    </row>
    <row r="550">
      <c r="D550" s="143"/>
      <c r="E550" s="129"/>
      <c r="F550" s="112"/>
      <c r="G550" s="112"/>
      <c r="H550" s="112"/>
      <c r="I550" s="112"/>
      <c r="J550" s="112"/>
      <c r="K550" s="112"/>
      <c r="L550" s="112"/>
      <c r="M550" s="112"/>
      <c r="N550" s="112"/>
      <c r="O550" s="112"/>
      <c r="P550" s="112"/>
      <c r="Q550" s="112"/>
      <c r="R550" s="112"/>
      <c r="S550" s="112"/>
      <c r="T550" s="112"/>
      <c r="U550" s="124"/>
      <c r="V550" s="124"/>
      <c r="W550" s="124"/>
      <c r="X550" s="124"/>
      <c r="Y550" s="124"/>
      <c r="Z550" s="112"/>
      <c r="AA550" s="112"/>
      <c r="AB550" s="112"/>
      <c r="AC550" s="112"/>
      <c r="AD550" s="112"/>
      <c r="AE550" s="112"/>
      <c r="AF550" s="112"/>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c r="BK550" s="124"/>
      <c r="BL550" s="124"/>
      <c r="BM550" s="124"/>
      <c r="BN550" s="124"/>
      <c r="BO550" s="124"/>
      <c r="BP550" s="124"/>
      <c r="BQ550" s="124"/>
      <c r="BR550" s="124"/>
      <c r="BS550" s="124"/>
      <c r="BT550" s="124"/>
      <c r="BU550" s="124"/>
      <c r="BV550" s="124"/>
      <c r="BW550" s="124"/>
      <c r="BX550" s="124"/>
      <c r="BY550" s="124"/>
      <c r="BZ550" s="124"/>
      <c r="CA550" s="124"/>
    </row>
    <row r="551">
      <c r="D551" s="143"/>
      <c r="E551" s="129"/>
      <c r="F551" s="112"/>
      <c r="G551" s="112"/>
      <c r="H551" s="112"/>
      <c r="I551" s="112"/>
      <c r="J551" s="112"/>
      <c r="K551" s="112"/>
      <c r="L551" s="112"/>
      <c r="M551" s="112"/>
      <c r="N551" s="112"/>
      <c r="O551" s="112"/>
      <c r="P551" s="112"/>
      <c r="Q551" s="112"/>
      <c r="R551" s="112"/>
      <c r="S551" s="112"/>
      <c r="T551" s="112"/>
      <c r="U551" s="124"/>
      <c r="V551" s="124"/>
      <c r="W551" s="124"/>
      <c r="X551" s="124"/>
      <c r="Y551" s="124"/>
      <c r="Z551" s="112"/>
      <c r="AA551" s="112"/>
      <c r="AB551" s="112"/>
      <c r="AC551" s="112"/>
      <c r="AD551" s="112"/>
      <c r="AE551" s="112"/>
      <c r="AF551" s="112"/>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c r="BK551" s="124"/>
      <c r="BL551" s="124"/>
      <c r="BM551" s="124"/>
      <c r="BN551" s="124"/>
      <c r="BO551" s="124"/>
      <c r="BP551" s="124"/>
      <c r="BQ551" s="124"/>
      <c r="BR551" s="124"/>
      <c r="BS551" s="124"/>
      <c r="BT551" s="124"/>
      <c r="BU551" s="124"/>
      <c r="BV551" s="124"/>
      <c r="BW551" s="124"/>
      <c r="BX551" s="124"/>
      <c r="BY551" s="124"/>
      <c r="BZ551" s="124"/>
      <c r="CA551" s="124"/>
    </row>
    <row r="552">
      <c r="D552" s="143"/>
      <c r="E552" s="129"/>
      <c r="F552" s="112"/>
      <c r="G552" s="112"/>
      <c r="H552" s="112"/>
      <c r="I552" s="112"/>
      <c r="J552" s="112"/>
      <c r="K552" s="112"/>
      <c r="L552" s="112"/>
      <c r="M552" s="112"/>
      <c r="N552" s="112"/>
      <c r="O552" s="112"/>
      <c r="P552" s="112"/>
      <c r="Q552" s="112"/>
      <c r="R552" s="112"/>
      <c r="S552" s="112"/>
      <c r="T552" s="112"/>
      <c r="U552" s="124"/>
      <c r="V552" s="124"/>
      <c r="W552" s="124"/>
      <c r="X552" s="124"/>
      <c r="Y552" s="124"/>
      <c r="Z552" s="112"/>
      <c r="AA552" s="112"/>
      <c r="AB552" s="112"/>
      <c r="AC552" s="112"/>
      <c r="AD552" s="112"/>
      <c r="AE552" s="112"/>
      <c r="AF552" s="112"/>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c r="BK552" s="124"/>
      <c r="BL552" s="124"/>
      <c r="BM552" s="124"/>
      <c r="BN552" s="124"/>
      <c r="BO552" s="124"/>
      <c r="BP552" s="124"/>
      <c r="BQ552" s="124"/>
      <c r="BR552" s="124"/>
      <c r="BS552" s="124"/>
      <c r="BT552" s="124"/>
      <c r="BU552" s="124"/>
      <c r="BV552" s="124"/>
      <c r="BW552" s="124"/>
      <c r="BX552" s="124"/>
      <c r="BY552" s="124"/>
      <c r="BZ552" s="124"/>
      <c r="CA552" s="124"/>
    </row>
    <row r="553">
      <c r="D553" s="143"/>
      <c r="E553" s="129"/>
      <c r="F553" s="112"/>
      <c r="G553" s="112"/>
      <c r="H553" s="112"/>
      <c r="I553" s="112"/>
      <c r="J553" s="112"/>
      <c r="K553" s="112"/>
      <c r="L553" s="112"/>
      <c r="M553" s="112"/>
      <c r="N553" s="112"/>
      <c r="O553" s="112"/>
      <c r="P553" s="112"/>
      <c r="Q553" s="112"/>
      <c r="R553" s="112"/>
      <c r="S553" s="112"/>
      <c r="T553" s="112"/>
      <c r="U553" s="124"/>
      <c r="V553" s="124"/>
      <c r="W553" s="124"/>
      <c r="X553" s="124"/>
      <c r="Y553" s="124"/>
      <c r="Z553" s="112"/>
      <c r="AA553" s="112"/>
      <c r="AB553" s="112"/>
      <c r="AC553" s="112"/>
      <c r="AD553" s="112"/>
      <c r="AE553" s="112"/>
      <c r="AF553" s="112"/>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c r="BK553" s="124"/>
      <c r="BL553" s="124"/>
      <c r="BM553" s="124"/>
      <c r="BN553" s="124"/>
      <c r="BO553" s="124"/>
      <c r="BP553" s="124"/>
      <c r="BQ553" s="124"/>
      <c r="BR553" s="124"/>
      <c r="BS553" s="124"/>
      <c r="BT553" s="124"/>
      <c r="BU553" s="124"/>
      <c r="BV553" s="124"/>
      <c r="BW553" s="124"/>
      <c r="BX553" s="124"/>
      <c r="BY553" s="124"/>
      <c r="BZ553" s="124"/>
      <c r="CA553" s="124"/>
    </row>
    <row r="554">
      <c r="D554" s="143"/>
      <c r="E554" s="129"/>
      <c r="F554" s="112"/>
      <c r="G554" s="112"/>
      <c r="H554" s="112"/>
      <c r="I554" s="112"/>
      <c r="J554" s="112"/>
      <c r="K554" s="112"/>
      <c r="L554" s="112"/>
      <c r="M554" s="112"/>
      <c r="N554" s="112"/>
      <c r="O554" s="112"/>
      <c r="P554" s="112"/>
      <c r="Q554" s="112"/>
      <c r="R554" s="112"/>
      <c r="S554" s="112"/>
      <c r="T554" s="112"/>
      <c r="U554" s="124"/>
      <c r="V554" s="124"/>
      <c r="W554" s="124"/>
      <c r="X554" s="124"/>
      <c r="Y554" s="124"/>
      <c r="Z554" s="112"/>
      <c r="AA554" s="112"/>
      <c r="AB554" s="112"/>
      <c r="AC554" s="112"/>
      <c r="AD554" s="112"/>
      <c r="AE554" s="112"/>
      <c r="AF554" s="112"/>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row>
    <row r="555">
      <c r="D555" s="143"/>
      <c r="E555" s="129"/>
      <c r="F555" s="112"/>
      <c r="G555" s="112"/>
      <c r="H555" s="112"/>
      <c r="I555" s="112"/>
      <c r="J555" s="112"/>
      <c r="K555" s="112"/>
      <c r="L555" s="112"/>
      <c r="M555" s="112"/>
      <c r="N555" s="112"/>
      <c r="O555" s="112"/>
      <c r="P555" s="112"/>
      <c r="Q555" s="112"/>
      <c r="R555" s="112"/>
      <c r="S555" s="112"/>
      <c r="T555" s="112"/>
      <c r="U555" s="124"/>
      <c r="V555" s="124"/>
      <c r="W555" s="124"/>
      <c r="X555" s="124"/>
      <c r="Y555" s="124"/>
      <c r="Z555" s="112"/>
      <c r="AA555" s="112"/>
      <c r="AB555" s="112"/>
      <c r="AC555" s="112"/>
      <c r="AD555" s="112"/>
      <c r="AE555" s="112"/>
      <c r="AF555" s="112"/>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c r="BK555" s="124"/>
      <c r="BL555" s="124"/>
      <c r="BM555" s="124"/>
      <c r="BN555" s="124"/>
      <c r="BO555" s="124"/>
      <c r="BP555" s="124"/>
      <c r="BQ555" s="124"/>
      <c r="BR555" s="124"/>
      <c r="BS555" s="124"/>
      <c r="BT555" s="124"/>
      <c r="BU555" s="124"/>
      <c r="BV555" s="124"/>
      <c r="BW555" s="124"/>
      <c r="BX555" s="124"/>
      <c r="BY555" s="124"/>
      <c r="BZ555" s="124"/>
      <c r="CA555" s="124"/>
    </row>
    <row r="556">
      <c r="D556" s="143"/>
      <c r="E556" s="129"/>
      <c r="F556" s="112"/>
      <c r="G556" s="112"/>
      <c r="H556" s="112"/>
      <c r="I556" s="112"/>
      <c r="J556" s="112"/>
      <c r="K556" s="112"/>
      <c r="L556" s="112"/>
      <c r="M556" s="112"/>
      <c r="N556" s="112"/>
      <c r="O556" s="112"/>
      <c r="P556" s="112"/>
      <c r="Q556" s="112"/>
      <c r="R556" s="112"/>
      <c r="S556" s="112"/>
      <c r="T556" s="112"/>
      <c r="U556" s="124"/>
      <c r="V556" s="124"/>
      <c r="W556" s="124"/>
      <c r="X556" s="124"/>
      <c r="Y556" s="124"/>
      <c r="Z556" s="112"/>
      <c r="AA556" s="112"/>
      <c r="AB556" s="112"/>
      <c r="AC556" s="112"/>
      <c r="AD556" s="112"/>
      <c r="AE556" s="112"/>
      <c r="AF556" s="112"/>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c r="BK556" s="124"/>
      <c r="BL556" s="124"/>
      <c r="BM556" s="124"/>
      <c r="BN556" s="124"/>
      <c r="BO556" s="124"/>
      <c r="BP556" s="124"/>
      <c r="BQ556" s="124"/>
      <c r="BR556" s="124"/>
      <c r="BS556" s="124"/>
      <c r="BT556" s="124"/>
      <c r="BU556" s="124"/>
      <c r="BV556" s="124"/>
      <c r="BW556" s="124"/>
      <c r="BX556" s="124"/>
      <c r="BY556" s="124"/>
      <c r="BZ556" s="124"/>
      <c r="CA556" s="124"/>
    </row>
    <row r="557">
      <c r="D557" s="143"/>
      <c r="E557" s="129"/>
      <c r="F557" s="112"/>
      <c r="G557" s="112"/>
      <c r="H557" s="112"/>
      <c r="I557" s="112"/>
      <c r="J557" s="112"/>
      <c r="K557" s="112"/>
      <c r="L557" s="112"/>
      <c r="M557" s="112"/>
      <c r="N557" s="112"/>
      <c r="O557" s="112"/>
      <c r="P557" s="112"/>
      <c r="Q557" s="112"/>
      <c r="R557" s="112"/>
      <c r="S557" s="112"/>
      <c r="T557" s="112"/>
      <c r="U557" s="124"/>
      <c r="V557" s="124"/>
      <c r="W557" s="124"/>
      <c r="X557" s="124"/>
      <c r="Y557" s="124"/>
      <c r="Z557" s="112"/>
      <c r="AA557" s="112"/>
      <c r="AB557" s="112"/>
      <c r="AC557" s="112"/>
      <c r="AD557" s="112"/>
      <c r="AE557" s="112"/>
      <c r="AF557" s="112"/>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c r="BK557" s="124"/>
      <c r="BL557" s="124"/>
      <c r="BM557" s="124"/>
      <c r="BN557" s="124"/>
      <c r="BO557" s="124"/>
      <c r="BP557" s="124"/>
      <c r="BQ557" s="124"/>
      <c r="BR557" s="124"/>
      <c r="BS557" s="124"/>
      <c r="BT557" s="124"/>
      <c r="BU557" s="124"/>
      <c r="BV557" s="124"/>
      <c r="BW557" s="124"/>
      <c r="BX557" s="124"/>
      <c r="BY557" s="124"/>
      <c r="BZ557" s="124"/>
      <c r="CA557" s="124"/>
    </row>
    <row r="558">
      <c r="D558" s="143"/>
      <c r="E558" s="129"/>
      <c r="F558" s="112"/>
      <c r="G558" s="112"/>
      <c r="H558" s="112"/>
      <c r="I558" s="112"/>
      <c r="J558" s="112"/>
      <c r="K558" s="112"/>
      <c r="L558" s="112"/>
      <c r="M558" s="112"/>
      <c r="N558" s="112"/>
      <c r="O558" s="112"/>
      <c r="P558" s="112"/>
      <c r="Q558" s="112"/>
      <c r="R558" s="112"/>
      <c r="S558" s="112"/>
      <c r="T558" s="112"/>
      <c r="U558" s="124"/>
      <c r="V558" s="124"/>
      <c r="W558" s="124"/>
      <c r="X558" s="124"/>
      <c r="Y558" s="124"/>
      <c r="Z558" s="112"/>
      <c r="AA558" s="112"/>
      <c r="AB558" s="112"/>
      <c r="AC558" s="112"/>
      <c r="AD558" s="112"/>
      <c r="AE558" s="112"/>
      <c r="AF558" s="112"/>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c r="BK558" s="124"/>
      <c r="BL558" s="124"/>
      <c r="BM558" s="124"/>
      <c r="BN558" s="124"/>
      <c r="BO558" s="124"/>
      <c r="BP558" s="124"/>
      <c r="BQ558" s="124"/>
      <c r="BR558" s="124"/>
      <c r="BS558" s="124"/>
      <c r="BT558" s="124"/>
      <c r="BU558" s="124"/>
      <c r="BV558" s="124"/>
      <c r="BW558" s="124"/>
      <c r="BX558" s="124"/>
      <c r="BY558" s="124"/>
      <c r="BZ558" s="124"/>
      <c r="CA558" s="124"/>
    </row>
    <row r="559">
      <c r="D559" s="143"/>
      <c r="E559" s="129"/>
      <c r="F559" s="112"/>
      <c r="G559" s="112"/>
      <c r="H559" s="112"/>
      <c r="I559" s="112"/>
      <c r="J559" s="112"/>
      <c r="K559" s="112"/>
      <c r="L559" s="112"/>
      <c r="M559" s="112"/>
      <c r="N559" s="112"/>
      <c r="O559" s="112"/>
      <c r="P559" s="112"/>
      <c r="Q559" s="112"/>
      <c r="R559" s="112"/>
      <c r="S559" s="112"/>
      <c r="T559" s="112"/>
      <c r="U559" s="124"/>
      <c r="V559" s="124"/>
      <c r="W559" s="124"/>
      <c r="X559" s="124"/>
      <c r="Y559" s="124"/>
      <c r="Z559" s="112"/>
      <c r="AA559" s="112"/>
      <c r="AB559" s="112"/>
      <c r="AC559" s="112"/>
      <c r="AD559" s="112"/>
      <c r="AE559" s="112"/>
      <c r="AF559" s="112"/>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c r="BK559" s="124"/>
      <c r="BL559" s="124"/>
      <c r="BM559" s="124"/>
      <c r="BN559" s="124"/>
      <c r="BO559" s="124"/>
      <c r="BP559" s="124"/>
      <c r="BQ559" s="124"/>
      <c r="BR559" s="124"/>
      <c r="BS559" s="124"/>
      <c r="BT559" s="124"/>
      <c r="BU559" s="124"/>
      <c r="BV559" s="124"/>
      <c r="BW559" s="124"/>
      <c r="BX559" s="124"/>
      <c r="BY559" s="124"/>
      <c r="BZ559" s="124"/>
      <c r="CA559" s="124"/>
    </row>
    <row r="560">
      <c r="D560" s="143"/>
      <c r="E560" s="129"/>
      <c r="F560" s="112"/>
      <c r="G560" s="112"/>
      <c r="H560" s="112"/>
      <c r="I560" s="112"/>
      <c r="J560" s="112"/>
      <c r="K560" s="112"/>
      <c r="L560" s="112"/>
      <c r="M560" s="112"/>
      <c r="N560" s="112"/>
      <c r="O560" s="112"/>
      <c r="P560" s="112"/>
      <c r="Q560" s="112"/>
      <c r="R560" s="112"/>
      <c r="S560" s="112"/>
      <c r="T560" s="112"/>
      <c r="U560" s="124"/>
      <c r="V560" s="124"/>
      <c r="W560" s="124"/>
      <c r="X560" s="124"/>
      <c r="Y560" s="124"/>
      <c r="Z560" s="112"/>
      <c r="AA560" s="112"/>
      <c r="AB560" s="112"/>
      <c r="AC560" s="112"/>
      <c r="AD560" s="112"/>
      <c r="AE560" s="112"/>
      <c r="AF560" s="112"/>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row>
    <row r="561">
      <c r="D561" s="143"/>
      <c r="E561" s="129"/>
      <c r="F561" s="112"/>
      <c r="G561" s="112"/>
      <c r="H561" s="112"/>
      <c r="I561" s="112"/>
      <c r="J561" s="112"/>
      <c r="K561" s="112"/>
      <c r="L561" s="112"/>
      <c r="M561" s="112"/>
      <c r="N561" s="112"/>
      <c r="O561" s="112"/>
      <c r="P561" s="112"/>
      <c r="Q561" s="112"/>
      <c r="R561" s="112"/>
      <c r="S561" s="112"/>
      <c r="T561" s="112"/>
      <c r="U561" s="124"/>
      <c r="V561" s="124"/>
      <c r="W561" s="124"/>
      <c r="X561" s="124"/>
      <c r="Y561" s="124"/>
      <c r="Z561" s="112"/>
      <c r="AA561" s="112"/>
      <c r="AB561" s="112"/>
      <c r="AC561" s="112"/>
      <c r="AD561" s="112"/>
      <c r="AE561" s="112"/>
      <c r="AF561" s="112"/>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c r="BK561" s="124"/>
      <c r="BL561" s="124"/>
      <c r="BM561" s="124"/>
      <c r="BN561" s="124"/>
      <c r="BO561" s="124"/>
      <c r="BP561" s="124"/>
      <c r="BQ561" s="124"/>
      <c r="BR561" s="124"/>
      <c r="BS561" s="124"/>
      <c r="BT561" s="124"/>
      <c r="BU561" s="124"/>
      <c r="BV561" s="124"/>
      <c r="BW561" s="124"/>
      <c r="BX561" s="124"/>
      <c r="BY561" s="124"/>
      <c r="BZ561" s="124"/>
      <c r="CA561" s="124"/>
    </row>
    <row r="562">
      <c r="D562" s="143"/>
      <c r="E562" s="129"/>
      <c r="F562" s="112"/>
      <c r="G562" s="112"/>
      <c r="H562" s="112"/>
      <c r="I562" s="112"/>
      <c r="J562" s="112"/>
      <c r="K562" s="112"/>
      <c r="L562" s="112"/>
      <c r="M562" s="112"/>
      <c r="N562" s="112"/>
      <c r="O562" s="112"/>
      <c r="P562" s="112"/>
      <c r="Q562" s="112"/>
      <c r="R562" s="112"/>
      <c r="S562" s="112"/>
      <c r="T562" s="112"/>
      <c r="U562" s="124"/>
      <c r="V562" s="124"/>
      <c r="W562" s="124"/>
      <c r="X562" s="124"/>
      <c r="Y562" s="124"/>
      <c r="Z562" s="112"/>
      <c r="AA562" s="112"/>
      <c r="AB562" s="112"/>
      <c r="AC562" s="112"/>
      <c r="AD562" s="112"/>
      <c r="AE562" s="112"/>
      <c r="AF562" s="112"/>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c r="BK562" s="124"/>
      <c r="BL562" s="124"/>
      <c r="BM562" s="124"/>
      <c r="BN562" s="124"/>
      <c r="BO562" s="124"/>
      <c r="BP562" s="124"/>
      <c r="BQ562" s="124"/>
      <c r="BR562" s="124"/>
      <c r="BS562" s="124"/>
      <c r="BT562" s="124"/>
      <c r="BU562" s="124"/>
      <c r="BV562" s="124"/>
      <c r="BW562" s="124"/>
      <c r="BX562" s="124"/>
      <c r="BY562" s="124"/>
      <c r="BZ562" s="124"/>
      <c r="CA562" s="124"/>
    </row>
    <row r="563">
      <c r="D563" s="143"/>
      <c r="E563" s="129"/>
      <c r="F563" s="112"/>
      <c r="G563" s="112"/>
      <c r="H563" s="112"/>
      <c r="I563" s="112"/>
      <c r="J563" s="112"/>
      <c r="K563" s="112"/>
      <c r="L563" s="112"/>
      <c r="M563" s="112"/>
      <c r="N563" s="112"/>
      <c r="O563" s="112"/>
      <c r="P563" s="112"/>
      <c r="Q563" s="112"/>
      <c r="R563" s="112"/>
      <c r="S563" s="112"/>
      <c r="T563" s="112"/>
      <c r="U563" s="124"/>
      <c r="V563" s="124"/>
      <c r="W563" s="124"/>
      <c r="X563" s="124"/>
      <c r="Y563" s="124"/>
      <c r="Z563" s="112"/>
      <c r="AA563" s="112"/>
      <c r="AB563" s="112"/>
      <c r="AC563" s="112"/>
      <c r="AD563" s="112"/>
      <c r="AE563" s="112"/>
      <c r="AF563" s="112"/>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c r="BK563" s="124"/>
      <c r="BL563" s="124"/>
      <c r="BM563" s="124"/>
      <c r="BN563" s="124"/>
      <c r="BO563" s="124"/>
      <c r="BP563" s="124"/>
      <c r="BQ563" s="124"/>
      <c r="BR563" s="124"/>
      <c r="BS563" s="124"/>
      <c r="BT563" s="124"/>
      <c r="BU563" s="124"/>
      <c r="BV563" s="124"/>
      <c r="BW563" s="124"/>
      <c r="BX563" s="124"/>
      <c r="BY563" s="124"/>
      <c r="BZ563" s="124"/>
      <c r="CA563" s="124"/>
    </row>
    <row r="564">
      <c r="D564" s="143"/>
      <c r="E564" s="129"/>
      <c r="F564" s="112"/>
      <c r="G564" s="112"/>
      <c r="H564" s="112"/>
      <c r="I564" s="112"/>
      <c r="J564" s="112"/>
      <c r="K564" s="112"/>
      <c r="L564" s="112"/>
      <c r="M564" s="112"/>
      <c r="N564" s="112"/>
      <c r="O564" s="112"/>
      <c r="P564" s="112"/>
      <c r="Q564" s="112"/>
      <c r="R564" s="112"/>
      <c r="S564" s="112"/>
      <c r="T564" s="112"/>
      <c r="U564" s="124"/>
      <c r="V564" s="124"/>
      <c r="W564" s="124"/>
      <c r="X564" s="124"/>
      <c r="Y564" s="124"/>
      <c r="Z564" s="112"/>
      <c r="AA564" s="112"/>
      <c r="AB564" s="112"/>
      <c r="AC564" s="112"/>
      <c r="AD564" s="112"/>
      <c r="AE564" s="112"/>
      <c r="AF564" s="112"/>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c r="BK564" s="124"/>
      <c r="BL564" s="124"/>
      <c r="BM564" s="124"/>
      <c r="BN564" s="124"/>
      <c r="BO564" s="124"/>
      <c r="BP564" s="124"/>
      <c r="BQ564" s="124"/>
      <c r="BR564" s="124"/>
      <c r="BS564" s="124"/>
      <c r="BT564" s="124"/>
      <c r="BU564" s="124"/>
      <c r="BV564" s="124"/>
      <c r="BW564" s="124"/>
      <c r="BX564" s="124"/>
      <c r="BY564" s="124"/>
      <c r="BZ564" s="124"/>
      <c r="CA564" s="124"/>
    </row>
    <row r="565">
      <c r="D565" s="143"/>
      <c r="E565" s="129"/>
      <c r="F565" s="112"/>
      <c r="G565" s="112"/>
      <c r="H565" s="112"/>
      <c r="I565" s="112"/>
      <c r="J565" s="112"/>
      <c r="K565" s="112"/>
      <c r="L565" s="112"/>
      <c r="M565" s="112"/>
      <c r="N565" s="112"/>
      <c r="O565" s="112"/>
      <c r="P565" s="112"/>
      <c r="Q565" s="112"/>
      <c r="R565" s="112"/>
      <c r="S565" s="112"/>
      <c r="T565" s="112"/>
      <c r="U565" s="124"/>
      <c r="V565" s="124"/>
      <c r="W565" s="124"/>
      <c r="X565" s="124"/>
      <c r="Y565" s="124"/>
      <c r="Z565" s="112"/>
      <c r="AA565" s="112"/>
      <c r="AB565" s="112"/>
      <c r="AC565" s="112"/>
      <c r="AD565" s="112"/>
      <c r="AE565" s="112"/>
      <c r="AF565" s="112"/>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c r="BK565" s="124"/>
      <c r="BL565" s="124"/>
      <c r="BM565" s="124"/>
      <c r="BN565" s="124"/>
      <c r="BO565" s="124"/>
      <c r="BP565" s="124"/>
      <c r="BQ565" s="124"/>
      <c r="BR565" s="124"/>
      <c r="BS565" s="124"/>
      <c r="BT565" s="124"/>
      <c r="BU565" s="124"/>
      <c r="BV565" s="124"/>
      <c r="BW565" s="124"/>
      <c r="BX565" s="124"/>
      <c r="BY565" s="124"/>
      <c r="BZ565" s="124"/>
      <c r="CA565" s="124"/>
    </row>
    <row r="566">
      <c r="D566" s="143"/>
      <c r="E566" s="129"/>
      <c r="F566" s="112"/>
      <c r="G566" s="112"/>
      <c r="H566" s="112"/>
      <c r="I566" s="112"/>
      <c r="J566" s="112"/>
      <c r="K566" s="112"/>
      <c r="L566" s="112"/>
      <c r="M566" s="112"/>
      <c r="N566" s="112"/>
      <c r="O566" s="112"/>
      <c r="P566" s="112"/>
      <c r="Q566" s="112"/>
      <c r="R566" s="112"/>
      <c r="S566" s="112"/>
      <c r="T566" s="112"/>
      <c r="U566" s="124"/>
      <c r="V566" s="124"/>
      <c r="W566" s="124"/>
      <c r="X566" s="124"/>
      <c r="Y566" s="124"/>
      <c r="Z566" s="112"/>
      <c r="AA566" s="112"/>
      <c r="AB566" s="112"/>
      <c r="AC566" s="112"/>
      <c r="AD566" s="112"/>
      <c r="AE566" s="112"/>
      <c r="AF566" s="112"/>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row>
    <row r="567">
      <c r="D567" s="143"/>
      <c r="E567" s="129"/>
      <c r="F567" s="112"/>
      <c r="G567" s="112"/>
      <c r="H567" s="112"/>
      <c r="I567" s="112"/>
      <c r="J567" s="112"/>
      <c r="K567" s="112"/>
      <c r="L567" s="112"/>
      <c r="M567" s="112"/>
      <c r="N567" s="112"/>
      <c r="O567" s="112"/>
      <c r="P567" s="112"/>
      <c r="Q567" s="112"/>
      <c r="R567" s="112"/>
      <c r="S567" s="112"/>
      <c r="T567" s="112"/>
      <c r="U567" s="124"/>
      <c r="V567" s="124"/>
      <c r="W567" s="124"/>
      <c r="X567" s="124"/>
      <c r="Y567" s="124"/>
      <c r="Z567" s="112"/>
      <c r="AA567" s="112"/>
      <c r="AB567" s="112"/>
      <c r="AC567" s="112"/>
      <c r="AD567" s="112"/>
      <c r="AE567" s="112"/>
      <c r="AF567" s="112"/>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c r="BK567" s="124"/>
      <c r="BL567" s="124"/>
      <c r="BM567" s="124"/>
      <c r="BN567" s="124"/>
      <c r="BO567" s="124"/>
      <c r="BP567" s="124"/>
      <c r="BQ567" s="124"/>
      <c r="BR567" s="124"/>
      <c r="BS567" s="124"/>
      <c r="BT567" s="124"/>
      <c r="BU567" s="124"/>
      <c r="BV567" s="124"/>
      <c r="BW567" s="124"/>
      <c r="BX567" s="124"/>
      <c r="BY567" s="124"/>
      <c r="BZ567" s="124"/>
      <c r="CA567" s="124"/>
    </row>
    <row r="568">
      <c r="D568" s="143"/>
      <c r="E568" s="129"/>
      <c r="F568" s="112"/>
      <c r="G568" s="112"/>
      <c r="H568" s="112"/>
      <c r="I568" s="112"/>
      <c r="J568" s="112"/>
      <c r="K568" s="112"/>
      <c r="L568" s="112"/>
      <c r="M568" s="112"/>
      <c r="N568" s="112"/>
      <c r="O568" s="112"/>
      <c r="P568" s="112"/>
      <c r="Q568" s="112"/>
      <c r="R568" s="112"/>
      <c r="S568" s="112"/>
      <c r="T568" s="112"/>
      <c r="U568" s="124"/>
      <c r="V568" s="124"/>
      <c r="W568" s="124"/>
      <c r="X568" s="124"/>
      <c r="Y568" s="124"/>
      <c r="Z568" s="112"/>
      <c r="AA568" s="112"/>
      <c r="AB568" s="112"/>
      <c r="AC568" s="112"/>
      <c r="AD568" s="112"/>
      <c r="AE568" s="112"/>
      <c r="AF568" s="112"/>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c r="BK568" s="124"/>
      <c r="BL568" s="124"/>
      <c r="BM568" s="124"/>
      <c r="BN568" s="124"/>
      <c r="BO568" s="124"/>
      <c r="BP568" s="124"/>
      <c r="BQ568" s="124"/>
      <c r="BR568" s="124"/>
      <c r="BS568" s="124"/>
      <c r="BT568" s="124"/>
      <c r="BU568" s="124"/>
      <c r="BV568" s="124"/>
      <c r="BW568" s="124"/>
      <c r="BX568" s="124"/>
      <c r="BY568" s="124"/>
      <c r="BZ568" s="124"/>
      <c r="CA568" s="124"/>
    </row>
    <row r="569">
      <c r="D569" s="143"/>
      <c r="E569" s="129"/>
      <c r="F569" s="112"/>
      <c r="G569" s="112"/>
      <c r="H569" s="112"/>
      <c r="I569" s="112"/>
      <c r="J569" s="112"/>
      <c r="K569" s="112"/>
      <c r="L569" s="112"/>
      <c r="M569" s="112"/>
      <c r="N569" s="112"/>
      <c r="O569" s="112"/>
      <c r="P569" s="112"/>
      <c r="Q569" s="112"/>
      <c r="R569" s="112"/>
      <c r="S569" s="112"/>
      <c r="T569" s="112"/>
      <c r="U569" s="124"/>
      <c r="V569" s="124"/>
      <c r="W569" s="124"/>
      <c r="X569" s="124"/>
      <c r="Y569" s="124"/>
      <c r="Z569" s="112"/>
      <c r="AA569" s="112"/>
      <c r="AB569" s="112"/>
      <c r="AC569" s="112"/>
      <c r="AD569" s="112"/>
      <c r="AE569" s="112"/>
      <c r="AF569" s="112"/>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c r="BK569" s="124"/>
      <c r="BL569" s="124"/>
      <c r="BM569" s="124"/>
      <c r="BN569" s="124"/>
      <c r="BO569" s="124"/>
      <c r="BP569" s="124"/>
      <c r="BQ569" s="124"/>
      <c r="BR569" s="124"/>
      <c r="BS569" s="124"/>
      <c r="BT569" s="124"/>
      <c r="BU569" s="124"/>
      <c r="BV569" s="124"/>
      <c r="BW569" s="124"/>
      <c r="BX569" s="124"/>
      <c r="BY569" s="124"/>
      <c r="BZ569" s="124"/>
      <c r="CA569" s="124"/>
    </row>
    <row r="570">
      <c r="D570" s="143"/>
      <c r="E570" s="129"/>
      <c r="F570" s="112"/>
      <c r="G570" s="112"/>
      <c r="H570" s="112"/>
      <c r="I570" s="112"/>
      <c r="J570" s="112"/>
      <c r="K570" s="112"/>
      <c r="L570" s="112"/>
      <c r="M570" s="112"/>
      <c r="N570" s="112"/>
      <c r="O570" s="112"/>
      <c r="P570" s="112"/>
      <c r="Q570" s="112"/>
      <c r="R570" s="112"/>
      <c r="S570" s="112"/>
      <c r="T570" s="112"/>
      <c r="U570" s="124"/>
      <c r="V570" s="124"/>
      <c r="W570" s="124"/>
      <c r="X570" s="124"/>
      <c r="Y570" s="124"/>
      <c r="Z570" s="112"/>
      <c r="AA570" s="112"/>
      <c r="AB570" s="112"/>
      <c r="AC570" s="112"/>
      <c r="AD570" s="112"/>
      <c r="AE570" s="112"/>
      <c r="AF570" s="112"/>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c r="BK570" s="124"/>
      <c r="BL570" s="124"/>
      <c r="BM570" s="124"/>
      <c r="BN570" s="124"/>
      <c r="BO570" s="124"/>
      <c r="BP570" s="124"/>
      <c r="BQ570" s="124"/>
      <c r="BR570" s="124"/>
      <c r="BS570" s="124"/>
      <c r="BT570" s="124"/>
      <c r="BU570" s="124"/>
      <c r="BV570" s="124"/>
      <c r="BW570" s="124"/>
      <c r="BX570" s="124"/>
      <c r="BY570" s="124"/>
      <c r="BZ570" s="124"/>
      <c r="CA570" s="124"/>
    </row>
    <row r="571">
      <c r="D571" s="143"/>
      <c r="E571" s="129"/>
      <c r="F571" s="112"/>
      <c r="G571" s="112"/>
      <c r="H571" s="112"/>
      <c r="I571" s="112"/>
      <c r="J571" s="112"/>
      <c r="K571" s="112"/>
      <c r="L571" s="112"/>
      <c r="M571" s="112"/>
      <c r="N571" s="112"/>
      <c r="O571" s="112"/>
      <c r="P571" s="112"/>
      <c r="Q571" s="112"/>
      <c r="R571" s="112"/>
      <c r="S571" s="112"/>
      <c r="T571" s="112"/>
      <c r="U571" s="124"/>
      <c r="V571" s="124"/>
      <c r="W571" s="124"/>
      <c r="X571" s="124"/>
      <c r="Y571" s="124"/>
      <c r="Z571" s="112"/>
      <c r="AA571" s="112"/>
      <c r="AB571" s="112"/>
      <c r="AC571" s="112"/>
      <c r="AD571" s="112"/>
      <c r="AE571" s="112"/>
      <c r="AF571" s="112"/>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c r="BK571" s="124"/>
      <c r="BL571" s="124"/>
      <c r="BM571" s="124"/>
      <c r="BN571" s="124"/>
      <c r="BO571" s="124"/>
      <c r="BP571" s="124"/>
      <c r="BQ571" s="124"/>
      <c r="BR571" s="124"/>
      <c r="BS571" s="124"/>
      <c r="BT571" s="124"/>
      <c r="BU571" s="124"/>
      <c r="BV571" s="124"/>
      <c r="BW571" s="124"/>
      <c r="BX571" s="124"/>
      <c r="BY571" s="124"/>
      <c r="BZ571" s="124"/>
      <c r="CA571" s="124"/>
    </row>
    <row r="572">
      <c r="D572" s="143"/>
      <c r="E572" s="129"/>
      <c r="F572" s="112"/>
      <c r="G572" s="112"/>
      <c r="H572" s="112"/>
      <c r="I572" s="112"/>
      <c r="J572" s="112"/>
      <c r="K572" s="112"/>
      <c r="L572" s="112"/>
      <c r="M572" s="112"/>
      <c r="N572" s="112"/>
      <c r="O572" s="112"/>
      <c r="P572" s="112"/>
      <c r="Q572" s="112"/>
      <c r="R572" s="112"/>
      <c r="S572" s="112"/>
      <c r="T572" s="112"/>
      <c r="U572" s="124"/>
      <c r="V572" s="124"/>
      <c r="W572" s="124"/>
      <c r="X572" s="124"/>
      <c r="Y572" s="124"/>
      <c r="Z572" s="112"/>
      <c r="AA572" s="112"/>
      <c r="AB572" s="112"/>
      <c r="AC572" s="112"/>
      <c r="AD572" s="112"/>
      <c r="AE572" s="112"/>
      <c r="AF572" s="112"/>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row>
    <row r="573">
      <c r="D573" s="143"/>
      <c r="E573" s="129"/>
      <c r="F573" s="112"/>
      <c r="G573" s="112"/>
      <c r="H573" s="112"/>
      <c r="I573" s="112"/>
      <c r="J573" s="112"/>
      <c r="K573" s="112"/>
      <c r="L573" s="112"/>
      <c r="M573" s="112"/>
      <c r="N573" s="112"/>
      <c r="O573" s="112"/>
      <c r="P573" s="112"/>
      <c r="Q573" s="112"/>
      <c r="R573" s="112"/>
      <c r="S573" s="112"/>
      <c r="T573" s="112"/>
      <c r="U573" s="124"/>
      <c r="V573" s="124"/>
      <c r="W573" s="124"/>
      <c r="X573" s="124"/>
      <c r="Y573" s="124"/>
      <c r="Z573" s="112"/>
      <c r="AA573" s="112"/>
      <c r="AB573" s="112"/>
      <c r="AC573" s="112"/>
      <c r="AD573" s="112"/>
      <c r="AE573" s="112"/>
      <c r="AF573" s="112"/>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c r="BK573" s="124"/>
      <c r="BL573" s="124"/>
      <c r="BM573" s="124"/>
      <c r="BN573" s="124"/>
      <c r="BO573" s="124"/>
      <c r="BP573" s="124"/>
      <c r="BQ573" s="124"/>
      <c r="BR573" s="124"/>
      <c r="BS573" s="124"/>
      <c r="BT573" s="124"/>
      <c r="BU573" s="124"/>
      <c r="BV573" s="124"/>
      <c r="BW573" s="124"/>
      <c r="BX573" s="124"/>
      <c r="BY573" s="124"/>
      <c r="BZ573" s="124"/>
      <c r="CA573" s="124"/>
    </row>
    <row r="574">
      <c r="D574" s="143"/>
      <c r="E574" s="129"/>
      <c r="F574" s="112"/>
      <c r="G574" s="112"/>
      <c r="H574" s="112"/>
      <c r="I574" s="112"/>
      <c r="J574" s="112"/>
      <c r="K574" s="112"/>
      <c r="L574" s="112"/>
      <c r="M574" s="112"/>
      <c r="N574" s="112"/>
      <c r="O574" s="112"/>
      <c r="P574" s="112"/>
      <c r="Q574" s="112"/>
      <c r="R574" s="112"/>
      <c r="S574" s="112"/>
      <c r="T574" s="112"/>
      <c r="U574" s="124"/>
      <c r="V574" s="124"/>
      <c r="W574" s="124"/>
      <c r="X574" s="124"/>
      <c r="Y574" s="124"/>
      <c r="Z574" s="112"/>
      <c r="AA574" s="112"/>
      <c r="AB574" s="112"/>
      <c r="AC574" s="112"/>
      <c r="AD574" s="112"/>
      <c r="AE574" s="112"/>
      <c r="AF574" s="112"/>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c r="BK574" s="124"/>
      <c r="BL574" s="124"/>
      <c r="BM574" s="124"/>
      <c r="BN574" s="124"/>
      <c r="BO574" s="124"/>
      <c r="BP574" s="124"/>
      <c r="BQ574" s="124"/>
      <c r="BR574" s="124"/>
      <c r="BS574" s="124"/>
      <c r="BT574" s="124"/>
      <c r="BU574" s="124"/>
      <c r="BV574" s="124"/>
      <c r="BW574" s="124"/>
      <c r="BX574" s="124"/>
      <c r="BY574" s="124"/>
      <c r="BZ574" s="124"/>
      <c r="CA574" s="124"/>
    </row>
    <row r="575">
      <c r="D575" s="143"/>
      <c r="E575" s="129"/>
      <c r="F575" s="112"/>
      <c r="G575" s="112"/>
      <c r="H575" s="112"/>
      <c r="I575" s="112"/>
      <c r="J575" s="112"/>
      <c r="K575" s="112"/>
      <c r="L575" s="112"/>
      <c r="M575" s="112"/>
      <c r="N575" s="112"/>
      <c r="O575" s="112"/>
      <c r="P575" s="112"/>
      <c r="Q575" s="112"/>
      <c r="R575" s="112"/>
      <c r="S575" s="112"/>
      <c r="T575" s="112"/>
      <c r="U575" s="124"/>
      <c r="V575" s="124"/>
      <c r="W575" s="124"/>
      <c r="X575" s="124"/>
      <c r="Y575" s="124"/>
      <c r="Z575" s="112"/>
      <c r="AA575" s="112"/>
      <c r="AB575" s="112"/>
      <c r="AC575" s="112"/>
      <c r="AD575" s="112"/>
      <c r="AE575" s="112"/>
      <c r="AF575" s="112"/>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c r="BK575" s="124"/>
      <c r="BL575" s="124"/>
      <c r="BM575" s="124"/>
      <c r="BN575" s="124"/>
      <c r="BO575" s="124"/>
      <c r="BP575" s="124"/>
      <c r="BQ575" s="124"/>
      <c r="BR575" s="124"/>
      <c r="BS575" s="124"/>
      <c r="BT575" s="124"/>
      <c r="BU575" s="124"/>
      <c r="BV575" s="124"/>
      <c r="BW575" s="124"/>
      <c r="BX575" s="124"/>
      <c r="BY575" s="124"/>
      <c r="BZ575" s="124"/>
      <c r="CA575" s="124"/>
    </row>
    <row r="576">
      <c r="D576" s="143"/>
      <c r="E576" s="129"/>
      <c r="F576" s="112"/>
      <c r="G576" s="112"/>
      <c r="H576" s="112"/>
      <c r="I576" s="112"/>
      <c r="J576" s="112"/>
      <c r="K576" s="112"/>
      <c r="L576" s="112"/>
      <c r="M576" s="112"/>
      <c r="N576" s="112"/>
      <c r="O576" s="112"/>
      <c r="P576" s="112"/>
      <c r="Q576" s="112"/>
      <c r="R576" s="112"/>
      <c r="S576" s="112"/>
      <c r="T576" s="112"/>
      <c r="U576" s="124"/>
      <c r="V576" s="124"/>
      <c r="W576" s="124"/>
      <c r="X576" s="124"/>
      <c r="Y576" s="124"/>
      <c r="Z576" s="112"/>
      <c r="AA576" s="112"/>
      <c r="AB576" s="112"/>
      <c r="AC576" s="112"/>
      <c r="AD576" s="112"/>
      <c r="AE576" s="112"/>
      <c r="AF576" s="112"/>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c r="BK576" s="124"/>
      <c r="BL576" s="124"/>
      <c r="BM576" s="124"/>
      <c r="BN576" s="124"/>
      <c r="BO576" s="124"/>
      <c r="BP576" s="124"/>
      <c r="BQ576" s="124"/>
      <c r="BR576" s="124"/>
      <c r="BS576" s="124"/>
      <c r="BT576" s="124"/>
      <c r="BU576" s="124"/>
      <c r="BV576" s="124"/>
      <c r="BW576" s="124"/>
      <c r="BX576" s="124"/>
      <c r="BY576" s="124"/>
      <c r="BZ576" s="124"/>
      <c r="CA576" s="124"/>
    </row>
    <row r="577">
      <c r="D577" s="143"/>
      <c r="E577" s="129"/>
      <c r="F577" s="112"/>
      <c r="G577" s="112"/>
      <c r="H577" s="112"/>
      <c r="I577" s="112"/>
      <c r="J577" s="112"/>
      <c r="K577" s="112"/>
      <c r="L577" s="112"/>
      <c r="M577" s="112"/>
      <c r="N577" s="112"/>
      <c r="O577" s="112"/>
      <c r="P577" s="112"/>
      <c r="Q577" s="112"/>
      <c r="R577" s="112"/>
      <c r="S577" s="112"/>
      <c r="T577" s="112"/>
      <c r="U577" s="124"/>
      <c r="V577" s="124"/>
      <c r="W577" s="124"/>
      <c r="X577" s="124"/>
      <c r="Y577" s="124"/>
      <c r="Z577" s="112"/>
      <c r="AA577" s="112"/>
      <c r="AB577" s="112"/>
      <c r="AC577" s="112"/>
      <c r="AD577" s="112"/>
      <c r="AE577" s="112"/>
      <c r="AF577" s="112"/>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c r="BK577" s="124"/>
      <c r="BL577" s="124"/>
      <c r="BM577" s="124"/>
      <c r="BN577" s="124"/>
      <c r="BO577" s="124"/>
      <c r="BP577" s="124"/>
      <c r="BQ577" s="124"/>
      <c r="BR577" s="124"/>
      <c r="BS577" s="124"/>
      <c r="BT577" s="124"/>
      <c r="BU577" s="124"/>
      <c r="BV577" s="124"/>
      <c r="BW577" s="124"/>
      <c r="BX577" s="124"/>
      <c r="BY577" s="124"/>
      <c r="BZ577" s="124"/>
      <c r="CA577" s="124"/>
    </row>
    <row r="578">
      <c r="D578" s="143"/>
      <c r="E578" s="129"/>
      <c r="F578" s="112"/>
      <c r="G578" s="112"/>
      <c r="H578" s="112"/>
      <c r="I578" s="112"/>
      <c r="J578" s="112"/>
      <c r="K578" s="112"/>
      <c r="L578" s="112"/>
      <c r="M578" s="112"/>
      <c r="N578" s="112"/>
      <c r="O578" s="112"/>
      <c r="P578" s="112"/>
      <c r="Q578" s="112"/>
      <c r="R578" s="112"/>
      <c r="S578" s="112"/>
      <c r="T578" s="112"/>
      <c r="U578" s="124"/>
      <c r="V578" s="124"/>
      <c r="W578" s="124"/>
      <c r="X578" s="124"/>
      <c r="Y578" s="124"/>
      <c r="Z578" s="112"/>
      <c r="AA578" s="112"/>
      <c r="AB578" s="112"/>
      <c r="AC578" s="112"/>
      <c r="AD578" s="112"/>
      <c r="AE578" s="112"/>
      <c r="AF578" s="112"/>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row>
    <row r="579">
      <c r="D579" s="143"/>
      <c r="E579" s="129"/>
      <c r="F579" s="112"/>
      <c r="G579" s="112"/>
      <c r="H579" s="112"/>
      <c r="I579" s="112"/>
      <c r="J579" s="112"/>
      <c r="K579" s="112"/>
      <c r="L579" s="112"/>
      <c r="M579" s="112"/>
      <c r="N579" s="112"/>
      <c r="O579" s="112"/>
      <c r="P579" s="112"/>
      <c r="Q579" s="112"/>
      <c r="R579" s="112"/>
      <c r="S579" s="112"/>
      <c r="T579" s="112"/>
      <c r="U579" s="124"/>
      <c r="V579" s="124"/>
      <c r="W579" s="124"/>
      <c r="X579" s="124"/>
      <c r="Y579" s="124"/>
      <c r="Z579" s="112"/>
      <c r="AA579" s="112"/>
      <c r="AB579" s="112"/>
      <c r="AC579" s="112"/>
      <c r="AD579" s="112"/>
      <c r="AE579" s="112"/>
      <c r="AF579" s="112"/>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c r="BK579" s="124"/>
      <c r="BL579" s="124"/>
      <c r="BM579" s="124"/>
      <c r="BN579" s="124"/>
      <c r="BO579" s="124"/>
      <c r="BP579" s="124"/>
      <c r="BQ579" s="124"/>
      <c r="BR579" s="124"/>
      <c r="BS579" s="124"/>
      <c r="BT579" s="124"/>
      <c r="BU579" s="124"/>
      <c r="BV579" s="124"/>
      <c r="BW579" s="124"/>
      <c r="BX579" s="124"/>
      <c r="BY579" s="124"/>
      <c r="BZ579" s="124"/>
      <c r="CA579" s="124"/>
    </row>
    <row r="580">
      <c r="D580" s="143"/>
      <c r="E580" s="129"/>
      <c r="F580" s="112"/>
      <c r="G580" s="112"/>
      <c r="H580" s="112"/>
      <c r="I580" s="112"/>
      <c r="J580" s="112"/>
      <c r="K580" s="112"/>
      <c r="L580" s="112"/>
      <c r="M580" s="112"/>
      <c r="N580" s="112"/>
      <c r="O580" s="112"/>
      <c r="P580" s="112"/>
      <c r="Q580" s="112"/>
      <c r="R580" s="112"/>
      <c r="S580" s="112"/>
      <c r="T580" s="112"/>
      <c r="U580" s="124"/>
      <c r="V580" s="124"/>
      <c r="W580" s="124"/>
      <c r="X580" s="124"/>
      <c r="Y580" s="124"/>
      <c r="Z580" s="112"/>
      <c r="AA580" s="112"/>
      <c r="AB580" s="112"/>
      <c r="AC580" s="112"/>
      <c r="AD580" s="112"/>
      <c r="AE580" s="112"/>
      <c r="AF580" s="112"/>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c r="BK580" s="124"/>
      <c r="BL580" s="124"/>
      <c r="BM580" s="124"/>
      <c r="BN580" s="124"/>
      <c r="BO580" s="124"/>
      <c r="BP580" s="124"/>
      <c r="BQ580" s="124"/>
      <c r="BR580" s="124"/>
      <c r="BS580" s="124"/>
      <c r="BT580" s="124"/>
      <c r="BU580" s="124"/>
      <c r="BV580" s="124"/>
      <c r="BW580" s="124"/>
      <c r="BX580" s="124"/>
      <c r="BY580" s="124"/>
      <c r="BZ580" s="124"/>
      <c r="CA580" s="124"/>
    </row>
    <row r="581">
      <c r="D581" s="143"/>
      <c r="E581" s="129"/>
      <c r="F581" s="112"/>
      <c r="G581" s="112"/>
      <c r="H581" s="112"/>
      <c r="I581" s="112"/>
      <c r="J581" s="112"/>
      <c r="K581" s="112"/>
      <c r="L581" s="112"/>
      <c r="M581" s="112"/>
      <c r="N581" s="112"/>
      <c r="O581" s="112"/>
      <c r="P581" s="112"/>
      <c r="Q581" s="112"/>
      <c r="R581" s="112"/>
      <c r="S581" s="112"/>
      <c r="T581" s="112"/>
      <c r="U581" s="124"/>
      <c r="V581" s="124"/>
      <c r="W581" s="124"/>
      <c r="X581" s="124"/>
      <c r="Y581" s="124"/>
      <c r="Z581" s="112"/>
      <c r="AA581" s="112"/>
      <c r="AB581" s="112"/>
      <c r="AC581" s="112"/>
      <c r="AD581" s="112"/>
      <c r="AE581" s="112"/>
      <c r="AF581" s="112"/>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c r="BK581" s="124"/>
      <c r="BL581" s="124"/>
      <c r="BM581" s="124"/>
      <c r="BN581" s="124"/>
      <c r="BO581" s="124"/>
      <c r="BP581" s="124"/>
      <c r="BQ581" s="124"/>
      <c r="BR581" s="124"/>
      <c r="BS581" s="124"/>
      <c r="BT581" s="124"/>
      <c r="BU581" s="124"/>
      <c r="BV581" s="124"/>
      <c r="BW581" s="124"/>
      <c r="BX581" s="124"/>
      <c r="BY581" s="124"/>
      <c r="BZ581" s="124"/>
      <c r="CA581" s="124"/>
    </row>
    <row r="582">
      <c r="D582" s="143"/>
      <c r="E582" s="129"/>
      <c r="F582" s="112"/>
      <c r="G582" s="112"/>
      <c r="H582" s="112"/>
      <c r="I582" s="112"/>
      <c r="J582" s="112"/>
      <c r="K582" s="112"/>
      <c r="L582" s="112"/>
      <c r="M582" s="112"/>
      <c r="N582" s="112"/>
      <c r="O582" s="112"/>
      <c r="P582" s="112"/>
      <c r="Q582" s="112"/>
      <c r="R582" s="112"/>
      <c r="S582" s="112"/>
      <c r="T582" s="112"/>
      <c r="U582" s="124"/>
      <c r="V582" s="124"/>
      <c r="W582" s="124"/>
      <c r="X582" s="124"/>
      <c r="Y582" s="124"/>
      <c r="Z582" s="112"/>
      <c r="AA582" s="112"/>
      <c r="AB582" s="112"/>
      <c r="AC582" s="112"/>
      <c r="AD582" s="112"/>
      <c r="AE582" s="112"/>
      <c r="AF582" s="112"/>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c r="BK582" s="124"/>
      <c r="BL582" s="124"/>
      <c r="BM582" s="124"/>
      <c r="BN582" s="124"/>
      <c r="BO582" s="124"/>
      <c r="BP582" s="124"/>
      <c r="BQ582" s="124"/>
      <c r="BR582" s="124"/>
      <c r="BS582" s="124"/>
      <c r="BT582" s="124"/>
      <c r="BU582" s="124"/>
      <c r="BV582" s="124"/>
      <c r="BW582" s="124"/>
      <c r="BX582" s="124"/>
      <c r="BY582" s="124"/>
      <c r="BZ582" s="124"/>
      <c r="CA582" s="124"/>
    </row>
    <row r="583">
      <c r="D583" s="143"/>
      <c r="E583" s="129"/>
      <c r="F583" s="112"/>
      <c r="G583" s="112"/>
      <c r="H583" s="112"/>
      <c r="I583" s="112"/>
      <c r="J583" s="112"/>
      <c r="K583" s="112"/>
      <c r="L583" s="112"/>
      <c r="M583" s="112"/>
      <c r="N583" s="112"/>
      <c r="O583" s="112"/>
      <c r="P583" s="112"/>
      <c r="Q583" s="112"/>
      <c r="R583" s="112"/>
      <c r="S583" s="112"/>
      <c r="T583" s="112"/>
      <c r="U583" s="124"/>
      <c r="V583" s="124"/>
      <c r="W583" s="124"/>
      <c r="X583" s="124"/>
      <c r="Y583" s="124"/>
      <c r="Z583" s="112"/>
      <c r="AA583" s="112"/>
      <c r="AB583" s="112"/>
      <c r="AC583" s="112"/>
      <c r="AD583" s="112"/>
      <c r="AE583" s="112"/>
      <c r="AF583" s="112"/>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c r="BK583" s="124"/>
      <c r="BL583" s="124"/>
      <c r="BM583" s="124"/>
      <c r="BN583" s="124"/>
      <c r="BO583" s="124"/>
      <c r="BP583" s="124"/>
      <c r="BQ583" s="124"/>
      <c r="BR583" s="124"/>
      <c r="BS583" s="124"/>
      <c r="BT583" s="124"/>
      <c r="BU583" s="124"/>
      <c r="BV583" s="124"/>
      <c r="BW583" s="124"/>
      <c r="BX583" s="124"/>
      <c r="BY583" s="124"/>
      <c r="BZ583" s="124"/>
      <c r="CA583" s="124"/>
    </row>
    <row r="584">
      <c r="D584" s="143"/>
      <c r="E584" s="129"/>
      <c r="F584" s="112"/>
      <c r="G584" s="112"/>
      <c r="H584" s="112"/>
      <c r="I584" s="112"/>
      <c r="J584" s="112"/>
      <c r="K584" s="112"/>
      <c r="L584" s="112"/>
      <c r="M584" s="112"/>
      <c r="N584" s="112"/>
      <c r="O584" s="112"/>
      <c r="P584" s="112"/>
      <c r="Q584" s="112"/>
      <c r="R584" s="112"/>
      <c r="S584" s="112"/>
      <c r="T584" s="112"/>
      <c r="U584" s="124"/>
      <c r="V584" s="124"/>
      <c r="W584" s="124"/>
      <c r="X584" s="124"/>
      <c r="Y584" s="124"/>
      <c r="Z584" s="112"/>
      <c r="AA584" s="112"/>
      <c r="AB584" s="112"/>
      <c r="AC584" s="112"/>
      <c r="AD584" s="112"/>
      <c r="AE584" s="112"/>
      <c r="AF584" s="112"/>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row>
    <row r="585">
      <c r="D585" s="143"/>
      <c r="E585" s="129"/>
      <c r="F585" s="112"/>
      <c r="G585" s="112"/>
      <c r="H585" s="112"/>
      <c r="I585" s="112"/>
      <c r="J585" s="112"/>
      <c r="K585" s="112"/>
      <c r="L585" s="112"/>
      <c r="M585" s="112"/>
      <c r="N585" s="112"/>
      <c r="O585" s="112"/>
      <c r="P585" s="112"/>
      <c r="Q585" s="112"/>
      <c r="R585" s="112"/>
      <c r="S585" s="112"/>
      <c r="T585" s="112"/>
      <c r="U585" s="124"/>
      <c r="V585" s="124"/>
      <c r="W585" s="124"/>
      <c r="X585" s="124"/>
      <c r="Y585" s="124"/>
      <c r="Z585" s="112"/>
      <c r="AA585" s="112"/>
      <c r="AB585" s="112"/>
      <c r="AC585" s="112"/>
      <c r="AD585" s="112"/>
      <c r="AE585" s="112"/>
      <c r="AF585" s="112"/>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c r="BK585" s="124"/>
      <c r="BL585" s="124"/>
      <c r="BM585" s="124"/>
      <c r="BN585" s="124"/>
      <c r="BO585" s="124"/>
      <c r="BP585" s="124"/>
      <c r="BQ585" s="124"/>
      <c r="BR585" s="124"/>
      <c r="BS585" s="124"/>
      <c r="BT585" s="124"/>
      <c r="BU585" s="124"/>
      <c r="BV585" s="124"/>
      <c r="BW585" s="124"/>
      <c r="BX585" s="124"/>
      <c r="BY585" s="124"/>
      <c r="BZ585" s="124"/>
      <c r="CA585" s="124"/>
    </row>
    <row r="586">
      <c r="D586" s="143"/>
      <c r="E586" s="129"/>
      <c r="F586" s="112"/>
      <c r="G586" s="112"/>
      <c r="H586" s="112"/>
      <c r="I586" s="112"/>
      <c r="J586" s="112"/>
      <c r="K586" s="112"/>
      <c r="L586" s="112"/>
      <c r="M586" s="112"/>
      <c r="N586" s="112"/>
      <c r="O586" s="112"/>
      <c r="P586" s="112"/>
      <c r="Q586" s="112"/>
      <c r="R586" s="112"/>
      <c r="S586" s="112"/>
      <c r="T586" s="112"/>
      <c r="U586" s="124"/>
      <c r="V586" s="124"/>
      <c r="W586" s="124"/>
      <c r="X586" s="124"/>
      <c r="Y586" s="124"/>
      <c r="Z586" s="112"/>
      <c r="AA586" s="112"/>
      <c r="AB586" s="112"/>
      <c r="AC586" s="112"/>
      <c r="AD586" s="112"/>
      <c r="AE586" s="112"/>
      <c r="AF586" s="112"/>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c r="BK586" s="124"/>
      <c r="BL586" s="124"/>
      <c r="BM586" s="124"/>
      <c r="BN586" s="124"/>
      <c r="BO586" s="124"/>
      <c r="BP586" s="124"/>
      <c r="BQ586" s="124"/>
      <c r="BR586" s="124"/>
      <c r="BS586" s="124"/>
      <c r="BT586" s="124"/>
      <c r="BU586" s="124"/>
      <c r="BV586" s="124"/>
      <c r="BW586" s="124"/>
      <c r="BX586" s="124"/>
      <c r="BY586" s="124"/>
      <c r="BZ586" s="124"/>
      <c r="CA586" s="124"/>
    </row>
    <row r="587">
      <c r="D587" s="143"/>
      <c r="E587" s="129"/>
      <c r="F587" s="112"/>
      <c r="G587" s="112"/>
      <c r="H587" s="112"/>
      <c r="I587" s="112"/>
      <c r="J587" s="112"/>
      <c r="K587" s="112"/>
      <c r="L587" s="112"/>
      <c r="M587" s="112"/>
      <c r="N587" s="112"/>
      <c r="O587" s="112"/>
      <c r="P587" s="112"/>
      <c r="Q587" s="112"/>
      <c r="R587" s="112"/>
      <c r="S587" s="112"/>
      <c r="T587" s="112"/>
      <c r="U587" s="124"/>
      <c r="V587" s="124"/>
      <c r="W587" s="124"/>
      <c r="X587" s="124"/>
      <c r="Y587" s="124"/>
      <c r="Z587" s="112"/>
      <c r="AA587" s="112"/>
      <c r="AB587" s="112"/>
      <c r="AC587" s="112"/>
      <c r="AD587" s="112"/>
      <c r="AE587" s="112"/>
      <c r="AF587" s="112"/>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c r="BK587" s="124"/>
      <c r="BL587" s="124"/>
      <c r="BM587" s="124"/>
      <c r="BN587" s="124"/>
      <c r="BO587" s="124"/>
      <c r="BP587" s="124"/>
      <c r="BQ587" s="124"/>
      <c r="BR587" s="124"/>
      <c r="BS587" s="124"/>
      <c r="BT587" s="124"/>
      <c r="BU587" s="124"/>
      <c r="BV587" s="124"/>
      <c r="BW587" s="124"/>
      <c r="BX587" s="124"/>
      <c r="BY587" s="124"/>
      <c r="BZ587" s="124"/>
      <c r="CA587" s="124"/>
    </row>
    <row r="588">
      <c r="D588" s="143"/>
      <c r="E588" s="129"/>
      <c r="F588" s="112"/>
      <c r="G588" s="112"/>
      <c r="H588" s="112"/>
      <c r="I588" s="112"/>
      <c r="J588" s="112"/>
      <c r="K588" s="112"/>
      <c r="L588" s="112"/>
      <c r="M588" s="112"/>
      <c r="N588" s="112"/>
      <c r="O588" s="112"/>
      <c r="P588" s="112"/>
      <c r="Q588" s="112"/>
      <c r="R588" s="112"/>
      <c r="S588" s="112"/>
      <c r="T588" s="112"/>
      <c r="U588" s="124"/>
      <c r="V588" s="124"/>
      <c r="W588" s="124"/>
      <c r="X588" s="124"/>
      <c r="Y588" s="124"/>
      <c r="Z588" s="112"/>
      <c r="AA588" s="112"/>
      <c r="AB588" s="112"/>
      <c r="AC588" s="112"/>
      <c r="AD588" s="112"/>
      <c r="AE588" s="112"/>
      <c r="AF588" s="112"/>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c r="BK588" s="124"/>
      <c r="BL588" s="124"/>
      <c r="BM588" s="124"/>
      <c r="BN588" s="124"/>
      <c r="BO588" s="124"/>
      <c r="BP588" s="124"/>
      <c r="BQ588" s="124"/>
      <c r="BR588" s="124"/>
      <c r="BS588" s="124"/>
      <c r="BT588" s="124"/>
      <c r="BU588" s="124"/>
      <c r="BV588" s="124"/>
      <c r="BW588" s="124"/>
      <c r="BX588" s="124"/>
      <c r="BY588" s="124"/>
      <c r="BZ588" s="124"/>
      <c r="CA588" s="124"/>
    </row>
    <row r="589">
      <c r="D589" s="143"/>
      <c r="E589" s="129"/>
      <c r="F589" s="112"/>
      <c r="G589" s="112"/>
      <c r="H589" s="112"/>
      <c r="I589" s="112"/>
      <c r="J589" s="112"/>
      <c r="K589" s="112"/>
      <c r="L589" s="112"/>
      <c r="M589" s="112"/>
      <c r="N589" s="112"/>
      <c r="O589" s="112"/>
      <c r="P589" s="112"/>
      <c r="Q589" s="112"/>
      <c r="R589" s="112"/>
      <c r="S589" s="112"/>
      <c r="T589" s="112"/>
      <c r="U589" s="124"/>
      <c r="V589" s="124"/>
      <c r="W589" s="124"/>
      <c r="X589" s="124"/>
      <c r="Y589" s="124"/>
      <c r="Z589" s="112"/>
      <c r="AA589" s="112"/>
      <c r="AB589" s="112"/>
      <c r="AC589" s="112"/>
      <c r="AD589" s="112"/>
      <c r="AE589" s="112"/>
      <c r="AF589" s="112"/>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c r="BK589" s="124"/>
      <c r="BL589" s="124"/>
      <c r="BM589" s="124"/>
      <c r="BN589" s="124"/>
      <c r="BO589" s="124"/>
      <c r="BP589" s="124"/>
      <c r="BQ589" s="124"/>
      <c r="BR589" s="124"/>
      <c r="BS589" s="124"/>
      <c r="BT589" s="124"/>
      <c r="BU589" s="124"/>
      <c r="BV589" s="124"/>
      <c r="BW589" s="124"/>
      <c r="BX589" s="124"/>
      <c r="BY589" s="124"/>
      <c r="BZ589" s="124"/>
      <c r="CA589" s="124"/>
    </row>
    <row r="590">
      <c r="D590" s="143"/>
      <c r="E590" s="129"/>
      <c r="F590" s="112"/>
      <c r="G590" s="112"/>
      <c r="H590" s="112"/>
      <c r="I590" s="112"/>
      <c r="J590" s="112"/>
      <c r="K590" s="112"/>
      <c r="L590" s="112"/>
      <c r="M590" s="112"/>
      <c r="N590" s="112"/>
      <c r="O590" s="112"/>
      <c r="P590" s="112"/>
      <c r="Q590" s="112"/>
      <c r="R590" s="112"/>
      <c r="S590" s="112"/>
      <c r="T590" s="112"/>
      <c r="U590" s="124"/>
      <c r="V590" s="124"/>
      <c r="W590" s="124"/>
      <c r="X590" s="124"/>
      <c r="Y590" s="124"/>
      <c r="Z590" s="112"/>
      <c r="AA590" s="112"/>
      <c r="AB590" s="112"/>
      <c r="AC590" s="112"/>
      <c r="AD590" s="112"/>
      <c r="AE590" s="112"/>
      <c r="AF590" s="112"/>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row>
    <row r="591">
      <c r="D591" s="143"/>
      <c r="E591" s="129"/>
      <c r="F591" s="112"/>
      <c r="G591" s="112"/>
      <c r="H591" s="112"/>
      <c r="I591" s="112"/>
      <c r="J591" s="112"/>
      <c r="K591" s="112"/>
      <c r="L591" s="112"/>
      <c r="M591" s="112"/>
      <c r="N591" s="112"/>
      <c r="O591" s="112"/>
      <c r="P591" s="112"/>
      <c r="Q591" s="112"/>
      <c r="R591" s="112"/>
      <c r="S591" s="112"/>
      <c r="T591" s="112"/>
      <c r="U591" s="124"/>
      <c r="V591" s="124"/>
      <c r="W591" s="124"/>
      <c r="X591" s="124"/>
      <c r="Y591" s="124"/>
      <c r="Z591" s="112"/>
      <c r="AA591" s="112"/>
      <c r="AB591" s="112"/>
      <c r="AC591" s="112"/>
      <c r="AD591" s="112"/>
      <c r="AE591" s="112"/>
      <c r="AF591" s="112"/>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c r="BK591" s="124"/>
      <c r="BL591" s="124"/>
      <c r="BM591" s="124"/>
      <c r="BN591" s="124"/>
      <c r="BO591" s="124"/>
      <c r="BP591" s="124"/>
      <c r="BQ591" s="124"/>
      <c r="BR591" s="124"/>
      <c r="BS591" s="124"/>
      <c r="BT591" s="124"/>
      <c r="BU591" s="124"/>
      <c r="BV591" s="124"/>
      <c r="BW591" s="124"/>
      <c r="BX591" s="124"/>
      <c r="BY591" s="124"/>
      <c r="BZ591" s="124"/>
      <c r="CA591" s="124"/>
    </row>
    <row r="592">
      <c r="D592" s="143"/>
      <c r="E592" s="129"/>
      <c r="F592" s="112"/>
      <c r="G592" s="112"/>
      <c r="H592" s="112"/>
      <c r="I592" s="112"/>
      <c r="J592" s="112"/>
      <c r="K592" s="112"/>
      <c r="L592" s="112"/>
      <c r="M592" s="112"/>
      <c r="N592" s="112"/>
      <c r="O592" s="112"/>
      <c r="P592" s="112"/>
      <c r="Q592" s="112"/>
      <c r="R592" s="112"/>
      <c r="S592" s="112"/>
      <c r="T592" s="112"/>
      <c r="U592" s="124"/>
      <c r="V592" s="124"/>
      <c r="W592" s="124"/>
      <c r="X592" s="124"/>
      <c r="Y592" s="124"/>
      <c r="Z592" s="112"/>
      <c r="AA592" s="112"/>
      <c r="AB592" s="112"/>
      <c r="AC592" s="112"/>
      <c r="AD592" s="112"/>
      <c r="AE592" s="112"/>
      <c r="AF592" s="112"/>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c r="BK592" s="124"/>
      <c r="BL592" s="124"/>
      <c r="BM592" s="124"/>
      <c r="BN592" s="124"/>
      <c r="BO592" s="124"/>
      <c r="BP592" s="124"/>
      <c r="BQ592" s="124"/>
      <c r="BR592" s="124"/>
      <c r="BS592" s="124"/>
      <c r="BT592" s="124"/>
      <c r="BU592" s="124"/>
      <c r="BV592" s="124"/>
      <c r="BW592" s="124"/>
      <c r="BX592" s="124"/>
      <c r="BY592" s="124"/>
      <c r="BZ592" s="124"/>
      <c r="CA592" s="124"/>
    </row>
    <row r="593">
      <c r="D593" s="143"/>
      <c r="E593" s="129"/>
      <c r="F593" s="112"/>
      <c r="G593" s="112"/>
      <c r="H593" s="112"/>
      <c r="I593" s="112"/>
      <c r="J593" s="112"/>
      <c r="K593" s="112"/>
      <c r="L593" s="112"/>
      <c r="M593" s="112"/>
      <c r="N593" s="112"/>
      <c r="O593" s="112"/>
      <c r="P593" s="112"/>
      <c r="Q593" s="112"/>
      <c r="R593" s="112"/>
      <c r="S593" s="112"/>
      <c r="T593" s="112"/>
      <c r="U593" s="124"/>
      <c r="V593" s="124"/>
      <c r="W593" s="124"/>
      <c r="X593" s="124"/>
      <c r="Y593" s="124"/>
      <c r="Z593" s="112"/>
      <c r="AA593" s="112"/>
      <c r="AB593" s="112"/>
      <c r="AC593" s="112"/>
      <c r="AD593" s="112"/>
      <c r="AE593" s="112"/>
      <c r="AF593" s="112"/>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c r="BK593" s="124"/>
      <c r="BL593" s="124"/>
      <c r="BM593" s="124"/>
      <c r="BN593" s="124"/>
      <c r="BO593" s="124"/>
      <c r="BP593" s="124"/>
      <c r="BQ593" s="124"/>
      <c r="BR593" s="124"/>
      <c r="BS593" s="124"/>
      <c r="BT593" s="124"/>
      <c r="BU593" s="124"/>
      <c r="BV593" s="124"/>
      <c r="BW593" s="124"/>
      <c r="BX593" s="124"/>
      <c r="BY593" s="124"/>
      <c r="BZ593" s="124"/>
      <c r="CA593" s="124"/>
    </row>
    <row r="594">
      <c r="D594" s="143"/>
      <c r="E594" s="129"/>
      <c r="F594" s="112"/>
      <c r="G594" s="112"/>
      <c r="H594" s="112"/>
      <c r="I594" s="112"/>
      <c r="J594" s="112"/>
      <c r="K594" s="112"/>
      <c r="L594" s="112"/>
      <c r="M594" s="112"/>
      <c r="N594" s="112"/>
      <c r="O594" s="112"/>
      <c r="P594" s="112"/>
      <c r="Q594" s="112"/>
      <c r="R594" s="112"/>
      <c r="S594" s="112"/>
      <c r="T594" s="112"/>
      <c r="U594" s="124"/>
      <c r="V594" s="124"/>
      <c r="W594" s="124"/>
      <c r="X594" s="124"/>
      <c r="Y594" s="124"/>
      <c r="Z594" s="112"/>
      <c r="AA594" s="112"/>
      <c r="AB594" s="112"/>
      <c r="AC594" s="112"/>
      <c r="AD594" s="112"/>
      <c r="AE594" s="112"/>
      <c r="AF594" s="112"/>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c r="BK594" s="124"/>
      <c r="BL594" s="124"/>
      <c r="BM594" s="124"/>
      <c r="BN594" s="124"/>
      <c r="BO594" s="124"/>
      <c r="BP594" s="124"/>
      <c r="BQ594" s="124"/>
      <c r="BR594" s="124"/>
      <c r="BS594" s="124"/>
      <c r="BT594" s="124"/>
      <c r="BU594" s="124"/>
      <c r="BV594" s="124"/>
      <c r="BW594" s="124"/>
      <c r="BX594" s="124"/>
      <c r="BY594" s="124"/>
      <c r="BZ594" s="124"/>
      <c r="CA594" s="124"/>
    </row>
    <row r="595">
      <c r="D595" s="143"/>
      <c r="E595" s="129"/>
      <c r="F595" s="112"/>
      <c r="G595" s="112"/>
      <c r="H595" s="112"/>
      <c r="I595" s="112"/>
      <c r="J595" s="112"/>
      <c r="K595" s="112"/>
      <c r="L595" s="112"/>
      <c r="M595" s="112"/>
      <c r="N595" s="112"/>
      <c r="O595" s="112"/>
      <c r="P595" s="112"/>
      <c r="Q595" s="112"/>
      <c r="R595" s="112"/>
      <c r="S595" s="112"/>
      <c r="T595" s="112"/>
      <c r="U595" s="124"/>
      <c r="V595" s="124"/>
      <c r="W595" s="124"/>
      <c r="X595" s="124"/>
      <c r="Y595" s="124"/>
      <c r="Z595" s="112"/>
      <c r="AA595" s="112"/>
      <c r="AB595" s="112"/>
      <c r="AC595" s="112"/>
      <c r="AD595" s="112"/>
      <c r="AE595" s="112"/>
      <c r="AF595" s="112"/>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c r="BK595" s="124"/>
      <c r="BL595" s="124"/>
      <c r="BM595" s="124"/>
      <c r="BN595" s="124"/>
      <c r="BO595" s="124"/>
      <c r="BP595" s="124"/>
      <c r="BQ595" s="124"/>
      <c r="BR595" s="124"/>
      <c r="BS595" s="124"/>
      <c r="BT595" s="124"/>
      <c r="BU595" s="124"/>
      <c r="BV595" s="124"/>
      <c r="BW595" s="124"/>
      <c r="BX595" s="124"/>
      <c r="BY595" s="124"/>
      <c r="BZ595" s="124"/>
      <c r="CA595" s="124"/>
    </row>
    <row r="596">
      <c r="D596" s="143"/>
      <c r="E596" s="129"/>
      <c r="F596" s="112"/>
      <c r="G596" s="112"/>
      <c r="H596" s="112"/>
      <c r="I596" s="112"/>
      <c r="J596" s="112"/>
      <c r="K596" s="112"/>
      <c r="L596" s="112"/>
      <c r="M596" s="112"/>
      <c r="N596" s="112"/>
      <c r="O596" s="112"/>
      <c r="P596" s="112"/>
      <c r="Q596" s="112"/>
      <c r="R596" s="112"/>
      <c r="S596" s="112"/>
      <c r="T596" s="112"/>
      <c r="U596" s="124"/>
      <c r="V596" s="124"/>
      <c r="W596" s="124"/>
      <c r="X596" s="124"/>
      <c r="Y596" s="124"/>
      <c r="Z596" s="112"/>
      <c r="AA596" s="112"/>
      <c r="AB596" s="112"/>
      <c r="AC596" s="112"/>
      <c r="AD596" s="112"/>
      <c r="AE596" s="112"/>
      <c r="AF596" s="112"/>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row>
    <row r="597">
      <c r="D597" s="143"/>
      <c r="E597" s="129"/>
      <c r="F597" s="112"/>
      <c r="G597" s="112"/>
      <c r="H597" s="112"/>
      <c r="I597" s="112"/>
      <c r="J597" s="112"/>
      <c r="K597" s="112"/>
      <c r="L597" s="112"/>
      <c r="M597" s="112"/>
      <c r="N597" s="112"/>
      <c r="O597" s="112"/>
      <c r="P597" s="112"/>
      <c r="Q597" s="112"/>
      <c r="R597" s="112"/>
      <c r="S597" s="112"/>
      <c r="T597" s="112"/>
      <c r="U597" s="124"/>
      <c r="V597" s="124"/>
      <c r="W597" s="124"/>
      <c r="X597" s="124"/>
      <c r="Y597" s="124"/>
      <c r="Z597" s="112"/>
      <c r="AA597" s="112"/>
      <c r="AB597" s="112"/>
      <c r="AC597" s="112"/>
      <c r="AD597" s="112"/>
      <c r="AE597" s="112"/>
      <c r="AF597" s="112"/>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c r="BK597" s="124"/>
      <c r="BL597" s="124"/>
      <c r="BM597" s="124"/>
      <c r="BN597" s="124"/>
      <c r="BO597" s="124"/>
      <c r="BP597" s="124"/>
      <c r="BQ597" s="124"/>
      <c r="BR597" s="124"/>
      <c r="BS597" s="124"/>
      <c r="BT597" s="124"/>
      <c r="BU597" s="124"/>
      <c r="BV597" s="124"/>
      <c r="BW597" s="124"/>
      <c r="BX597" s="124"/>
      <c r="BY597" s="124"/>
      <c r="BZ597" s="124"/>
      <c r="CA597" s="124"/>
    </row>
    <row r="598">
      <c r="D598" s="143"/>
      <c r="E598" s="129"/>
      <c r="F598" s="112"/>
      <c r="G598" s="112"/>
      <c r="H598" s="112"/>
      <c r="I598" s="112"/>
      <c r="J598" s="112"/>
      <c r="K598" s="112"/>
      <c r="L598" s="112"/>
      <c r="M598" s="112"/>
      <c r="N598" s="112"/>
      <c r="O598" s="112"/>
      <c r="P598" s="112"/>
      <c r="Q598" s="112"/>
      <c r="R598" s="112"/>
      <c r="S598" s="112"/>
      <c r="T598" s="112"/>
      <c r="U598" s="124"/>
      <c r="V598" s="124"/>
      <c r="W598" s="124"/>
      <c r="X598" s="124"/>
      <c r="Y598" s="124"/>
      <c r="Z598" s="112"/>
      <c r="AA598" s="112"/>
      <c r="AB598" s="112"/>
      <c r="AC598" s="112"/>
      <c r="AD598" s="112"/>
      <c r="AE598" s="112"/>
      <c r="AF598" s="112"/>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c r="BK598" s="124"/>
      <c r="BL598" s="124"/>
      <c r="BM598" s="124"/>
      <c r="BN598" s="124"/>
      <c r="BO598" s="124"/>
      <c r="BP598" s="124"/>
      <c r="BQ598" s="124"/>
      <c r="BR598" s="124"/>
      <c r="BS598" s="124"/>
      <c r="BT598" s="124"/>
      <c r="BU598" s="124"/>
      <c r="BV598" s="124"/>
      <c r="BW598" s="124"/>
      <c r="BX598" s="124"/>
      <c r="BY598" s="124"/>
      <c r="BZ598" s="124"/>
      <c r="CA598" s="124"/>
    </row>
    <row r="599">
      <c r="D599" s="143"/>
      <c r="E599" s="129"/>
      <c r="F599" s="112"/>
      <c r="G599" s="112"/>
      <c r="H599" s="112"/>
      <c r="I599" s="112"/>
      <c r="J599" s="112"/>
      <c r="K599" s="112"/>
      <c r="L599" s="112"/>
      <c r="M599" s="112"/>
      <c r="N599" s="112"/>
      <c r="O599" s="112"/>
      <c r="P599" s="112"/>
      <c r="Q599" s="112"/>
      <c r="R599" s="112"/>
      <c r="S599" s="112"/>
      <c r="T599" s="112"/>
      <c r="U599" s="124"/>
      <c r="V599" s="124"/>
      <c r="W599" s="124"/>
      <c r="X599" s="124"/>
      <c r="Y599" s="124"/>
      <c r="Z599" s="112"/>
      <c r="AA599" s="112"/>
      <c r="AB599" s="112"/>
      <c r="AC599" s="112"/>
      <c r="AD599" s="112"/>
      <c r="AE599" s="112"/>
      <c r="AF599" s="112"/>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c r="BK599" s="124"/>
      <c r="BL599" s="124"/>
      <c r="BM599" s="124"/>
      <c r="BN599" s="124"/>
      <c r="BO599" s="124"/>
      <c r="BP599" s="124"/>
      <c r="BQ599" s="124"/>
      <c r="BR599" s="124"/>
      <c r="BS599" s="124"/>
      <c r="BT599" s="124"/>
      <c r="BU599" s="124"/>
      <c r="BV599" s="124"/>
      <c r="BW599" s="124"/>
      <c r="BX599" s="124"/>
      <c r="BY599" s="124"/>
      <c r="BZ599" s="124"/>
      <c r="CA599" s="124"/>
    </row>
    <row r="600">
      <c r="D600" s="143"/>
      <c r="E600" s="129"/>
      <c r="F600" s="112"/>
      <c r="G600" s="112"/>
      <c r="H600" s="112"/>
      <c r="I600" s="112"/>
      <c r="J600" s="112"/>
      <c r="K600" s="112"/>
      <c r="L600" s="112"/>
      <c r="M600" s="112"/>
      <c r="N600" s="112"/>
      <c r="O600" s="112"/>
      <c r="P600" s="112"/>
      <c r="Q600" s="112"/>
      <c r="R600" s="112"/>
      <c r="S600" s="112"/>
      <c r="T600" s="112"/>
      <c r="U600" s="124"/>
      <c r="V600" s="124"/>
      <c r="W600" s="124"/>
      <c r="X600" s="124"/>
      <c r="Y600" s="124"/>
      <c r="Z600" s="112"/>
      <c r="AA600" s="112"/>
      <c r="AB600" s="112"/>
      <c r="AC600" s="112"/>
      <c r="AD600" s="112"/>
      <c r="AE600" s="112"/>
      <c r="AF600" s="112"/>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c r="BK600" s="124"/>
      <c r="BL600" s="124"/>
      <c r="BM600" s="124"/>
      <c r="BN600" s="124"/>
      <c r="BO600" s="124"/>
      <c r="BP600" s="124"/>
      <c r="BQ600" s="124"/>
      <c r="BR600" s="124"/>
      <c r="BS600" s="124"/>
      <c r="BT600" s="124"/>
      <c r="BU600" s="124"/>
      <c r="BV600" s="124"/>
      <c r="BW600" s="124"/>
      <c r="BX600" s="124"/>
      <c r="BY600" s="124"/>
      <c r="BZ600" s="124"/>
      <c r="CA600" s="124"/>
    </row>
    <row r="601">
      <c r="D601" s="143"/>
      <c r="E601" s="129"/>
      <c r="F601" s="112"/>
      <c r="G601" s="112"/>
      <c r="H601" s="112"/>
      <c r="I601" s="112"/>
      <c r="J601" s="112"/>
      <c r="K601" s="112"/>
      <c r="L601" s="112"/>
      <c r="M601" s="112"/>
      <c r="N601" s="112"/>
      <c r="O601" s="112"/>
      <c r="P601" s="112"/>
      <c r="Q601" s="112"/>
      <c r="R601" s="112"/>
      <c r="S601" s="112"/>
      <c r="T601" s="112"/>
      <c r="U601" s="124"/>
      <c r="V601" s="124"/>
      <c r="W601" s="124"/>
      <c r="X601" s="124"/>
      <c r="Y601" s="124"/>
      <c r="Z601" s="112"/>
      <c r="AA601" s="112"/>
      <c r="AB601" s="112"/>
      <c r="AC601" s="112"/>
      <c r="AD601" s="112"/>
      <c r="AE601" s="112"/>
      <c r="AF601" s="112"/>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c r="BK601" s="124"/>
      <c r="BL601" s="124"/>
      <c r="BM601" s="124"/>
      <c r="BN601" s="124"/>
      <c r="BO601" s="124"/>
      <c r="BP601" s="124"/>
      <c r="BQ601" s="124"/>
      <c r="BR601" s="124"/>
      <c r="BS601" s="124"/>
      <c r="BT601" s="124"/>
      <c r="BU601" s="124"/>
      <c r="BV601" s="124"/>
      <c r="BW601" s="124"/>
      <c r="BX601" s="124"/>
      <c r="BY601" s="124"/>
      <c r="BZ601" s="124"/>
      <c r="CA601" s="124"/>
    </row>
    <row r="602">
      <c r="D602" s="143"/>
      <c r="E602" s="129"/>
      <c r="F602" s="112"/>
      <c r="G602" s="112"/>
      <c r="H602" s="112"/>
      <c r="I602" s="112"/>
      <c r="J602" s="112"/>
      <c r="K602" s="112"/>
      <c r="L602" s="112"/>
      <c r="M602" s="112"/>
      <c r="N602" s="112"/>
      <c r="O602" s="112"/>
      <c r="P602" s="112"/>
      <c r="Q602" s="112"/>
      <c r="R602" s="112"/>
      <c r="S602" s="112"/>
      <c r="T602" s="112"/>
      <c r="U602" s="124"/>
      <c r="V602" s="124"/>
      <c r="W602" s="124"/>
      <c r="X602" s="124"/>
      <c r="Y602" s="124"/>
      <c r="Z602" s="112"/>
      <c r="AA602" s="112"/>
      <c r="AB602" s="112"/>
      <c r="AC602" s="112"/>
      <c r="AD602" s="112"/>
      <c r="AE602" s="112"/>
      <c r="AF602" s="112"/>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c r="BK602" s="124"/>
      <c r="BL602" s="124"/>
      <c r="BM602" s="124"/>
      <c r="BN602" s="124"/>
      <c r="BO602" s="124"/>
      <c r="BP602" s="124"/>
      <c r="BQ602" s="124"/>
      <c r="BR602" s="124"/>
      <c r="BS602" s="124"/>
      <c r="BT602" s="124"/>
      <c r="BU602" s="124"/>
      <c r="BV602" s="124"/>
      <c r="BW602" s="124"/>
      <c r="BX602" s="124"/>
      <c r="BY602" s="124"/>
      <c r="BZ602" s="124"/>
      <c r="CA602" s="124"/>
    </row>
    <row r="603">
      <c r="D603" s="143"/>
      <c r="E603" s="129"/>
      <c r="F603" s="112"/>
      <c r="G603" s="112"/>
      <c r="H603" s="112"/>
      <c r="I603" s="112"/>
      <c r="J603" s="112"/>
      <c r="K603" s="112"/>
      <c r="L603" s="112"/>
      <c r="M603" s="112"/>
      <c r="N603" s="112"/>
      <c r="O603" s="112"/>
      <c r="P603" s="112"/>
      <c r="Q603" s="112"/>
      <c r="R603" s="112"/>
      <c r="S603" s="112"/>
      <c r="T603" s="112"/>
      <c r="U603" s="124"/>
      <c r="V603" s="124"/>
      <c r="W603" s="124"/>
      <c r="X603" s="124"/>
      <c r="Y603" s="124"/>
      <c r="Z603" s="112"/>
      <c r="AA603" s="112"/>
      <c r="AB603" s="112"/>
      <c r="AC603" s="112"/>
      <c r="AD603" s="112"/>
      <c r="AE603" s="112"/>
      <c r="AF603" s="112"/>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c r="BK603" s="124"/>
      <c r="BL603" s="124"/>
      <c r="BM603" s="124"/>
      <c r="BN603" s="124"/>
      <c r="BO603" s="124"/>
      <c r="BP603" s="124"/>
      <c r="BQ603" s="124"/>
      <c r="BR603" s="124"/>
      <c r="BS603" s="124"/>
      <c r="BT603" s="124"/>
      <c r="BU603" s="124"/>
      <c r="BV603" s="124"/>
      <c r="BW603" s="124"/>
      <c r="BX603" s="124"/>
      <c r="BY603" s="124"/>
      <c r="BZ603" s="124"/>
      <c r="CA603" s="124"/>
    </row>
    <row r="604">
      <c r="D604" s="143"/>
      <c r="E604" s="129"/>
      <c r="F604" s="112"/>
      <c r="G604" s="112"/>
      <c r="H604" s="112"/>
      <c r="I604" s="112"/>
      <c r="J604" s="112"/>
      <c r="K604" s="112"/>
      <c r="L604" s="112"/>
      <c r="M604" s="112"/>
      <c r="N604" s="112"/>
      <c r="O604" s="112"/>
      <c r="P604" s="112"/>
      <c r="Q604" s="112"/>
      <c r="R604" s="112"/>
      <c r="S604" s="112"/>
      <c r="T604" s="112"/>
      <c r="U604" s="124"/>
      <c r="V604" s="124"/>
      <c r="W604" s="124"/>
      <c r="X604" s="124"/>
      <c r="Y604" s="124"/>
      <c r="Z604" s="112"/>
      <c r="AA604" s="112"/>
      <c r="AB604" s="112"/>
      <c r="AC604" s="112"/>
      <c r="AD604" s="112"/>
      <c r="AE604" s="112"/>
      <c r="AF604" s="112"/>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c r="BK604" s="124"/>
      <c r="BL604" s="124"/>
      <c r="BM604" s="124"/>
      <c r="BN604" s="124"/>
      <c r="BO604" s="124"/>
      <c r="BP604" s="124"/>
      <c r="BQ604" s="124"/>
      <c r="BR604" s="124"/>
      <c r="BS604" s="124"/>
      <c r="BT604" s="124"/>
      <c r="BU604" s="124"/>
      <c r="BV604" s="124"/>
      <c r="BW604" s="124"/>
      <c r="BX604" s="124"/>
      <c r="BY604" s="124"/>
      <c r="BZ604" s="124"/>
      <c r="CA604" s="124"/>
    </row>
    <row r="605">
      <c r="D605" s="143"/>
      <c r="E605" s="129"/>
      <c r="F605" s="112"/>
      <c r="G605" s="112"/>
      <c r="H605" s="112"/>
      <c r="I605" s="112"/>
      <c r="J605" s="112"/>
      <c r="K605" s="112"/>
      <c r="L605" s="112"/>
      <c r="M605" s="112"/>
      <c r="N605" s="112"/>
      <c r="O605" s="112"/>
      <c r="P605" s="112"/>
      <c r="Q605" s="112"/>
      <c r="R605" s="112"/>
      <c r="S605" s="112"/>
      <c r="T605" s="112"/>
      <c r="U605" s="124"/>
      <c r="V605" s="124"/>
      <c r="W605" s="124"/>
      <c r="X605" s="124"/>
      <c r="Y605" s="124"/>
      <c r="Z605" s="112"/>
      <c r="AA605" s="112"/>
      <c r="AB605" s="112"/>
      <c r="AC605" s="112"/>
      <c r="AD605" s="112"/>
      <c r="AE605" s="112"/>
      <c r="AF605" s="112"/>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c r="BK605" s="124"/>
      <c r="BL605" s="124"/>
      <c r="BM605" s="124"/>
      <c r="BN605" s="124"/>
      <c r="BO605" s="124"/>
      <c r="BP605" s="124"/>
      <c r="BQ605" s="124"/>
      <c r="BR605" s="124"/>
      <c r="BS605" s="124"/>
      <c r="BT605" s="124"/>
      <c r="BU605" s="124"/>
      <c r="BV605" s="124"/>
      <c r="BW605" s="124"/>
      <c r="BX605" s="124"/>
      <c r="BY605" s="124"/>
      <c r="BZ605" s="124"/>
      <c r="CA605" s="124"/>
    </row>
    <row r="606">
      <c r="D606" s="143"/>
      <c r="E606" s="129"/>
      <c r="F606" s="112"/>
      <c r="G606" s="112"/>
      <c r="H606" s="112"/>
      <c r="I606" s="112"/>
      <c r="J606" s="112"/>
      <c r="K606" s="112"/>
      <c r="L606" s="112"/>
      <c r="M606" s="112"/>
      <c r="N606" s="112"/>
      <c r="O606" s="112"/>
      <c r="P606" s="112"/>
      <c r="Q606" s="112"/>
      <c r="R606" s="112"/>
      <c r="S606" s="112"/>
      <c r="T606" s="112"/>
      <c r="U606" s="124"/>
      <c r="V606" s="124"/>
      <c r="W606" s="124"/>
      <c r="X606" s="124"/>
      <c r="Y606" s="124"/>
      <c r="Z606" s="112"/>
      <c r="AA606" s="112"/>
      <c r="AB606" s="112"/>
      <c r="AC606" s="112"/>
      <c r="AD606" s="112"/>
      <c r="AE606" s="112"/>
      <c r="AF606" s="112"/>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c r="BK606" s="124"/>
      <c r="BL606" s="124"/>
      <c r="BM606" s="124"/>
      <c r="BN606" s="124"/>
      <c r="BO606" s="124"/>
      <c r="BP606" s="124"/>
      <c r="BQ606" s="124"/>
      <c r="BR606" s="124"/>
      <c r="BS606" s="124"/>
      <c r="BT606" s="124"/>
      <c r="BU606" s="124"/>
      <c r="BV606" s="124"/>
      <c r="BW606" s="124"/>
      <c r="BX606" s="124"/>
      <c r="BY606" s="124"/>
      <c r="BZ606" s="124"/>
      <c r="CA606" s="124"/>
    </row>
    <row r="607">
      <c r="D607" s="143"/>
      <c r="E607" s="129"/>
      <c r="F607" s="112"/>
      <c r="G607" s="112"/>
      <c r="H607" s="112"/>
      <c r="I607" s="112"/>
      <c r="J607" s="112"/>
      <c r="K607" s="112"/>
      <c r="L607" s="112"/>
      <c r="M607" s="112"/>
      <c r="N607" s="112"/>
      <c r="O607" s="112"/>
      <c r="P607" s="112"/>
      <c r="Q607" s="112"/>
      <c r="R607" s="112"/>
      <c r="S607" s="112"/>
      <c r="T607" s="112"/>
      <c r="U607" s="124"/>
      <c r="V607" s="124"/>
      <c r="W607" s="124"/>
      <c r="X607" s="124"/>
      <c r="Y607" s="124"/>
      <c r="Z607" s="112"/>
      <c r="AA607" s="112"/>
      <c r="AB607" s="112"/>
      <c r="AC607" s="112"/>
      <c r="AD607" s="112"/>
      <c r="AE607" s="112"/>
      <c r="AF607" s="112"/>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c r="BK607" s="124"/>
      <c r="BL607" s="124"/>
      <c r="BM607" s="124"/>
      <c r="BN607" s="124"/>
      <c r="BO607" s="124"/>
      <c r="BP607" s="124"/>
      <c r="BQ607" s="124"/>
      <c r="BR607" s="124"/>
      <c r="BS607" s="124"/>
      <c r="BT607" s="124"/>
      <c r="BU607" s="124"/>
      <c r="BV607" s="124"/>
      <c r="BW607" s="124"/>
      <c r="BX607" s="124"/>
      <c r="BY607" s="124"/>
      <c r="BZ607" s="124"/>
      <c r="CA607" s="124"/>
    </row>
    <row r="608">
      <c r="D608" s="143"/>
      <c r="E608" s="129"/>
      <c r="F608" s="112"/>
      <c r="G608" s="112"/>
      <c r="H608" s="112"/>
      <c r="I608" s="112"/>
      <c r="J608" s="112"/>
      <c r="K608" s="112"/>
      <c r="L608" s="112"/>
      <c r="M608" s="112"/>
      <c r="N608" s="112"/>
      <c r="O608" s="112"/>
      <c r="P608" s="112"/>
      <c r="Q608" s="112"/>
      <c r="R608" s="112"/>
      <c r="S608" s="112"/>
      <c r="T608" s="112"/>
      <c r="U608" s="124"/>
      <c r="V608" s="124"/>
      <c r="W608" s="124"/>
      <c r="X608" s="124"/>
      <c r="Y608" s="124"/>
      <c r="Z608" s="112"/>
      <c r="AA608" s="112"/>
      <c r="AB608" s="112"/>
      <c r="AC608" s="112"/>
      <c r="AD608" s="112"/>
      <c r="AE608" s="112"/>
      <c r="AF608" s="112"/>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c r="BK608" s="124"/>
      <c r="BL608" s="124"/>
      <c r="BM608" s="124"/>
      <c r="BN608" s="124"/>
      <c r="BO608" s="124"/>
      <c r="BP608" s="124"/>
      <c r="BQ608" s="124"/>
      <c r="BR608" s="124"/>
      <c r="BS608" s="124"/>
      <c r="BT608" s="124"/>
      <c r="BU608" s="124"/>
      <c r="BV608" s="124"/>
      <c r="BW608" s="124"/>
      <c r="BX608" s="124"/>
      <c r="BY608" s="124"/>
      <c r="BZ608" s="124"/>
      <c r="CA608" s="124"/>
    </row>
    <row r="609">
      <c r="D609" s="143"/>
      <c r="E609" s="129"/>
      <c r="F609" s="112"/>
      <c r="G609" s="112"/>
      <c r="H609" s="112"/>
      <c r="I609" s="112"/>
      <c r="J609" s="112"/>
      <c r="K609" s="112"/>
      <c r="L609" s="112"/>
      <c r="M609" s="112"/>
      <c r="N609" s="112"/>
      <c r="O609" s="112"/>
      <c r="P609" s="112"/>
      <c r="Q609" s="112"/>
      <c r="R609" s="112"/>
      <c r="S609" s="112"/>
      <c r="T609" s="112"/>
      <c r="U609" s="124"/>
      <c r="V609" s="124"/>
      <c r="W609" s="124"/>
      <c r="X609" s="124"/>
      <c r="Y609" s="124"/>
      <c r="Z609" s="112"/>
      <c r="AA609" s="112"/>
      <c r="AB609" s="112"/>
      <c r="AC609" s="112"/>
      <c r="AD609" s="112"/>
      <c r="AE609" s="112"/>
      <c r="AF609" s="112"/>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c r="BK609" s="124"/>
      <c r="BL609" s="124"/>
      <c r="BM609" s="124"/>
      <c r="BN609" s="124"/>
      <c r="BO609" s="124"/>
      <c r="BP609" s="124"/>
      <c r="BQ609" s="124"/>
      <c r="BR609" s="124"/>
      <c r="BS609" s="124"/>
      <c r="BT609" s="124"/>
      <c r="BU609" s="124"/>
      <c r="BV609" s="124"/>
      <c r="BW609" s="124"/>
      <c r="BX609" s="124"/>
      <c r="BY609" s="124"/>
      <c r="BZ609" s="124"/>
      <c r="CA609" s="124"/>
    </row>
    <row r="610">
      <c r="D610" s="143"/>
      <c r="E610" s="129"/>
      <c r="F610" s="112"/>
      <c r="G610" s="112"/>
      <c r="H610" s="112"/>
      <c r="I610" s="112"/>
      <c r="J610" s="112"/>
      <c r="K610" s="112"/>
      <c r="L610" s="112"/>
      <c r="M610" s="112"/>
      <c r="N610" s="112"/>
      <c r="O610" s="112"/>
      <c r="P610" s="112"/>
      <c r="Q610" s="112"/>
      <c r="R610" s="112"/>
      <c r="S610" s="112"/>
      <c r="T610" s="112"/>
      <c r="U610" s="124"/>
      <c r="V610" s="124"/>
      <c r="W610" s="124"/>
      <c r="X610" s="124"/>
      <c r="Y610" s="124"/>
      <c r="Z610" s="112"/>
      <c r="AA610" s="112"/>
      <c r="AB610" s="112"/>
      <c r="AC610" s="112"/>
      <c r="AD610" s="112"/>
      <c r="AE610" s="112"/>
      <c r="AF610" s="112"/>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c r="BK610" s="124"/>
      <c r="BL610" s="124"/>
      <c r="BM610" s="124"/>
      <c r="BN610" s="124"/>
      <c r="BO610" s="124"/>
      <c r="BP610" s="124"/>
      <c r="BQ610" s="124"/>
      <c r="BR610" s="124"/>
      <c r="BS610" s="124"/>
      <c r="BT610" s="124"/>
      <c r="BU610" s="124"/>
      <c r="BV610" s="124"/>
      <c r="BW610" s="124"/>
      <c r="BX610" s="124"/>
      <c r="BY610" s="124"/>
      <c r="BZ610" s="124"/>
      <c r="CA610" s="124"/>
    </row>
    <row r="611">
      <c r="D611" s="143"/>
      <c r="E611" s="129"/>
      <c r="F611" s="112"/>
      <c r="G611" s="112"/>
      <c r="H611" s="112"/>
      <c r="I611" s="112"/>
      <c r="J611" s="112"/>
      <c r="K611" s="112"/>
      <c r="L611" s="112"/>
      <c r="M611" s="112"/>
      <c r="N611" s="112"/>
      <c r="O611" s="112"/>
      <c r="P611" s="112"/>
      <c r="Q611" s="112"/>
      <c r="R611" s="112"/>
      <c r="S611" s="112"/>
      <c r="T611" s="112"/>
      <c r="U611" s="124"/>
      <c r="V611" s="124"/>
      <c r="W611" s="124"/>
      <c r="X611" s="124"/>
      <c r="Y611" s="124"/>
      <c r="Z611" s="112"/>
      <c r="AA611" s="112"/>
      <c r="AB611" s="112"/>
      <c r="AC611" s="112"/>
      <c r="AD611" s="112"/>
      <c r="AE611" s="112"/>
      <c r="AF611" s="112"/>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c r="BK611" s="124"/>
      <c r="BL611" s="124"/>
      <c r="BM611" s="124"/>
      <c r="BN611" s="124"/>
      <c r="BO611" s="124"/>
      <c r="BP611" s="124"/>
      <c r="BQ611" s="124"/>
      <c r="BR611" s="124"/>
      <c r="BS611" s="124"/>
      <c r="BT611" s="124"/>
      <c r="BU611" s="124"/>
      <c r="BV611" s="124"/>
      <c r="BW611" s="124"/>
      <c r="BX611" s="124"/>
      <c r="BY611" s="124"/>
      <c r="BZ611" s="124"/>
      <c r="CA611" s="124"/>
    </row>
    <row r="612">
      <c r="D612" s="143"/>
      <c r="E612" s="129"/>
      <c r="F612" s="112"/>
      <c r="G612" s="112"/>
      <c r="H612" s="112"/>
      <c r="I612" s="112"/>
      <c r="J612" s="112"/>
      <c r="K612" s="112"/>
      <c r="L612" s="112"/>
      <c r="M612" s="112"/>
      <c r="N612" s="112"/>
      <c r="O612" s="112"/>
      <c r="P612" s="112"/>
      <c r="Q612" s="112"/>
      <c r="R612" s="112"/>
      <c r="S612" s="112"/>
      <c r="T612" s="112"/>
      <c r="U612" s="124"/>
      <c r="V612" s="124"/>
      <c r="W612" s="124"/>
      <c r="X612" s="124"/>
      <c r="Y612" s="124"/>
      <c r="Z612" s="112"/>
      <c r="AA612" s="112"/>
      <c r="AB612" s="112"/>
      <c r="AC612" s="112"/>
      <c r="AD612" s="112"/>
      <c r="AE612" s="112"/>
      <c r="AF612" s="112"/>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c r="BK612" s="124"/>
      <c r="BL612" s="124"/>
      <c r="BM612" s="124"/>
      <c r="BN612" s="124"/>
      <c r="BO612" s="124"/>
      <c r="BP612" s="124"/>
      <c r="BQ612" s="124"/>
      <c r="BR612" s="124"/>
      <c r="BS612" s="124"/>
      <c r="BT612" s="124"/>
      <c r="BU612" s="124"/>
      <c r="BV612" s="124"/>
      <c r="BW612" s="124"/>
      <c r="BX612" s="124"/>
      <c r="BY612" s="124"/>
      <c r="BZ612" s="124"/>
      <c r="CA612" s="124"/>
    </row>
    <row r="613">
      <c r="D613" s="143"/>
      <c r="E613" s="129"/>
      <c r="F613" s="112"/>
      <c r="G613" s="112"/>
      <c r="H613" s="112"/>
      <c r="I613" s="112"/>
      <c r="J613" s="112"/>
      <c r="K613" s="112"/>
      <c r="L613" s="112"/>
      <c r="M613" s="112"/>
      <c r="N613" s="112"/>
      <c r="O613" s="112"/>
      <c r="P613" s="112"/>
      <c r="Q613" s="112"/>
      <c r="R613" s="112"/>
      <c r="S613" s="112"/>
      <c r="T613" s="112"/>
      <c r="U613" s="124"/>
      <c r="V613" s="124"/>
      <c r="W613" s="124"/>
      <c r="X613" s="124"/>
      <c r="Y613" s="124"/>
      <c r="Z613" s="112"/>
      <c r="AA613" s="112"/>
      <c r="AB613" s="112"/>
      <c r="AC613" s="112"/>
      <c r="AD613" s="112"/>
      <c r="AE613" s="112"/>
      <c r="AF613" s="112"/>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c r="BK613" s="124"/>
      <c r="BL613" s="124"/>
      <c r="BM613" s="124"/>
      <c r="BN613" s="124"/>
      <c r="BO613" s="124"/>
      <c r="BP613" s="124"/>
      <c r="BQ613" s="124"/>
      <c r="BR613" s="124"/>
      <c r="BS613" s="124"/>
      <c r="BT613" s="124"/>
      <c r="BU613" s="124"/>
      <c r="BV613" s="124"/>
      <c r="BW613" s="124"/>
      <c r="BX613" s="124"/>
      <c r="BY613" s="124"/>
      <c r="BZ613" s="124"/>
      <c r="CA613" s="124"/>
    </row>
    <row r="614">
      <c r="D614" s="143"/>
      <c r="E614" s="129"/>
      <c r="F614" s="112"/>
      <c r="G614" s="112"/>
      <c r="H614" s="112"/>
      <c r="I614" s="112"/>
      <c r="J614" s="112"/>
      <c r="K614" s="112"/>
      <c r="L614" s="112"/>
      <c r="M614" s="112"/>
      <c r="N614" s="112"/>
      <c r="O614" s="112"/>
      <c r="P614" s="112"/>
      <c r="Q614" s="112"/>
      <c r="R614" s="112"/>
      <c r="S614" s="112"/>
      <c r="T614" s="112"/>
      <c r="U614" s="124"/>
      <c r="V614" s="124"/>
      <c r="W614" s="124"/>
      <c r="X614" s="124"/>
      <c r="Y614" s="124"/>
      <c r="Z614" s="112"/>
      <c r="AA614" s="112"/>
      <c r="AB614" s="112"/>
      <c r="AC614" s="112"/>
      <c r="AD614" s="112"/>
      <c r="AE614" s="112"/>
      <c r="AF614" s="112"/>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c r="BK614" s="124"/>
      <c r="BL614" s="124"/>
      <c r="BM614" s="124"/>
      <c r="BN614" s="124"/>
      <c r="BO614" s="124"/>
      <c r="BP614" s="124"/>
      <c r="BQ614" s="124"/>
      <c r="BR614" s="124"/>
      <c r="BS614" s="124"/>
      <c r="BT614" s="124"/>
      <c r="BU614" s="124"/>
      <c r="BV614" s="124"/>
      <c r="BW614" s="124"/>
      <c r="BX614" s="124"/>
      <c r="BY614" s="124"/>
      <c r="BZ614" s="124"/>
      <c r="CA614" s="124"/>
    </row>
    <row r="615">
      <c r="D615" s="143"/>
      <c r="E615" s="129"/>
      <c r="F615" s="112"/>
      <c r="G615" s="112"/>
      <c r="H615" s="112"/>
      <c r="I615" s="112"/>
      <c r="J615" s="112"/>
      <c r="K615" s="112"/>
      <c r="L615" s="112"/>
      <c r="M615" s="112"/>
      <c r="N615" s="112"/>
      <c r="O615" s="112"/>
      <c r="P615" s="112"/>
      <c r="Q615" s="112"/>
      <c r="R615" s="112"/>
      <c r="S615" s="112"/>
      <c r="T615" s="112"/>
      <c r="U615" s="124"/>
      <c r="V615" s="124"/>
      <c r="W615" s="124"/>
      <c r="X615" s="124"/>
      <c r="Y615" s="124"/>
      <c r="Z615" s="112"/>
      <c r="AA615" s="112"/>
      <c r="AB615" s="112"/>
      <c r="AC615" s="112"/>
      <c r="AD615" s="112"/>
      <c r="AE615" s="112"/>
      <c r="AF615" s="112"/>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c r="BK615" s="124"/>
      <c r="BL615" s="124"/>
      <c r="BM615" s="124"/>
      <c r="BN615" s="124"/>
      <c r="BO615" s="124"/>
      <c r="BP615" s="124"/>
      <c r="BQ615" s="124"/>
      <c r="BR615" s="124"/>
      <c r="BS615" s="124"/>
      <c r="BT615" s="124"/>
      <c r="BU615" s="124"/>
      <c r="BV615" s="124"/>
      <c r="BW615" s="124"/>
      <c r="BX615" s="124"/>
      <c r="BY615" s="124"/>
      <c r="BZ615" s="124"/>
      <c r="CA615" s="124"/>
    </row>
    <row r="616">
      <c r="D616" s="143"/>
      <c r="E616" s="129"/>
      <c r="F616" s="112"/>
      <c r="G616" s="112"/>
      <c r="H616" s="112"/>
      <c r="I616" s="112"/>
      <c r="J616" s="112"/>
      <c r="K616" s="112"/>
      <c r="L616" s="112"/>
      <c r="M616" s="112"/>
      <c r="N616" s="112"/>
      <c r="O616" s="112"/>
      <c r="P616" s="112"/>
      <c r="Q616" s="112"/>
      <c r="R616" s="112"/>
      <c r="S616" s="112"/>
      <c r="T616" s="112"/>
      <c r="U616" s="124"/>
      <c r="V616" s="124"/>
      <c r="W616" s="124"/>
      <c r="X616" s="124"/>
      <c r="Y616" s="124"/>
      <c r="Z616" s="112"/>
      <c r="AA616" s="112"/>
      <c r="AB616" s="112"/>
      <c r="AC616" s="112"/>
      <c r="AD616" s="112"/>
      <c r="AE616" s="112"/>
      <c r="AF616" s="112"/>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c r="BK616" s="124"/>
      <c r="BL616" s="124"/>
      <c r="BM616" s="124"/>
      <c r="BN616" s="124"/>
      <c r="BO616" s="124"/>
      <c r="BP616" s="124"/>
      <c r="BQ616" s="124"/>
      <c r="BR616" s="124"/>
      <c r="BS616" s="124"/>
      <c r="BT616" s="124"/>
      <c r="BU616" s="124"/>
      <c r="BV616" s="124"/>
      <c r="BW616" s="124"/>
      <c r="BX616" s="124"/>
      <c r="BY616" s="124"/>
      <c r="BZ616" s="124"/>
      <c r="CA616" s="124"/>
    </row>
    <row r="617">
      <c r="D617" s="143"/>
      <c r="E617" s="129"/>
      <c r="F617" s="112"/>
      <c r="G617" s="112"/>
      <c r="H617" s="112"/>
      <c r="I617" s="112"/>
      <c r="J617" s="112"/>
      <c r="K617" s="112"/>
      <c r="L617" s="112"/>
      <c r="M617" s="112"/>
      <c r="N617" s="112"/>
      <c r="O617" s="112"/>
      <c r="P617" s="112"/>
      <c r="Q617" s="112"/>
      <c r="R617" s="112"/>
      <c r="S617" s="112"/>
      <c r="T617" s="112"/>
      <c r="U617" s="124"/>
      <c r="V617" s="124"/>
      <c r="W617" s="124"/>
      <c r="X617" s="124"/>
      <c r="Y617" s="124"/>
      <c r="Z617" s="112"/>
      <c r="AA617" s="112"/>
      <c r="AB617" s="112"/>
      <c r="AC617" s="112"/>
      <c r="AD617" s="112"/>
      <c r="AE617" s="112"/>
      <c r="AF617" s="112"/>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c r="BK617" s="124"/>
      <c r="BL617" s="124"/>
      <c r="BM617" s="124"/>
      <c r="BN617" s="124"/>
      <c r="BO617" s="124"/>
      <c r="BP617" s="124"/>
      <c r="BQ617" s="124"/>
      <c r="BR617" s="124"/>
      <c r="BS617" s="124"/>
      <c r="BT617" s="124"/>
      <c r="BU617" s="124"/>
      <c r="BV617" s="124"/>
      <c r="BW617" s="124"/>
      <c r="BX617" s="124"/>
      <c r="BY617" s="124"/>
      <c r="BZ617" s="124"/>
      <c r="CA617" s="124"/>
    </row>
    <row r="618">
      <c r="D618" s="143"/>
      <c r="E618" s="129"/>
      <c r="F618" s="112"/>
      <c r="G618" s="112"/>
      <c r="H618" s="112"/>
      <c r="I618" s="112"/>
      <c r="J618" s="112"/>
      <c r="K618" s="112"/>
      <c r="L618" s="112"/>
      <c r="M618" s="112"/>
      <c r="N618" s="112"/>
      <c r="O618" s="112"/>
      <c r="P618" s="112"/>
      <c r="Q618" s="112"/>
      <c r="R618" s="112"/>
      <c r="S618" s="112"/>
      <c r="T618" s="112"/>
      <c r="U618" s="124"/>
      <c r="V618" s="124"/>
      <c r="W618" s="124"/>
      <c r="X618" s="124"/>
      <c r="Y618" s="124"/>
      <c r="Z618" s="112"/>
      <c r="AA618" s="112"/>
      <c r="AB618" s="112"/>
      <c r="AC618" s="112"/>
      <c r="AD618" s="112"/>
      <c r="AE618" s="112"/>
      <c r="AF618" s="112"/>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c r="BK618" s="124"/>
      <c r="BL618" s="124"/>
      <c r="BM618" s="124"/>
      <c r="BN618" s="124"/>
      <c r="BO618" s="124"/>
      <c r="BP618" s="124"/>
      <c r="BQ618" s="124"/>
      <c r="BR618" s="124"/>
      <c r="BS618" s="124"/>
      <c r="BT618" s="124"/>
      <c r="BU618" s="124"/>
      <c r="BV618" s="124"/>
      <c r="BW618" s="124"/>
      <c r="BX618" s="124"/>
      <c r="BY618" s="124"/>
      <c r="BZ618" s="124"/>
      <c r="CA618" s="124"/>
    </row>
    <row r="619">
      <c r="D619" s="143"/>
      <c r="E619" s="129"/>
      <c r="F619" s="112"/>
      <c r="G619" s="112"/>
      <c r="H619" s="112"/>
      <c r="I619" s="112"/>
      <c r="J619" s="112"/>
      <c r="K619" s="112"/>
      <c r="L619" s="112"/>
      <c r="M619" s="112"/>
      <c r="N619" s="112"/>
      <c r="O619" s="112"/>
      <c r="P619" s="112"/>
      <c r="Q619" s="112"/>
      <c r="R619" s="112"/>
      <c r="S619" s="112"/>
      <c r="T619" s="112"/>
      <c r="U619" s="124"/>
      <c r="V619" s="124"/>
      <c r="W619" s="124"/>
      <c r="X619" s="124"/>
      <c r="Y619" s="124"/>
      <c r="Z619" s="112"/>
      <c r="AA619" s="112"/>
      <c r="AB619" s="112"/>
      <c r="AC619" s="112"/>
      <c r="AD619" s="112"/>
      <c r="AE619" s="112"/>
      <c r="AF619" s="112"/>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c r="BK619" s="124"/>
      <c r="BL619" s="124"/>
      <c r="BM619" s="124"/>
      <c r="BN619" s="124"/>
      <c r="BO619" s="124"/>
      <c r="BP619" s="124"/>
      <c r="BQ619" s="124"/>
      <c r="BR619" s="124"/>
      <c r="BS619" s="124"/>
      <c r="BT619" s="124"/>
      <c r="BU619" s="124"/>
      <c r="BV619" s="124"/>
      <c r="BW619" s="124"/>
      <c r="BX619" s="124"/>
      <c r="BY619" s="124"/>
      <c r="BZ619" s="124"/>
      <c r="CA619" s="124"/>
    </row>
    <row r="620">
      <c r="D620" s="143"/>
      <c r="E620" s="129"/>
      <c r="F620" s="112"/>
      <c r="G620" s="112"/>
      <c r="H620" s="112"/>
      <c r="I620" s="112"/>
      <c r="J620" s="112"/>
      <c r="K620" s="112"/>
      <c r="L620" s="112"/>
      <c r="M620" s="112"/>
      <c r="N620" s="112"/>
      <c r="O620" s="112"/>
      <c r="P620" s="112"/>
      <c r="Q620" s="112"/>
      <c r="R620" s="112"/>
      <c r="S620" s="112"/>
      <c r="T620" s="112"/>
      <c r="U620" s="124"/>
      <c r="V620" s="124"/>
      <c r="W620" s="124"/>
      <c r="X620" s="124"/>
      <c r="Y620" s="124"/>
      <c r="Z620" s="112"/>
      <c r="AA620" s="112"/>
      <c r="AB620" s="112"/>
      <c r="AC620" s="112"/>
      <c r="AD620" s="112"/>
      <c r="AE620" s="112"/>
      <c r="AF620" s="112"/>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c r="BK620" s="124"/>
      <c r="BL620" s="124"/>
      <c r="BM620" s="124"/>
      <c r="BN620" s="124"/>
      <c r="BO620" s="124"/>
      <c r="BP620" s="124"/>
      <c r="BQ620" s="124"/>
      <c r="BR620" s="124"/>
      <c r="BS620" s="124"/>
      <c r="BT620" s="124"/>
      <c r="BU620" s="124"/>
      <c r="BV620" s="124"/>
      <c r="BW620" s="124"/>
      <c r="BX620" s="124"/>
      <c r="BY620" s="124"/>
      <c r="BZ620" s="124"/>
      <c r="CA620" s="124"/>
    </row>
    <row r="621">
      <c r="D621" s="143"/>
      <c r="E621" s="129"/>
      <c r="F621" s="112"/>
      <c r="G621" s="112"/>
      <c r="H621" s="112"/>
      <c r="I621" s="112"/>
      <c r="J621" s="112"/>
      <c r="K621" s="112"/>
      <c r="L621" s="112"/>
      <c r="M621" s="112"/>
      <c r="N621" s="112"/>
      <c r="O621" s="112"/>
      <c r="P621" s="112"/>
      <c r="Q621" s="112"/>
      <c r="R621" s="112"/>
      <c r="S621" s="112"/>
      <c r="T621" s="112"/>
      <c r="U621" s="124"/>
      <c r="V621" s="124"/>
      <c r="W621" s="124"/>
      <c r="X621" s="124"/>
      <c r="Y621" s="124"/>
      <c r="Z621" s="112"/>
      <c r="AA621" s="112"/>
      <c r="AB621" s="112"/>
      <c r="AC621" s="112"/>
      <c r="AD621" s="112"/>
      <c r="AE621" s="112"/>
      <c r="AF621" s="112"/>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c r="BK621" s="124"/>
      <c r="BL621" s="124"/>
      <c r="BM621" s="124"/>
      <c r="BN621" s="124"/>
      <c r="BO621" s="124"/>
      <c r="BP621" s="124"/>
      <c r="BQ621" s="124"/>
      <c r="BR621" s="124"/>
      <c r="BS621" s="124"/>
      <c r="BT621" s="124"/>
      <c r="BU621" s="124"/>
      <c r="BV621" s="124"/>
      <c r="BW621" s="124"/>
      <c r="BX621" s="124"/>
      <c r="BY621" s="124"/>
      <c r="BZ621" s="124"/>
      <c r="CA621" s="124"/>
    </row>
    <row r="622">
      <c r="D622" s="143"/>
      <c r="E622" s="129"/>
      <c r="F622" s="112"/>
      <c r="G622" s="112"/>
      <c r="H622" s="112"/>
      <c r="I622" s="112"/>
      <c r="J622" s="112"/>
      <c r="K622" s="112"/>
      <c r="L622" s="112"/>
      <c r="M622" s="112"/>
      <c r="N622" s="112"/>
      <c r="O622" s="112"/>
      <c r="P622" s="112"/>
      <c r="Q622" s="112"/>
      <c r="R622" s="112"/>
      <c r="S622" s="112"/>
      <c r="T622" s="112"/>
      <c r="U622" s="124"/>
      <c r="V622" s="124"/>
      <c r="W622" s="124"/>
      <c r="X622" s="124"/>
      <c r="Y622" s="124"/>
      <c r="Z622" s="112"/>
      <c r="AA622" s="112"/>
      <c r="AB622" s="112"/>
      <c r="AC622" s="112"/>
      <c r="AD622" s="112"/>
      <c r="AE622" s="112"/>
      <c r="AF622" s="112"/>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c r="BK622" s="124"/>
      <c r="BL622" s="124"/>
      <c r="BM622" s="124"/>
      <c r="BN622" s="124"/>
      <c r="BO622" s="124"/>
      <c r="BP622" s="124"/>
      <c r="BQ622" s="124"/>
      <c r="BR622" s="124"/>
      <c r="BS622" s="124"/>
      <c r="BT622" s="124"/>
      <c r="BU622" s="124"/>
      <c r="BV622" s="124"/>
      <c r="BW622" s="124"/>
      <c r="BX622" s="124"/>
      <c r="BY622" s="124"/>
      <c r="BZ622" s="124"/>
      <c r="CA622" s="124"/>
    </row>
    <row r="623">
      <c r="D623" s="143"/>
      <c r="E623" s="129"/>
      <c r="F623" s="112"/>
      <c r="G623" s="112"/>
      <c r="H623" s="112"/>
      <c r="I623" s="112"/>
      <c r="J623" s="112"/>
      <c r="K623" s="112"/>
      <c r="L623" s="112"/>
      <c r="M623" s="112"/>
      <c r="N623" s="112"/>
      <c r="O623" s="112"/>
      <c r="P623" s="112"/>
      <c r="Q623" s="112"/>
      <c r="R623" s="112"/>
      <c r="S623" s="112"/>
      <c r="T623" s="112"/>
      <c r="U623" s="124"/>
      <c r="V623" s="124"/>
      <c r="W623" s="124"/>
      <c r="X623" s="124"/>
      <c r="Y623" s="124"/>
      <c r="Z623" s="112"/>
      <c r="AA623" s="112"/>
      <c r="AB623" s="112"/>
      <c r="AC623" s="112"/>
      <c r="AD623" s="112"/>
      <c r="AE623" s="112"/>
      <c r="AF623" s="112"/>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c r="BK623" s="124"/>
      <c r="BL623" s="124"/>
      <c r="BM623" s="124"/>
      <c r="BN623" s="124"/>
      <c r="BO623" s="124"/>
      <c r="BP623" s="124"/>
      <c r="BQ623" s="124"/>
      <c r="BR623" s="124"/>
      <c r="BS623" s="124"/>
      <c r="BT623" s="124"/>
      <c r="BU623" s="124"/>
      <c r="BV623" s="124"/>
      <c r="BW623" s="124"/>
      <c r="BX623" s="124"/>
      <c r="BY623" s="124"/>
      <c r="BZ623" s="124"/>
      <c r="CA623" s="124"/>
    </row>
    <row r="624">
      <c r="D624" s="143"/>
      <c r="E624" s="129"/>
      <c r="F624" s="112"/>
      <c r="G624" s="112"/>
      <c r="H624" s="112"/>
      <c r="I624" s="112"/>
      <c r="J624" s="112"/>
      <c r="K624" s="112"/>
      <c r="L624" s="112"/>
      <c r="M624" s="112"/>
      <c r="N624" s="112"/>
      <c r="O624" s="112"/>
      <c r="P624" s="112"/>
      <c r="Q624" s="112"/>
      <c r="R624" s="112"/>
      <c r="S624" s="112"/>
      <c r="T624" s="112"/>
      <c r="U624" s="124"/>
      <c r="V624" s="124"/>
      <c r="W624" s="124"/>
      <c r="X624" s="124"/>
      <c r="Y624" s="124"/>
      <c r="Z624" s="112"/>
      <c r="AA624" s="112"/>
      <c r="AB624" s="112"/>
      <c r="AC624" s="112"/>
      <c r="AD624" s="112"/>
      <c r="AE624" s="112"/>
      <c r="AF624" s="112"/>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c r="BK624" s="124"/>
      <c r="BL624" s="124"/>
      <c r="BM624" s="124"/>
      <c r="BN624" s="124"/>
      <c r="BO624" s="124"/>
      <c r="BP624" s="124"/>
      <c r="BQ624" s="124"/>
      <c r="BR624" s="124"/>
      <c r="BS624" s="124"/>
      <c r="BT624" s="124"/>
      <c r="BU624" s="124"/>
      <c r="BV624" s="124"/>
      <c r="BW624" s="124"/>
      <c r="BX624" s="124"/>
      <c r="BY624" s="124"/>
      <c r="BZ624" s="124"/>
      <c r="CA624" s="124"/>
    </row>
    <row r="625">
      <c r="D625" s="143"/>
      <c r="E625" s="129"/>
      <c r="F625" s="112"/>
      <c r="G625" s="112"/>
      <c r="H625" s="112"/>
      <c r="I625" s="112"/>
      <c r="J625" s="112"/>
      <c r="K625" s="112"/>
      <c r="L625" s="112"/>
      <c r="M625" s="112"/>
      <c r="N625" s="112"/>
      <c r="O625" s="112"/>
      <c r="P625" s="112"/>
      <c r="Q625" s="112"/>
      <c r="R625" s="112"/>
      <c r="S625" s="112"/>
      <c r="T625" s="112"/>
      <c r="U625" s="124"/>
      <c r="V625" s="124"/>
      <c r="W625" s="124"/>
      <c r="X625" s="124"/>
      <c r="Y625" s="124"/>
      <c r="Z625" s="112"/>
      <c r="AA625" s="112"/>
      <c r="AB625" s="112"/>
      <c r="AC625" s="112"/>
      <c r="AD625" s="112"/>
      <c r="AE625" s="112"/>
      <c r="AF625" s="112"/>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c r="BK625" s="124"/>
      <c r="BL625" s="124"/>
      <c r="BM625" s="124"/>
      <c r="BN625" s="124"/>
      <c r="BO625" s="124"/>
      <c r="BP625" s="124"/>
      <c r="BQ625" s="124"/>
      <c r="BR625" s="124"/>
      <c r="BS625" s="124"/>
      <c r="BT625" s="124"/>
      <c r="BU625" s="124"/>
      <c r="BV625" s="124"/>
      <c r="BW625" s="124"/>
      <c r="BX625" s="124"/>
      <c r="BY625" s="124"/>
      <c r="BZ625" s="124"/>
      <c r="CA625" s="124"/>
    </row>
    <row r="626">
      <c r="D626" s="143"/>
      <c r="E626" s="129"/>
      <c r="F626" s="112"/>
      <c r="G626" s="112"/>
      <c r="H626" s="112"/>
      <c r="I626" s="112"/>
      <c r="J626" s="112"/>
      <c r="K626" s="112"/>
      <c r="L626" s="112"/>
      <c r="M626" s="112"/>
      <c r="N626" s="112"/>
      <c r="O626" s="112"/>
      <c r="P626" s="112"/>
      <c r="Q626" s="112"/>
      <c r="R626" s="112"/>
      <c r="S626" s="112"/>
      <c r="T626" s="112"/>
      <c r="U626" s="124"/>
      <c r="V626" s="124"/>
      <c r="W626" s="124"/>
      <c r="X626" s="124"/>
      <c r="Y626" s="124"/>
      <c r="Z626" s="112"/>
      <c r="AA626" s="112"/>
      <c r="AB626" s="112"/>
      <c r="AC626" s="112"/>
      <c r="AD626" s="112"/>
      <c r="AE626" s="112"/>
      <c r="AF626" s="112"/>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c r="BK626" s="124"/>
      <c r="BL626" s="124"/>
      <c r="BM626" s="124"/>
      <c r="BN626" s="124"/>
      <c r="BO626" s="124"/>
      <c r="BP626" s="124"/>
      <c r="BQ626" s="124"/>
      <c r="BR626" s="124"/>
      <c r="BS626" s="124"/>
      <c r="BT626" s="124"/>
      <c r="BU626" s="124"/>
      <c r="BV626" s="124"/>
      <c r="BW626" s="124"/>
      <c r="BX626" s="124"/>
      <c r="BY626" s="124"/>
      <c r="BZ626" s="124"/>
      <c r="CA626" s="124"/>
    </row>
    <row r="627">
      <c r="D627" s="143"/>
      <c r="E627" s="129"/>
      <c r="F627" s="112"/>
      <c r="G627" s="112"/>
      <c r="H627" s="112"/>
      <c r="I627" s="112"/>
      <c r="J627" s="112"/>
      <c r="K627" s="112"/>
      <c r="L627" s="112"/>
      <c r="M627" s="112"/>
      <c r="N627" s="112"/>
      <c r="O627" s="112"/>
      <c r="P627" s="112"/>
      <c r="Q627" s="112"/>
      <c r="R627" s="112"/>
      <c r="S627" s="112"/>
      <c r="T627" s="112"/>
      <c r="U627" s="124"/>
      <c r="V627" s="124"/>
      <c r="W627" s="124"/>
      <c r="X627" s="124"/>
      <c r="Y627" s="124"/>
      <c r="Z627" s="112"/>
      <c r="AA627" s="112"/>
      <c r="AB627" s="112"/>
      <c r="AC627" s="112"/>
      <c r="AD627" s="112"/>
      <c r="AE627" s="112"/>
      <c r="AF627" s="112"/>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c r="BK627" s="124"/>
      <c r="BL627" s="124"/>
      <c r="BM627" s="124"/>
      <c r="BN627" s="124"/>
      <c r="BO627" s="124"/>
      <c r="BP627" s="124"/>
      <c r="BQ627" s="124"/>
      <c r="BR627" s="124"/>
      <c r="BS627" s="124"/>
      <c r="BT627" s="124"/>
      <c r="BU627" s="124"/>
      <c r="BV627" s="124"/>
      <c r="BW627" s="124"/>
      <c r="BX627" s="124"/>
      <c r="BY627" s="124"/>
      <c r="BZ627" s="124"/>
      <c r="CA627" s="124"/>
    </row>
    <row r="628">
      <c r="D628" s="143"/>
      <c r="E628" s="129"/>
      <c r="F628" s="112"/>
      <c r="G628" s="112"/>
      <c r="H628" s="112"/>
      <c r="I628" s="112"/>
      <c r="J628" s="112"/>
      <c r="K628" s="112"/>
      <c r="L628" s="112"/>
      <c r="M628" s="112"/>
      <c r="N628" s="112"/>
      <c r="O628" s="112"/>
      <c r="P628" s="112"/>
      <c r="Q628" s="112"/>
      <c r="R628" s="112"/>
      <c r="S628" s="112"/>
      <c r="T628" s="112"/>
      <c r="U628" s="124"/>
      <c r="V628" s="124"/>
      <c r="W628" s="124"/>
      <c r="X628" s="124"/>
      <c r="Y628" s="124"/>
      <c r="Z628" s="112"/>
      <c r="AA628" s="112"/>
      <c r="AB628" s="112"/>
      <c r="AC628" s="112"/>
      <c r="AD628" s="112"/>
      <c r="AE628" s="112"/>
      <c r="AF628" s="112"/>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c r="BK628" s="124"/>
      <c r="BL628" s="124"/>
      <c r="BM628" s="124"/>
      <c r="BN628" s="124"/>
      <c r="BO628" s="124"/>
      <c r="BP628" s="124"/>
      <c r="BQ628" s="124"/>
      <c r="BR628" s="124"/>
      <c r="BS628" s="124"/>
      <c r="BT628" s="124"/>
      <c r="BU628" s="124"/>
      <c r="BV628" s="124"/>
      <c r="BW628" s="124"/>
      <c r="BX628" s="124"/>
      <c r="BY628" s="124"/>
      <c r="BZ628" s="124"/>
      <c r="CA628" s="124"/>
    </row>
    <row r="629">
      <c r="D629" s="143"/>
      <c r="E629" s="129"/>
      <c r="F629" s="112"/>
      <c r="G629" s="112"/>
      <c r="H629" s="112"/>
      <c r="I629" s="112"/>
      <c r="J629" s="112"/>
      <c r="K629" s="112"/>
      <c r="L629" s="112"/>
      <c r="M629" s="112"/>
      <c r="N629" s="112"/>
      <c r="O629" s="112"/>
      <c r="P629" s="112"/>
      <c r="Q629" s="112"/>
      <c r="R629" s="112"/>
      <c r="S629" s="112"/>
      <c r="T629" s="112"/>
      <c r="U629" s="124"/>
      <c r="V629" s="124"/>
      <c r="W629" s="124"/>
      <c r="X629" s="124"/>
      <c r="Y629" s="124"/>
      <c r="Z629" s="112"/>
      <c r="AA629" s="112"/>
      <c r="AB629" s="112"/>
      <c r="AC629" s="112"/>
      <c r="AD629" s="112"/>
      <c r="AE629" s="112"/>
      <c r="AF629" s="112"/>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c r="BK629" s="124"/>
      <c r="BL629" s="124"/>
      <c r="BM629" s="124"/>
      <c r="BN629" s="124"/>
      <c r="BO629" s="124"/>
      <c r="BP629" s="124"/>
      <c r="BQ629" s="124"/>
      <c r="BR629" s="124"/>
      <c r="BS629" s="124"/>
      <c r="BT629" s="124"/>
      <c r="BU629" s="124"/>
      <c r="BV629" s="124"/>
      <c r="BW629" s="124"/>
      <c r="BX629" s="124"/>
      <c r="BY629" s="124"/>
      <c r="BZ629" s="124"/>
      <c r="CA629" s="124"/>
    </row>
    <row r="630">
      <c r="D630" s="143"/>
      <c r="E630" s="129"/>
      <c r="F630" s="112"/>
      <c r="G630" s="112"/>
      <c r="H630" s="112"/>
      <c r="I630" s="112"/>
      <c r="J630" s="112"/>
      <c r="K630" s="112"/>
      <c r="L630" s="112"/>
      <c r="M630" s="112"/>
      <c r="N630" s="112"/>
      <c r="O630" s="112"/>
      <c r="P630" s="112"/>
      <c r="Q630" s="112"/>
      <c r="R630" s="112"/>
      <c r="S630" s="112"/>
      <c r="T630" s="112"/>
      <c r="U630" s="124"/>
      <c r="V630" s="124"/>
      <c r="W630" s="124"/>
      <c r="X630" s="124"/>
      <c r="Y630" s="124"/>
      <c r="Z630" s="112"/>
      <c r="AA630" s="112"/>
      <c r="AB630" s="112"/>
      <c r="AC630" s="112"/>
      <c r="AD630" s="112"/>
      <c r="AE630" s="112"/>
      <c r="AF630" s="112"/>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c r="BK630" s="124"/>
      <c r="BL630" s="124"/>
      <c r="BM630" s="124"/>
      <c r="BN630" s="124"/>
      <c r="BO630" s="124"/>
      <c r="BP630" s="124"/>
      <c r="BQ630" s="124"/>
      <c r="BR630" s="124"/>
      <c r="BS630" s="124"/>
      <c r="BT630" s="124"/>
      <c r="BU630" s="124"/>
      <c r="BV630" s="124"/>
      <c r="BW630" s="124"/>
      <c r="BX630" s="124"/>
      <c r="BY630" s="124"/>
      <c r="BZ630" s="124"/>
      <c r="CA630" s="124"/>
    </row>
    <row r="631">
      <c r="D631" s="143"/>
      <c r="E631" s="129"/>
      <c r="F631" s="112"/>
      <c r="G631" s="112"/>
      <c r="H631" s="112"/>
      <c r="I631" s="112"/>
      <c r="J631" s="112"/>
      <c r="K631" s="112"/>
      <c r="L631" s="112"/>
      <c r="M631" s="112"/>
      <c r="N631" s="112"/>
      <c r="O631" s="112"/>
      <c r="P631" s="112"/>
      <c r="Q631" s="112"/>
      <c r="R631" s="112"/>
      <c r="S631" s="112"/>
      <c r="T631" s="112"/>
      <c r="U631" s="124"/>
      <c r="V631" s="124"/>
      <c r="W631" s="124"/>
      <c r="X631" s="124"/>
      <c r="Y631" s="124"/>
      <c r="Z631" s="112"/>
      <c r="AA631" s="112"/>
      <c r="AB631" s="112"/>
      <c r="AC631" s="112"/>
      <c r="AD631" s="112"/>
      <c r="AE631" s="112"/>
      <c r="AF631" s="112"/>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c r="BK631" s="124"/>
      <c r="BL631" s="124"/>
      <c r="BM631" s="124"/>
      <c r="BN631" s="124"/>
      <c r="BO631" s="124"/>
      <c r="BP631" s="124"/>
      <c r="BQ631" s="124"/>
      <c r="BR631" s="124"/>
      <c r="BS631" s="124"/>
      <c r="BT631" s="124"/>
      <c r="BU631" s="124"/>
      <c r="BV631" s="124"/>
      <c r="BW631" s="124"/>
      <c r="BX631" s="124"/>
      <c r="BY631" s="124"/>
      <c r="BZ631" s="124"/>
      <c r="CA631" s="124"/>
    </row>
    <row r="632">
      <c r="D632" s="143"/>
      <c r="E632" s="129"/>
      <c r="F632" s="112"/>
      <c r="G632" s="112"/>
      <c r="H632" s="112"/>
      <c r="I632" s="112"/>
      <c r="J632" s="112"/>
      <c r="K632" s="112"/>
      <c r="L632" s="112"/>
      <c r="M632" s="112"/>
      <c r="N632" s="112"/>
      <c r="O632" s="112"/>
      <c r="P632" s="112"/>
      <c r="Q632" s="112"/>
      <c r="R632" s="112"/>
      <c r="S632" s="112"/>
      <c r="T632" s="112"/>
      <c r="U632" s="124"/>
      <c r="V632" s="124"/>
      <c r="W632" s="124"/>
      <c r="X632" s="124"/>
      <c r="Y632" s="124"/>
      <c r="Z632" s="112"/>
      <c r="AA632" s="112"/>
      <c r="AB632" s="112"/>
      <c r="AC632" s="112"/>
      <c r="AD632" s="112"/>
      <c r="AE632" s="112"/>
      <c r="AF632" s="112"/>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c r="BK632" s="124"/>
      <c r="BL632" s="124"/>
      <c r="BM632" s="124"/>
      <c r="BN632" s="124"/>
      <c r="BO632" s="124"/>
      <c r="BP632" s="124"/>
      <c r="BQ632" s="124"/>
      <c r="BR632" s="124"/>
      <c r="BS632" s="124"/>
      <c r="BT632" s="124"/>
      <c r="BU632" s="124"/>
      <c r="BV632" s="124"/>
      <c r="BW632" s="124"/>
      <c r="BX632" s="124"/>
      <c r="BY632" s="124"/>
      <c r="BZ632" s="124"/>
      <c r="CA632" s="124"/>
    </row>
    <row r="633">
      <c r="D633" s="143"/>
      <c r="E633" s="129"/>
      <c r="F633" s="112"/>
      <c r="G633" s="112"/>
      <c r="H633" s="112"/>
      <c r="I633" s="112"/>
      <c r="J633" s="112"/>
      <c r="K633" s="112"/>
      <c r="L633" s="112"/>
      <c r="M633" s="112"/>
      <c r="N633" s="112"/>
      <c r="O633" s="112"/>
      <c r="P633" s="112"/>
      <c r="Q633" s="112"/>
      <c r="R633" s="112"/>
      <c r="S633" s="112"/>
      <c r="T633" s="112"/>
      <c r="U633" s="124"/>
      <c r="V633" s="124"/>
      <c r="W633" s="124"/>
      <c r="X633" s="124"/>
      <c r="Y633" s="124"/>
      <c r="Z633" s="112"/>
      <c r="AA633" s="112"/>
      <c r="AB633" s="112"/>
      <c r="AC633" s="112"/>
      <c r="AD633" s="112"/>
      <c r="AE633" s="112"/>
      <c r="AF633" s="112"/>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c r="BK633" s="124"/>
      <c r="BL633" s="124"/>
      <c r="BM633" s="124"/>
      <c r="BN633" s="124"/>
      <c r="BO633" s="124"/>
      <c r="BP633" s="124"/>
      <c r="BQ633" s="124"/>
      <c r="BR633" s="124"/>
      <c r="BS633" s="124"/>
      <c r="BT633" s="124"/>
      <c r="BU633" s="124"/>
      <c r="BV633" s="124"/>
      <c r="BW633" s="124"/>
      <c r="BX633" s="124"/>
      <c r="BY633" s="124"/>
      <c r="BZ633" s="124"/>
      <c r="CA633" s="124"/>
    </row>
    <row r="634">
      <c r="D634" s="143"/>
      <c r="E634" s="129"/>
      <c r="F634" s="112"/>
      <c r="G634" s="112"/>
      <c r="H634" s="112"/>
      <c r="I634" s="112"/>
      <c r="J634" s="112"/>
      <c r="K634" s="112"/>
      <c r="L634" s="112"/>
      <c r="M634" s="112"/>
      <c r="N634" s="112"/>
      <c r="O634" s="112"/>
      <c r="P634" s="112"/>
      <c r="Q634" s="112"/>
      <c r="R634" s="112"/>
      <c r="S634" s="112"/>
      <c r="T634" s="112"/>
      <c r="U634" s="124"/>
      <c r="V634" s="124"/>
      <c r="W634" s="124"/>
      <c r="X634" s="124"/>
      <c r="Y634" s="124"/>
      <c r="Z634" s="112"/>
      <c r="AA634" s="112"/>
      <c r="AB634" s="112"/>
      <c r="AC634" s="112"/>
      <c r="AD634" s="112"/>
      <c r="AE634" s="112"/>
      <c r="AF634" s="112"/>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c r="BK634" s="124"/>
      <c r="BL634" s="124"/>
      <c r="BM634" s="124"/>
      <c r="BN634" s="124"/>
      <c r="BO634" s="124"/>
      <c r="BP634" s="124"/>
      <c r="BQ634" s="124"/>
      <c r="BR634" s="124"/>
      <c r="BS634" s="124"/>
      <c r="BT634" s="124"/>
      <c r="BU634" s="124"/>
      <c r="BV634" s="124"/>
      <c r="BW634" s="124"/>
      <c r="BX634" s="124"/>
      <c r="BY634" s="124"/>
      <c r="BZ634" s="124"/>
      <c r="CA634" s="124"/>
    </row>
    <row r="635">
      <c r="D635" s="143"/>
      <c r="E635" s="129"/>
      <c r="F635" s="112"/>
      <c r="G635" s="112"/>
      <c r="H635" s="112"/>
      <c r="I635" s="112"/>
      <c r="J635" s="112"/>
      <c r="K635" s="112"/>
      <c r="L635" s="112"/>
      <c r="M635" s="112"/>
      <c r="N635" s="112"/>
      <c r="O635" s="112"/>
      <c r="P635" s="112"/>
      <c r="Q635" s="112"/>
      <c r="R635" s="112"/>
      <c r="S635" s="112"/>
      <c r="T635" s="112"/>
      <c r="U635" s="124"/>
      <c r="V635" s="124"/>
      <c r="W635" s="124"/>
      <c r="X635" s="124"/>
      <c r="Y635" s="124"/>
      <c r="Z635" s="112"/>
      <c r="AA635" s="112"/>
      <c r="AB635" s="112"/>
      <c r="AC635" s="112"/>
      <c r="AD635" s="112"/>
      <c r="AE635" s="112"/>
      <c r="AF635" s="112"/>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c r="BK635" s="124"/>
      <c r="BL635" s="124"/>
      <c r="BM635" s="124"/>
      <c r="BN635" s="124"/>
      <c r="BO635" s="124"/>
      <c r="BP635" s="124"/>
      <c r="BQ635" s="124"/>
      <c r="BR635" s="124"/>
      <c r="BS635" s="124"/>
      <c r="BT635" s="124"/>
      <c r="BU635" s="124"/>
      <c r="BV635" s="124"/>
      <c r="BW635" s="124"/>
      <c r="BX635" s="124"/>
      <c r="BY635" s="124"/>
      <c r="BZ635" s="124"/>
      <c r="CA635" s="124"/>
    </row>
    <row r="636">
      <c r="D636" s="143"/>
      <c r="E636" s="129"/>
      <c r="F636" s="112"/>
      <c r="G636" s="112"/>
      <c r="H636" s="112"/>
      <c r="I636" s="112"/>
      <c r="J636" s="112"/>
      <c r="K636" s="112"/>
      <c r="L636" s="112"/>
      <c r="M636" s="112"/>
      <c r="N636" s="112"/>
      <c r="O636" s="112"/>
      <c r="P636" s="112"/>
      <c r="Q636" s="112"/>
      <c r="R636" s="112"/>
      <c r="S636" s="112"/>
      <c r="T636" s="112"/>
      <c r="U636" s="124"/>
      <c r="V636" s="124"/>
      <c r="W636" s="124"/>
      <c r="X636" s="124"/>
      <c r="Y636" s="124"/>
      <c r="Z636" s="112"/>
      <c r="AA636" s="112"/>
      <c r="AB636" s="112"/>
      <c r="AC636" s="112"/>
      <c r="AD636" s="112"/>
      <c r="AE636" s="112"/>
      <c r="AF636" s="112"/>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c r="BK636" s="124"/>
      <c r="BL636" s="124"/>
      <c r="BM636" s="124"/>
      <c r="BN636" s="124"/>
      <c r="BO636" s="124"/>
      <c r="BP636" s="124"/>
      <c r="BQ636" s="124"/>
      <c r="BR636" s="124"/>
      <c r="BS636" s="124"/>
      <c r="BT636" s="124"/>
      <c r="BU636" s="124"/>
      <c r="BV636" s="124"/>
      <c r="BW636" s="124"/>
      <c r="BX636" s="124"/>
      <c r="BY636" s="124"/>
      <c r="BZ636" s="124"/>
      <c r="CA636" s="124"/>
    </row>
    <row r="637">
      <c r="D637" s="143"/>
      <c r="E637" s="129"/>
      <c r="F637" s="112"/>
      <c r="G637" s="112"/>
      <c r="H637" s="112"/>
      <c r="I637" s="112"/>
      <c r="J637" s="112"/>
      <c r="K637" s="112"/>
      <c r="L637" s="112"/>
      <c r="M637" s="112"/>
      <c r="N637" s="112"/>
      <c r="O637" s="112"/>
      <c r="P637" s="112"/>
      <c r="Q637" s="112"/>
      <c r="R637" s="112"/>
      <c r="S637" s="112"/>
      <c r="T637" s="112"/>
      <c r="U637" s="124"/>
      <c r="V637" s="124"/>
      <c r="W637" s="124"/>
      <c r="X637" s="124"/>
      <c r="Y637" s="124"/>
      <c r="Z637" s="112"/>
      <c r="AA637" s="112"/>
      <c r="AB637" s="112"/>
      <c r="AC637" s="112"/>
      <c r="AD637" s="112"/>
      <c r="AE637" s="112"/>
      <c r="AF637" s="112"/>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c r="BK637" s="124"/>
      <c r="BL637" s="124"/>
      <c r="BM637" s="124"/>
      <c r="BN637" s="124"/>
      <c r="BO637" s="124"/>
      <c r="BP637" s="124"/>
      <c r="BQ637" s="124"/>
      <c r="BR637" s="124"/>
      <c r="BS637" s="124"/>
      <c r="BT637" s="124"/>
      <c r="BU637" s="124"/>
      <c r="BV637" s="124"/>
      <c r="BW637" s="124"/>
      <c r="BX637" s="124"/>
      <c r="BY637" s="124"/>
      <c r="BZ637" s="124"/>
      <c r="CA637" s="124"/>
    </row>
    <row r="638">
      <c r="D638" s="143"/>
      <c r="E638" s="129"/>
      <c r="F638" s="112"/>
      <c r="G638" s="112"/>
      <c r="H638" s="112"/>
      <c r="I638" s="112"/>
      <c r="J638" s="112"/>
      <c r="K638" s="112"/>
      <c r="L638" s="112"/>
      <c r="M638" s="112"/>
      <c r="N638" s="112"/>
      <c r="O638" s="112"/>
      <c r="P638" s="112"/>
      <c r="Q638" s="112"/>
      <c r="R638" s="112"/>
      <c r="S638" s="112"/>
      <c r="T638" s="112"/>
      <c r="U638" s="124"/>
      <c r="V638" s="124"/>
      <c r="W638" s="124"/>
      <c r="X638" s="124"/>
      <c r="Y638" s="124"/>
      <c r="Z638" s="112"/>
      <c r="AA638" s="112"/>
      <c r="AB638" s="112"/>
      <c r="AC638" s="112"/>
      <c r="AD638" s="112"/>
      <c r="AE638" s="112"/>
      <c r="AF638" s="112"/>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c r="BK638" s="124"/>
      <c r="BL638" s="124"/>
      <c r="BM638" s="124"/>
      <c r="BN638" s="124"/>
      <c r="BO638" s="124"/>
      <c r="BP638" s="124"/>
      <c r="BQ638" s="124"/>
      <c r="BR638" s="124"/>
      <c r="BS638" s="124"/>
      <c r="BT638" s="124"/>
      <c r="BU638" s="124"/>
      <c r="BV638" s="124"/>
      <c r="BW638" s="124"/>
      <c r="BX638" s="124"/>
      <c r="BY638" s="124"/>
      <c r="BZ638" s="124"/>
      <c r="CA638" s="124"/>
    </row>
    <row r="639">
      <c r="D639" s="143"/>
      <c r="E639" s="129"/>
      <c r="F639" s="112"/>
      <c r="G639" s="112"/>
      <c r="H639" s="112"/>
      <c r="I639" s="112"/>
      <c r="J639" s="112"/>
      <c r="K639" s="112"/>
      <c r="L639" s="112"/>
      <c r="M639" s="112"/>
      <c r="N639" s="112"/>
      <c r="O639" s="112"/>
      <c r="P639" s="112"/>
      <c r="Q639" s="112"/>
      <c r="R639" s="112"/>
      <c r="S639" s="112"/>
      <c r="T639" s="112"/>
      <c r="U639" s="124"/>
      <c r="V639" s="124"/>
      <c r="W639" s="124"/>
      <c r="X639" s="124"/>
      <c r="Y639" s="124"/>
      <c r="Z639" s="112"/>
      <c r="AA639" s="112"/>
      <c r="AB639" s="112"/>
      <c r="AC639" s="112"/>
      <c r="AD639" s="112"/>
      <c r="AE639" s="112"/>
      <c r="AF639" s="112"/>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c r="BK639" s="124"/>
      <c r="BL639" s="124"/>
      <c r="BM639" s="124"/>
      <c r="BN639" s="124"/>
      <c r="BO639" s="124"/>
      <c r="BP639" s="124"/>
      <c r="BQ639" s="124"/>
      <c r="BR639" s="124"/>
      <c r="BS639" s="124"/>
      <c r="BT639" s="124"/>
      <c r="BU639" s="124"/>
      <c r="BV639" s="124"/>
      <c r="BW639" s="124"/>
      <c r="BX639" s="124"/>
      <c r="BY639" s="124"/>
      <c r="BZ639" s="124"/>
      <c r="CA639" s="124"/>
    </row>
    <row r="640">
      <c r="D640" s="143"/>
      <c r="E640" s="129"/>
      <c r="F640" s="112"/>
      <c r="G640" s="112"/>
      <c r="H640" s="112"/>
      <c r="I640" s="112"/>
      <c r="J640" s="112"/>
      <c r="K640" s="112"/>
      <c r="L640" s="112"/>
      <c r="M640" s="112"/>
      <c r="N640" s="112"/>
      <c r="O640" s="112"/>
      <c r="P640" s="112"/>
      <c r="Q640" s="112"/>
      <c r="R640" s="112"/>
      <c r="S640" s="112"/>
      <c r="T640" s="112"/>
      <c r="U640" s="124"/>
      <c r="V640" s="124"/>
      <c r="W640" s="124"/>
      <c r="X640" s="124"/>
      <c r="Y640" s="124"/>
      <c r="Z640" s="112"/>
      <c r="AA640" s="112"/>
      <c r="AB640" s="112"/>
      <c r="AC640" s="112"/>
      <c r="AD640" s="112"/>
      <c r="AE640" s="112"/>
      <c r="AF640" s="112"/>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c r="BK640" s="124"/>
      <c r="BL640" s="124"/>
      <c r="BM640" s="124"/>
      <c r="BN640" s="124"/>
      <c r="BO640" s="124"/>
      <c r="BP640" s="124"/>
      <c r="BQ640" s="124"/>
      <c r="BR640" s="124"/>
      <c r="BS640" s="124"/>
      <c r="BT640" s="124"/>
      <c r="BU640" s="124"/>
      <c r="BV640" s="124"/>
      <c r="BW640" s="124"/>
      <c r="BX640" s="124"/>
      <c r="BY640" s="124"/>
      <c r="BZ640" s="124"/>
      <c r="CA640" s="124"/>
    </row>
    <row r="641">
      <c r="D641" s="143"/>
      <c r="E641" s="129"/>
      <c r="F641" s="112"/>
      <c r="G641" s="112"/>
      <c r="H641" s="112"/>
      <c r="I641" s="112"/>
      <c r="J641" s="112"/>
      <c r="K641" s="112"/>
      <c r="L641" s="112"/>
      <c r="M641" s="112"/>
      <c r="N641" s="112"/>
      <c r="O641" s="112"/>
      <c r="P641" s="112"/>
      <c r="Q641" s="112"/>
      <c r="R641" s="112"/>
      <c r="S641" s="112"/>
      <c r="T641" s="112"/>
      <c r="U641" s="124"/>
      <c r="V641" s="124"/>
      <c r="W641" s="124"/>
      <c r="X641" s="124"/>
      <c r="Y641" s="124"/>
      <c r="Z641" s="112"/>
      <c r="AA641" s="112"/>
      <c r="AB641" s="112"/>
      <c r="AC641" s="112"/>
      <c r="AD641" s="112"/>
      <c r="AE641" s="112"/>
      <c r="AF641" s="112"/>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c r="BK641" s="124"/>
      <c r="BL641" s="124"/>
      <c r="BM641" s="124"/>
      <c r="BN641" s="124"/>
      <c r="BO641" s="124"/>
      <c r="BP641" s="124"/>
      <c r="BQ641" s="124"/>
      <c r="BR641" s="124"/>
      <c r="BS641" s="124"/>
      <c r="BT641" s="124"/>
      <c r="BU641" s="124"/>
      <c r="BV641" s="124"/>
      <c r="BW641" s="124"/>
      <c r="BX641" s="124"/>
      <c r="BY641" s="124"/>
      <c r="BZ641" s="124"/>
      <c r="CA641" s="124"/>
    </row>
    <row r="642">
      <c r="D642" s="143"/>
      <c r="E642" s="129"/>
      <c r="F642" s="112"/>
      <c r="G642" s="112"/>
      <c r="H642" s="112"/>
      <c r="I642" s="112"/>
      <c r="J642" s="112"/>
      <c r="K642" s="112"/>
      <c r="L642" s="112"/>
      <c r="M642" s="112"/>
      <c r="N642" s="112"/>
      <c r="O642" s="112"/>
      <c r="P642" s="112"/>
      <c r="Q642" s="112"/>
      <c r="R642" s="112"/>
      <c r="S642" s="112"/>
      <c r="T642" s="112"/>
      <c r="U642" s="124"/>
      <c r="V642" s="124"/>
      <c r="W642" s="124"/>
      <c r="X642" s="124"/>
      <c r="Y642" s="124"/>
      <c r="Z642" s="112"/>
      <c r="AA642" s="112"/>
      <c r="AB642" s="112"/>
      <c r="AC642" s="112"/>
      <c r="AD642" s="112"/>
      <c r="AE642" s="112"/>
      <c r="AF642" s="112"/>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c r="BK642" s="124"/>
      <c r="BL642" s="124"/>
      <c r="BM642" s="124"/>
      <c r="BN642" s="124"/>
      <c r="BO642" s="124"/>
      <c r="BP642" s="124"/>
      <c r="BQ642" s="124"/>
      <c r="BR642" s="124"/>
      <c r="BS642" s="124"/>
      <c r="BT642" s="124"/>
      <c r="BU642" s="124"/>
      <c r="BV642" s="124"/>
      <c r="BW642" s="124"/>
      <c r="BX642" s="124"/>
      <c r="BY642" s="124"/>
      <c r="BZ642" s="124"/>
      <c r="CA642" s="124"/>
    </row>
    <row r="643">
      <c r="D643" s="143"/>
      <c r="E643" s="129"/>
      <c r="F643" s="112"/>
      <c r="G643" s="112"/>
      <c r="H643" s="112"/>
      <c r="I643" s="112"/>
      <c r="J643" s="112"/>
      <c r="K643" s="112"/>
      <c r="L643" s="112"/>
      <c r="M643" s="112"/>
      <c r="N643" s="112"/>
      <c r="O643" s="112"/>
      <c r="P643" s="112"/>
      <c r="Q643" s="112"/>
      <c r="R643" s="112"/>
      <c r="S643" s="112"/>
      <c r="T643" s="112"/>
      <c r="U643" s="124"/>
      <c r="V643" s="124"/>
      <c r="W643" s="124"/>
      <c r="X643" s="124"/>
      <c r="Y643" s="124"/>
      <c r="Z643" s="112"/>
      <c r="AA643" s="112"/>
      <c r="AB643" s="112"/>
      <c r="AC643" s="112"/>
      <c r="AD643" s="112"/>
      <c r="AE643" s="112"/>
      <c r="AF643" s="112"/>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c r="BK643" s="124"/>
      <c r="BL643" s="124"/>
      <c r="BM643" s="124"/>
      <c r="BN643" s="124"/>
      <c r="BO643" s="124"/>
      <c r="BP643" s="124"/>
      <c r="BQ643" s="124"/>
      <c r="BR643" s="124"/>
      <c r="BS643" s="124"/>
      <c r="BT643" s="124"/>
      <c r="BU643" s="124"/>
      <c r="BV643" s="124"/>
      <c r="BW643" s="124"/>
      <c r="BX643" s="124"/>
      <c r="BY643" s="124"/>
      <c r="BZ643" s="124"/>
      <c r="CA643" s="124"/>
    </row>
    <row r="644">
      <c r="D644" s="143"/>
      <c r="E644" s="129"/>
      <c r="F644" s="112"/>
      <c r="G644" s="112"/>
      <c r="H644" s="112"/>
      <c r="I644" s="112"/>
      <c r="J644" s="112"/>
      <c r="K644" s="112"/>
      <c r="L644" s="112"/>
      <c r="M644" s="112"/>
      <c r="N644" s="112"/>
      <c r="O644" s="112"/>
      <c r="P644" s="112"/>
      <c r="Q644" s="112"/>
      <c r="R644" s="112"/>
      <c r="S644" s="112"/>
      <c r="T644" s="112"/>
      <c r="U644" s="124"/>
      <c r="V644" s="124"/>
      <c r="W644" s="124"/>
      <c r="X644" s="124"/>
      <c r="Y644" s="124"/>
      <c r="Z644" s="112"/>
      <c r="AA644" s="112"/>
      <c r="AB644" s="112"/>
      <c r="AC644" s="112"/>
      <c r="AD644" s="112"/>
      <c r="AE644" s="112"/>
      <c r="AF644" s="112"/>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c r="BK644" s="124"/>
      <c r="BL644" s="124"/>
      <c r="BM644" s="124"/>
      <c r="BN644" s="124"/>
      <c r="BO644" s="124"/>
      <c r="BP644" s="124"/>
      <c r="BQ644" s="124"/>
      <c r="BR644" s="124"/>
      <c r="BS644" s="124"/>
      <c r="BT644" s="124"/>
      <c r="BU644" s="124"/>
      <c r="BV644" s="124"/>
      <c r="BW644" s="124"/>
      <c r="BX644" s="124"/>
      <c r="BY644" s="124"/>
      <c r="BZ644" s="124"/>
      <c r="CA644" s="124"/>
    </row>
    <row r="645">
      <c r="D645" s="143"/>
      <c r="E645" s="129"/>
      <c r="F645" s="112"/>
      <c r="G645" s="112"/>
      <c r="H645" s="112"/>
      <c r="I645" s="112"/>
      <c r="J645" s="112"/>
      <c r="K645" s="112"/>
      <c r="L645" s="112"/>
      <c r="M645" s="112"/>
      <c r="N645" s="112"/>
      <c r="O645" s="112"/>
      <c r="P645" s="112"/>
      <c r="Q645" s="112"/>
      <c r="R645" s="112"/>
      <c r="S645" s="112"/>
      <c r="T645" s="112"/>
      <c r="U645" s="124"/>
      <c r="V645" s="124"/>
      <c r="W645" s="124"/>
      <c r="X645" s="124"/>
      <c r="Y645" s="124"/>
      <c r="Z645" s="112"/>
      <c r="AA645" s="112"/>
      <c r="AB645" s="112"/>
      <c r="AC645" s="112"/>
      <c r="AD645" s="112"/>
      <c r="AE645" s="112"/>
      <c r="AF645" s="112"/>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c r="BK645" s="124"/>
      <c r="BL645" s="124"/>
      <c r="BM645" s="124"/>
      <c r="BN645" s="124"/>
      <c r="BO645" s="124"/>
      <c r="BP645" s="124"/>
      <c r="BQ645" s="124"/>
      <c r="BR645" s="124"/>
      <c r="BS645" s="124"/>
      <c r="BT645" s="124"/>
      <c r="BU645" s="124"/>
      <c r="BV645" s="124"/>
      <c r="BW645" s="124"/>
      <c r="BX645" s="124"/>
      <c r="BY645" s="124"/>
      <c r="BZ645" s="124"/>
      <c r="CA645" s="124"/>
    </row>
    <row r="646">
      <c r="D646" s="143"/>
      <c r="E646" s="129"/>
      <c r="F646" s="112"/>
      <c r="G646" s="112"/>
      <c r="H646" s="112"/>
      <c r="I646" s="112"/>
      <c r="J646" s="112"/>
      <c r="K646" s="112"/>
      <c r="L646" s="112"/>
      <c r="M646" s="112"/>
      <c r="N646" s="112"/>
      <c r="O646" s="112"/>
      <c r="P646" s="112"/>
      <c r="Q646" s="112"/>
      <c r="R646" s="112"/>
      <c r="S646" s="112"/>
      <c r="T646" s="112"/>
      <c r="U646" s="124"/>
      <c r="V646" s="124"/>
      <c r="W646" s="124"/>
      <c r="X646" s="124"/>
      <c r="Y646" s="124"/>
      <c r="Z646" s="112"/>
      <c r="AA646" s="112"/>
      <c r="AB646" s="112"/>
      <c r="AC646" s="112"/>
      <c r="AD646" s="112"/>
      <c r="AE646" s="112"/>
      <c r="AF646" s="112"/>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c r="BK646" s="124"/>
      <c r="BL646" s="124"/>
      <c r="BM646" s="124"/>
      <c r="BN646" s="124"/>
      <c r="BO646" s="124"/>
      <c r="BP646" s="124"/>
      <c r="BQ646" s="124"/>
      <c r="BR646" s="124"/>
      <c r="BS646" s="124"/>
      <c r="BT646" s="124"/>
      <c r="BU646" s="124"/>
      <c r="BV646" s="124"/>
      <c r="BW646" s="124"/>
      <c r="BX646" s="124"/>
      <c r="BY646" s="124"/>
      <c r="BZ646" s="124"/>
      <c r="CA646" s="124"/>
    </row>
    <row r="647">
      <c r="D647" s="143"/>
      <c r="E647" s="129"/>
      <c r="F647" s="112"/>
      <c r="G647" s="112"/>
      <c r="H647" s="112"/>
      <c r="I647" s="112"/>
      <c r="J647" s="112"/>
      <c r="K647" s="112"/>
      <c r="L647" s="112"/>
      <c r="M647" s="112"/>
      <c r="N647" s="112"/>
      <c r="O647" s="112"/>
      <c r="P647" s="112"/>
      <c r="Q647" s="112"/>
      <c r="R647" s="112"/>
      <c r="S647" s="112"/>
      <c r="T647" s="112"/>
      <c r="U647" s="124"/>
      <c r="V647" s="124"/>
      <c r="W647" s="124"/>
      <c r="X647" s="124"/>
      <c r="Y647" s="124"/>
      <c r="Z647" s="112"/>
      <c r="AA647" s="112"/>
      <c r="AB647" s="112"/>
      <c r="AC647" s="112"/>
      <c r="AD647" s="112"/>
      <c r="AE647" s="112"/>
      <c r="AF647" s="112"/>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c r="BK647" s="124"/>
      <c r="BL647" s="124"/>
      <c r="BM647" s="124"/>
      <c r="BN647" s="124"/>
      <c r="BO647" s="124"/>
      <c r="BP647" s="124"/>
      <c r="BQ647" s="124"/>
      <c r="BR647" s="124"/>
      <c r="BS647" s="124"/>
      <c r="BT647" s="124"/>
      <c r="BU647" s="124"/>
      <c r="BV647" s="124"/>
      <c r="BW647" s="124"/>
      <c r="BX647" s="124"/>
      <c r="BY647" s="124"/>
      <c r="BZ647" s="124"/>
      <c r="CA647" s="124"/>
    </row>
    <row r="648">
      <c r="D648" s="143"/>
      <c r="E648" s="129"/>
      <c r="F648" s="112"/>
      <c r="G648" s="112"/>
      <c r="H648" s="112"/>
      <c r="I648" s="112"/>
      <c r="J648" s="112"/>
      <c r="K648" s="112"/>
      <c r="L648" s="112"/>
      <c r="M648" s="112"/>
      <c r="N648" s="112"/>
      <c r="O648" s="112"/>
      <c r="P648" s="112"/>
      <c r="Q648" s="112"/>
      <c r="R648" s="112"/>
      <c r="S648" s="112"/>
      <c r="T648" s="112"/>
      <c r="U648" s="124"/>
      <c r="V648" s="124"/>
      <c r="W648" s="124"/>
      <c r="X648" s="124"/>
      <c r="Y648" s="124"/>
      <c r="Z648" s="112"/>
      <c r="AA648" s="112"/>
      <c r="AB648" s="112"/>
      <c r="AC648" s="112"/>
      <c r="AD648" s="112"/>
      <c r="AE648" s="112"/>
      <c r="AF648" s="112"/>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c r="BK648" s="124"/>
      <c r="BL648" s="124"/>
      <c r="BM648" s="124"/>
      <c r="BN648" s="124"/>
      <c r="BO648" s="124"/>
      <c r="BP648" s="124"/>
      <c r="BQ648" s="124"/>
      <c r="BR648" s="124"/>
      <c r="BS648" s="124"/>
      <c r="BT648" s="124"/>
      <c r="BU648" s="124"/>
      <c r="BV648" s="124"/>
      <c r="BW648" s="124"/>
      <c r="BX648" s="124"/>
      <c r="BY648" s="124"/>
      <c r="BZ648" s="124"/>
      <c r="CA648" s="124"/>
    </row>
    <row r="649">
      <c r="D649" s="143"/>
      <c r="E649" s="129"/>
      <c r="F649" s="112"/>
      <c r="G649" s="112"/>
      <c r="H649" s="112"/>
      <c r="I649" s="112"/>
      <c r="J649" s="112"/>
      <c r="K649" s="112"/>
      <c r="L649" s="112"/>
      <c r="M649" s="112"/>
      <c r="N649" s="112"/>
      <c r="O649" s="112"/>
      <c r="P649" s="112"/>
      <c r="Q649" s="112"/>
      <c r="R649" s="112"/>
      <c r="S649" s="112"/>
      <c r="T649" s="112"/>
      <c r="U649" s="124"/>
      <c r="V649" s="124"/>
      <c r="W649" s="124"/>
      <c r="X649" s="124"/>
      <c r="Y649" s="124"/>
      <c r="Z649" s="112"/>
      <c r="AA649" s="112"/>
      <c r="AB649" s="112"/>
      <c r="AC649" s="112"/>
      <c r="AD649" s="112"/>
      <c r="AE649" s="112"/>
      <c r="AF649" s="112"/>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c r="BK649" s="124"/>
      <c r="BL649" s="124"/>
      <c r="BM649" s="124"/>
      <c r="BN649" s="124"/>
      <c r="BO649" s="124"/>
      <c r="BP649" s="124"/>
      <c r="BQ649" s="124"/>
      <c r="BR649" s="124"/>
      <c r="BS649" s="124"/>
      <c r="BT649" s="124"/>
      <c r="BU649" s="124"/>
      <c r="BV649" s="124"/>
      <c r="BW649" s="124"/>
      <c r="BX649" s="124"/>
      <c r="BY649" s="124"/>
      <c r="BZ649" s="124"/>
      <c r="CA649" s="124"/>
    </row>
    <row r="650">
      <c r="D650" s="143"/>
      <c r="E650" s="129"/>
      <c r="F650" s="112"/>
      <c r="G650" s="112"/>
      <c r="H650" s="112"/>
      <c r="I650" s="112"/>
      <c r="J650" s="112"/>
      <c r="K650" s="112"/>
      <c r="L650" s="112"/>
      <c r="M650" s="112"/>
      <c r="N650" s="112"/>
      <c r="O650" s="112"/>
      <c r="P650" s="112"/>
      <c r="Q650" s="112"/>
      <c r="R650" s="112"/>
      <c r="S650" s="112"/>
      <c r="T650" s="112"/>
      <c r="U650" s="124"/>
      <c r="V650" s="124"/>
      <c r="W650" s="124"/>
      <c r="X650" s="124"/>
      <c r="Y650" s="124"/>
      <c r="Z650" s="112"/>
      <c r="AA650" s="112"/>
      <c r="AB650" s="112"/>
      <c r="AC650" s="112"/>
      <c r="AD650" s="112"/>
      <c r="AE650" s="112"/>
      <c r="AF650" s="112"/>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c r="BK650" s="124"/>
      <c r="BL650" s="124"/>
      <c r="BM650" s="124"/>
      <c r="BN650" s="124"/>
      <c r="BO650" s="124"/>
      <c r="BP650" s="124"/>
      <c r="BQ650" s="124"/>
      <c r="BR650" s="124"/>
      <c r="BS650" s="124"/>
      <c r="BT650" s="124"/>
      <c r="BU650" s="124"/>
      <c r="BV650" s="124"/>
      <c r="BW650" s="124"/>
      <c r="BX650" s="124"/>
      <c r="BY650" s="124"/>
      <c r="BZ650" s="124"/>
      <c r="CA650" s="124"/>
    </row>
    <row r="651">
      <c r="D651" s="143"/>
      <c r="E651" s="129"/>
      <c r="F651" s="112"/>
      <c r="G651" s="112"/>
      <c r="H651" s="112"/>
      <c r="I651" s="112"/>
      <c r="J651" s="112"/>
      <c r="K651" s="112"/>
      <c r="L651" s="112"/>
      <c r="M651" s="112"/>
      <c r="N651" s="112"/>
      <c r="O651" s="112"/>
      <c r="P651" s="112"/>
      <c r="Q651" s="112"/>
      <c r="R651" s="112"/>
      <c r="S651" s="112"/>
      <c r="T651" s="112"/>
      <c r="U651" s="124"/>
      <c r="V651" s="124"/>
      <c r="W651" s="124"/>
      <c r="X651" s="124"/>
      <c r="Y651" s="124"/>
      <c r="Z651" s="112"/>
      <c r="AA651" s="112"/>
      <c r="AB651" s="112"/>
      <c r="AC651" s="112"/>
      <c r="AD651" s="112"/>
      <c r="AE651" s="112"/>
      <c r="AF651" s="112"/>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c r="BK651" s="124"/>
      <c r="BL651" s="124"/>
      <c r="BM651" s="124"/>
      <c r="BN651" s="124"/>
      <c r="BO651" s="124"/>
      <c r="BP651" s="124"/>
      <c r="BQ651" s="124"/>
      <c r="BR651" s="124"/>
      <c r="BS651" s="124"/>
      <c r="BT651" s="124"/>
      <c r="BU651" s="124"/>
      <c r="BV651" s="124"/>
      <c r="BW651" s="124"/>
      <c r="BX651" s="124"/>
      <c r="BY651" s="124"/>
      <c r="BZ651" s="124"/>
      <c r="CA651" s="124"/>
    </row>
    <row r="652">
      <c r="D652" s="143"/>
      <c r="E652" s="129"/>
      <c r="F652" s="112"/>
      <c r="G652" s="112"/>
      <c r="H652" s="112"/>
      <c r="I652" s="112"/>
      <c r="J652" s="112"/>
      <c r="K652" s="112"/>
      <c r="L652" s="112"/>
      <c r="M652" s="112"/>
      <c r="N652" s="112"/>
      <c r="O652" s="112"/>
      <c r="P652" s="112"/>
      <c r="Q652" s="112"/>
      <c r="R652" s="112"/>
      <c r="S652" s="112"/>
      <c r="T652" s="112"/>
      <c r="U652" s="124"/>
      <c r="V652" s="124"/>
      <c r="W652" s="124"/>
      <c r="X652" s="124"/>
      <c r="Y652" s="124"/>
      <c r="Z652" s="112"/>
      <c r="AA652" s="112"/>
      <c r="AB652" s="112"/>
      <c r="AC652" s="112"/>
      <c r="AD652" s="112"/>
      <c r="AE652" s="112"/>
      <c r="AF652" s="112"/>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c r="BK652" s="124"/>
      <c r="BL652" s="124"/>
      <c r="BM652" s="124"/>
      <c r="BN652" s="124"/>
      <c r="BO652" s="124"/>
      <c r="BP652" s="124"/>
      <c r="BQ652" s="124"/>
      <c r="BR652" s="124"/>
      <c r="BS652" s="124"/>
      <c r="BT652" s="124"/>
      <c r="BU652" s="124"/>
      <c r="BV652" s="124"/>
      <c r="BW652" s="124"/>
      <c r="BX652" s="124"/>
      <c r="BY652" s="124"/>
      <c r="BZ652" s="124"/>
      <c r="CA652" s="124"/>
    </row>
    <row r="653">
      <c r="D653" s="143"/>
      <c r="E653" s="129"/>
      <c r="F653" s="112"/>
      <c r="G653" s="112"/>
      <c r="H653" s="112"/>
      <c r="I653" s="112"/>
      <c r="J653" s="112"/>
      <c r="K653" s="112"/>
      <c r="L653" s="112"/>
      <c r="M653" s="112"/>
      <c r="N653" s="112"/>
      <c r="O653" s="112"/>
      <c r="P653" s="112"/>
      <c r="Q653" s="112"/>
      <c r="R653" s="112"/>
      <c r="S653" s="112"/>
      <c r="T653" s="112"/>
      <c r="U653" s="124"/>
      <c r="V653" s="124"/>
      <c r="W653" s="124"/>
      <c r="X653" s="124"/>
      <c r="Y653" s="124"/>
      <c r="Z653" s="112"/>
      <c r="AA653" s="112"/>
      <c r="AB653" s="112"/>
      <c r="AC653" s="112"/>
      <c r="AD653" s="112"/>
      <c r="AE653" s="112"/>
      <c r="AF653" s="112"/>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c r="BK653" s="124"/>
      <c r="BL653" s="124"/>
      <c r="BM653" s="124"/>
      <c r="BN653" s="124"/>
      <c r="BO653" s="124"/>
      <c r="BP653" s="124"/>
      <c r="BQ653" s="124"/>
      <c r="BR653" s="124"/>
      <c r="BS653" s="124"/>
      <c r="BT653" s="124"/>
      <c r="BU653" s="124"/>
      <c r="BV653" s="124"/>
      <c r="BW653" s="124"/>
      <c r="BX653" s="124"/>
      <c r="BY653" s="124"/>
      <c r="BZ653" s="124"/>
      <c r="CA653" s="124"/>
    </row>
    <row r="654">
      <c r="D654" s="143"/>
      <c r="E654" s="129"/>
      <c r="F654" s="112"/>
      <c r="G654" s="112"/>
      <c r="H654" s="112"/>
      <c r="I654" s="112"/>
      <c r="J654" s="112"/>
      <c r="K654" s="112"/>
      <c r="L654" s="112"/>
      <c r="M654" s="112"/>
      <c r="N654" s="112"/>
      <c r="O654" s="112"/>
      <c r="P654" s="112"/>
      <c r="Q654" s="112"/>
      <c r="R654" s="112"/>
      <c r="S654" s="112"/>
      <c r="T654" s="112"/>
      <c r="U654" s="124"/>
      <c r="V654" s="124"/>
      <c r="W654" s="124"/>
      <c r="X654" s="124"/>
      <c r="Y654" s="124"/>
      <c r="Z654" s="112"/>
      <c r="AA654" s="112"/>
      <c r="AB654" s="112"/>
      <c r="AC654" s="112"/>
      <c r="AD654" s="112"/>
      <c r="AE654" s="112"/>
      <c r="AF654" s="112"/>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c r="BK654" s="124"/>
      <c r="BL654" s="124"/>
      <c r="BM654" s="124"/>
      <c r="BN654" s="124"/>
      <c r="BO654" s="124"/>
      <c r="BP654" s="124"/>
      <c r="BQ654" s="124"/>
      <c r="BR654" s="124"/>
      <c r="BS654" s="124"/>
      <c r="BT654" s="124"/>
      <c r="BU654" s="124"/>
      <c r="BV654" s="124"/>
      <c r="BW654" s="124"/>
      <c r="BX654" s="124"/>
      <c r="BY654" s="124"/>
      <c r="BZ654" s="124"/>
      <c r="CA654" s="124"/>
    </row>
    <row r="655">
      <c r="D655" s="143"/>
      <c r="E655" s="129"/>
      <c r="F655" s="112"/>
      <c r="G655" s="112"/>
      <c r="H655" s="112"/>
      <c r="I655" s="112"/>
      <c r="J655" s="112"/>
      <c r="K655" s="112"/>
      <c r="L655" s="112"/>
      <c r="M655" s="112"/>
      <c r="N655" s="112"/>
      <c r="O655" s="112"/>
      <c r="P655" s="112"/>
      <c r="Q655" s="112"/>
      <c r="R655" s="112"/>
      <c r="S655" s="112"/>
      <c r="T655" s="112"/>
      <c r="U655" s="124"/>
      <c r="V655" s="124"/>
      <c r="W655" s="124"/>
      <c r="X655" s="124"/>
      <c r="Y655" s="124"/>
      <c r="Z655" s="112"/>
      <c r="AA655" s="112"/>
      <c r="AB655" s="112"/>
      <c r="AC655" s="112"/>
      <c r="AD655" s="112"/>
      <c r="AE655" s="112"/>
      <c r="AF655" s="112"/>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c r="BK655" s="124"/>
      <c r="BL655" s="124"/>
      <c r="BM655" s="124"/>
      <c r="BN655" s="124"/>
      <c r="BO655" s="124"/>
      <c r="BP655" s="124"/>
      <c r="BQ655" s="124"/>
      <c r="BR655" s="124"/>
      <c r="BS655" s="124"/>
      <c r="BT655" s="124"/>
      <c r="BU655" s="124"/>
      <c r="BV655" s="124"/>
      <c r="BW655" s="124"/>
      <c r="BX655" s="124"/>
      <c r="BY655" s="124"/>
      <c r="BZ655" s="124"/>
      <c r="CA655" s="124"/>
    </row>
    <row r="656">
      <c r="D656" s="143"/>
      <c r="E656" s="129"/>
      <c r="F656" s="112"/>
      <c r="G656" s="112"/>
      <c r="H656" s="112"/>
      <c r="I656" s="112"/>
      <c r="J656" s="112"/>
      <c r="K656" s="112"/>
      <c r="L656" s="112"/>
      <c r="M656" s="112"/>
      <c r="N656" s="112"/>
      <c r="O656" s="112"/>
      <c r="P656" s="112"/>
      <c r="Q656" s="112"/>
      <c r="R656" s="112"/>
      <c r="S656" s="112"/>
      <c r="T656" s="112"/>
      <c r="U656" s="124"/>
      <c r="V656" s="124"/>
      <c r="W656" s="124"/>
      <c r="X656" s="124"/>
      <c r="Y656" s="124"/>
      <c r="Z656" s="112"/>
      <c r="AA656" s="112"/>
      <c r="AB656" s="112"/>
      <c r="AC656" s="112"/>
      <c r="AD656" s="112"/>
      <c r="AE656" s="112"/>
      <c r="AF656" s="112"/>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c r="BK656" s="124"/>
      <c r="BL656" s="124"/>
      <c r="BM656" s="124"/>
      <c r="BN656" s="124"/>
      <c r="BO656" s="124"/>
      <c r="BP656" s="124"/>
      <c r="BQ656" s="124"/>
      <c r="BR656" s="124"/>
      <c r="BS656" s="124"/>
      <c r="BT656" s="124"/>
      <c r="BU656" s="124"/>
      <c r="BV656" s="124"/>
      <c r="BW656" s="124"/>
      <c r="BX656" s="124"/>
      <c r="BY656" s="124"/>
      <c r="BZ656" s="124"/>
      <c r="CA656" s="124"/>
    </row>
    <row r="657">
      <c r="D657" s="143"/>
      <c r="E657" s="129"/>
      <c r="F657" s="112"/>
      <c r="G657" s="112"/>
      <c r="H657" s="112"/>
      <c r="I657" s="112"/>
      <c r="J657" s="112"/>
      <c r="K657" s="112"/>
      <c r="L657" s="112"/>
      <c r="M657" s="112"/>
      <c r="N657" s="112"/>
      <c r="O657" s="112"/>
      <c r="P657" s="112"/>
      <c r="Q657" s="112"/>
      <c r="R657" s="112"/>
      <c r="S657" s="112"/>
      <c r="T657" s="112"/>
      <c r="U657" s="124"/>
      <c r="V657" s="124"/>
      <c r="W657" s="124"/>
      <c r="X657" s="124"/>
      <c r="Y657" s="124"/>
      <c r="Z657" s="112"/>
      <c r="AA657" s="112"/>
      <c r="AB657" s="112"/>
      <c r="AC657" s="112"/>
      <c r="AD657" s="112"/>
      <c r="AE657" s="112"/>
      <c r="AF657" s="112"/>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c r="BK657" s="124"/>
      <c r="BL657" s="124"/>
      <c r="BM657" s="124"/>
      <c r="BN657" s="124"/>
      <c r="BO657" s="124"/>
      <c r="BP657" s="124"/>
      <c r="BQ657" s="124"/>
      <c r="BR657" s="124"/>
      <c r="BS657" s="124"/>
      <c r="BT657" s="124"/>
      <c r="BU657" s="124"/>
      <c r="BV657" s="124"/>
      <c r="BW657" s="124"/>
      <c r="BX657" s="124"/>
      <c r="BY657" s="124"/>
      <c r="BZ657" s="124"/>
      <c r="CA657" s="124"/>
    </row>
    <row r="658">
      <c r="D658" s="143"/>
      <c r="E658" s="129"/>
      <c r="F658" s="112"/>
      <c r="G658" s="112"/>
      <c r="H658" s="112"/>
      <c r="I658" s="112"/>
      <c r="J658" s="112"/>
      <c r="K658" s="112"/>
      <c r="L658" s="112"/>
      <c r="M658" s="112"/>
      <c r="N658" s="112"/>
      <c r="O658" s="112"/>
      <c r="P658" s="112"/>
      <c r="Q658" s="112"/>
      <c r="R658" s="112"/>
      <c r="S658" s="112"/>
      <c r="T658" s="112"/>
      <c r="U658" s="124"/>
      <c r="V658" s="124"/>
      <c r="W658" s="124"/>
      <c r="X658" s="124"/>
      <c r="Y658" s="124"/>
      <c r="Z658" s="112"/>
      <c r="AA658" s="112"/>
      <c r="AB658" s="112"/>
      <c r="AC658" s="112"/>
      <c r="AD658" s="112"/>
      <c r="AE658" s="112"/>
      <c r="AF658" s="112"/>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c r="BK658" s="124"/>
      <c r="BL658" s="124"/>
      <c r="BM658" s="124"/>
      <c r="BN658" s="124"/>
      <c r="BO658" s="124"/>
      <c r="BP658" s="124"/>
      <c r="BQ658" s="124"/>
      <c r="BR658" s="124"/>
      <c r="BS658" s="124"/>
      <c r="BT658" s="124"/>
      <c r="BU658" s="124"/>
      <c r="BV658" s="124"/>
      <c r="BW658" s="124"/>
      <c r="BX658" s="124"/>
      <c r="BY658" s="124"/>
      <c r="BZ658" s="124"/>
      <c r="CA658" s="124"/>
    </row>
    <row r="659">
      <c r="D659" s="143"/>
      <c r="E659" s="129"/>
      <c r="F659" s="112"/>
      <c r="G659" s="112"/>
      <c r="H659" s="112"/>
      <c r="I659" s="112"/>
      <c r="J659" s="112"/>
      <c r="K659" s="112"/>
      <c r="L659" s="112"/>
      <c r="M659" s="112"/>
      <c r="N659" s="112"/>
      <c r="O659" s="112"/>
      <c r="P659" s="112"/>
      <c r="Q659" s="112"/>
      <c r="R659" s="112"/>
      <c r="S659" s="112"/>
      <c r="T659" s="112"/>
      <c r="U659" s="124"/>
      <c r="V659" s="124"/>
      <c r="W659" s="124"/>
      <c r="X659" s="124"/>
      <c r="Y659" s="124"/>
      <c r="Z659" s="112"/>
      <c r="AA659" s="112"/>
      <c r="AB659" s="112"/>
      <c r="AC659" s="112"/>
      <c r="AD659" s="112"/>
      <c r="AE659" s="112"/>
      <c r="AF659" s="112"/>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c r="BK659" s="124"/>
      <c r="BL659" s="124"/>
      <c r="BM659" s="124"/>
      <c r="BN659" s="124"/>
      <c r="BO659" s="124"/>
      <c r="BP659" s="124"/>
      <c r="BQ659" s="124"/>
      <c r="BR659" s="124"/>
      <c r="BS659" s="124"/>
      <c r="BT659" s="124"/>
      <c r="BU659" s="124"/>
      <c r="BV659" s="124"/>
      <c r="BW659" s="124"/>
      <c r="BX659" s="124"/>
      <c r="BY659" s="124"/>
      <c r="BZ659" s="124"/>
      <c r="CA659" s="124"/>
    </row>
    <row r="660">
      <c r="D660" s="143"/>
      <c r="E660" s="129"/>
      <c r="F660" s="112"/>
      <c r="G660" s="112"/>
      <c r="H660" s="112"/>
      <c r="I660" s="112"/>
      <c r="J660" s="112"/>
      <c r="K660" s="112"/>
      <c r="L660" s="112"/>
      <c r="M660" s="112"/>
      <c r="N660" s="112"/>
      <c r="O660" s="112"/>
      <c r="P660" s="112"/>
      <c r="Q660" s="112"/>
      <c r="R660" s="112"/>
      <c r="S660" s="112"/>
      <c r="T660" s="112"/>
      <c r="U660" s="124"/>
      <c r="V660" s="124"/>
      <c r="W660" s="124"/>
      <c r="X660" s="124"/>
      <c r="Y660" s="124"/>
      <c r="Z660" s="112"/>
      <c r="AA660" s="112"/>
      <c r="AB660" s="112"/>
      <c r="AC660" s="112"/>
      <c r="AD660" s="112"/>
      <c r="AE660" s="112"/>
      <c r="AF660" s="112"/>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c r="BK660" s="124"/>
      <c r="BL660" s="124"/>
      <c r="BM660" s="124"/>
      <c r="BN660" s="124"/>
      <c r="BO660" s="124"/>
      <c r="BP660" s="124"/>
      <c r="BQ660" s="124"/>
      <c r="BR660" s="124"/>
      <c r="BS660" s="124"/>
      <c r="BT660" s="124"/>
      <c r="BU660" s="124"/>
      <c r="BV660" s="124"/>
      <c r="BW660" s="124"/>
      <c r="BX660" s="124"/>
      <c r="BY660" s="124"/>
      <c r="BZ660" s="124"/>
      <c r="CA660" s="124"/>
    </row>
    <row r="661">
      <c r="D661" s="143"/>
      <c r="E661" s="129"/>
      <c r="F661" s="112"/>
      <c r="G661" s="112"/>
      <c r="H661" s="112"/>
      <c r="I661" s="112"/>
      <c r="J661" s="112"/>
      <c r="K661" s="112"/>
      <c r="L661" s="112"/>
      <c r="M661" s="112"/>
      <c r="N661" s="112"/>
      <c r="O661" s="112"/>
      <c r="P661" s="112"/>
      <c r="Q661" s="112"/>
      <c r="R661" s="112"/>
      <c r="S661" s="112"/>
      <c r="T661" s="112"/>
      <c r="U661" s="124"/>
      <c r="V661" s="124"/>
      <c r="W661" s="124"/>
      <c r="X661" s="124"/>
      <c r="Y661" s="124"/>
      <c r="Z661" s="112"/>
      <c r="AA661" s="112"/>
      <c r="AB661" s="112"/>
      <c r="AC661" s="112"/>
      <c r="AD661" s="112"/>
      <c r="AE661" s="112"/>
      <c r="AF661" s="112"/>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c r="BK661" s="124"/>
      <c r="BL661" s="124"/>
      <c r="BM661" s="124"/>
      <c r="BN661" s="124"/>
      <c r="BO661" s="124"/>
      <c r="BP661" s="124"/>
      <c r="BQ661" s="124"/>
      <c r="BR661" s="124"/>
      <c r="BS661" s="124"/>
      <c r="BT661" s="124"/>
      <c r="BU661" s="124"/>
      <c r="BV661" s="124"/>
      <c r="BW661" s="124"/>
      <c r="BX661" s="124"/>
      <c r="BY661" s="124"/>
      <c r="BZ661" s="124"/>
      <c r="CA661" s="124"/>
    </row>
    <row r="662">
      <c r="D662" s="143"/>
      <c r="E662" s="129"/>
      <c r="F662" s="112"/>
      <c r="G662" s="112"/>
      <c r="H662" s="112"/>
      <c r="I662" s="112"/>
      <c r="J662" s="112"/>
      <c r="K662" s="112"/>
      <c r="L662" s="112"/>
      <c r="M662" s="112"/>
      <c r="N662" s="112"/>
      <c r="O662" s="112"/>
      <c r="P662" s="112"/>
      <c r="Q662" s="112"/>
      <c r="R662" s="112"/>
      <c r="S662" s="112"/>
      <c r="T662" s="112"/>
      <c r="U662" s="124"/>
      <c r="V662" s="124"/>
      <c r="W662" s="124"/>
      <c r="X662" s="124"/>
      <c r="Y662" s="124"/>
      <c r="Z662" s="112"/>
      <c r="AA662" s="112"/>
      <c r="AB662" s="112"/>
      <c r="AC662" s="112"/>
      <c r="AD662" s="112"/>
      <c r="AE662" s="112"/>
      <c r="AF662" s="112"/>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c r="BK662" s="124"/>
      <c r="BL662" s="124"/>
      <c r="BM662" s="124"/>
      <c r="BN662" s="124"/>
      <c r="BO662" s="124"/>
      <c r="BP662" s="124"/>
      <c r="BQ662" s="124"/>
      <c r="BR662" s="124"/>
      <c r="BS662" s="124"/>
      <c r="BT662" s="124"/>
      <c r="BU662" s="124"/>
      <c r="BV662" s="124"/>
      <c r="BW662" s="124"/>
      <c r="BX662" s="124"/>
      <c r="BY662" s="124"/>
      <c r="BZ662" s="124"/>
      <c r="CA662" s="124"/>
    </row>
    <row r="663">
      <c r="D663" s="143"/>
      <c r="E663" s="129"/>
      <c r="F663" s="112"/>
      <c r="G663" s="112"/>
      <c r="H663" s="112"/>
      <c r="I663" s="112"/>
      <c r="J663" s="112"/>
      <c r="K663" s="112"/>
      <c r="L663" s="112"/>
      <c r="M663" s="112"/>
      <c r="N663" s="112"/>
      <c r="O663" s="112"/>
      <c r="P663" s="112"/>
      <c r="Q663" s="112"/>
      <c r="R663" s="112"/>
      <c r="S663" s="112"/>
      <c r="T663" s="112"/>
      <c r="U663" s="124"/>
      <c r="V663" s="124"/>
      <c r="W663" s="124"/>
      <c r="X663" s="124"/>
      <c r="Y663" s="124"/>
      <c r="Z663" s="112"/>
      <c r="AA663" s="112"/>
      <c r="AB663" s="112"/>
      <c r="AC663" s="112"/>
      <c r="AD663" s="112"/>
      <c r="AE663" s="112"/>
      <c r="AF663" s="112"/>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c r="BK663" s="124"/>
      <c r="BL663" s="124"/>
      <c r="BM663" s="124"/>
      <c r="BN663" s="124"/>
      <c r="BO663" s="124"/>
      <c r="BP663" s="124"/>
      <c r="BQ663" s="124"/>
      <c r="BR663" s="124"/>
      <c r="BS663" s="124"/>
      <c r="BT663" s="124"/>
      <c r="BU663" s="124"/>
      <c r="BV663" s="124"/>
      <c r="BW663" s="124"/>
      <c r="BX663" s="124"/>
      <c r="BY663" s="124"/>
      <c r="BZ663" s="124"/>
      <c r="CA663" s="124"/>
    </row>
    <row r="664">
      <c r="D664" s="143"/>
      <c r="E664" s="129"/>
      <c r="F664" s="112"/>
      <c r="G664" s="112"/>
      <c r="H664" s="112"/>
      <c r="I664" s="112"/>
      <c r="J664" s="112"/>
      <c r="K664" s="112"/>
      <c r="L664" s="112"/>
      <c r="M664" s="112"/>
      <c r="N664" s="112"/>
      <c r="O664" s="112"/>
      <c r="P664" s="112"/>
      <c r="Q664" s="112"/>
      <c r="R664" s="112"/>
      <c r="S664" s="112"/>
      <c r="T664" s="112"/>
      <c r="U664" s="124"/>
      <c r="V664" s="124"/>
      <c r="W664" s="124"/>
      <c r="X664" s="124"/>
      <c r="Y664" s="124"/>
      <c r="Z664" s="112"/>
      <c r="AA664" s="112"/>
      <c r="AB664" s="112"/>
      <c r="AC664" s="112"/>
      <c r="AD664" s="112"/>
      <c r="AE664" s="112"/>
      <c r="AF664" s="112"/>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c r="BK664" s="124"/>
      <c r="BL664" s="124"/>
      <c r="BM664" s="124"/>
      <c r="BN664" s="124"/>
      <c r="BO664" s="124"/>
      <c r="BP664" s="124"/>
      <c r="BQ664" s="124"/>
      <c r="BR664" s="124"/>
      <c r="BS664" s="124"/>
      <c r="BT664" s="124"/>
      <c r="BU664" s="124"/>
      <c r="BV664" s="124"/>
      <c r="BW664" s="124"/>
      <c r="BX664" s="124"/>
      <c r="BY664" s="124"/>
      <c r="BZ664" s="124"/>
      <c r="CA664" s="124"/>
    </row>
    <row r="665">
      <c r="D665" s="143"/>
      <c r="E665" s="129"/>
      <c r="F665" s="112"/>
      <c r="G665" s="112"/>
      <c r="H665" s="112"/>
      <c r="I665" s="112"/>
      <c r="J665" s="112"/>
      <c r="K665" s="112"/>
      <c r="L665" s="112"/>
      <c r="M665" s="112"/>
      <c r="N665" s="112"/>
      <c r="O665" s="112"/>
      <c r="P665" s="112"/>
      <c r="Q665" s="112"/>
      <c r="R665" s="112"/>
      <c r="S665" s="112"/>
      <c r="T665" s="112"/>
      <c r="U665" s="124"/>
      <c r="V665" s="124"/>
      <c r="W665" s="124"/>
      <c r="X665" s="124"/>
      <c r="Y665" s="124"/>
      <c r="Z665" s="112"/>
      <c r="AA665" s="112"/>
      <c r="AB665" s="112"/>
      <c r="AC665" s="112"/>
      <c r="AD665" s="112"/>
      <c r="AE665" s="112"/>
      <c r="AF665" s="112"/>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c r="BK665" s="124"/>
      <c r="BL665" s="124"/>
      <c r="BM665" s="124"/>
      <c r="BN665" s="124"/>
      <c r="BO665" s="124"/>
      <c r="BP665" s="124"/>
      <c r="BQ665" s="124"/>
      <c r="BR665" s="124"/>
      <c r="BS665" s="124"/>
      <c r="BT665" s="124"/>
      <c r="BU665" s="124"/>
      <c r="BV665" s="124"/>
      <c r="BW665" s="124"/>
      <c r="BX665" s="124"/>
      <c r="BY665" s="124"/>
      <c r="BZ665" s="124"/>
      <c r="CA665" s="124"/>
    </row>
    <row r="666">
      <c r="D666" s="143"/>
      <c r="E666" s="129"/>
      <c r="F666" s="112"/>
      <c r="G666" s="112"/>
      <c r="H666" s="112"/>
      <c r="I666" s="112"/>
      <c r="J666" s="112"/>
      <c r="K666" s="112"/>
      <c r="L666" s="112"/>
      <c r="M666" s="112"/>
      <c r="N666" s="112"/>
      <c r="O666" s="112"/>
      <c r="P666" s="112"/>
      <c r="Q666" s="112"/>
      <c r="R666" s="112"/>
      <c r="S666" s="112"/>
      <c r="T666" s="112"/>
      <c r="U666" s="124"/>
      <c r="V666" s="124"/>
      <c r="W666" s="124"/>
      <c r="X666" s="124"/>
      <c r="Y666" s="124"/>
      <c r="Z666" s="112"/>
      <c r="AA666" s="112"/>
      <c r="AB666" s="112"/>
      <c r="AC666" s="112"/>
      <c r="AD666" s="112"/>
      <c r="AE666" s="112"/>
      <c r="AF666" s="112"/>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c r="BK666" s="124"/>
      <c r="BL666" s="124"/>
      <c r="BM666" s="124"/>
      <c r="BN666" s="124"/>
      <c r="BO666" s="124"/>
      <c r="BP666" s="124"/>
      <c r="BQ666" s="124"/>
      <c r="BR666" s="124"/>
      <c r="BS666" s="124"/>
      <c r="BT666" s="124"/>
      <c r="BU666" s="124"/>
      <c r="BV666" s="124"/>
      <c r="BW666" s="124"/>
      <c r="BX666" s="124"/>
      <c r="BY666" s="124"/>
      <c r="BZ666" s="124"/>
      <c r="CA666" s="124"/>
    </row>
    <row r="667">
      <c r="D667" s="143"/>
      <c r="E667" s="129"/>
      <c r="F667" s="112"/>
      <c r="G667" s="112"/>
      <c r="H667" s="112"/>
      <c r="I667" s="112"/>
      <c r="J667" s="112"/>
      <c r="K667" s="112"/>
      <c r="L667" s="112"/>
      <c r="M667" s="112"/>
      <c r="N667" s="112"/>
      <c r="O667" s="112"/>
      <c r="P667" s="112"/>
      <c r="Q667" s="112"/>
      <c r="R667" s="112"/>
      <c r="S667" s="112"/>
      <c r="T667" s="112"/>
      <c r="U667" s="124"/>
      <c r="V667" s="124"/>
      <c r="W667" s="124"/>
      <c r="X667" s="124"/>
      <c r="Y667" s="124"/>
      <c r="Z667" s="112"/>
      <c r="AA667" s="112"/>
      <c r="AB667" s="112"/>
      <c r="AC667" s="112"/>
      <c r="AD667" s="112"/>
      <c r="AE667" s="112"/>
      <c r="AF667" s="112"/>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c r="BK667" s="124"/>
      <c r="BL667" s="124"/>
      <c r="BM667" s="124"/>
      <c r="BN667" s="124"/>
      <c r="BO667" s="124"/>
      <c r="BP667" s="124"/>
      <c r="BQ667" s="124"/>
      <c r="BR667" s="124"/>
      <c r="BS667" s="124"/>
      <c r="BT667" s="124"/>
      <c r="BU667" s="124"/>
      <c r="BV667" s="124"/>
      <c r="BW667" s="124"/>
      <c r="BX667" s="124"/>
      <c r="BY667" s="124"/>
      <c r="BZ667" s="124"/>
      <c r="CA667" s="124"/>
    </row>
    <row r="668">
      <c r="D668" s="143"/>
      <c r="E668" s="129"/>
      <c r="F668" s="112"/>
      <c r="G668" s="112"/>
      <c r="H668" s="112"/>
      <c r="I668" s="112"/>
      <c r="J668" s="112"/>
      <c r="K668" s="112"/>
      <c r="L668" s="112"/>
      <c r="M668" s="112"/>
      <c r="N668" s="112"/>
      <c r="O668" s="112"/>
      <c r="P668" s="112"/>
      <c r="Q668" s="112"/>
      <c r="R668" s="112"/>
      <c r="S668" s="112"/>
      <c r="T668" s="112"/>
      <c r="U668" s="124"/>
      <c r="V668" s="124"/>
      <c r="W668" s="124"/>
      <c r="X668" s="124"/>
      <c r="Y668" s="124"/>
      <c r="Z668" s="112"/>
      <c r="AA668" s="112"/>
      <c r="AB668" s="112"/>
      <c r="AC668" s="112"/>
      <c r="AD668" s="112"/>
      <c r="AE668" s="112"/>
      <c r="AF668" s="112"/>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c r="BK668" s="124"/>
      <c r="BL668" s="124"/>
      <c r="BM668" s="124"/>
      <c r="BN668" s="124"/>
      <c r="BO668" s="124"/>
      <c r="BP668" s="124"/>
      <c r="BQ668" s="124"/>
      <c r="BR668" s="124"/>
      <c r="BS668" s="124"/>
      <c r="BT668" s="124"/>
      <c r="BU668" s="124"/>
      <c r="BV668" s="124"/>
      <c r="BW668" s="124"/>
      <c r="BX668" s="124"/>
      <c r="BY668" s="124"/>
      <c r="BZ668" s="124"/>
      <c r="CA668" s="124"/>
    </row>
    <row r="669">
      <c r="D669" s="143"/>
      <c r="E669" s="129"/>
      <c r="F669" s="112"/>
      <c r="G669" s="112"/>
      <c r="H669" s="112"/>
      <c r="I669" s="112"/>
      <c r="J669" s="112"/>
      <c r="K669" s="112"/>
      <c r="L669" s="112"/>
      <c r="M669" s="112"/>
      <c r="N669" s="112"/>
      <c r="O669" s="112"/>
      <c r="P669" s="112"/>
      <c r="Q669" s="112"/>
      <c r="R669" s="112"/>
      <c r="S669" s="112"/>
      <c r="T669" s="112"/>
      <c r="U669" s="124"/>
      <c r="V669" s="124"/>
      <c r="W669" s="124"/>
      <c r="X669" s="124"/>
      <c r="Y669" s="124"/>
      <c r="Z669" s="112"/>
      <c r="AA669" s="112"/>
      <c r="AB669" s="112"/>
      <c r="AC669" s="112"/>
      <c r="AD669" s="112"/>
      <c r="AE669" s="112"/>
      <c r="AF669" s="112"/>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c r="BK669" s="124"/>
      <c r="BL669" s="124"/>
      <c r="BM669" s="124"/>
      <c r="BN669" s="124"/>
      <c r="BO669" s="124"/>
      <c r="BP669" s="124"/>
      <c r="BQ669" s="124"/>
      <c r="BR669" s="124"/>
      <c r="BS669" s="124"/>
      <c r="BT669" s="124"/>
      <c r="BU669" s="124"/>
      <c r="BV669" s="124"/>
      <c r="BW669" s="124"/>
      <c r="BX669" s="124"/>
      <c r="BY669" s="124"/>
      <c r="BZ669" s="124"/>
      <c r="CA669" s="124"/>
    </row>
    <row r="670">
      <c r="D670" s="143"/>
      <c r="E670" s="129"/>
      <c r="F670" s="112"/>
      <c r="G670" s="112"/>
      <c r="H670" s="112"/>
      <c r="I670" s="112"/>
      <c r="J670" s="112"/>
      <c r="K670" s="112"/>
      <c r="L670" s="112"/>
      <c r="M670" s="112"/>
      <c r="N670" s="112"/>
      <c r="O670" s="112"/>
      <c r="P670" s="112"/>
      <c r="Q670" s="112"/>
      <c r="R670" s="112"/>
      <c r="S670" s="112"/>
      <c r="T670" s="112"/>
      <c r="U670" s="124"/>
      <c r="V670" s="124"/>
      <c r="W670" s="124"/>
      <c r="X670" s="124"/>
      <c r="Y670" s="124"/>
      <c r="Z670" s="112"/>
      <c r="AA670" s="112"/>
      <c r="AB670" s="112"/>
      <c r="AC670" s="112"/>
      <c r="AD670" s="112"/>
      <c r="AE670" s="112"/>
      <c r="AF670" s="112"/>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c r="BK670" s="124"/>
      <c r="BL670" s="124"/>
      <c r="BM670" s="124"/>
      <c r="BN670" s="124"/>
      <c r="BO670" s="124"/>
      <c r="BP670" s="124"/>
      <c r="BQ670" s="124"/>
      <c r="BR670" s="124"/>
      <c r="BS670" s="124"/>
      <c r="BT670" s="124"/>
      <c r="BU670" s="124"/>
      <c r="BV670" s="124"/>
      <c r="BW670" s="124"/>
      <c r="BX670" s="124"/>
      <c r="BY670" s="124"/>
      <c r="BZ670" s="124"/>
      <c r="CA670" s="124"/>
    </row>
    <row r="671">
      <c r="D671" s="143"/>
      <c r="E671" s="129"/>
      <c r="F671" s="112"/>
      <c r="G671" s="112"/>
      <c r="H671" s="112"/>
      <c r="I671" s="112"/>
      <c r="J671" s="112"/>
      <c r="K671" s="112"/>
      <c r="L671" s="112"/>
      <c r="M671" s="112"/>
      <c r="N671" s="112"/>
      <c r="O671" s="112"/>
      <c r="P671" s="112"/>
      <c r="Q671" s="112"/>
      <c r="R671" s="112"/>
      <c r="S671" s="112"/>
      <c r="T671" s="112"/>
      <c r="U671" s="124"/>
      <c r="V671" s="124"/>
      <c r="W671" s="124"/>
      <c r="X671" s="124"/>
      <c r="Y671" s="124"/>
      <c r="Z671" s="112"/>
      <c r="AA671" s="112"/>
      <c r="AB671" s="112"/>
      <c r="AC671" s="112"/>
      <c r="AD671" s="112"/>
      <c r="AE671" s="112"/>
      <c r="AF671" s="112"/>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c r="BK671" s="124"/>
      <c r="BL671" s="124"/>
      <c r="BM671" s="124"/>
      <c r="BN671" s="124"/>
      <c r="BO671" s="124"/>
      <c r="BP671" s="124"/>
      <c r="BQ671" s="124"/>
      <c r="BR671" s="124"/>
      <c r="BS671" s="124"/>
      <c r="BT671" s="124"/>
      <c r="BU671" s="124"/>
      <c r="BV671" s="124"/>
      <c r="BW671" s="124"/>
      <c r="BX671" s="124"/>
      <c r="BY671" s="124"/>
      <c r="BZ671" s="124"/>
      <c r="CA671" s="124"/>
    </row>
    <row r="672">
      <c r="D672" s="143"/>
      <c r="E672" s="129"/>
      <c r="F672" s="112"/>
      <c r="G672" s="112"/>
      <c r="H672" s="112"/>
      <c r="I672" s="112"/>
      <c r="J672" s="112"/>
      <c r="K672" s="112"/>
      <c r="L672" s="112"/>
      <c r="M672" s="112"/>
      <c r="N672" s="112"/>
      <c r="O672" s="112"/>
      <c r="P672" s="112"/>
      <c r="Q672" s="112"/>
      <c r="R672" s="112"/>
      <c r="S672" s="112"/>
      <c r="T672" s="112"/>
      <c r="U672" s="124"/>
      <c r="V672" s="124"/>
      <c r="W672" s="124"/>
      <c r="X672" s="124"/>
      <c r="Y672" s="124"/>
      <c r="Z672" s="112"/>
      <c r="AA672" s="112"/>
      <c r="AB672" s="112"/>
      <c r="AC672" s="112"/>
      <c r="AD672" s="112"/>
      <c r="AE672" s="112"/>
      <c r="AF672" s="112"/>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c r="BK672" s="124"/>
      <c r="BL672" s="124"/>
      <c r="BM672" s="124"/>
      <c r="BN672" s="124"/>
      <c r="BO672" s="124"/>
      <c r="BP672" s="124"/>
      <c r="BQ672" s="124"/>
      <c r="BR672" s="124"/>
      <c r="BS672" s="124"/>
      <c r="BT672" s="124"/>
      <c r="BU672" s="124"/>
      <c r="BV672" s="124"/>
      <c r="BW672" s="124"/>
      <c r="BX672" s="124"/>
      <c r="BY672" s="124"/>
      <c r="BZ672" s="124"/>
      <c r="CA672" s="124"/>
    </row>
    <row r="673">
      <c r="D673" s="143"/>
      <c r="E673" s="129"/>
      <c r="F673" s="112"/>
      <c r="G673" s="112"/>
      <c r="H673" s="112"/>
      <c r="I673" s="112"/>
      <c r="J673" s="112"/>
      <c r="K673" s="112"/>
      <c r="L673" s="112"/>
      <c r="M673" s="112"/>
      <c r="N673" s="112"/>
      <c r="O673" s="112"/>
      <c r="P673" s="112"/>
      <c r="Q673" s="112"/>
      <c r="R673" s="112"/>
      <c r="S673" s="112"/>
      <c r="T673" s="112"/>
      <c r="U673" s="124"/>
      <c r="V673" s="124"/>
      <c r="W673" s="124"/>
      <c r="X673" s="124"/>
      <c r="Y673" s="124"/>
      <c r="Z673" s="112"/>
      <c r="AA673" s="112"/>
      <c r="AB673" s="112"/>
      <c r="AC673" s="112"/>
      <c r="AD673" s="112"/>
      <c r="AE673" s="112"/>
      <c r="AF673" s="112"/>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c r="BK673" s="124"/>
      <c r="BL673" s="124"/>
      <c r="BM673" s="124"/>
      <c r="BN673" s="124"/>
      <c r="BO673" s="124"/>
      <c r="BP673" s="124"/>
      <c r="BQ673" s="124"/>
      <c r="BR673" s="124"/>
      <c r="BS673" s="124"/>
      <c r="BT673" s="124"/>
      <c r="BU673" s="124"/>
      <c r="BV673" s="124"/>
      <c r="BW673" s="124"/>
      <c r="BX673" s="124"/>
      <c r="BY673" s="124"/>
      <c r="BZ673" s="124"/>
      <c r="CA673" s="124"/>
    </row>
    <row r="674">
      <c r="D674" s="143"/>
      <c r="E674" s="129"/>
      <c r="F674" s="112"/>
      <c r="G674" s="112"/>
      <c r="H674" s="112"/>
      <c r="I674" s="112"/>
      <c r="J674" s="112"/>
      <c r="K674" s="112"/>
      <c r="L674" s="112"/>
      <c r="M674" s="112"/>
      <c r="N674" s="112"/>
      <c r="O674" s="112"/>
      <c r="P674" s="112"/>
      <c r="Q674" s="112"/>
      <c r="R674" s="112"/>
      <c r="S674" s="112"/>
      <c r="T674" s="112"/>
      <c r="U674" s="124"/>
      <c r="V674" s="124"/>
      <c r="W674" s="124"/>
      <c r="X674" s="124"/>
      <c r="Y674" s="124"/>
      <c r="Z674" s="112"/>
      <c r="AA674" s="112"/>
      <c r="AB674" s="112"/>
      <c r="AC674" s="112"/>
      <c r="AD674" s="112"/>
      <c r="AE674" s="112"/>
      <c r="AF674" s="112"/>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c r="BK674" s="124"/>
      <c r="BL674" s="124"/>
      <c r="BM674" s="124"/>
      <c r="BN674" s="124"/>
      <c r="BO674" s="124"/>
      <c r="BP674" s="124"/>
      <c r="BQ674" s="124"/>
      <c r="BR674" s="124"/>
      <c r="BS674" s="124"/>
      <c r="BT674" s="124"/>
      <c r="BU674" s="124"/>
      <c r="BV674" s="124"/>
      <c r="BW674" s="124"/>
      <c r="BX674" s="124"/>
      <c r="BY674" s="124"/>
      <c r="BZ674" s="124"/>
      <c r="CA674" s="124"/>
    </row>
    <row r="675">
      <c r="D675" s="143"/>
      <c r="E675" s="129"/>
      <c r="F675" s="112"/>
      <c r="G675" s="112"/>
      <c r="H675" s="112"/>
      <c r="I675" s="112"/>
      <c r="J675" s="112"/>
      <c r="K675" s="112"/>
      <c r="L675" s="112"/>
      <c r="M675" s="112"/>
      <c r="N675" s="112"/>
      <c r="O675" s="112"/>
      <c r="P675" s="112"/>
      <c r="Q675" s="112"/>
      <c r="R675" s="112"/>
      <c r="S675" s="112"/>
      <c r="T675" s="112"/>
      <c r="U675" s="124"/>
      <c r="V675" s="124"/>
      <c r="W675" s="124"/>
      <c r="X675" s="124"/>
      <c r="Y675" s="124"/>
      <c r="Z675" s="112"/>
      <c r="AA675" s="112"/>
      <c r="AB675" s="112"/>
      <c r="AC675" s="112"/>
      <c r="AD675" s="112"/>
      <c r="AE675" s="112"/>
      <c r="AF675" s="112"/>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c r="BK675" s="124"/>
      <c r="BL675" s="124"/>
      <c r="BM675" s="124"/>
      <c r="BN675" s="124"/>
      <c r="BO675" s="124"/>
      <c r="BP675" s="124"/>
      <c r="BQ675" s="124"/>
      <c r="BR675" s="124"/>
      <c r="BS675" s="124"/>
      <c r="BT675" s="124"/>
      <c r="BU675" s="124"/>
      <c r="BV675" s="124"/>
      <c r="BW675" s="124"/>
      <c r="BX675" s="124"/>
      <c r="BY675" s="124"/>
      <c r="BZ675" s="124"/>
      <c r="CA675" s="124"/>
    </row>
    <row r="676">
      <c r="D676" s="143"/>
      <c r="E676" s="129"/>
      <c r="F676" s="112"/>
      <c r="G676" s="112"/>
      <c r="H676" s="112"/>
      <c r="I676" s="112"/>
      <c r="J676" s="112"/>
      <c r="K676" s="112"/>
      <c r="L676" s="112"/>
      <c r="M676" s="112"/>
      <c r="N676" s="112"/>
      <c r="O676" s="112"/>
      <c r="P676" s="112"/>
      <c r="Q676" s="112"/>
      <c r="R676" s="112"/>
      <c r="S676" s="112"/>
      <c r="T676" s="112"/>
      <c r="U676" s="124"/>
      <c r="V676" s="124"/>
      <c r="W676" s="124"/>
      <c r="X676" s="124"/>
      <c r="Y676" s="124"/>
      <c r="Z676" s="112"/>
      <c r="AA676" s="112"/>
      <c r="AB676" s="112"/>
      <c r="AC676" s="112"/>
      <c r="AD676" s="112"/>
      <c r="AE676" s="112"/>
      <c r="AF676" s="112"/>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c r="BK676" s="124"/>
      <c r="BL676" s="124"/>
      <c r="BM676" s="124"/>
      <c r="BN676" s="124"/>
      <c r="BO676" s="124"/>
      <c r="BP676" s="124"/>
      <c r="BQ676" s="124"/>
      <c r="BR676" s="124"/>
      <c r="BS676" s="124"/>
      <c r="BT676" s="124"/>
      <c r="BU676" s="124"/>
      <c r="BV676" s="124"/>
      <c r="BW676" s="124"/>
      <c r="BX676" s="124"/>
      <c r="BY676" s="124"/>
      <c r="BZ676" s="124"/>
      <c r="CA676" s="124"/>
    </row>
    <row r="677">
      <c r="D677" s="143"/>
      <c r="E677" s="129"/>
      <c r="F677" s="112"/>
      <c r="G677" s="112"/>
      <c r="H677" s="112"/>
      <c r="I677" s="112"/>
      <c r="J677" s="112"/>
      <c r="K677" s="112"/>
      <c r="L677" s="112"/>
      <c r="M677" s="112"/>
      <c r="N677" s="112"/>
      <c r="O677" s="112"/>
      <c r="P677" s="112"/>
      <c r="Q677" s="112"/>
      <c r="R677" s="112"/>
      <c r="S677" s="112"/>
      <c r="T677" s="112"/>
      <c r="U677" s="124"/>
      <c r="V677" s="124"/>
      <c r="W677" s="124"/>
      <c r="X677" s="124"/>
      <c r="Y677" s="124"/>
      <c r="Z677" s="112"/>
      <c r="AA677" s="112"/>
      <c r="AB677" s="112"/>
      <c r="AC677" s="112"/>
      <c r="AD677" s="112"/>
      <c r="AE677" s="112"/>
      <c r="AF677" s="112"/>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c r="BK677" s="124"/>
      <c r="BL677" s="124"/>
      <c r="BM677" s="124"/>
      <c r="BN677" s="124"/>
      <c r="BO677" s="124"/>
      <c r="BP677" s="124"/>
      <c r="BQ677" s="124"/>
      <c r="BR677" s="124"/>
      <c r="BS677" s="124"/>
      <c r="BT677" s="124"/>
      <c r="BU677" s="124"/>
      <c r="BV677" s="124"/>
      <c r="BW677" s="124"/>
      <c r="BX677" s="124"/>
      <c r="BY677" s="124"/>
      <c r="BZ677" s="124"/>
      <c r="CA677" s="124"/>
    </row>
    <row r="678">
      <c r="D678" s="143"/>
      <c r="E678" s="129"/>
      <c r="F678" s="112"/>
      <c r="G678" s="112"/>
      <c r="H678" s="112"/>
      <c r="I678" s="112"/>
      <c r="J678" s="112"/>
      <c r="K678" s="112"/>
      <c r="L678" s="112"/>
      <c r="M678" s="112"/>
      <c r="N678" s="112"/>
      <c r="O678" s="112"/>
      <c r="P678" s="112"/>
      <c r="Q678" s="112"/>
      <c r="R678" s="112"/>
      <c r="S678" s="112"/>
      <c r="T678" s="112"/>
      <c r="U678" s="124"/>
      <c r="V678" s="124"/>
      <c r="W678" s="124"/>
      <c r="X678" s="124"/>
      <c r="Y678" s="124"/>
      <c r="Z678" s="112"/>
      <c r="AA678" s="112"/>
      <c r="AB678" s="112"/>
      <c r="AC678" s="112"/>
      <c r="AD678" s="112"/>
      <c r="AE678" s="112"/>
      <c r="AF678" s="112"/>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c r="BK678" s="124"/>
      <c r="BL678" s="124"/>
      <c r="BM678" s="124"/>
      <c r="BN678" s="124"/>
      <c r="BO678" s="124"/>
      <c r="BP678" s="124"/>
      <c r="BQ678" s="124"/>
      <c r="BR678" s="124"/>
      <c r="BS678" s="124"/>
      <c r="BT678" s="124"/>
      <c r="BU678" s="124"/>
      <c r="BV678" s="124"/>
      <c r="BW678" s="124"/>
      <c r="BX678" s="124"/>
      <c r="BY678" s="124"/>
      <c r="BZ678" s="124"/>
      <c r="CA678" s="124"/>
    </row>
    <row r="679">
      <c r="D679" s="143"/>
      <c r="E679" s="129"/>
      <c r="F679" s="112"/>
      <c r="G679" s="112"/>
      <c r="H679" s="112"/>
      <c r="I679" s="112"/>
      <c r="J679" s="112"/>
      <c r="K679" s="112"/>
      <c r="L679" s="112"/>
      <c r="M679" s="112"/>
      <c r="N679" s="112"/>
      <c r="O679" s="112"/>
      <c r="P679" s="112"/>
      <c r="Q679" s="112"/>
      <c r="R679" s="112"/>
      <c r="S679" s="112"/>
      <c r="T679" s="112"/>
      <c r="U679" s="124"/>
      <c r="V679" s="124"/>
      <c r="W679" s="124"/>
      <c r="X679" s="124"/>
      <c r="Y679" s="124"/>
      <c r="Z679" s="112"/>
      <c r="AA679" s="112"/>
      <c r="AB679" s="112"/>
      <c r="AC679" s="112"/>
      <c r="AD679" s="112"/>
      <c r="AE679" s="112"/>
      <c r="AF679" s="112"/>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c r="BK679" s="124"/>
      <c r="BL679" s="124"/>
      <c r="BM679" s="124"/>
      <c r="BN679" s="124"/>
      <c r="BO679" s="124"/>
      <c r="BP679" s="124"/>
      <c r="BQ679" s="124"/>
      <c r="BR679" s="124"/>
      <c r="BS679" s="124"/>
      <c r="BT679" s="124"/>
      <c r="BU679" s="124"/>
      <c r="BV679" s="124"/>
      <c r="BW679" s="124"/>
      <c r="BX679" s="124"/>
      <c r="BY679" s="124"/>
      <c r="BZ679" s="124"/>
      <c r="CA679" s="124"/>
    </row>
    <row r="680">
      <c r="D680" s="143"/>
      <c r="E680" s="129"/>
      <c r="F680" s="112"/>
      <c r="G680" s="112"/>
      <c r="H680" s="112"/>
      <c r="I680" s="112"/>
      <c r="J680" s="112"/>
      <c r="K680" s="112"/>
      <c r="L680" s="112"/>
      <c r="M680" s="112"/>
      <c r="N680" s="112"/>
      <c r="O680" s="112"/>
      <c r="P680" s="112"/>
      <c r="Q680" s="112"/>
      <c r="R680" s="112"/>
      <c r="S680" s="112"/>
      <c r="T680" s="112"/>
      <c r="U680" s="124"/>
      <c r="V680" s="124"/>
      <c r="W680" s="124"/>
      <c r="X680" s="124"/>
      <c r="Y680" s="124"/>
      <c r="Z680" s="112"/>
      <c r="AA680" s="112"/>
      <c r="AB680" s="112"/>
      <c r="AC680" s="112"/>
      <c r="AD680" s="112"/>
      <c r="AE680" s="112"/>
      <c r="AF680" s="112"/>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c r="BK680" s="124"/>
      <c r="BL680" s="124"/>
      <c r="BM680" s="124"/>
      <c r="BN680" s="124"/>
      <c r="BO680" s="124"/>
      <c r="BP680" s="124"/>
      <c r="BQ680" s="124"/>
      <c r="BR680" s="124"/>
      <c r="BS680" s="124"/>
      <c r="BT680" s="124"/>
      <c r="BU680" s="124"/>
      <c r="BV680" s="124"/>
      <c r="BW680" s="124"/>
      <c r="BX680" s="124"/>
      <c r="BY680" s="124"/>
      <c r="BZ680" s="124"/>
      <c r="CA680" s="124"/>
    </row>
    <row r="681">
      <c r="D681" s="143"/>
      <c r="E681" s="129"/>
      <c r="F681" s="112"/>
      <c r="G681" s="112"/>
      <c r="H681" s="112"/>
      <c r="I681" s="112"/>
      <c r="J681" s="112"/>
      <c r="K681" s="112"/>
      <c r="L681" s="112"/>
      <c r="M681" s="112"/>
      <c r="N681" s="112"/>
      <c r="O681" s="112"/>
      <c r="P681" s="112"/>
      <c r="Q681" s="112"/>
      <c r="R681" s="112"/>
      <c r="S681" s="112"/>
      <c r="T681" s="112"/>
      <c r="U681" s="124"/>
      <c r="V681" s="124"/>
      <c r="W681" s="124"/>
      <c r="X681" s="124"/>
      <c r="Y681" s="124"/>
      <c r="Z681" s="112"/>
      <c r="AA681" s="112"/>
      <c r="AB681" s="112"/>
      <c r="AC681" s="112"/>
      <c r="AD681" s="112"/>
      <c r="AE681" s="112"/>
      <c r="AF681" s="112"/>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c r="BK681" s="124"/>
      <c r="BL681" s="124"/>
      <c r="BM681" s="124"/>
      <c r="BN681" s="124"/>
      <c r="BO681" s="124"/>
      <c r="BP681" s="124"/>
      <c r="BQ681" s="124"/>
      <c r="BR681" s="124"/>
      <c r="BS681" s="124"/>
      <c r="BT681" s="124"/>
      <c r="BU681" s="124"/>
      <c r="BV681" s="124"/>
      <c r="BW681" s="124"/>
      <c r="BX681" s="124"/>
      <c r="BY681" s="124"/>
      <c r="BZ681" s="124"/>
      <c r="CA681" s="124"/>
    </row>
    <row r="682">
      <c r="D682" s="143"/>
      <c r="E682" s="129"/>
      <c r="F682" s="112"/>
      <c r="G682" s="112"/>
      <c r="H682" s="112"/>
      <c r="I682" s="112"/>
      <c r="J682" s="112"/>
      <c r="K682" s="112"/>
      <c r="L682" s="112"/>
      <c r="M682" s="112"/>
      <c r="N682" s="112"/>
      <c r="O682" s="112"/>
      <c r="P682" s="112"/>
      <c r="Q682" s="112"/>
      <c r="R682" s="112"/>
      <c r="S682" s="112"/>
      <c r="T682" s="112"/>
      <c r="U682" s="124"/>
      <c r="V682" s="124"/>
      <c r="W682" s="124"/>
      <c r="X682" s="124"/>
      <c r="Y682" s="124"/>
      <c r="Z682" s="112"/>
      <c r="AA682" s="112"/>
      <c r="AB682" s="112"/>
      <c r="AC682" s="112"/>
      <c r="AD682" s="112"/>
      <c r="AE682" s="112"/>
      <c r="AF682" s="112"/>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c r="BK682" s="124"/>
      <c r="BL682" s="124"/>
      <c r="BM682" s="124"/>
      <c r="BN682" s="124"/>
      <c r="BO682" s="124"/>
      <c r="BP682" s="124"/>
      <c r="BQ682" s="124"/>
      <c r="BR682" s="124"/>
      <c r="BS682" s="124"/>
      <c r="BT682" s="124"/>
      <c r="BU682" s="124"/>
      <c r="BV682" s="124"/>
      <c r="BW682" s="124"/>
      <c r="BX682" s="124"/>
      <c r="BY682" s="124"/>
      <c r="BZ682" s="124"/>
      <c r="CA682" s="124"/>
    </row>
    <row r="683">
      <c r="D683" s="143"/>
      <c r="E683" s="129"/>
      <c r="F683" s="112"/>
      <c r="G683" s="112"/>
      <c r="H683" s="112"/>
      <c r="I683" s="112"/>
      <c r="J683" s="112"/>
      <c r="K683" s="112"/>
      <c r="L683" s="112"/>
      <c r="M683" s="112"/>
      <c r="N683" s="112"/>
      <c r="O683" s="112"/>
      <c r="P683" s="112"/>
      <c r="Q683" s="112"/>
      <c r="R683" s="112"/>
      <c r="S683" s="112"/>
      <c r="T683" s="112"/>
      <c r="U683" s="124"/>
      <c r="V683" s="124"/>
      <c r="W683" s="124"/>
      <c r="X683" s="124"/>
      <c r="Y683" s="124"/>
      <c r="Z683" s="112"/>
      <c r="AA683" s="112"/>
      <c r="AB683" s="112"/>
      <c r="AC683" s="112"/>
      <c r="AD683" s="112"/>
      <c r="AE683" s="112"/>
      <c r="AF683" s="112"/>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c r="BK683" s="124"/>
      <c r="BL683" s="124"/>
      <c r="BM683" s="124"/>
      <c r="BN683" s="124"/>
      <c r="BO683" s="124"/>
      <c r="BP683" s="124"/>
      <c r="BQ683" s="124"/>
      <c r="BR683" s="124"/>
      <c r="BS683" s="124"/>
      <c r="BT683" s="124"/>
      <c r="BU683" s="124"/>
      <c r="BV683" s="124"/>
      <c r="BW683" s="124"/>
      <c r="BX683" s="124"/>
      <c r="BY683" s="124"/>
      <c r="BZ683" s="124"/>
      <c r="CA683" s="124"/>
    </row>
    <row r="684">
      <c r="D684" s="143"/>
      <c r="E684" s="129"/>
      <c r="F684" s="112"/>
      <c r="G684" s="112"/>
      <c r="H684" s="112"/>
      <c r="I684" s="112"/>
      <c r="J684" s="112"/>
      <c r="K684" s="112"/>
      <c r="L684" s="112"/>
      <c r="M684" s="112"/>
      <c r="N684" s="112"/>
      <c r="O684" s="112"/>
      <c r="P684" s="112"/>
      <c r="Q684" s="112"/>
      <c r="R684" s="112"/>
      <c r="S684" s="112"/>
      <c r="T684" s="112"/>
      <c r="U684" s="124"/>
      <c r="V684" s="124"/>
      <c r="W684" s="124"/>
      <c r="X684" s="124"/>
      <c r="Y684" s="124"/>
      <c r="Z684" s="112"/>
      <c r="AA684" s="112"/>
      <c r="AB684" s="112"/>
      <c r="AC684" s="112"/>
      <c r="AD684" s="112"/>
      <c r="AE684" s="112"/>
      <c r="AF684" s="112"/>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c r="BK684" s="124"/>
      <c r="BL684" s="124"/>
      <c r="BM684" s="124"/>
      <c r="BN684" s="124"/>
      <c r="BO684" s="124"/>
      <c r="BP684" s="124"/>
      <c r="BQ684" s="124"/>
      <c r="BR684" s="124"/>
      <c r="BS684" s="124"/>
      <c r="BT684" s="124"/>
      <c r="BU684" s="124"/>
      <c r="BV684" s="124"/>
      <c r="BW684" s="124"/>
      <c r="BX684" s="124"/>
      <c r="BY684" s="124"/>
      <c r="BZ684" s="124"/>
      <c r="CA684" s="124"/>
    </row>
    <row r="685">
      <c r="D685" s="143"/>
      <c r="E685" s="129"/>
      <c r="F685" s="112"/>
      <c r="G685" s="112"/>
      <c r="H685" s="112"/>
      <c r="I685" s="112"/>
      <c r="J685" s="112"/>
      <c r="K685" s="112"/>
      <c r="L685" s="112"/>
      <c r="M685" s="112"/>
      <c r="N685" s="112"/>
      <c r="O685" s="112"/>
      <c r="P685" s="112"/>
      <c r="Q685" s="112"/>
      <c r="R685" s="112"/>
      <c r="S685" s="112"/>
      <c r="T685" s="112"/>
      <c r="U685" s="124"/>
      <c r="V685" s="124"/>
      <c r="W685" s="124"/>
      <c r="X685" s="124"/>
      <c r="Y685" s="124"/>
      <c r="Z685" s="112"/>
      <c r="AA685" s="112"/>
      <c r="AB685" s="112"/>
      <c r="AC685" s="112"/>
      <c r="AD685" s="112"/>
      <c r="AE685" s="112"/>
      <c r="AF685" s="112"/>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c r="BK685" s="124"/>
      <c r="BL685" s="124"/>
      <c r="BM685" s="124"/>
      <c r="BN685" s="124"/>
      <c r="BO685" s="124"/>
      <c r="BP685" s="124"/>
      <c r="BQ685" s="124"/>
      <c r="BR685" s="124"/>
      <c r="BS685" s="124"/>
      <c r="BT685" s="124"/>
      <c r="BU685" s="124"/>
      <c r="BV685" s="124"/>
      <c r="BW685" s="124"/>
      <c r="BX685" s="124"/>
      <c r="BY685" s="124"/>
      <c r="BZ685" s="124"/>
      <c r="CA685" s="124"/>
    </row>
    <row r="686">
      <c r="D686" s="143"/>
      <c r="E686" s="129"/>
      <c r="F686" s="112"/>
      <c r="G686" s="112"/>
      <c r="H686" s="112"/>
      <c r="I686" s="112"/>
      <c r="J686" s="112"/>
      <c r="K686" s="112"/>
      <c r="L686" s="112"/>
      <c r="M686" s="112"/>
      <c r="N686" s="112"/>
      <c r="O686" s="112"/>
      <c r="P686" s="112"/>
      <c r="Q686" s="112"/>
      <c r="R686" s="112"/>
      <c r="S686" s="112"/>
      <c r="T686" s="112"/>
      <c r="U686" s="124"/>
      <c r="V686" s="124"/>
      <c r="W686" s="124"/>
      <c r="X686" s="124"/>
      <c r="Y686" s="124"/>
      <c r="Z686" s="112"/>
      <c r="AA686" s="112"/>
      <c r="AB686" s="112"/>
      <c r="AC686" s="112"/>
      <c r="AD686" s="112"/>
      <c r="AE686" s="112"/>
      <c r="AF686" s="112"/>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4"/>
      <c r="BR686" s="124"/>
      <c r="BS686" s="124"/>
      <c r="BT686" s="124"/>
      <c r="BU686" s="124"/>
      <c r="BV686" s="124"/>
      <c r="BW686" s="124"/>
      <c r="BX686" s="124"/>
      <c r="BY686" s="124"/>
      <c r="BZ686" s="124"/>
      <c r="CA686" s="124"/>
    </row>
    <row r="687">
      <c r="D687" s="143"/>
      <c r="E687" s="129"/>
      <c r="F687" s="112"/>
      <c r="G687" s="112"/>
      <c r="H687" s="112"/>
      <c r="I687" s="112"/>
      <c r="J687" s="112"/>
      <c r="K687" s="112"/>
      <c r="L687" s="112"/>
      <c r="M687" s="112"/>
      <c r="N687" s="112"/>
      <c r="O687" s="112"/>
      <c r="P687" s="112"/>
      <c r="Q687" s="112"/>
      <c r="R687" s="112"/>
      <c r="S687" s="112"/>
      <c r="T687" s="112"/>
      <c r="U687" s="124"/>
      <c r="V687" s="124"/>
      <c r="W687" s="124"/>
      <c r="X687" s="124"/>
      <c r="Y687" s="124"/>
      <c r="Z687" s="112"/>
      <c r="AA687" s="112"/>
      <c r="AB687" s="112"/>
      <c r="AC687" s="112"/>
      <c r="AD687" s="112"/>
      <c r="AE687" s="112"/>
      <c r="AF687" s="112"/>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c r="BK687" s="124"/>
      <c r="BL687" s="124"/>
      <c r="BM687" s="124"/>
      <c r="BN687" s="124"/>
      <c r="BO687" s="124"/>
      <c r="BP687" s="124"/>
      <c r="BQ687" s="124"/>
      <c r="BR687" s="124"/>
      <c r="BS687" s="124"/>
      <c r="BT687" s="124"/>
      <c r="BU687" s="124"/>
      <c r="BV687" s="124"/>
      <c r="BW687" s="124"/>
      <c r="BX687" s="124"/>
      <c r="BY687" s="124"/>
      <c r="BZ687" s="124"/>
      <c r="CA687" s="124"/>
    </row>
    <row r="688">
      <c r="D688" s="143"/>
      <c r="E688" s="129"/>
      <c r="F688" s="112"/>
      <c r="G688" s="112"/>
      <c r="H688" s="112"/>
      <c r="I688" s="112"/>
      <c r="J688" s="112"/>
      <c r="K688" s="112"/>
      <c r="L688" s="112"/>
      <c r="M688" s="112"/>
      <c r="N688" s="112"/>
      <c r="O688" s="112"/>
      <c r="P688" s="112"/>
      <c r="Q688" s="112"/>
      <c r="R688" s="112"/>
      <c r="S688" s="112"/>
      <c r="T688" s="112"/>
      <c r="U688" s="124"/>
      <c r="V688" s="124"/>
      <c r="W688" s="124"/>
      <c r="X688" s="124"/>
      <c r="Y688" s="124"/>
      <c r="Z688" s="112"/>
      <c r="AA688" s="112"/>
      <c r="AB688" s="112"/>
      <c r="AC688" s="112"/>
      <c r="AD688" s="112"/>
      <c r="AE688" s="112"/>
      <c r="AF688" s="112"/>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c r="BK688" s="124"/>
      <c r="BL688" s="124"/>
      <c r="BM688" s="124"/>
      <c r="BN688" s="124"/>
      <c r="BO688" s="124"/>
      <c r="BP688" s="124"/>
      <c r="BQ688" s="124"/>
      <c r="BR688" s="124"/>
      <c r="BS688" s="124"/>
      <c r="BT688" s="124"/>
      <c r="BU688" s="124"/>
      <c r="BV688" s="124"/>
      <c r="BW688" s="124"/>
      <c r="BX688" s="124"/>
      <c r="BY688" s="124"/>
      <c r="BZ688" s="124"/>
      <c r="CA688" s="124"/>
    </row>
    <row r="689">
      <c r="D689" s="143"/>
      <c r="E689" s="129"/>
      <c r="F689" s="112"/>
      <c r="G689" s="112"/>
      <c r="H689" s="112"/>
      <c r="I689" s="112"/>
      <c r="J689" s="112"/>
      <c r="K689" s="112"/>
      <c r="L689" s="112"/>
      <c r="M689" s="112"/>
      <c r="N689" s="112"/>
      <c r="O689" s="112"/>
      <c r="P689" s="112"/>
      <c r="Q689" s="112"/>
      <c r="R689" s="112"/>
      <c r="S689" s="112"/>
      <c r="T689" s="112"/>
      <c r="U689" s="124"/>
      <c r="V689" s="124"/>
      <c r="W689" s="124"/>
      <c r="X689" s="124"/>
      <c r="Y689" s="124"/>
      <c r="Z689" s="112"/>
      <c r="AA689" s="112"/>
      <c r="AB689" s="112"/>
      <c r="AC689" s="112"/>
      <c r="AD689" s="112"/>
      <c r="AE689" s="112"/>
      <c r="AF689" s="112"/>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c r="BK689" s="124"/>
      <c r="BL689" s="124"/>
      <c r="BM689" s="124"/>
      <c r="BN689" s="124"/>
      <c r="BO689" s="124"/>
      <c r="BP689" s="124"/>
      <c r="BQ689" s="124"/>
      <c r="BR689" s="124"/>
      <c r="BS689" s="124"/>
      <c r="BT689" s="124"/>
      <c r="BU689" s="124"/>
      <c r="BV689" s="124"/>
      <c r="BW689" s="124"/>
      <c r="BX689" s="124"/>
      <c r="BY689" s="124"/>
      <c r="BZ689" s="124"/>
      <c r="CA689" s="124"/>
    </row>
    <row r="690">
      <c r="D690" s="143"/>
      <c r="E690" s="129"/>
      <c r="F690" s="112"/>
      <c r="G690" s="112"/>
      <c r="H690" s="112"/>
      <c r="I690" s="112"/>
      <c r="J690" s="112"/>
      <c r="K690" s="112"/>
      <c r="L690" s="112"/>
      <c r="M690" s="112"/>
      <c r="N690" s="112"/>
      <c r="O690" s="112"/>
      <c r="P690" s="112"/>
      <c r="Q690" s="112"/>
      <c r="R690" s="112"/>
      <c r="S690" s="112"/>
      <c r="T690" s="112"/>
      <c r="U690" s="124"/>
      <c r="V690" s="124"/>
      <c r="W690" s="124"/>
      <c r="X690" s="124"/>
      <c r="Y690" s="124"/>
      <c r="Z690" s="112"/>
      <c r="AA690" s="112"/>
      <c r="AB690" s="112"/>
      <c r="AC690" s="112"/>
      <c r="AD690" s="112"/>
      <c r="AE690" s="112"/>
      <c r="AF690" s="112"/>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c r="BK690" s="124"/>
      <c r="BL690" s="124"/>
      <c r="BM690" s="124"/>
      <c r="BN690" s="124"/>
      <c r="BO690" s="124"/>
      <c r="BP690" s="124"/>
      <c r="BQ690" s="124"/>
      <c r="BR690" s="124"/>
      <c r="BS690" s="124"/>
      <c r="BT690" s="124"/>
      <c r="BU690" s="124"/>
      <c r="BV690" s="124"/>
      <c r="BW690" s="124"/>
      <c r="BX690" s="124"/>
      <c r="BY690" s="124"/>
      <c r="BZ690" s="124"/>
      <c r="CA690" s="124"/>
    </row>
    <row r="691">
      <c r="D691" s="143"/>
      <c r="E691" s="129"/>
      <c r="F691" s="112"/>
      <c r="G691" s="112"/>
      <c r="H691" s="112"/>
      <c r="I691" s="112"/>
      <c r="J691" s="112"/>
      <c r="K691" s="112"/>
      <c r="L691" s="112"/>
      <c r="M691" s="112"/>
      <c r="N691" s="112"/>
      <c r="O691" s="112"/>
      <c r="P691" s="112"/>
      <c r="Q691" s="112"/>
      <c r="R691" s="112"/>
      <c r="S691" s="112"/>
      <c r="T691" s="112"/>
      <c r="U691" s="124"/>
      <c r="V691" s="124"/>
      <c r="W691" s="124"/>
      <c r="X691" s="124"/>
      <c r="Y691" s="124"/>
      <c r="Z691" s="112"/>
      <c r="AA691" s="112"/>
      <c r="AB691" s="112"/>
      <c r="AC691" s="112"/>
      <c r="AD691" s="112"/>
      <c r="AE691" s="112"/>
      <c r="AF691" s="112"/>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c r="BK691" s="124"/>
      <c r="BL691" s="124"/>
      <c r="BM691" s="124"/>
      <c r="BN691" s="124"/>
      <c r="BO691" s="124"/>
      <c r="BP691" s="124"/>
      <c r="BQ691" s="124"/>
      <c r="BR691" s="124"/>
      <c r="BS691" s="124"/>
      <c r="BT691" s="124"/>
      <c r="BU691" s="124"/>
      <c r="BV691" s="124"/>
      <c r="BW691" s="124"/>
      <c r="BX691" s="124"/>
      <c r="BY691" s="124"/>
      <c r="BZ691" s="124"/>
      <c r="CA691" s="124"/>
    </row>
    <row r="692">
      <c r="D692" s="143"/>
      <c r="E692" s="129"/>
      <c r="F692" s="112"/>
      <c r="G692" s="112"/>
      <c r="H692" s="112"/>
      <c r="I692" s="112"/>
      <c r="J692" s="112"/>
      <c r="K692" s="112"/>
      <c r="L692" s="112"/>
      <c r="M692" s="112"/>
      <c r="N692" s="112"/>
      <c r="O692" s="112"/>
      <c r="P692" s="112"/>
      <c r="Q692" s="112"/>
      <c r="R692" s="112"/>
      <c r="S692" s="112"/>
      <c r="T692" s="112"/>
      <c r="U692" s="124"/>
      <c r="V692" s="124"/>
      <c r="W692" s="124"/>
      <c r="X692" s="124"/>
      <c r="Y692" s="124"/>
      <c r="Z692" s="112"/>
      <c r="AA692" s="112"/>
      <c r="AB692" s="112"/>
      <c r="AC692" s="112"/>
      <c r="AD692" s="112"/>
      <c r="AE692" s="112"/>
      <c r="AF692" s="112"/>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c r="BK692" s="124"/>
      <c r="BL692" s="124"/>
      <c r="BM692" s="124"/>
      <c r="BN692" s="124"/>
      <c r="BO692" s="124"/>
      <c r="BP692" s="124"/>
      <c r="BQ692" s="124"/>
      <c r="BR692" s="124"/>
      <c r="BS692" s="124"/>
      <c r="BT692" s="124"/>
      <c r="BU692" s="124"/>
      <c r="BV692" s="124"/>
      <c r="BW692" s="124"/>
      <c r="BX692" s="124"/>
      <c r="BY692" s="124"/>
      <c r="BZ692" s="124"/>
      <c r="CA692" s="124"/>
    </row>
    <row r="693">
      <c r="D693" s="143"/>
      <c r="E693" s="129"/>
      <c r="F693" s="112"/>
      <c r="G693" s="112"/>
      <c r="H693" s="112"/>
      <c r="I693" s="112"/>
      <c r="J693" s="112"/>
      <c r="K693" s="112"/>
      <c r="L693" s="112"/>
      <c r="M693" s="112"/>
      <c r="N693" s="112"/>
      <c r="O693" s="112"/>
      <c r="P693" s="112"/>
      <c r="Q693" s="112"/>
      <c r="R693" s="112"/>
      <c r="S693" s="112"/>
      <c r="T693" s="112"/>
      <c r="U693" s="124"/>
      <c r="V693" s="124"/>
      <c r="W693" s="124"/>
      <c r="X693" s="124"/>
      <c r="Y693" s="124"/>
      <c r="Z693" s="112"/>
      <c r="AA693" s="112"/>
      <c r="AB693" s="112"/>
      <c r="AC693" s="112"/>
      <c r="AD693" s="112"/>
      <c r="AE693" s="112"/>
      <c r="AF693" s="112"/>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c r="BK693" s="124"/>
      <c r="BL693" s="124"/>
      <c r="BM693" s="124"/>
      <c r="BN693" s="124"/>
      <c r="BO693" s="124"/>
      <c r="BP693" s="124"/>
      <c r="BQ693" s="124"/>
      <c r="BR693" s="124"/>
      <c r="BS693" s="124"/>
      <c r="BT693" s="124"/>
      <c r="BU693" s="124"/>
      <c r="BV693" s="124"/>
      <c r="BW693" s="124"/>
      <c r="BX693" s="124"/>
      <c r="BY693" s="124"/>
      <c r="BZ693" s="124"/>
      <c r="CA693" s="124"/>
    </row>
    <row r="694">
      <c r="D694" s="143"/>
      <c r="E694" s="129"/>
      <c r="F694" s="112"/>
      <c r="G694" s="112"/>
      <c r="H694" s="112"/>
      <c r="I694" s="112"/>
      <c r="J694" s="112"/>
      <c r="K694" s="112"/>
      <c r="L694" s="112"/>
      <c r="M694" s="112"/>
      <c r="N694" s="112"/>
      <c r="O694" s="112"/>
      <c r="P694" s="112"/>
      <c r="Q694" s="112"/>
      <c r="R694" s="112"/>
      <c r="S694" s="112"/>
      <c r="T694" s="112"/>
      <c r="U694" s="124"/>
      <c r="V694" s="124"/>
      <c r="W694" s="124"/>
      <c r="X694" s="124"/>
      <c r="Y694" s="124"/>
      <c r="Z694" s="112"/>
      <c r="AA694" s="112"/>
      <c r="AB694" s="112"/>
      <c r="AC694" s="112"/>
      <c r="AD694" s="112"/>
      <c r="AE694" s="112"/>
      <c r="AF694" s="112"/>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c r="BK694" s="124"/>
      <c r="BL694" s="124"/>
      <c r="BM694" s="124"/>
      <c r="BN694" s="124"/>
      <c r="BO694" s="124"/>
      <c r="BP694" s="124"/>
      <c r="BQ694" s="124"/>
      <c r="BR694" s="124"/>
      <c r="BS694" s="124"/>
      <c r="BT694" s="124"/>
      <c r="BU694" s="124"/>
      <c r="BV694" s="124"/>
      <c r="BW694" s="124"/>
      <c r="BX694" s="124"/>
      <c r="BY694" s="124"/>
      <c r="BZ694" s="124"/>
      <c r="CA694" s="124"/>
    </row>
    <row r="695">
      <c r="D695" s="143"/>
      <c r="E695" s="129"/>
      <c r="F695" s="112"/>
      <c r="G695" s="112"/>
      <c r="H695" s="112"/>
      <c r="I695" s="112"/>
      <c r="J695" s="112"/>
      <c r="K695" s="112"/>
      <c r="L695" s="112"/>
      <c r="M695" s="112"/>
      <c r="N695" s="112"/>
      <c r="O695" s="112"/>
      <c r="P695" s="112"/>
      <c r="Q695" s="112"/>
      <c r="R695" s="112"/>
      <c r="S695" s="112"/>
      <c r="T695" s="112"/>
      <c r="U695" s="124"/>
      <c r="V695" s="124"/>
      <c r="W695" s="124"/>
      <c r="X695" s="124"/>
      <c r="Y695" s="124"/>
      <c r="Z695" s="112"/>
      <c r="AA695" s="112"/>
      <c r="AB695" s="112"/>
      <c r="AC695" s="112"/>
      <c r="AD695" s="112"/>
      <c r="AE695" s="112"/>
      <c r="AF695" s="112"/>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c r="BK695" s="124"/>
      <c r="BL695" s="124"/>
      <c r="BM695" s="124"/>
      <c r="BN695" s="124"/>
      <c r="BO695" s="124"/>
      <c r="BP695" s="124"/>
      <c r="BQ695" s="124"/>
      <c r="BR695" s="124"/>
      <c r="BS695" s="124"/>
      <c r="BT695" s="124"/>
      <c r="BU695" s="124"/>
      <c r="BV695" s="124"/>
      <c r="BW695" s="124"/>
      <c r="BX695" s="124"/>
      <c r="BY695" s="124"/>
      <c r="BZ695" s="124"/>
      <c r="CA695" s="124"/>
    </row>
    <row r="696">
      <c r="D696" s="143"/>
      <c r="E696" s="129"/>
      <c r="F696" s="112"/>
      <c r="G696" s="112"/>
      <c r="H696" s="112"/>
      <c r="I696" s="112"/>
      <c r="J696" s="112"/>
      <c r="K696" s="112"/>
      <c r="L696" s="112"/>
      <c r="M696" s="112"/>
      <c r="N696" s="112"/>
      <c r="O696" s="112"/>
      <c r="P696" s="112"/>
      <c r="Q696" s="112"/>
      <c r="R696" s="112"/>
      <c r="S696" s="112"/>
      <c r="T696" s="112"/>
      <c r="U696" s="124"/>
      <c r="V696" s="124"/>
      <c r="W696" s="124"/>
      <c r="X696" s="124"/>
      <c r="Y696" s="124"/>
      <c r="Z696" s="112"/>
      <c r="AA696" s="112"/>
      <c r="AB696" s="112"/>
      <c r="AC696" s="112"/>
      <c r="AD696" s="112"/>
      <c r="AE696" s="112"/>
      <c r="AF696" s="112"/>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c r="BK696" s="124"/>
      <c r="BL696" s="124"/>
      <c r="BM696" s="124"/>
      <c r="BN696" s="124"/>
      <c r="BO696" s="124"/>
      <c r="BP696" s="124"/>
      <c r="BQ696" s="124"/>
      <c r="BR696" s="124"/>
      <c r="BS696" s="124"/>
      <c r="BT696" s="124"/>
      <c r="BU696" s="124"/>
      <c r="BV696" s="124"/>
      <c r="BW696" s="124"/>
      <c r="BX696" s="124"/>
      <c r="BY696" s="124"/>
      <c r="BZ696" s="124"/>
      <c r="CA696" s="124"/>
    </row>
    <row r="697">
      <c r="D697" s="143"/>
      <c r="E697" s="129"/>
      <c r="F697" s="112"/>
      <c r="G697" s="112"/>
      <c r="H697" s="112"/>
      <c r="I697" s="112"/>
      <c r="J697" s="112"/>
      <c r="K697" s="112"/>
      <c r="L697" s="112"/>
      <c r="M697" s="112"/>
      <c r="N697" s="112"/>
      <c r="O697" s="112"/>
      <c r="P697" s="112"/>
      <c r="Q697" s="112"/>
      <c r="R697" s="112"/>
      <c r="S697" s="112"/>
      <c r="T697" s="112"/>
      <c r="U697" s="124"/>
      <c r="V697" s="124"/>
      <c r="W697" s="124"/>
      <c r="X697" s="124"/>
      <c r="Y697" s="124"/>
      <c r="Z697" s="112"/>
      <c r="AA697" s="112"/>
      <c r="AB697" s="112"/>
      <c r="AC697" s="112"/>
      <c r="AD697" s="112"/>
      <c r="AE697" s="112"/>
      <c r="AF697" s="112"/>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c r="BK697" s="124"/>
      <c r="BL697" s="124"/>
      <c r="BM697" s="124"/>
      <c r="BN697" s="124"/>
      <c r="BO697" s="124"/>
      <c r="BP697" s="124"/>
      <c r="BQ697" s="124"/>
      <c r="BR697" s="124"/>
      <c r="BS697" s="124"/>
      <c r="BT697" s="124"/>
      <c r="BU697" s="124"/>
      <c r="BV697" s="124"/>
      <c r="BW697" s="124"/>
      <c r="BX697" s="124"/>
      <c r="BY697" s="124"/>
      <c r="BZ697" s="124"/>
      <c r="CA697" s="124"/>
    </row>
    <row r="698">
      <c r="D698" s="143"/>
      <c r="E698" s="129"/>
      <c r="F698" s="112"/>
      <c r="G698" s="112"/>
      <c r="H698" s="112"/>
      <c r="I698" s="112"/>
      <c r="J698" s="112"/>
      <c r="K698" s="112"/>
      <c r="L698" s="112"/>
      <c r="M698" s="112"/>
      <c r="N698" s="112"/>
      <c r="O698" s="112"/>
      <c r="P698" s="112"/>
      <c r="Q698" s="112"/>
      <c r="R698" s="112"/>
      <c r="S698" s="112"/>
      <c r="T698" s="112"/>
      <c r="U698" s="124"/>
      <c r="V698" s="124"/>
      <c r="W698" s="124"/>
      <c r="X698" s="124"/>
      <c r="Y698" s="124"/>
      <c r="Z698" s="112"/>
      <c r="AA698" s="112"/>
      <c r="AB698" s="112"/>
      <c r="AC698" s="112"/>
      <c r="AD698" s="112"/>
      <c r="AE698" s="112"/>
      <c r="AF698" s="112"/>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c r="BK698" s="124"/>
      <c r="BL698" s="124"/>
      <c r="BM698" s="124"/>
      <c r="BN698" s="124"/>
      <c r="BO698" s="124"/>
      <c r="BP698" s="124"/>
      <c r="BQ698" s="124"/>
      <c r="BR698" s="124"/>
      <c r="BS698" s="124"/>
      <c r="BT698" s="124"/>
      <c r="BU698" s="124"/>
      <c r="BV698" s="124"/>
      <c r="BW698" s="124"/>
      <c r="BX698" s="124"/>
      <c r="BY698" s="124"/>
      <c r="BZ698" s="124"/>
      <c r="CA698" s="124"/>
    </row>
    <row r="699">
      <c r="D699" s="143"/>
      <c r="E699" s="129"/>
      <c r="F699" s="112"/>
      <c r="G699" s="112"/>
      <c r="H699" s="112"/>
      <c r="I699" s="112"/>
      <c r="J699" s="112"/>
      <c r="K699" s="112"/>
      <c r="L699" s="112"/>
      <c r="M699" s="112"/>
      <c r="N699" s="112"/>
      <c r="O699" s="112"/>
      <c r="P699" s="112"/>
      <c r="Q699" s="112"/>
      <c r="R699" s="112"/>
      <c r="S699" s="112"/>
      <c r="T699" s="112"/>
      <c r="U699" s="124"/>
      <c r="V699" s="124"/>
      <c r="W699" s="124"/>
      <c r="X699" s="124"/>
      <c r="Y699" s="124"/>
      <c r="Z699" s="112"/>
      <c r="AA699" s="112"/>
      <c r="AB699" s="112"/>
      <c r="AC699" s="112"/>
      <c r="AD699" s="112"/>
      <c r="AE699" s="112"/>
      <c r="AF699" s="112"/>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c r="BK699" s="124"/>
      <c r="BL699" s="124"/>
      <c r="BM699" s="124"/>
      <c r="BN699" s="124"/>
      <c r="BO699" s="124"/>
      <c r="BP699" s="124"/>
      <c r="BQ699" s="124"/>
      <c r="BR699" s="124"/>
      <c r="BS699" s="124"/>
      <c r="BT699" s="124"/>
      <c r="BU699" s="124"/>
      <c r="BV699" s="124"/>
      <c r="BW699" s="124"/>
      <c r="BX699" s="124"/>
      <c r="BY699" s="124"/>
      <c r="BZ699" s="124"/>
      <c r="CA699" s="124"/>
    </row>
    <row r="700">
      <c r="D700" s="143"/>
      <c r="E700" s="129"/>
      <c r="F700" s="112"/>
      <c r="G700" s="112"/>
      <c r="H700" s="112"/>
      <c r="I700" s="112"/>
      <c r="J700" s="112"/>
      <c r="K700" s="112"/>
      <c r="L700" s="112"/>
      <c r="M700" s="112"/>
      <c r="N700" s="112"/>
      <c r="O700" s="112"/>
      <c r="P700" s="112"/>
      <c r="Q700" s="112"/>
      <c r="R700" s="112"/>
      <c r="S700" s="112"/>
      <c r="T700" s="112"/>
      <c r="U700" s="124"/>
      <c r="V700" s="124"/>
      <c r="W700" s="124"/>
      <c r="X700" s="124"/>
      <c r="Y700" s="124"/>
      <c r="Z700" s="112"/>
      <c r="AA700" s="112"/>
      <c r="AB700" s="112"/>
      <c r="AC700" s="112"/>
      <c r="AD700" s="112"/>
      <c r="AE700" s="112"/>
      <c r="AF700" s="112"/>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c r="BK700" s="124"/>
      <c r="BL700" s="124"/>
      <c r="BM700" s="124"/>
      <c r="BN700" s="124"/>
      <c r="BO700" s="124"/>
      <c r="BP700" s="124"/>
      <c r="BQ700" s="124"/>
      <c r="BR700" s="124"/>
      <c r="BS700" s="124"/>
      <c r="BT700" s="124"/>
      <c r="BU700" s="124"/>
      <c r="BV700" s="124"/>
      <c r="BW700" s="124"/>
      <c r="BX700" s="124"/>
      <c r="BY700" s="124"/>
      <c r="BZ700" s="124"/>
      <c r="CA700" s="124"/>
    </row>
    <row r="701">
      <c r="D701" s="143"/>
      <c r="E701" s="129"/>
      <c r="F701" s="112"/>
      <c r="G701" s="112"/>
      <c r="H701" s="112"/>
      <c r="I701" s="112"/>
      <c r="J701" s="112"/>
      <c r="K701" s="112"/>
      <c r="L701" s="112"/>
      <c r="M701" s="112"/>
      <c r="N701" s="112"/>
      <c r="O701" s="112"/>
      <c r="P701" s="112"/>
      <c r="Q701" s="112"/>
      <c r="R701" s="112"/>
      <c r="S701" s="112"/>
      <c r="T701" s="112"/>
      <c r="U701" s="124"/>
      <c r="V701" s="124"/>
      <c r="W701" s="124"/>
      <c r="X701" s="124"/>
      <c r="Y701" s="124"/>
      <c r="Z701" s="112"/>
      <c r="AA701" s="112"/>
      <c r="AB701" s="112"/>
      <c r="AC701" s="112"/>
      <c r="AD701" s="112"/>
      <c r="AE701" s="112"/>
      <c r="AF701" s="112"/>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c r="BK701" s="124"/>
      <c r="BL701" s="124"/>
      <c r="BM701" s="124"/>
      <c r="BN701" s="124"/>
      <c r="BO701" s="124"/>
      <c r="BP701" s="124"/>
      <c r="BQ701" s="124"/>
      <c r="BR701" s="124"/>
      <c r="BS701" s="124"/>
      <c r="BT701" s="124"/>
      <c r="BU701" s="124"/>
      <c r="BV701" s="124"/>
      <c r="BW701" s="124"/>
      <c r="BX701" s="124"/>
      <c r="BY701" s="124"/>
      <c r="BZ701" s="124"/>
      <c r="CA701" s="124"/>
    </row>
    <row r="702">
      <c r="D702" s="143"/>
      <c r="E702" s="129"/>
      <c r="F702" s="112"/>
      <c r="G702" s="112"/>
      <c r="H702" s="112"/>
      <c r="I702" s="112"/>
      <c r="J702" s="112"/>
      <c r="K702" s="112"/>
      <c r="L702" s="112"/>
      <c r="M702" s="112"/>
      <c r="N702" s="112"/>
      <c r="O702" s="112"/>
      <c r="P702" s="112"/>
      <c r="Q702" s="112"/>
      <c r="R702" s="112"/>
      <c r="S702" s="112"/>
      <c r="T702" s="112"/>
      <c r="U702" s="124"/>
      <c r="V702" s="124"/>
      <c r="W702" s="124"/>
      <c r="X702" s="124"/>
      <c r="Y702" s="124"/>
      <c r="Z702" s="112"/>
      <c r="AA702" s="112"/>
      <c r="AB702" s="112"/>
      <c r="AC702" s="112"/>
      <c r="AD702" s="112"/>
      <c r="AE702" s="112"/>
      <c r="AF702" s="112"/>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c r="BK702" s="124"/>
      <c r="BL702" s="124"/>
      <c r="BM702" s="124"/>
      <c r="BN702" s="124"/>
      <c r="BO702" s="124"/>
      <c r="BP702" s="124"/>
      <c r="BQ702" s="124"/>
      <c r="BR702" s="124"/>
      <c r="BS702" s="124"/>
      <c r="BT702" s="124"/>
      <c r="BU702" s="124"/>
      <c r="BV702" s="124"/>
      <c r="BW702" s="124"/>
      <c r="BX702" s="124"/>
      <c r="BY702" s="124"/>
      <c r="BZ702" s="124"/>
      <c r="CA702" s="124"/>
    </row>
    <row r="703">
      <c r="D703" s="143"/>
      <c r="E703" s="129"/>
      <c r="F703" s="112"/>
      <c r="G703" s="112"/>
      <c r="H703" s="112"/>
      <c r="I703" s="112"/>
      <c r="J703" s="112"/>
      <c r="K703" s="112"/>
      <c r="L703" s="112"/>
      <c r="M703" s="112"/>
      <c r="N703" s="112"/>
      <c r="O703" s="112"/>
      <c r="P703" s="112"/>
      <c r="Q703" s="112"/>
      <c r="R703" s="112"/>
      <c r="S703" s="112"/>
      <c r="T703" s="112"/>
      <c r="U703" s="124"/>
      <c r="V703" s="124"/>
      <c r="W703" s="124"/>
      <c r="X703" s="124"/>
      <c r="Y703" s="124"/>
      <c r="Z703" s="112"/>
      <c r="AA703" s="112"/>
      <c r="AB703" s="112"/>
      <c r="AC703" s="112"/>
      <c r="AD703" s="112"/>
      <c r="AE703" s="112"/>
      <c r="AF703" s="112"/>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c r="BK703" s="124"/>
      <c r="BL703" s="124"/>
      <c r="BM703" s="124"/>
      <c r="BN703" s="124"/>
      <c r="BO703" s="124"/>
      <c r="BP703" s="124"/>
      <c r="BQ703" s="124"/>
      <c r="BR703" s="124"/>
      <c r="BS703" s="124"/>
      <c r="BT703" s="124"/>
      <c r="BU703" s="124"/>
      <c r="BV703" s="124"/>
      <c r="BW703" s="124"/>
      <c r="BX703" s="124"/>
      <c r="BY703" s="124"/>
      <c r="BZ703" s="124"/>
      <c r="CA703" s="124"/>
    </row>
    <row r="704">
      <c r="D704" s="143"/>
      <c r="E704" s="129"/>
      <c r="F704" s="112"/>
      <c r="G704" s="112"/>
      <c r="H704" s="112"/>
      <c r="I704" s="112"/>
      <c r="J704" s="112"/>
      <c r="K704" s="112"/>
      <c r="L704" s="112"/>
      <c r="M704" s="112"/>
      <c r="N704" s="112"/>
      <c r="O704" s="112"/>
      <c r="P704" s="112"/>
      <c r="Q704" s="112"/>
      <c r="R704" s="112"/>
      <c r="S704" s="112"/>
      <c r="T704" s="112"/>
      <c r="U704" s="124"/>
      <c r="V704" s="124"/>
      <c r="W704" s="124"/>
      <c r="X704" s="124"/>
      <c r="Y704" s="124"/>
      <c r="Z704" s="112"/>
      <c r="AA704" s="112"/>
      <c r="AB704" s="112"/>
      <c r="AC704" s="112"/>
      <c r="AD704" s="112"/>
      <c r="AE704" s="112"/>
      <c r="AF704" s="112"/>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c r="BK704" s="124"/>
      <c r="BL704" s="124"/>
      <c r="BM704" s="124"/>
      <c r="BN704" s="124"/>
      <c r="BO704" s="124"/>
      <c r="BP704" s="124"/>
      <c r="BQ704" s="124"/>
      <c r="BR704" s="124"/>
      <c r="BS704" s="124"/>
      <c r="BT704" s="124"/>
      <c r="BU704" s="124"/>
      <c r="BV704" s="124"/>
      <c r="BW704" s="124"/>
      <c r="BX704" s="124"/>
      <c r="BY704" s="124"/>
      <c r="BZ704" s="124"/>
      <c r="CA704" s="124"/>
    </row>
    <row r="705">
      <c r="D705" s="143"/>
      <c r="E705" s="129"/>
      <c r="F705" s="112"/>
      <c r="G705" s="112"/>
      <c r="H705" s="112"/>
      <c r="I705" s="112"/>
      <c r="J705" s="112"/>
      <c r="K705" s="112"/>
      <c r="L705" s="112"/>
      <c r="M705" s="112"/>
      <c r="N705" s="112"/>
      <c r="O705" s="112"/>
      <c r="P705" s="112"/>
      <c r="Q705" s="112"/>
      <c r="R705" s="112"/>
      <c r="S705" s="112"/>
      <c r="T705" s="112"/>
      <c r="U705" s="124"/>
      <c r="V705" s="124"/>
      <c r="W705" s="124"/>
      <c r="X705" s="124"/>
      <c r="Y705" s="124"/>
      <c r="Z705" s="112"/>
      <c r="AA705" s="112"/>
      <c r="AB705" s="112"/>
      <c r="AC705" s="112"/>
      <c r="AD705" s="112"/>
      <c r="AE705" s="112"/>
      <c r="AF705" s="112"/>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c r="BK705" s="124"/>
      <c r="BL705" s="124"/>
      <c r="BM705" s="124"/>
      <c r="BN705" s="124"/>
      <c r="BO705" s="124"/>
      <c r="BP705" s="124"/>
      <c r="BQ705" s="124"/>
      <c r="BR705" s="124"/>
      <c r="BS705" s="124"/>
      <c r="BT705" s="124"/>
      <c r="BU705" s="124"/>
      <c r="BV705" s="124"/>
      <c r="BW705" s="124"/>
      <c r="BX705" s="124"/>
      <c r="BY705" s="124"/>
      <c r="BZ705" s="124"/>
      <c r="CA705" s="124"/>
    </row>
    <row r="706">
      <c r="D706" s="143"/>
      <c r="E706" s="129"/>
      <c r="F706" s="112"/>
      <c r="G706" s="112"/>
      <c r="H706" s="112"/>
      <c r="I706" s="112"/>
      <c r="J706" s="112"/>
      <c r="K706" s="112"/>
      <c r="L706" s="112"/>
      <c r="M706" s="112"/>
      <c r="N706" s="112"/>
      <c r="O706" s="112"/>
      <c r="P706" s="112"/>
      <c r="Q706" s="112"/>
      <c r="R706" s="112"/>
      <c r="S706" s="112"/>
      <c r="T706" s="112"/>
      <c r="U706" s="124"/>
      <c r="V706" s="124"/>
      <c r="W706" s="124"/>
      <c r="X706" s="124"/>
      <c r="Y706" s="124"/>
      <c r="Z706" s="112"/>
      <c r="AA706" s="112"/>
      <c r="AB706" s="112"/>
      <c r="AC706" s="112"/>
      <c r="AD706" s="112"/>
      <c r="AE706" s="112"/>
      <c r="AF706" s="112"/>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c r="BK706" s="124"/>
      <c r="BL706" s="124"/>
      <c r="BM706" s="124"/>
      <c r="BN706" s="124"/>
      <c r="BO706" s="124"/>
      <c r="BP706" s="124"/>
      <c r="BQ706" s="124"/>
      <c r="BR706" s="124"/>
      <c r="BS706" s="124"/>
      <c r="BT706" s="124"/>
      <c r="BU706" s="124"/>
      <c r="BV706" s="124"/>
      <c r="BW706" s="124"/>
      <c r="BX706" s="124"/>
      <c r="BY706" s="124"/>
      <c r="BZ706" s="124"/>
      <c r="CA706" s="124"/>
    </row>
    <row r="707">
      <c r="D707" s="143"/>
      <c r="E707" s="129"/>
      <c r="F707" s="112"/>
      <c r="G707" s="112"/>
      <c r="H707" s="112"/>
      <c r="I707" s="112"/>
      <c r="J707" s="112"/>
      <c r="K707" s="112"/>
      <c r="L707" s="112"/>
      <c r="M707" s="112"/>
      <c r="N707" s="112"/>
      <c r="O707" s="112"/>
      <c r="P707" s="112"/>
      <c r="Q707" s="112"/>
      <c r="R707" s="112"/>
      <c r="S707" s="112"/>
      <c r="T707" s="112"/>
      <c r="U707" s="124"/>
      <c r="V707" s="124"/>
      <c r="W707" s="124"/>
      <c r="X707" s="124"/>
      <c r="Y707" s="124"/>
      <c r="Z707" s="112"/>
      <c r="AA707" s="112"/>
      <c r="AB707" s="112"/>
      <c r="AC707" s="112"/>
      <c r="AD707" s="112"/>
      <c r="AE707" s="112"/>
      <c r="AF707" s="112"/>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c r="BK707" s="124"/>
      <c r="BL707" s="124"/>
      <c r="BM707" s="124"/>
      <c r="BN707" s="124"/>
      <c r="BO707" s="124"/>
      <c r="BP707" s="124"/>
      <c r="BQ707" s="124"/>
      <c r="BR707" s="124"/>
      <c r="BS707" s="124"/>
      <c r="BT707" s="124"/>
      <c r="BU707" s="124"/>
      <c r="BV707" s="124"/>
      <c r="BW707" s="124"/>
      <c r="BX707" s="124"/>
      <c r="BY707" s="124"/>
      <c r="BZ707" s="124"/>
      <c r="CA707" s="124"/>
    </row>
    <row r="708">
      <c r="D708" s="143"/>
      <c r="E708" s="129"/>
      <c r="F708" s="112"/>
      <c r="G708" s="112"/>
      <c r="H708" s="112"/>
      <c r="I708" s="112"/>
      <c r="J708" s="112"/>
      <c r="K708" s="112"/>
      <c r="L708" s="112"/>
      <c r="M708" s="112"/>
      <c r="N708" s="112"/>
      <c r="O708" s="112"/>
      <c r="P708" s="112"/>
      <c r="Q708" s="112"/>
      <c r="R708" s="112"/>
      <c r="S708" s="112"/>
      <c r="T708" s="112"/>
      <c r="U708" s="124"/>
      <c r="V708" s="124"/>
      <c r="W708" s="124"/>
      <c r="X708" s="124"/>
      <c r="Y708" s="124"/>
      <c r="Z708" s="112"/>
      <c r="AA708" s="112"/>
      <c r="AB708" s="112"/>
      <c r="AC708" s="112"/>
      <c r="AD708" s="112"/>
      <c r="AE708" s="112"/>
      <c r="AF708" s="112"/>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c r="BK708" s="124"/>
      <c r="BL708" s="124"/>
      <c r="BM708" s="124"/>
      <c r="BN708" s="124"/>
      <c r="BO708" s="124"/>
      <c r="BP708" s="124"/>
      <c r="BQ708" s="124"/>
      <c r="BR708" s="124"/>
      <c r="BS708" s="124"/>
      <c r="BT708" s="124"/>
      <c r="BU708" s="124"/>
      <c r="BV708" s="124"/>
      <c r="BW708" s="124"/>
      <c r="BX708" s="124"/>
      <c r="BY708" s="124"/>
      <c r="BZ708" s="124"/>
      <c r="CA708" s="124"/>
    </row>
    <row r="709">
      <c r="D709" s="143"/>
      <c r="E709" s="129"/>
      <c r="F709" s="112"/>
      <c r="G709" s="112"/>
      <c r="H709" s="112"/>
      <c r="I709" s="112"/>
      <c r="J709" s="112"/>
      <c r="K709" s="112"/>
      <c r="L709" s="112"/>
      <c r="M709" s="112"/>
      <c r="N709" s="112"/>
      <c r="O709" s="112"/>
      <c r="P709" s="112"/>
      <c r="Q709" s="112"/>
      <c r="R709" s="112"/>
      <c r="S709" s="112"/>
      <c r="T709" s="112"/>
      <c r="U709" s="124"/>
      <c r="V709" s="124"/>
      <c r="W709" s="124"/>
      <c r="X709" s="124"/>
      <c r="Y709" s="124"/>
      <c r="Z709" s="112"/>
      <c r="AA709" s="112"/>
      <c r="AB709" s="112"/>
      <c r="AC709" s="112"/>
      <c r="AD709" s="112"/>
      <c r="AE709" s="112"/>
      <c r="AF709" s="112"/>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c r="BK709" s="124"/>
      <c r="BL709" s="124"/>
      <c r="BM709" s="124"/>
      <c r="BN709" s="124"/>
      <c r="BO709" s="124"/>
      <c r="BP709" s="124"/>
      <c r="BQ709" s="124"/>
      <c r="BR709" s="124"/>
      <c r="BS709" s="124"/>
      <c r="BT709" s="124"/>
      <c r="BU709" s="124"/>
      <c r="BV709" s="124"/>
      <c r="BW709" s="124"/>
      <c r="BX709" s="124"/>
      <c r="BY709" s="124"/>
      <c r="BZ709" s="124"/>
      <c r="CA709" s="124"/>
    </row>
    <row r="710">
      <c r="D710" s="143"/>
      <c r="E710" s="129"/>
      <c r="F710" s="112"/>
      <c r="G710" s="112"/>
      <c r="H710" s="112"/>
      <c r="I710" s="112"/>
      <c r="J710" s="112"/>
      <c r="K710" s="112"/>
      <c r="L710" s="112"/>
      <c r="M710" s="112"/>
      <c r="N710" s="112"/>
      <c r="O710" s="112"/>
      <c r="P710" s="112"/>
      <c r="Q710" s="112"/>
      <c r="R710" s="112"/>
      <c r="S710" s="112"/>
      <c r="T710" s="112"/>
      <c r="U710" s="124"/>
      <c r="V710" s="124"/>
      <c r="W710" s="124"/>
      <c r="X710" s="124"/>
      <c r="Y710" s="124"/>
      <c r="Z710" s="112"/>
      <c r="AA710" s="112"/>
      <c r="AB710" s="112"/>
      <c r="AC710" s="112"/>
      <c r="AD710" s="112"/>
      <c r="AE710" s="112"/>
      <c r="AF710" s="112"/>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c r="BK710" s="124"/>
      <c r="BL710" s="124"/>
      <c r="BM710" s="124"/>
      <c r="BN710" s="124"/>
      <c r="BO710" s="124"/>
      <c r="BP710" s="124"/>
      <c r="BQ710" s="124"/>
      <c r="BR710" s="124"/>
      <c r="BS710" s="124"/>
      <c r="BT710" s="124"/>
      <c r="BU710" s="124"/>
      <c r="BV710" s="124"/>
      <c r="BW710" s="124"/>
      <c r="BX710" s="124"/>
      <c r="BY710" s="124"/>
      <c r="BZ710" s="124"/>
      <c r="CA710" s="124"/>
    </row>
    <row r="711">
      <c r="D711" s="143"/>
      <c r="E711" s="129"/>
      <c r="F711" s="112"/>
      <c r="G711" s="112"/>
      <c r="H711" s="112"/>
      <c r="I711" s="112"/>
      <c r="J711" s="112"/>
      <c r="K711" s="112"/>
      <c r="L711" s="112"/>
      <c r="M711" s="112"/>
      <c r="N711" s="112"/>
      <c r="O711" s="112"/>
      <c r="P711" s="112"/>
      <c r="Q711" s="112"/>
      <c r="R711" s="112"/>
      <c r="S711" s="112"/>
      <c r="T711" s="112"/>
      <c r="U711" s="124"/>
      <c r="V711" s="124"/>
      <c r="W711" s="124"/>
      <c r="X711" s="124"/>
      <c r="Y711" s="124"/>
      <c r="Z711" s="112"/>
      <c r="AA711" s="112"/>
      <c r="AB711" s="112"/>
      <c r="AC711" s="112"/>
      <c r="AD711" s="112"/>
      <c r="AE711" s="112"/>
      <c r="AF711" s="112"/>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c r="BK711" s="124"/>
      <c r="BL711" s="124"/>
      <c r="BM711" s="124"/>
      <c r="BN711" s="124"/>
      <c r="BO711" s="124"/>
      <c r="BP711" s="124"/>
      <c r="BQ711" s="124"/>
      <c r="BR711" s="124"/>
      <c r="BS711" s="124"/>
      <c r="BT711" s="124"/>
      <c r="BU711" s="124"/>
      <c r="BV711" s="124"/>
      <c r="BW711" s="124"/>
      <c r="BX711" s="124"/>
      <c r="BY711" s="124"/>
      <c r="BZ711" s="124"/>
      <c r="CA711" s="124"/>
    </row>
    <row r="712">
      <c r="D712" s="143"/>
      <c r="E712" s="129"/>
      <c r="F712" s="112"/>
      <c r="G712" s="112"/>
      <c r="H712" s="112"/>
      <c r="I712" s="112"/>
      <c r="J712" s="112"/>
      <c r="K712" s="112"/>
      <c r="L712" s="112"/>
      <c r="M712" s="112"/>
      <c r="N712" s="112"/>
      <c r="O712" s="112"/>
      <c r="P712" s="112"/>
      <c r="Q712" s="112"/>
      <c r="R712" s="112"/>
      <c r="S712" s="112"/>
      <c r="T712" s="112"/>
      <c r="U712" s="124"/>
      <c r="V712" s="124"/>
      <c r="W712" s="124"/>
      <c r="X712" s="124"/>
      <c r="Y712" s="124"/>
      <c r="Z712" s="112"/>
      <c r="AA712" s="112"/>
      <c r="AB712" s="112"/>
      <c r="AC712" s="112"/>
      <c r="AD712" s="112"/>
      <c r="AE712" s="112"/>
      <c r="AF712" s="112"/>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c r="BK712" s="124"/>
      <c r="BL712" s="124"/>
      <c r="BM712" s="124"/>
      <c r="BN712" s="124"/>
      <c r="BO712" s="124"/>
      <c r="BP712" s="124"/>
      <c r="BQ712" s="124"/>
      <c r="BR712" s="124"/>
      <c r="BS712" s="124"/>
      <c r="BT712" s="124"/>
      <c r="BU712" s="124"/>
      <c r="BV712" s="124"/>
      <c r="BW712" s="124"/>
      <c r="BX712" s="124"/>
      <c r="BY712" s="124"/>
      <c r="BZ712" s="124"/>
      <c r="CA712" s="124"/>
    </row>
    <row r="713">
      <c r="D713" s="143"/>
      <c r="E713" s="129"/>
      <c r="F713" s="112"/>
      <c r="G713" s="112"/>
      <c r="H713" s="112"/>
      <c r="I713" s="112"/>
      <c r="J713" s="112"/>
      <c r="K713" s="112"/>
      <c r="L713" s="112"/>
      <c r="M713" s="112"/>
      <c r="N713" s="112"/>
      <c r="O713" s="112"/>
      <c r="P713" s="112"/>
      <c r="Q713" s="112"/>
      <c r="R713" s="112"/>
      <c r="S713" s="112"/>
      <c r="T713" s="112"/>
      <c r="U713" s="124"/>
      <c r="V713" s="124"/>
      <c r="W713" s="124"/>
      <c r="X713" s="124"/>
      <c r="Y713" s="124"/>
      <c r="Z713" s="112"/>
      <c r="AA713" s="112"/>
      <c r="AB713" s="112"/>
      <c r="AC713" s="112"/>
      <c r="AD713" s="112"/>
      <c r="AE713" s="112"/>
      <c r="AF713" s="112"/>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c r="BK713" s="124"/>
      <c r="BL713" s="124"/>
      <c r="BM713" s="124"/>
      <c r="BN713" s="124"/>
      <c r="BO713" s="124"/>
      <c r="BP713" s="124"/>
      <c r="BQ713" s="124"/>
      <c r="BR713" s="124"/>
      <c r="BS713" s="124"/>
      <c r="BT713" s="124"/>
      <c r="BU713" s="124"/>
      <c r="BV713" s="124"/>
      <c r="BW713" s="124"/>
      <c r="BX713" s="124"/>
      <c r="BY713" s="124"/>
      <c r="BZ713" s="124"/>
      <c r="CA713" s="124"/>
    </row>
    <row r="714">
      <c r="D714" s="143"/>
      <c r="E714" s="129"/>
      <c r="F714" s="112"/>
      <c r="G714" s="112"/>
      <c r="H714" s="112"/>
      <c r="I714" s="112"/>
      <c r="J714" s="112"/>
      <c r="K714" s="112"/>
      <c r="L714" s="112"/>
      <c r="M714" s="112"/>
      <c r="N714" s="112"/>
      <c r="O714" s="112"/>
      <c r="P714" s="112"/>
      <c r="Q714" s="112"/>
      <c r="R714" s="112"/>
      <c r="S714" s="112"/>
      <c r="T714" s="112"/>
      <c r="U714" s="124"/>
      <c r="V714" s="124"/>
      <c r="W714" s="124"/>
      <c r="X714" s="124"/>
      <c r="Y714" s="124"/>
      <c r="Z714" s="112"/>
      <c r="AA714" s="112"/>
      <c r="AB714" s="112"/>
      <c r="AC714" s="112"/>
      <c r="AD714" s="112"/>
      <c r="AE714" s="112"/>
      <c r="AF714" s="112"/>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c r="BK714" s="124"/>
      <c r="BL714" s="124"/>
      <c r="BM714" s="124"/>
      <c r="BN714" s="124"/>
      <c r="BO714" s="124"/>
      <c r="BP714" s="124"/>
      <c r="BQ714" s="124"/>
      <c r="BR714" s="124"/>
      <c r="BS714" s="124"/>
      <c r="BT714" s="124"/>
      <c r="BU714" s="124"/>
      <c r="BV714" s="124"/>
      <c r="BW714" s="124"/>
      <c r="BX714" s="124"/>
      <c r="BY714" s="124"/>
      <c r="BZ714" s="124"/>
      <c r="CA714" s="124"/>
    </row>
    <row r="715">
      <c r="D715" s="143"/>
      <c r="E715" s="129"/>
      <c r="F715" s="112"/>
      <c r="G715" s="112"/>
      <c r="H715" s="112"/>
      <c r="I715" s="112"/>
      <c r="J715" s="112"/>
      <c r="K715" s="112"/>
      <c r="L715" s="112"/>
      <c r="M715" s="112"/>
      <c r="N715" s="112"/>
      <c r="O715" s="112"/>
      <c r="P715" s="112"/>
      <c r="Q715" s="112"/>
      <c r="R715" s="112"/>
      <c r="S715" s="112"/>
      <c r="T715" s="112"/>
      <c r="U715" s="124"/>
      <c r="V715" s="124"/>
      <c r="W715" s="124"/>
      <c r="X715" s="124"/>
      <c r="Y715" s="124"/>
      <c r="Z715" s="112"/>
      <c r="AA715" s="112"/>
      <c r="AB715" s="112"/>
      <c r="AC715" s="112"/>
      <c r="AD715" s="112"/>
      <c r="AE715" s="112"/>
      <c r="AF715" s="112"/>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c r="BK715" s="124"/>
      <c r="BL715" s="124"/>
      <c r="BM715" s="124"/>
      <c r="BN715" s="124"/>
      <c r="BO715" s="124"/>
      <c r="BP715" s="124"/>
      <c r="BQ715" s="124"/>
      <c r="BR715" s="124"/>
      <c r="BS715" s="124"/>
      <c r="BT715" s="124"/>
      <c r="BU715" s="124"/>
      <c r="BV715" s="124"/>
      <c r="BW715" s="124"/>
      <c r="BX715" s="124"/>
      <c r="BY715" s="124"/>
      <c r="BZ715" s="124"/>
      <c r="CA715" s="124"/>
    </row>
    <row r="716">
      <c r="D716" s="143"/>
      <c r="E716" s="129"/>
      <c r="F716" s="112"/>
      <c r="G716" s="112"/>
      <c r="H716" s="112"/>
      <c r="I716" s="112"/>
      <c r="J716" s="112"/>
      <c r="K716" s="112"/>
      <c r="L716" s="112"/>
      <c r="M716" s="112"/>
      <c r="N716" s="112"/>
      <c r="O716" s="112"/>
      <c r="P716" s="112"/>
      <c r="Q716" s="112"/>
      <c r="R716" s="112"/>
      <c r="S716" s="112"/>
      <c r="T716" s="112"/>
      <c r="U716" s="124"/>
      <c r="V716" s="124"/>
      <c r="W716" s="124"/>
      <c r="X716" s="124"/>
      <c r="Y716" s="124"/>
      <c r="Z716" s="112"/>
      <c r="AA716" s="112"/>
      <c r="AB716" s="112"/>
      <c r="AC716" s="112"/>
      <c r="AD716" s="112"/>
      <c r="AE716" s="112"/>
      <c r="AF716" s="112"/>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c r="BK716" s="124"/>
      <c r="BL716" s="124"/>
      <c r="BM716" s="124"/>
      <c r="BN716" s="124"/>
      <c r="BO716" s="124"/>
      <c r="BP716" s="124"/>
      <c r="BQ716" s="124"/>
      <c r="BR716" s="124"/>
      <c r="BS716" s="124"/>
      <c r="BT716" s="124"/>
      <c r="BU716" s="124"/>
      <c r="BV716" s="124"/>
      <c r="BW716" s="124"/>
      <c r="BX716" s="124"/>
      <c r="BY716" s="124"/>
      <c r="BZ716" s="124"/>
      <c r="CA716" s="124"/>
    </row>
    <row r="717">
      <c r="D717" s="143"/>
      <c r="E717" s="129"/>
      <c r="F717" s="112"/>
      <c r="G717" s="112"/>
      <c r="H717" s="112"/>
      <c r="I717" s="112"/>
      <c r="J717" s="112"/>
      <c r="K717" s="112"/>
      <c r="L717" s="112"/>
      <c r="M717" s="112"/>
      <c r="N717" s="112"/>
      <c r="O717" s="112"/>
      <c r="P717" s="112"/>
      <c r="Q717" s="112"/>
      <c r="R717" s="112"/>
      <c r="S717" s="112"/>
      <c r="T717" s="112"/>
      <c r="U717" s="124"/>
      <c r="V717" s="124"/>
      <c r="W717" s="124"/>
      <c r="X717" s="124"/>
      <c r="Y717" s="124"/>
      <c r="Z717" s="112"/>
      <c r="AA717" s="112"/>
      <c r="AB717" s="112"/>
      <c r="AC717" s="112"/>
      <c r="AD717" s="112"/>
      <c r="AE717" s="112"/>
      <c r="AF717" s="112"/>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c r="BK717" s="124"/>
      <c r="BL717" s="124"/>
      <c r="BM717" s="124"/>
      <c r="BN717" s="124"/>
      <c r="BO717" s="124"/>
      <c r="BP717" s="124"/>
      <c r="BQ717" s="124"/>
      <c r="BR717" s="124"/>
      <c r="BS717" s="124"/>
      <c r="BT717" s="124"/>
      <c r="BU717" s="124"/>
      <c r="BV717" s="124"/>
      <c r="BW717" s="124"/>
      <c r="BX717" s="124"/>
      <c r="BY717" s="124"/>
      <c r="BZ717" s="124"/>
      <c r="CA717" s="124"/>
    </row>
    <row r="718">
      <c r="D718" s="143"/>
      <c r="E718" s="129"/>
      <c r="F718" s="112"/>
      <c r="G718" s="112"/>
      <c r="H718" s="112"/>
      <c r="I718" s="112"/>
      <c r="J718" s="112"/>
      <c r="K718" s="112"/>
      <c r="L718" s="112"/>
      <c r="M718" s="112"/>
      <c r="N718" s="112"/>
      <c r="O718" s="112"/>
      <c r="P718" s="112"/>
      <c r="Q718" s="112"/>
      <c r="R718" s="112"/>
      <c r="S718" s="112"/>
      <c r="T718" s="112"/>
      <c r="U718" s="124"/>
      <c r="V718" s="124"/>
      <c r="W718" s="124"/>
      <c r="X718" s="124"/>
      <c r="Y718" s="124"/>
      <c r="Z718" s="112"/>
      <c r="AA718" s="112"/>
      <c r="AB718" s="112"/>
      <c r="AC718" s="112"/>
      <c r="AD718" s="112"/>
      <c r="AE718" s="112"/>
      <c r="AF718" s="112"/>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c r="BK718" s="124"/>
      <c r="BL718" s="124"/>
      <c r="BM718" s="124"/>
      <c r="BN718" s="124"/>
      <c r="BO718" s="124"/>
      <c r="BP718" s="124"/>
      <c r="BQ718" s="124"/>
      <c r="BR718" s="124"/>
      <c r="BS718" s="124"/>
      <c r="BT718" s="124"/>
      <c r="BU718" s="124"/>
      <c r="BV718" s="124"/>
      <c r="BW718" s="124"/>
      <c r="BX718" s="124"/>
      <c r="BY718" s="124"/>
      <c r="BZ718" s="124"/>
      <c r="CA718" s="124"/>
    </row>
    <row r="719">
      <c r="D719" s="143"/>
      <c r="E719" s="129"/>
      <c r="F719" s="112"/>
      <c r="G719" s="112"/>
      <c r="H719" s="112"/>
      <c r="I719" s="112"/>
      <c r="J719" s="112"/>
      <c r="K719" s="112"/>
      <c r="L719" s="112"/>
      <c r="M719" s="112"/>
      <c r="N719" s="112"/>
      <c r="O719" s="112"/>
      <c r="P719" s="112"/>
      <c r="Q719" s="112"/>
      <c r="R719" s="112"/>
      <c r="S719" s="112"/>
      <c r="T719" s="112"/>
      <c r="U719" s="124"/>
      <c r="V719" s="124"/>
      <c r="W719" s="124"/>
      <c r="X719" s="124"/>
      <c r="Y719" s="124"/>
      <c r="Z719" s="112"/>
      <c r="AA719" s="112"/>
      <c r="AB719" s="112"/>
      <c r="AC719" s="112"/>
      <c r="AD719" s="112"/>
      <c r="AE719" s="112"/>
      <c r="AF719" s="112"/>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c r="BK719" s="124"/>
      <c r="BL719" s="124"/>
      <c r="BM719" s="124"/>
      <c r="BN719" s="124"/>
      <c r="BO719" s="124"/>
      <c r="BP719" s="124"/>
      <c r="BQ719" s="124"/>
      <c r="BR719" s="124"/>
      <c r="BS719" s="124"/>
      <c r="BT719" s="124"/>
      <c r="BU719" s="124"/>
      <c r="BV719" s="124"/>
      <c r="BW719" s="124"/>
      <c r="BX719" s="124"/>
      <c r="BY719" s="124"/>
      <c r="BZ719" s="124"/>
      <c r="CA719" s="124"/>
    </row>
    <row r="720">
      <c r="D720" s="143"/>
      <c r="E720" s="129"/>
      <c r="F720" s="112"/>
      <c r="G720" s="112"/>
      <c r="H720" s="112"/>
      <c r="I720" s="112"/>
      <c r="J720" s="112"/>
      <c r="K720" s="112"/>
      <c r="L720" s="112"/>
      <c r="M720" s="112"/>
      <c r="N720" s="112"/>
      <c r="O720" s="112"/>
      <c r="P720" s="112"/>
      <c r="Q720" s="112"/>
      <c r="R720" s="112"/>
      <c r="S720" s="112"/>
      <c r="T720" s="112"/>
      <c r="U720" s="124"/>
      <c r="V720" s="124"/>
      <c r="W720" s="124"/>
      <c r="X720" s="124"/>
      <c r="Y720" s="124"/>
      <c r="Z720" s="112"/>
      <c r="AA720" s="112"/>
      <c r="AB720" s="112"/>
      <c r="AC720" s="112"/>
      <c r="AD720" s="112"/>
      <c r="AE720" s="112"/>
      <c r="AF720" s="112"/>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c r="BK720" s="124"/>
      <c r="BL720" s="124"/>
      <c r="BM720" s="124"/>
      <c r="BN720" s="124"/>
      <c r="BO720" s="124"/>
      <c r="BP720" s="124"/>
      <c r="BQ720" s="124"/>
      <c r="BR720" s="124"/>
      <c r="BS720" s="124"/>
      <c r="BT720" s="124"/>
      <c r="BU720" s="124"/>
      <c r="BV720" s="124"/>
      <c r="BW720" s="124"/>
      <c r="BX720" s="124"/>
      <c r="BY720" s="124"/>
      <c r="BZ720" s="124"/>
      <c r="CA720" s="124"/>
    </row>
    <row r="721">
      <c r="D721" s="143"/>
      <c r="E721" s="129"/>
      <c r="F721" s="112"/>
      <c r="G721" s="112"/>
      <c r="H721" s="112"/>
      <c r="I721" s="112"/>
      <c r="J721" s="112"/>
      <c r="K721" s="112"/>
      <c r="L721" s="112"/>
      <c r="M721" s="112"/>
      <c r="N721" s="112"/>
      <c r="O721" s="112"/>
      <c r="P721" s="112"/>
      <c r="Q721" s="112"/>
      <c r="R721" s="112"/>
      <c r="S721" s="112"/>
      <c r="T721" s="112"/>
      <c r="U721" s="124"/>
      <c r="V721" s="124"/>
      <c r="W721" s="124"/>
      <c r="X721" s="124"/>
      <c r="Y721" s="124"/>
      <c r="Z721" s="112"/>
      <c r="AA721" s="112"/>
      <c r="AB721" s="112"/>
      <c r="AC721" s="112"/>
      <c r="AD721" s="112"/>
      <c r="AE721" s="112"/>
      <c r="AF721" s="112"/>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c r="BK721" s="124"/>
      <c r="BL721" s="124"/>
      <c r="BM721" s="124"/>
      <c r="BN721" s="124"/>
      <c r="BO721" s="124"/>
      <c r="BP721" s="124"/>
      <c r="BQ721" s="124"/>
      <c r="BR721" s="124"/>
      <c r="BS721" s="124"/>
      <c r="BT721" s="124"/>
      <c r="BU721" s="124"/>
      <c r="BV721" s="124"/>
      <c r="BW721" s="124"/>
      <c r="BX721" s="124"/>
      <c r="BY721" s="124"/>
      <c r="BZ721" s="124"/>
      <c r="CA721" s="124"/>
    </row>
    <row r="722">
      <c r="D722" s="143"/>
      <c r="E722" s="129"/>
      <c r="F722" s="112"/>
      <c r="G722" s="112"/>
      <c r="H722" s="112"/>
      <c r="I722" s="112"/>
      <c r="J722" s="112"/>
      <c r="K722" s="112"/>
      <c r="L722" s="112"/>
      <c r="M722" s="112"/>
      <c r="N722" s="112"/>
      <c r="O722" s="112"/>
      <c r="P722" s="112"/>
      <c r="Q722" s="112"/>
      <c r="R722" s="112"/>
      <c r="S722" s="112"/>
      <c r="T722" s="112"/>
      <c r="U722" s="124"/>
      <c r="V722" s="124"/>
      <c r="W722" s="124"/>
      <c r="X722" s="124"/>
      <c r="Y722" s="124"/>
      <c r="Z722" s="112"/>
      <c r="AA722" s="112"/>
      <c r="AB722" s="112"/>
      <c r="AC722" s="112"/>
      <c r="AD722" s="112"/>
      <c r="AE722" s="112"/>
      <c r="AF722" s="112"/>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c r="BK722" s="124"/>
      <c r="BL722" s="124"/>
      <c r="BM722" s="124"/>
      <c r="BN722" s="124"/>
      <c r="BO722" s="124"/>
      <c r="BP722" s="124"/>
      <c r="BQ722" s="124"/>
      <c r="BR722" s="124"/>
      <c r="BS722" s="124"/>
      <c r="BT722" s="124"/>
      <c r="BU722" s="124"/>
      <c r="BV722" s="124"/>
      <c r="BW722" s="124"/>
      <c r="BX722" s="124"/>
      <c r="BY722" s="124"/>
      <c r="BZ722" s="124"/>
      <c r="CA722" s="124"/>
    </row>
    <row r="723">
      <c r="D723" s="143"/>
      <c r="E723" s="129"/>
      <c r="F723" s="112"/>
      <c r="G723" s="112"/>
      <c r="H723" s="112"/>
      <c r="I723" s="112"/>
      <c r="J723" s="112"/>
      <c r="K723" s="112"/>
      <c r="L723" s="112"/>
      <c r="M723" s="112"/>
      <c r="N723" s="112"/>
      <c r="O723" s="112"/>
      <c r="P723" s="112"/>
      <c r="Q723" s="112"/>
      <c r="R723" s="112"/>
      <c r="S723" s="112"/>
      <c r="T723" s="112"/>
      <c r="U723" s="124"/>
      <c r="V723" s="124"/>
      <c r="W723" s="124"/>
      <c r="X723" s="124"/>
      <c r="Y723" s="124"/>
      <c r="Z723" s="112"/>
      <c r="AA723" s="112"/>
      <c r="AB723" s="112"/>
      <c r="AC723" s="112"/>
      <c r="AD723" s="112"/>
      <c r="AE723" s="112"/>
      <c r="AF723" s="112"/>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c r="BK723" s="124"/>
      <c r="BL723" s="124"/>
      <c r="BM723" s="124"/>
      <c r="BN723" s="124"/>
      <c r="BO723" s="124"/>
      <c r="BP723" s="124"/>
      <c r="BQ723" s="124"/>
      <c r="BR723" s="124"/>
      <c r="BS723" s="124"/>
      <c r="BT723" s="124"/>
      <c r="BU723" s="124"/>
      <c r="BV723" s="124"/>
      <c r="BW723" s="124"/>
      <c r="BX723" s="124"/>
      <c r="BY723" s="124"/>
      <c r="BZ723" s="124"/>
      <c r="CA723" s="124"/>
    </row>
    <row r="724">
      <c r="D724" s="143"/>
      <c r="E724" s="129"/>
      <c r="F724" s="112"/>
      <c r="G724" s="112"/>
      <c r="H724" s="112"/>
      <c r="I724" s="112"/>
      <c r="J724" s="112"/>
      <c r="K724" s="112"/>
      <c r="L724" s="112"/>
      <c r="M724" s="112"/>
      <c r="N724" s="112"/>
      <c r="O724" s="112"/>
      <c r="P724" s="112"/>
      <c r="Q724" s="112"/>
      <c r="R724" s="112"/>
      <c r="S724" s="112"/>
      <c r="T724" s="112"/>
      <c r="U724" s="124"/>
      <c r="V724" s="124"/>
      <c r="W724" s="124"/>
      <c r="X724" s="124"/>
      <c r="Y724" s="124"/>
      <c r="Z724" s="112"/>
      <c r="AA724" s="112"/>
      <c r="AB724" s="112"/>
      <c r="AC724" s="112"/>
      <c r="AD724" s="112"/>
      <c r="AE724" s="112"/>
      <c r="AF724" s="112"/>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c r="BK724" s="124"/>
      <c r="BL724" s="124"/>
      <c r="BM724" s="124"/>
      <c r="BN724" s="124"/>
      <c r="BO724" s="124"/>
      <c r="BP724" s="124"/>
      <c r="BQ724" s="124"/>
      <c r="BR724" s="124"/>
      <c r="BS724" s="124"/>
      <c r="BT724" s="124"/>
      <c r="BU724" s="124"/>
      <c r="BV724" s="124"/>
      <c r="BW724" s="124"/>
      <c r="BX724" s="124"/>
      <c r="BY724" s="124"/>
      <c r="BZ724" s="124"/>
      <c r="CA724" s="124"/>
    </row>
    <row r="725">
      <c r="D725" s="143"/>
      <c r="E725" s="129"/>
      <c r="F725" s="112"/>
      <c r="G725" s="112"/>
      <c r="H725" s="112"/>
      <c r="I725" s="112"/>
      <c r="J725" s="112"/>
      <c r="K725" s="112"/>
      <c r="L725" s="112"/>
      <c r="M725" s="112"/>
      <c r="N725" s="112"/>
      <c r="O725" s="112"/>
      <c r="P725" s="112"/>
      <c r="Q725" s="112"/>
      <c r="R725" s="112"/>
      <c r="S725" s="112"/>
      <c r="T725" s="112"/>
      <c r="U725" s="124"/>
      <c r="V725" s="124"/>
      <c r="W725" s="124"/>
      <c r="X725" s="124"/>
      <c r="Y725" s="124"/>
      <c r="Z725" s="112"/>
      <c r="AA725" s="112"/>
      <c r="AB725" s="112"/>
      <c r="AC725" s="112"/>
      <c r="AD725" s="112"/>
      <c r="AE725" s="112"/>
      <c r="AF725" s="112"/>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c r="BK725" s="124"/>
      <c r="BL725" s="124"/>
      <c r="BM725" s="124"/>
      <c r="BN725" s="124"/>
      <c r="BO725" s="124"/>
      <c r="BP725" s="124"/>
      <c r="BQ725" s="124"/>
      <c r="BR725" s="124"/>
      <c r="BS725" s="124"/>
      <c r="BT725" s="124"/>
      <c r="BU725" s="124"/>
      <c r="BV725" s="124"/>
      <c r="BW725" s="124"/>
      <c r="BX725" s="124"/>
      <c r="BY725" s="124"/>
      <c r="BZ725" s="124"/>
      <c r="CA725" s="124"/>
    </row>
    <row r="726">
      <c r="D726" s="143"/>
      <c r="E726" s="129"/>
      <c r="F726" s="112"/>
      <c r="G726" s="112"/>
      <c r="H726" s="112"/>
      <c r="I726" s="112"/>
      <c r="J726" s="112"/>
      <c r="K726" s="112"/>
      <c r="L726" s="112"/>
      <c r="M726" s="112"/>
      <c r="N726" s="112"/>
      <c r="O726" s="112"/>
      <c r="P726" s="112"/>
      <c r="Q726" s="112"/>
      <c r="R726" s="112"/>
      <c r="S726" s="112"/>
      <c r="T726" s="112"/>
      <c r="U726" s="124"/>
      <c r="V726" s="124"/>
      <c r="W726" s="124"/>
      <c r="X726" s="124"/>
      <c r="Y726" s="124"/>
      <c r="Z726" s="112"/>
      <c r="AA726" s="112"/>
      <c r="AB726" s="112"/>
      <c r="AC726" s="112"/>
      <c r="AD726" s="112"/>
      <c r="AE726" s="112"/>
      <c r="AF726" s="112"/>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c r="BK726" s="124"/>
      <c r="BL726" s="124"/>
      <c r="BM726" s="124"/>
      <c r="BN726" s="124"/>
      <c r="BO726" s="124"/>
      <c r="BP726" s="124"/>
      <c r="BQ726" s="124"/>
      <c r="BR726" s="124"/>
      <c r="BS726" s="124"/>
      <c r="BT726" s="124"/>
      <c r="BU726" s="124"/>
      <c r="BV726" s="124"/>
      <c r="BW726" s="124"/>
      <c r="BX726" s="124"/>
      <c r="BY726" s="124"/>
      <c r="BZ726" s="124"/>
      <c r="CA726" s="124"/>
    </row>
    <row r="727">
      <c r="D727" s="143"/>
      <c r="E727" s="129"/>
      <c r="F727" s="112"/>
      <c r="G727" s="112"/>
      <c r="H727" s="112"/>
      <c r="I727" s="112"/>
      <c r="J727" s="112"/>
      <c r="K727" s="112"/>
      <c r="L727" s="112"/>
      <c r="M727" s="112"/>
      <c r="N727" s="112"/>
      <c r="O727" s="112"/>
      <c r="P727" s="112"/>
      <c r="Q727" s="112"/>
      <c r="R727" s="112"/>
      <c r="S727" s="112"/>
      <c r="T727" s="112"/>
      <c r="U727" s="124"/>
      <c r="V727" s="124"/>
      <c r="W727" s="124"/>
      <c r="X727" s="124"/>
      <c r="Y727" s="124"/>
      <c r="Z727" s="112"/>
      <c r="AA727" s="112"/>
      <c r="AB727" s="112"/>
      <c r="AC727" s="112"/>
      <c r="AD727" s="112"/>
      <c r="AE727" s="112"/>
      <c r="AF727" s="112"/>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c r="BK727" s="124"/>
      <c r="BL727" s="124"/>
      <c r="BM727" s="124"/>
      <c r="BN727" s="124"/>
      <c r="BO727" s="124"/>
      <c r="BP727" s="124"/>
      <c r="BQ727" s="124"/>
      <c r="BR727" s="124"/>
      <c r="BS727" s="124"/>
      <c r="BT727" s="124"/>
      <c r="BU727" s="124"/>
      <c r="BV727" s="124"/>
      <c r="BW727" s="124"/>
      <c r="BX727" s="124"/>
      <c r="BY727" s="124"/>
      <c r="BZ727" s="124"/>
      <c r="CA727" s="124"/>
    </row>
    <row r="728">
      <c r="D728" s="143"/>
      <c r="E728" s="129"/>
      <c r="F728" s="112"/>
      <c r="G728" s="112"/>
      <c r="H728" s="112"/>
      <c r="I728" s="112"/>
      <c r="J728" s="112"/>
      <c r="K728" s="112"/>
      <c r="L728" s="112"/>
      <c r="M728" s="112"/>
      <c r="N728" s="112"/>
      <c r="O728" s="112"/>
      <c r="P728" s="112"/>
      <c r="Q728" s="112"/>
      <c r="R728" s="112"/>
      <c r="S728" s="112"/>
      <c r="T728" s="112"/>
      <c r="U728" s="124"/>
      <c r="V728" s="124"/>
      <c r="W728" s="124"/>
      <c r="X728" s="124"/>
      <c r="Y728" s="124"/>
      <c r="Z728" s="112"/>
      <c r="AA728" s="112"/>
      <c r="AB728" s="112"/>
      <c r="AC728" s="112"/>
      <c r="AD728" s="112"/>
      <c r="AE728" s="112"/>
      <c r="AF728" s="112"/>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c r="BK728" s="124"/>
      <c r="BL728" s="124"/>
      <c r="BM728" s="124"/>
      <c r="BN728" s="124"/>
      <c r="BO728" s="124"/>
      <c r="BP728" s="124"/>
      <c r="BQ728" s="124"/>
      <c r="BR728" s="124"/>
      <c r="BS728" s="124"/>
      <c r="BT728" s="124"/>
      <c r="BU728" s="124"/>
      <c r="BV728" s="124"/>
      <c r="BW728" s="124"/>
      <c r="BX728" s="124"/>
      <c r="BY728" s="124"/>
      <c r="BZ728" s="124"/>
      <c r="CA728" s="124"/>
    </row>
    <row r="729">
      <c r="D729" s="143"/>
      <c r="E729" s="129"/>
      <c r="F729" s="112"/>
      <c r="G729" s="112"/>
      <c r="H729" s="112"/>
      <c r="I729" s="112"/>
      <c r="J729" s="112"/>
      <c r="K729" s="112"/>
      <c r="L729" s="112"/>
      <c r="M729" s="112"/>
      <c r="N729" s="112"/>
      <c r="O729" s="112"/>
      <c r="P729" s="112"/>
      <c r="Q729" s="112"/>
      <c r="R729" s="112"/>
      <c r="S729" s="112"/>
      <c r="T729" s="112"/>
      <c r="U729" s="124"/>
      <c r="V729" s="124"/>
      <c r="W729" s="124"/>
      <c r="X729" s="124"/>
      <c r="Y729" s="124"/>
      <c r="Z729" s="112"/>
      <c r="AA729" s="112"/>
      <c r="AB729" s="112"/>
      <c r="AC729" s="112"/>
      <c r="AD729" s="112"/>
      <c r="AE729" s="112"/>
      <c r="AF729" s="112"/>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c r="BK729" s="124"/>
      <c r="BL729" s="124"/>
      <c r="BM729" s="124"/>
      <c r="BN729" s="124"/>
      <c r="BO729" s="124"/>
      <c r="BP729" s="124"/>
      <c r="BQ729" s="124"/>
      <c r="BR729" s="124"/>
      <c r="BS729" s="124"/>
      <c r="BT729" s="124"/>
      <c r="BU729" s="124"/>
      <c r="BV729" s="124"/>
      <c r="BW729" s="124"/>
      <c r="BX729" s="124"/>
      <c r="BY729" s="124"/>
      <c r="BZ729" s="124"/>
      <c r="CA729" s="124"/>
    </row>
    <row r="730">
      <c r="D730" s="143"/>
      <c r="E730" s="129"/>
      <c r="F730" s="112"/>
      <c r="G730" s="112"/>
      <c r="H730" s="112"/>
      <c r="I730" s="112"/>
      <c r="J730" s="112"/>
      <c r="K730" s="112"/>
      <c r="L730" s="112"/>
      <c r="M730" s="112"/>
      <c r="N730" s="112"/>
      <c r="O730" s="112"/>
      <c r="P730" s="112"/>
      <c r="Q730" s="112"/>
      <c r="R730" s="112"/>
      <c r="S730" s="112"/>
      <c r="T730" s="112"/>
      <c r="U730" s="124"/>
      <c r="V730" s="124"/>
      <c r="W730" s="124"/>
      <c r="X730" s="124"/>
      <c r="Y730" s="124"/>
      <c r="Z730" s="112"/>
      <c r="AA730" s="112"/>
      <c r="AB730" s="112"/>
      <c r="AC730" s="112"/>
      <c r="AD730" s="112"/>
      <c r="AE730" s="112"/>
      <c r="AF730" s="112"/>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c r="BK730" s="124"/>
      <c r="BL730" s="124"/>
      <c r="BM730" s="124"/>
      <c r="BN730" s="124"/>
      <c r="BO730" s="124"/>
      <c r="BP730" s="124"/>
      <c r="BQ730" s="124"/>
      <c r="BR730" s="124"/>
      <c r="BS730" s="124"/>
      <c r="BT730" s="124"/>
      <c r="BU730" s="124"/>
      <c r="BV730" s="124"/>
      <c r="BW730" s="124"/>
      <c r="BX730" s="124"/>
      <c r="BY730" s="124"/>
      <c r="BZ730" s="124"/>
      <c r="CA730" s="124"/>
    </row>
    <row r="731">
      <c r="D731" s="143"/>
      <c r="E731" s="129"/>
      <c r="F731" s="112"/>
      <c r="G731" s="112"/>
      <c r="H731" s="112"/>
      <c r="I731" s="112"/>
      <c r="J731" s="112"/>
      <c r="K731" s="112"/>
      <c r="L731" s="112"/>
      <c r="M731" s="112"/>
      <c r="N731" s="112"/>
      <c r="O731" s="112"/>
      <c r="P731" s="112"/>
      <c r="Q731" s="112"/>
      <c r="R731" s="112"/>
      <c r="S731" s="112"/>
      <c r="T731" s="112"/>
      <c r="U731" s="124"/>
      <c r="V731" s="124"/>
      <c r="W731" s="124"/>
      <c r="X731" s="124"/>
      <c r="Y731" s="124"/>
      <c r="Z731" s="112"/>
      <c r="AA731" s="112"/>
      <c r="AB731" s="112"/>
      <c r="AC731" s="112"/>
      <c r="AD731" s="112"/>
      <c r="AE731" s="112"/>
      <c r="AF731" s="112"/>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c r="BK731" s="124"/>
      <c r="BL731" s="124"/>
      <c r="BM731" s="124"/>
      <c r="BN731" s="124"/>
      <c r="BO731" s="124"/>
      <c r="BP731" s="124"/>
      <c r="BQ731" s="124"/>
      <c r="BR731" s="124"/>
      <c r="BS731" s="124"/>
      <c r="BT731" s="124"/>
      <c r="BU731" s="124"/>
      <c r="BV731" s="124"/>
      <c r="BW731" s="124"/>
      <c r="BX731" s="124"/>
      <c r="BY731" s="124"/>
      <c r="BZ731" s="124"/>
      <c r="CA731" s="124"/>
    </row>
    <row r="732">
      <c r="D732" s="143"/>
      <c r="E732" s="129"/>
      <c r="F732" s="112"/>
      <c r="G732" s="112"/>
      <c r="H732" s="112"/>
      <c r="I732" s="112"/>
      <c r="J732" s="112"/>
      <c r="K732" s="112"/>
      <c r="L732" s="112"/>
      <c r="M732" s="112"/>
      <c r="N732" s="112"/>
      <c r="O732" s="112"/>
      <c r="P732" s="112"/>
      <c r="Q732" s="112"/>
      <c r="R732" s="112"/>
      <c r="S732" s="112"/>
      <c r="T732" s="112"/>
      <c r="U732" s="124"/>
      <c r="V732" s="124"/>
      <c r="W732" s="124"/>
      <c r="X732" s="124"/>
      <c r="Y732" s="124"/>
      <c r="Z732" s="112"/>
      <c r="AA732" s="112"/>
      <c r="AB732" s="112"/>
      <c r="AC732" s="112"/>
      <c r="AD732" s="112"/>
      <c r="AE732" s="112"/>
      <c r="AF732" s="112"/>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c r="BK732" s="124"/>
      <c r="BL732" s="124"/>
      <c r="BM732" s="124"/>
      <c r="BN732" s="124"/>
      <c r="BO732" s="124"/>
      <c r="BP732" s="124"/>
      <c r="BQ732" s="124"/>
      <c r="BR732" s="124"/>
      <c r="BS732" s="124"/>
      <c r="BT732" s="124"/>
      <c r="BU732" s="124"/>
      <c r="BV732" s="124"/>
      <c r="BW732" s="124"/>
      <c r="BX732" s="124"/>
      <c r="BY732" s="124"/>
      <c r="BZ732" s="124"/>
      <c r="CA732" s="124"/>
    </row>
    <row r="733">
      <c r="D733" s="143"/>
      <c r="E733" s="129"/>
      <c r="F733" s="112"/>
      <c r="G733" s="112"/>
      <c r="H733" s="112"/>
      <c r="I733" s="112"/>
      <c r="J733" s="112"/>
      <c r="K733" s="112"/>
      <c r="L733" s="112"/>
      <c r="M733" s="112"/>
      <c r="N733" s="112"/>
      <c r="O733" s="112"/>
      <c r="P733" s="112"/>
      <c r="Q733" s="112"/>
      <c r="R733" s="112"/>
      <c r="S733" s="112"/>
      <c r="T733" s="112"/>
      <c r="U733" s="124"/>
      <c r="V733" s="124"/>
      <c r="W733" s="124"/>
      <c r="X733" s="124"/>
      <c r="Y733" s="124"/>
      <c r="Z733" s="112"/>
      <c r="AA733" s="112"/>
      <c r="AB733" s="112"/>
      <c r="AC733" s="112"/>
      <c r="AD733" s="112"/>
      <c r="AE733" s="112"/>
      <c r="AF733" s="112"/>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c r="BK733" s="124"/>
      <c r="BL733" s="124"/>
      <c r="BM733" s="124"/>
      <c r="BN733" s="124"/>
      <c r="BO733" s="124"/>
      <c r="BP733" s="124"/>
      <c r="BQ733" s="124"/>
      <c r="BR733" s="124"/>
      <c r="BS733" s="124"/>
      <c r="BT733" s="124"/>
      <c r="BU733" s="124"/>
      <c r="BV733" s="124"/>
      <c r="BW733" s="124"/>
      <c r="BX733" s="124"/>
      <c r="BY733" s="124"/>
      <c r="BZ733" s="124"/>
      <c r="CA733" s="124"/>
    </row>
    <row r="734">
      <c r="D734" s="143"/>
      <c r="E734" s="129"/>
      <c r="F734" s="112"/>
      <c r="G734" s="112"/>
      <c r="H734" s="112"/>
      <c r="I734" s="112"/>
      <c r="J734" s="112"/>
      <c r="K734" s="112"/>
      <c r="L734" s="112"/>
      <c r="M734" s="112"/>
      <c r="N734" s="112"/>
      <c r="O734" s="112"/>
      <c r="P734" s="112"/>
      <c r="Q734" s="112"/>
      <c r="R734" s="112"/>
      <c r="S734" s="112"/>
      <c r="T734" s="112"/>
      <c r="U734" s="124"/>
      <c r="V734" s="124"/>
      <c r="W734" s="124"/>
      <c r="X734" s="124"/>
      <c r="Y734" s="124"/>
      <c r="Z734" s="112"/>
      <c r="AA734" s="112"/>
      <c r="AB734" s="112"/>
      <c r="AC734" s="112"/>
      <c r="AD734" s="112"/>
      <c r="AE734" s="112"/>
      <c r="AF734" s="112"/>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c r="BK734" s="124"/>
      <c r="BL734" s="124"/>
      <c r="BM734" s="124"/>
      <c r="BN734" s="124"/>
      <c r="BO734" s="124"/>
      <c r="BP734" s="124"/>
      <c r="BQ734" s="124"/>
      <c r="BR734" s="124"/>
      <c r="BS734" s="124"/>
      <c r="BT734" s="124"/>
      <c r="BU734" s="124"/>
      <c r="BV734" s="124"/>
      <c r="BW734" s="124"/>
      <c r="BX734" s="124"/>
      <c r="BY734" s="124"/>
      <c r="BZ734" s="124"/>
      <c r="CA734" s="124"/>
    </row>
    <row r="735">
      <c r="D735" s="143"/>
      <c r="E735" s="129"/>
      <c r="F735" s="112"/>
      <c r="G735" s="112"/>
      <c r="H735" s="112"/>
      <c r="I735" s="112"/>
      <c r="J735" s="112"/>
      <c r="K735" s="112"/>
      <c r="L735" s="112"/>
      <c r="M735" s="112"/>
      <c r="N735" s="112"/>
      <c r="O735" s="112"/>
      <c r="P735" s="112"/>
      <c r="Q735" s="112"/>
      <c r="R735" s="112"/>
      <c r="S735" s="112"/>
      <c r="T735" s="112"/>
      <c r="U735" s="124"/>
      <c r="V735" s="124"/>
      <c r="W735" s="124"/>
      <c r="X735" s="124"/>
      <c r="Y735" s="124"/>
      <c r="Z735" s="112"/>
      <c r="AA735" s="112"/>
      <c r="AB735" s="112"/>
      <c r="AC735" s="112"/>
      <c r="AD735" s="112"/>
      <c r="AE735" s="112"/>
      <c r="AF735" s="112"/>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c r="BK735" s="124"/>
      <c r="BL735" s="124"/>
      <c r="BM735" s="124"/>
      <c r="BN735" s="124"/>
      <c r="BO735" s="124"/>
      <c r="BP735" s="124"/>
      <c r="BQ735" s="124"/>
      <c r="BR735" s="124"/>
      <c r="BS735" s="124"/>
      <c r="BT735" s="124"/>
      <c r="BU735" s="124"/>
      <c r="BV735" s="124"/>
      <c r="BW735" s="124"/>
      <c r="BX735" s="124"/>
      <c r="BY735" s="124"/>
      <c r="BZ735" s="124"/>
      <c r="CA735" s="124"/>
    </row>
    <row r="736">
      <c r="D736" s="143"/>
      <c r="E736" s="129"/>
      <c r="F736" s="112"/>
      <c r="G736" s="112"/>
      <c r="H736" s="112"/>
      <c r="I736" s="112"/>
      <c r="J736" s="112"/>
      <c r="K736" s="112"/>
      <c r="L736" s="112"/>
      <c r="M736" s="112"/>
      <c r="N736" s="112"/>
      <c r="O736" s="112"/>
      <c r="P736" s="112"/>
      <c r="Q736" s="112"/>
      <c r="R736" s="112"/>
      <c r="S736" s="112"/>
      <c r="T736" s="112"/>
      <c r="U736" s="124"/>
      <c r="V736" s="124"/>
      <c r="W736" s="124"/>
      <c r="X736" s="124"/>
      <c r="Y736" s="124"/>
      <c r="Z736" s="112"/>
      <c r="AA736" s="112"/>
      <c r="AB736" s="112"/>
      <c r="AC736" s="112"/>
      <c r="AD736" s="112"/>
      <c r="AE736" s="112"/>
      <c r="AF736" s="112"/>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c r="BK736" s="124"/>
      <c r="BL736" s="124"/>
      <c r="BM736" s="124"/>
      <c r="BN736" s="124"/>
      <c r="BO736" s="124"/>
      <c r="BP736" s="124"/>
      <c r="BQ736" s="124"/>
      <c r="BR736" s="124"/>
      <c r="BS736" s="124"/>
      <c r="BT736" s="124"/>
      <c r="BU736" s="124"/>
      <c r="BV736" s="124"/>
      <c r="BW736" s="124"/>
      <c r="BX736" s="124"/>
      <c r="BY736" s="124"/>
      <c r="BZ736" s="124"/>
      <c r="CA736" s="124"/>
    </row>
    <row r="737">
      <c r="D737" s="143"/>
      <c r="E737" s="129"/>
      <c r="F737" s="112"/>
      <c r="G737" s="112"/>
      <c r="H737" s="112"/>
      <c r="I737" s="112"/>
      <c r="J737" s="112"/>
      <c r="K737" s="112"/>
      <c r="L737" s="112"/>
      <c r="M737" s="112"/>
      <c r="N737" s="112"/>
      <c r="O737" s="112"/>
      <c r="P737" s="112"/>
      <c r="Q737" s="112"/>
      <c r="R737" s="112"/>
      <c r="S737" s="112"/>
      <c r="T737" s="112"/>
      <c r="U737" s="124"/>
      <c r="V737" s="124"/>
      <c r="W737" s="124"/>
      <c r="X737" s="124"/>
      <c r="Y737" s="124"/>
      <c r="Z737" s="112"/>
      <c r="AA737" s="112"/>
      <c r="AB737" s="112"/>
      <c r="AC737" s="112"/>
      <c r="AD737" s="112"/>
      <c r="AE737" s="112"/>
      <c r="AF737" s="112"/>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c r="BK737" s="124"/>
      <c r="BL737" s="124"/>
      <c r="BM737" s="124"/>
      <c r="BN737" s="124"/>
      <c r="BO737" s="124"/>
      <c r="BP737" s="124"/>
      <c r="BQ737" s="124"/>
      <c r="BR737" s="124"/>
      <c r="BS737" s="124"/>
      <c r="BT737" s="124"/>
      <c r="BU737" s="124"/>
      <c r="BV737" s="124"/>
      <c r="BW737" s="124"/>
      <c r="BX737" s="124"/>
      <c r="BY737" s="124"/>
      <c r="BZ737" s="124"/>
      <c r="CA737" s="124"/>
    </row>
    <row r="738">
      <c r="D738" s="143"/>
      <c r="E738" s="129"/>
      <c r="F738" s="112"/>
      <c r="G738" s="112"/>
      <c r="H738" s="112"/>
      <c r="I738" s="112"/>
      <c r="J738" s="112"/>
      <c r="K738" s="112"/>
      <c r="L738" s="112"/>
      <c r="M738" s="112"/>
      <c r="N738" s="112"/>
      <c r="O738" s="112"/>
      <c r="P738" s="112"/>
      <c r="Q738" s="112"/>
      <c r="R738" s="112"/>
      <c r="S738" s="112"/>
      <c r="T738" s="112"/>
      <c r="U738" s="124"/>
      <c r="V738" s="124"/>
      <c r="W738" s="124"/>
      <c r="X738" s="124"/>
      <c r="Y738" s="124"/>
      <c r="Z738" s="112"/>
      <c r="AA738" s="112"/>
      <c r="AB738" s="112"/>
      <c r="AC738" s="112"/>
      <c r="AD738" s="112"/>
      <c r="AE738" s="112"/>
      <c r="AF738" s="112"/>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c r="BK738" s="124"/>
      <c r="BL738" s="124"/>
      <c r="BM738" s="124"/>
      <c r="BN738" s="124"/>
      <c r="BO738" s="124"/>
      <c r="BP738" s="124"/>
      <c r="BQ738" s="124"/>
      <c r="BR738" s="124"/>
      <c r="BS738" s="124"/>
      <c r="BT738" s="124"/>
      <c r="BU738" s="124"/>
      <c r="BV738" s="124"/>
      <c r="BW738" s="124"/>
      <c r="BX738" s="124"/>
      <c r="BY738" s="124"/>
      <c r="BZ738" s="124"/>
      <c r="CA738" s="124"/>
    </row>
    <row r="739">
      <c r="D739" s="143"/>
      <c r="E739" s="129"/>
      <c r="F739" s="112"/>
      <c r="G739" s="112"/>
      <c r="H739" s="112"/>
      <c r="I739" s="112"/>
      <c r="J739" s="112"/>
      <c r="K739" s="112"/>
      <c r="L739" s="112"/>
      <c r="M739" s="112"/>
      <c r="N739" s="112"/>
      <c r="O739" s="112"/>
      <c r="P739" s="112"/>
      <c r="Q739" s="112"/>
      <c r="R739" s="112"/>
      <c r="S739" s="112"/>
      <c r="T739" s="112"/>
      <c r="U739" s="124"/>
      <c r="V739" s="124"/>
      <c r="W739" s="124"/>
      <c r="X739" s="124"/>
      <c r="Y739" s="124"/>
      <c r="Z739" s="112"/>
      <c r="AA739" s="112"/>
      <c r="AB739" s="112"/>
      <c r="AC739" s="112"/>
      <c r="AD739" s="112"/>
      <c r="AE739" s="112"/>
      <c r="AF739" s="112"/>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c r="BK739" s="124"/>
      <c r="BL739" s="124"/>
      <c r="BM739" s="124"/>
      <c r="BN739" s="124"/>
      <c r="BO739" s="124"/>
      <c r="BP739" s="124"/>
      <c r="BQ739" s="124"/>
      <c r="BR739" s="124"/>
      <c r="BS739" s="124"/>
      <c r="BT739" s="124"/>
      <c r="BU739" s="124"/>
      <c r="BV739" s="124"/>
      <c r="BW739" s="124"/>
      <c r="BX739" s="124"/>
      <c r="BY739" s="124"/>
      <c r="BZ739" s="124"/>
      <c r="CA739" s="124"/>
    </row>
    <row r="740">
      <c r="D740" s="143"/>
      <c r="E740" s="129"/>
      <c r="F740" s="112"/>
      <c r="G740" s="112"/>
      <c r="H740" s="112"/>
      <c r="I740" s="112"/>
      <c r="J740" s="112"/>
      <c r="K740" s="112"/>
      <c r="L740" s="112"/>
      <c r="M740" s="112"/>
      <c r="N740" s="112"/>
      <c r="O740" s="112"/>
      <c r="P740" s="112"/>
      <c r="Q740" s="112"/>
      <c r="R740" s="112"/>
      <c r="S740" s="112"/>
      <c r="T740" s="112"/>
      <c r="U740" s="124"/>
      <c r="V740" s="124"/>
      <c r="W740" s="124"/>
      <c r="X740" s="124"/>
      <c r="Y740" s="124"/>
      <c r="Z740" s="112"/>
      <c r="AA740" s="112"/>
      <c r="AB740" s="112"/>
      <c r="AC740" s="112"/>
      <c r="AD740" s="112"/>
      <c r="AE740" s="112"/>
      <c r="AF740" s="112"/>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c r="BK740" s="124"/>
      <c r="BL740" s="124"/>
      <c r="BM740" s="124"/>
      <c r="BN740" s="124"/>
      <c r="BO740" s="124"/>
      <c r="BP740" s="124"/>
      <c r="BQ740" s="124"/>
      <c r="BR740" s="124"/>
      <c r="BS740" s="124"/>
      <c r="BT740" s="124"/>
      <c r="BU740" s="124"/>
      <c r="BV740" s="124"/>
      <c r="BW740" s="124"/>
      <c r="BX740" s="124"/>
      <c r="BY740" s="124"/>
      <c r="BZ740" s="124"/>
      <c r="CA740" s="124"/>
    </row>
    <row r="741">
      <c r="D741" s="143"/>
      <c r="E741" s="129"/>
      <c r="F741" s="112"/>
      <c r="G741" s="112"/>
      <c r="H741" s="112"/>
      <c r="I741" s="112"/>
      <c r="J741" s="112"/>
      <c r="K741" s="112"/>
      <c r="L741" s="112"/>
      <c r="M741" s="112"/>
      <c r="N741" s="112"/>
      <c r="O741" s="112"/>
      <c r="P741" s="112"/>
      <c r="Q741" s="112"/>
      <c r="R741" s="112"/>
      <c r="S741" s="112"/>
      <c r="T741" s="112"/>
      <c r="U741" s="124"/>
      <c r="V741" s="124"/>
      <c r="W741" s="124"/>
      <c r="X741" s="124"/>
      <c r="Y741" s="124"/>
      <c r="Z741" s="112"/>
      <c r="AA741" s="112"/>
      <c r="AB741" s="112"/>
      <c r="AC741" s="112"/>
      <c r="AD741" s="112"/>
      <c r="AE741" s="112"/>
      <c r="AF741" s="112"/>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c r="BK741" s="124"/>
      <c r="BL741" s="124"/>
      <c r="BM741" s="124"/>
      <c r="BN741" s="124"/>
      <c r="BO741" s="124"/>
      <c r="BP741" s="124"/>
      <c r="BQ741" s="124"/>
      <c r="BR741" s="124"/>
      <c r="BS741" s="124"/>
      <c r="BT741" s="124"/>
      <c r="BU741" s="124"/>
      <c r="BV741" s="124"/>
      <c r="BW741" s="124"/>
      <c r="BX741" s="124"/>
      <c r="BY741" s="124"/>
      <c r="BZ741" s="124"/>
      <c r="CA741" s="124"/>
    </row>
    <row r="742">
      <c r="D742" s="143"/>
      <c r="E742" s="129"/>
      <c r="F742" s="112"/>
      <c r="G742" s="112"/>
      <c r="H742" s="112"/>
      <c r="I742" s="112"/>
      <c r="J742" s="112"/>
      <c r="K742" s="112"/>
      <c r="L742" s="112"/>
      <c r="M742" s="112"/>
      <c r="N742" s="112"/>
      <c r="O742" s="112"/>
      <c r="P742" s="112"/>
      <c r="Q742" s="112"/>
      <c r="R742" s="112"/>
      <c r="S742" s="112"/>
      <c r="T742" s="112"/>
      <c r="U742" s="124"/>
      <c r="V742" s="124"/>
      <c r="W742" s="124"/>
      <c r="X742" s="124"/>
      <c r="Y742" s="124"/>
      <c r="Z742" s="112"/>
      <c r="AA742" s="112"/>
      <c r="AB742" s="112"/>
      <c r="AC742" s="112"/>
      <c r="AD742" s="112"/>
      <c r="AE742" s="112"/>
      <c r="AF742" s="112"/>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c r="BK742" s="124"/>
      <c r="BL742" s="124"/>
      <c r="BM742" s="124"/>
      <c r="BN742" s="124"/>
      <c r="BO742" s="124"/>
      <c r="BP742" s="124"/>
      <c r="BQ742" s="124"/>
      <c r="BR742" s="124"/>
      <c r="BS742" s="124"/>
      <c r="BT742" s="124"/>
      <c r="BU742" s="124"/>
      <c r="BV742" s="124"/>
      <c r="BW742" s="124"/>
      <c r="BX742" s="124"/>
      <c r="BY742" s="124"/>
      <c r="BZ742" s="124"/>
      <c r="CA742" s="124"/>
    </row>
    <row r="743">
      <c r="D743" s="143"/>
      <c r="E743" s="129"/>
      <c r="F743" s="112"/>
      <c r="G743" s="112"/>
      <c r="H743" s="112"/>
      <c r="I743" s="112"/>
      <c r="J743" s="112"/>
      <c r="K743" s="112"/>
      <c r="L743" s="112"/>
      <c r="M743" s="112"/>
      <c r="N743" s="112"/>
      <c r="O743" s="112"/>
      <c r="P743" s="112"/>
      <c r="Q743" s="112"/>
      <c r="R743" s="112"/>
      <c r="S743" s="112"/>
      <c r="T743" s="112"/>
      <c r="U743" s="124"/>
      <c r="V743" s="124"/>
      <c r="W743" s="124"/>
      <c r="X743" s="124"/>
      <c r="Y743" s="124"/>
      <c r="Z743" s="112"/>
      <c r="AA743" s="112"/>
      <c r="AB743" s="112"/>
      <c r="AC743" s="112"/>
      <c r="AD743" s="112"/>
      <c r="AE743" s="112"/>
      <c r="AF743" s="112"/>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c r="BK743" s="124"/>
      <c r="BL743" s="124"/>
      <c r="BM743" s="124"/>
      <c r="BN743" s="124"/>
      <c r="BO743" s="124"/>
      <c r="BP743" s="124"/>
      <c r="BQ743" s="124"/>
      <c r="BR743" s="124"/>
      <c r="BS743" s="124"/>
      <c r="BT743" s="124"/>
      <c r="BU743" s="124"/>
      <c r="BV743" s="124"/>
      <c r="BW743" s="124"/>
      <c r="BX743" s="124"/>
      <c r="BY743" s="124"/>
      <c r="BZ743" s="124"/>
      <c r="CA743" s="124"/>
    </row>
    <row r="744">
      <c r="D744" s="143"/>
      <c r="E744" s="129"/>
      <c r="F744" s="112"/>
      <c r="G744" s="112"/>
      <c r="H744" s="112"/>
      <c r="I744" s="112"/>
      <c r="J744" s="112"/>
      <c r="K744" s="112"/>
      <c r="L744" s="112"/>
      <c r="M744" s="112"/>
      <c r="N744" s="112"/>
      <c r="O744" s="112"/>
      <c r="P744" s="112"/>
      <c r="Q744" s="112"/>
      <c r="R744" s="112"/>
      <c r="S744" s="112"/>
      <c r="T744" s="112"/>
      <c r="U744" s="124"/>
      <c r="V744" s="124"/>
      <c r="W744" s="124"/>
      <c r="X744" s="124"/>
      <c r="Y744" s="124"/>
      <c r="Z744" s="112"/>
      <c r="AA744" s="112"/>
      <c r="AB744" s="112"/>
      <c r="AC744" s="112"/>
      <c r="AD744" s="112"/>
      <c r="AE744" s="112"/>
      <c r="AF744" s="112"/>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c r="BK744" s="124"/>
      <c r="BL744" s="124"/>
      <c r="BM744" s="124"/>
      <c r="BN744" s="124"/>
      <c r="BO744" s="124"/>
      <c r="BP744" s="124"/>
      <c r="BQ744" s="124"/>
      <c r="BR744" s="124"/>
      <c r="BS744" s="124"/>
      <c r="BT744" s="124"/>
      <c r="BU744" s="124"/>
      <c r="BV744" s="124"/>
      <c r="BW744" s="124"/>
      <c r="BX744" s="124"/>
      <c r="BY744" s="124"/>
      <c r="BZ744" s="124"/>
      <c r="CA744" s="124"/>
    </row>
    <row r="745">
      <c r="D745" s="143"/>
      <c r="E745" s="129"/>
      <c r="F745" s="112"/>
      <c r="G745" s="112"/>
      <c r="H745" s="112"/>
      <c r="I745" s="112"/>
      <c r="J745" s="112"/>
      <c r="K745" s="112"/>
      <c r="L745" s="112"/>
      <c r="M745" s="112"/>
      <c r="N745" s="112"/>
      <c r="O745" s="112"/>
      <c r="P745" s="112"/>
      <c r="Q745" s="112"/>
      <c r="R745" s="112"/>
      <c r="S745" s="112"/>
      <c r="T745" s="112"/>
      <c r="U745" s="124"/>
      <c r="V745" s="124"/>
      <c r="W745" s="124"/>
      <c r="X745" s="124"/>
      <c r="Y745" s="124"/>
      <c r="Z745" s="112"/>
      <c r="AA745" s="112"/>
      <c r="AB745" s="112"/>
      <c r="AC745" s="112"/>
      <c r="AD745" s="112"/>
      <c r="AE745" s="112"/>
      <c r="AF745" s="112"/>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c r="BK745" s="124"/>
      <c r="BL745" s="124"/>
      <c r="BM745" s="124"/>
      <c r="BN745" s="124"/>
      <c r="BO745" s="124"/>
      <c r="BP745" s="124"/>
      <c r="BQ745" s="124"/>
      <c r="BR745" s="124"/>
      <c r="BS745" s="124"/>
      <c r="BT745" s="124"/>
      <c r="BU745" s="124"/>
      <c r="BV745" s="124"/>
      <c r="BW745" s="124"/>
      <c r="BX745" s="124"/>
      <c r="BY745" s="124"/>
      <c r="BZ745" s="124"/>
      <c r="CA745" s="124"/>
    </row>
    <row r="746">
      <c r="D746" s="143"/>
      <c r="E746" s="129"/>
      <c r="F746" s="112"/>
      <c r="G746" s="112"/>
      <c r="H746" s="112"/>
      <c r="I746" s="112"/>
      <c r="J746" s="112"/>
      <c r="K746" s="112"/>
      <c r="L746" s="112"/>
      <c r="M746" s="112"/>
      <c r="N746" s="112"/>
      <c r="O746" s="112"/>
      <c r="P746" s="112"/>
      <c r="Q746" s="112"/>
      <c r="R746" s="112"/>
      <c r="S746" s="112"/>
      <c r="T746" s="112"/>
      <c r="U746" s="124"/>
      <c r="V746" s="124"/>
      <c r="W746" s="124"/>
      <c r="X746" s="124"/>
      <c r="Y746" s="124"/>
      <c r="Z746" s="112"/>
      <c r="AA746" s="112"/>
      <c r="AB746" s="112"/>
      <c r="AC746" s="112"/>
      <c r="AD746" s="112"/>
      <c r="AE746" s="112"/>
      <c r="AF746" s="112"/>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c r="BK746" s="124"/>
      <c r="BL746" s="124"/>
      <c r="BM746" s="124"/>
      <c r="BN746" s="124"/>
      <c r="BO746" s="124"/>
      <c r="BP746" s="124"/>
      <c r="BQ746" s="124"/>
      <c r="BR746" s="124"/>
      <c r="BS746" s="124"/>
      <c r="BT746" s="124"/>
      <c r="BU746" s="124"/>
      <c r="BV746" s="124"/>
      <c r="BW746" s="124"/>
      <c r="BX746" s="124"/>
      <c r="BY746" s="124"/>
      <c r="BZ746" s="124"/>
      <c r="CA746" s="124"/>
    </row>
    <row r="747">
      <c r="D747" s="143"/>
      <c r="E747" s="129"/>
      <c r="F747" s="112"/>
      <c r="G747" s="112"/>
      <c r="H747" s="112"/>
      <c r="I747" s="112"/>
      <c r="J747" s="112"/>
      <c r="K747" s="112"/>
      <c r="L747" s="112"/>
      <c r="M747" s="112"/>
      <c r="N747" s="112"/>
      <c r="O747" s="112"/>
      <c r="P747" s="112"/>
      <c r="Q747" s="112"/>
      <c r="R747" s="112"/>
      <c r="S747" s="112"/>
      <c r="T747" s="112"/>
      <c r="U747" s="124"/>
      <c r="V747" s="124"/>
      <c r="W747" s="124"/>
      <c r="X747" s="124"/>
      <c r="Y747" s="124"/>
      <c r="Z747" s="112"/>
      <c r="AA747" s="112"/>
      <c r="AB747" s="112"/>
      <c r="AC747" s="112"/>
      <c r="AD747" s="112"/>
      <c r="AE747" s="112"/>
      <c r="AF747" s="112"/>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c r="BK747" s="124"/>
      <c r="BL747" s="124"/>
      <c r="BM747" s="124"/>
      <c r="BN747" s="124"/>
      <c r="BO747" s="124"/>
      <c r="BP747" s="124"/>
      <c r="BQ747" s="124"/>
      <c r="BR747" s="124"/>
      <c r="BS747" s="124"/>
      <c r="BT747" s="124"/>
      <c r="BU747" s="124"/>
      <c r="BV747" s="124"/>
      <c r="BW747" s="124"/>
      <c r="BX747" s="124"/>
      <c r="BY747" s="124"/>
      <c r="BZ747" s="124"/>
      <c r="CA747" s="124"/>
    </row>
    <row r="748">
      <c r="D748" s="143"/>
      <c r="E748" s="129"/>
      <c r="F748" s="112"/>
      <c r="G748" s="112"/>
      <c r="H748" s="112"/>
      <c r="I748" s="112"/>
      <c r="J748" s="112"/>
      <c r="K748" s="112"/>
      <c r="L748" s="112"/>
      <c r="M748" s="112"/>
      <c r="N748" s="112"/>
      <c r="O748" s="112"/>
      <c r="P748" s="112"/>
      <c r="Q748" s="112"/>
      <c r="R748" s="112"/>
      <c r="S748" s="112"/>
      <c r="T748" s="112"/>
      <c r="U748" s="124"/>
      <c r="V748" s="124"/>
      <c r="W748" s="124"/>
      <c r="X748" s="124"/>
      <c r="Y748" s="124"/>
      <c r="Z748" s="112"/>
      <c r="AA748" s="112"/>
      <c r="AB748" s="112"/>
      <c r="AC748" s="112"/>
      <c r="AD748" s="112"/>
      <c r="AE748" s="112"/>
      <c r="AF748" s="112"/>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c r="BK748" s="124"/>
      <c r="BL748" s="124"/>
      <c r="BM748" s="124"/>
      <c r="BN748" s="124"/>
      <c r="BO748" s="124"/>
      <c r="BP748" s="124"/>
      <c r="BQ748" s="124"/>
      <c r="BR748" s="124"/>
      <c r="BS748" s="124"/>
      <c r="BT748" s="124"/>
      <c r="BU748" s="124"/>
      <c r="BV748" s="124"/>
      <c r="BW748" s="124"/>
      <c r="BX748" s="124"/>
      <c r="BY748" s="124"/>
      <c r="BZ748" s="124"/>
      <c r="CA748" s="124"/>
    </row>
    <row r="749">
      <c r="D749" s="143"/>
      <c r="E749" s="129"/>
      <c r="F749" s="112"/>
      <c r="G749" s="112"/>
      <c r="H749" s="112"/>
      <c r="I749" s="112"/>
      <c r="J749" s="112"/>
      <c r="K749" s="112"/>
      <c r="L749" s="112"/>
      <c r="M749" s="112"/>
      <c r="N749" s="112"/>
      <c r="O749" s="112"/>
      <c r="P749" s="112"/>
      <c r="Q749" s="112"/>
      <c r="R749" s="112"/>
      <c r="S749" s="112"/>
      <c r="T749" s="112"/>
      <c r="U749" s="124"/>
      <c r="V749" s="124"/>
      <c r="W749" s="124"/>
      <c r="X749" s="124"/>
      <c r="Y749" s="124"/>
      <c r="Z749" s="112"/>
      <c r="AA749" s="112"/>
      <c r="AB749" s="112"/>
      <c r="AC749" s="112"/>
      <c r="AD749" s="112"/>
      <c r="AE749" s="112"/>
      <c r="AF749" s="112"/>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c r="BK749" s="124"/>
      <c r="BL749" s="124"/>
      <c r="BM749" s="124"/>
      <c r="BN749" s="124"/>
      <c r="BO749" s="124"/>
      <c r="BP749" s="124"/>
      <c r="BQ749" s="124"/>
      <c r="BR749" s="124"/>
      <c r="BS749" s="124"/>
      <c r="BT749" s="124"/>
      <c r="BU749" s="124"/>
      <c r="BV749" s="124"/>
      <c r="BW749" s="124"/>
      <c r="BX749" s="124"/>
      <c r="BY749" s="124"/>
      <c r="BZ749" s="124"/>
      <c r="CA749" s="124"/>
    </row>
    <row r="750">
      <c r="D750" s="143"/>
      <c r="E750" s="129"/>
      <c r="F750" s="112"/>
      <c r="G750" s="112"/>
      <c r="H750" s="112"/>
      <c r="I750" s="112"/>
      <c r="J750" s="112"/>
      <c r="K750" s="112"/>
      <c r="L750" s="112"/>
      <c r="M750" s="112"/>
      <c r="N750" s="112"/>
      <c r="O750" s="112"/>
      <c r="P750" s="112"/>
      <c r="Q750" s="112"/>
      <c r="R750" s="112"/>
      <c r="S750" s="112"/>
      <c r="T750" s="112"/>
      <c r="U750" s="124"/>
      <c r="V750" s="124"/>
      <c r="W750" s="124"/>
      <c r="X750" s="124"/>
      <c r="Y750" s="124"/>
      <c r="Z750" s="112"/>
      <c r="AA750" s="112"/>
      <c r="AB750" s="112"/>
      <c r="AC750" s="112"/>
      <c r="AD750" s="112"/>
      <c r="AE750" s="112"/>
      <c r="AF750" s="112"/>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c r="BK750" s="124"/>
      <c r="BL750" s="124"/>
      <c r="BM750" s="124"/>
      <c r="BN750" s="124"/>
      <c r="BO750" s="124"/>
      <c r="BP750" s="124"/>
      <c r="BQ750" s="124"/>
      <c r="BR750" s="124"/>
      <c r="BS750" s="124"/>
      <c r="BT750" s="124"/>
      <c r="BU750" s="124"/>
      <c r="BV750" s="124"/>
      <c r="BW750" s="124"/>
      <c r="BX750" s="124"/>
      <c r="BY750" s="124"/>
      <c r="BZ750" s="124"/>
      <c r="CA750" s="124"/>
    </row>
    <row r="751">
      <c r="D751" s="143"/>
      <c r="E751" s="129"/>
      <c r="F751" s="112"/>
      <c r="G751" s="112"/>
      <c r="H751" s="112"/>
      <c r="I751" s="112"/>
      <c r="J751" s="112"/>
      <c r="K751" s="112"/>
      <c r="L751" s="112"/>
      <c r="M751" s="112"/>
      <c r="N751" s="112"/>
      <c r="O751" s="112"/>
      <c r="P751" s="112"/>
      <c r="Q751" s="112"/>
      <c r="R751" s="112"/>
      <c r="S751" s="112"/>
      <c r="T751" s="112"/>
      <c r="U751" s="124"/>
      <c r="V751" s="124"/>
      <c r="W751" s="124"/>
      <c r="X751" s="124"/>
      <c r="Y751" s="124"/>
      <c r="Z751" s="112"/>
      <c r="AA751" s="112"/>
      <c r="AB751" s="112"/>
      <c r="AC751" s="112"/>
      <c r="AD751" s="112"/>
      <c r="AE751" s="112"/>
      <c r="AF751" s="112"/>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4"/>
      <c r="BS751" s="124"/>
      <c r="BT751" s="124"/>
      <c r="BU751" s="124"/>
      <c r="BV751" s="124"/>
      <c r="BW751" s="124"/>
      <c r="BX751" s="124"/>
      <c r="BY751" s="124"/>
      <c r="BZ751" s="124"/>
      <c r="CA751" s="124"/>
    </row>
    <row r="752">
      <c r="D752" s="143"/>
      <c r="E752" s="129"/>
      <c r="F752" s="112"/>
      <c r="G752" s="112"/>
      <c r="H752" s="112"/>
      <c r="I752" s="112"/>
      <c r="J752" s="112"/>
      <c r="K752" s="112"/>
      <c r="L752" s="112"/>
      <c r="M752" s="112"/>
      <c r="N752" s="112"/>
      <c r="O752" s="112"/>
      <c r="P752" s="112"/>
      <c r="Q752" s="112"/>
      <c r="R752" s="112"/>
      <c r="S752" s="112"/>
      <c r="T752" s="112"/>
      <c r="U752" s="124"/>
      <c r="V752" s="124"/>
      <c r="W752" s="124"/>
      <c r="X752" s="124"/>
      <c r="Y752" s="124"/>
      <c r="Z752" s="112"/>
      <c r="AA752" s="112"/>
      <c r="AB752" s="112"/>
      <c r="AC752" s="112"/>
      <c r="AD752" s="112"/>
      <c r="AE752" s="112"/>
      <c r="AF752" s="112"/>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c r="BK752" s="124"/>
      <c r="BL752" s="124"/>
      <c r="BM752" s="124"/>
      <c r="BN752" s="124"/>
      <c r="BO752" s="124"/>
      <c r="BP752" s="124"/>
      <c r="BQ752" s="124"/>
      <c r="BR752" s="124"/>
      <c r="BS752" s="124"/>
      <c r="BT752" s="124"/>
      <c r="BU752" s="124"/>
      <c r="BV752" s="124"/>
      <c r="BW752" s="124"/>
      <c r="BX752" s="124"/>
      <c r="BY752" s="124"/>
      <c r="BZ752" s="124"/>
      <c r="CA752" s="124"/>
    </row>
    <row r="753">
      <c r="D753" s="143"/>
      <c r="E753" s="129"/>
      <c r="F753" s="112"/>
      <c r="G753" s="112"/>
      <c r="H753" s="112"/>
      <c r="I753" s="112"/>
      <c r="J753" s="112"/>
      <c r="K753" s="112"/>
      <c r="L753" s="112"/>
      <c r="M753" s="112"/>
      <c r="N753" s="112"/>
      <c r="O753" s="112"/>
      <c r="P753" s="112"/>
      <c r="Q753" s="112"/>
      <c r="R753" s="112"/>
      <c r="S753" s="112"/>
      <c r="T753" s="112"/>
      <c r="U753" s="124"/>
      <c r="V753" s="124"/>
      <c r="W753" s="124"/>
      <c r="X753" s="124"/>
      <c r="Y753" s="124"/>
      <c r="Z753" s="112"/>
      <c r="AA753" s="112"/>
      <c r="AB753" s="112"/>
      <c r="AC753" s="112"/>
      <c r="AD753" s="112"/>
      <c r="AE753" s="112"/>
      <c r="AF753" s="112"/>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c r="BK753" s="124"/>
      <c r="BL753" s="124"/>
      <c r="BM753" s="124"/>
      <c r="BN753" s="124"/>
      <c r="BO753" s="124"/>
      <c r="BP753" s="124"/>
      <c r="BQ753" s="124"/>
      <c r="BR753" s="124"/>
      <c r="BS753" s="124"/>
      <c r="BT753" s="124"/>
      <c r="BU753" s="124"/>
      <c r="BV753" s="124"/>
      <c r="BW753" s="124"/>
      <c r="BX753" s="124"/>
      <c r="BY753" s="124"/>
      <c r="BZ753" s="124"/>
      <c r="CA753" s="124"/>
    </row>
    <row r="754">
      <c r="D754" s="143"/>
      <c r="E754" s="129"/>
      <c r="F754" s="112"/>
      <c r="G754" s="112"/>
      <c r="H754" s="112"/>
      <c r="I754" s="112"/>
      <c r="J754" s="112"/>
      <c r="K754" s="112"/>
      <c r="L754" s="112"/>
      <c r="M754" s="112"/>
      <c r="N754" s="112"/>
      <c r="O754" s="112"/>
      <c r="P754" s="112"/>
      <c r="Q754" s="112"/>
      <c r="R754" s="112"/>
      <c r="S754" s="112"/>
      <c r="T754" s="112"/>
      <c r="U754" s="124"/>
      <c r="V754" s="124"/>
      <c r="W754" s="124"/>
      <c r="X754" s="124"/>
      <c r="Y754" s="124"/>
      <c r="Z754" s="112"/>
      <c r="AA754" s="112"/>
      <c r="AB754" s="112"/>
      <c r="AC754" s="112"/>
      <c r="AD754" s="112"/>
      <c r="AE754" s="112"/>
      <c r="AF754" s="112"/>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c r="BK754" s="124"/>
      <c r="BL754" s="124"/>
      <c r="BM754" s="124"/>
      <c r="BN754" s="124"/>
      <c r="BO754" s="124"/>
      <c r="BP754" s="124"/>
      <c r="BQ754" s="124"/>
      <c r="BR754" s="124"/>
      <c r="BS754" s="124"/>
      <c r="BT754" s="124"/>
      <c r="BU754" s="124"/>
      <c r="BV754" s="124"/>
      <c r="BW754" s="124"/>
      <c r="BX754" s="124"/>
      <c r="BY754" s="124"/>
      <c r="BZ754" s="124"/>
      <c r="CA754" s="124"/>
    </row>
    <row r="755">
      <c r="D755" s="143"/>
      <c r="E755" s="129"/>
      <c r="F755" s="112"/>
      <c r="G755" s="112"/>
      <c r="H755" s="112"/>
      <c r="I755" s="112"/>
      <c r="J755" s="112"/>
      <c r="K755" s="112"/>
      <c r="L755" s="112"/>
      <c r="M755" s="112"/>
      <c r="N755" s="112"/>
      <c r="O755" s="112"/>
      <c r="P755" s="112"/>
      <c r="Q755" s="112"/>
      <c r="R755" s="112"/>
      <c r="S755" s="112"/>
      <c r="T755" s="112"/>
      <c r="U755" s="124"/>
      <c r="V755" s="124"/>
      <c r="W755" s="124"/>
      <c r="X755" s="124"/>
      <c r="Y755" s="124"/>
      <c r="Z755" s="112"/>
      <c r="AA755" s="112"/>
      <c r="AB755" s="112"/>
      <c r="AC755" s="112"/>
      <c r="AD755" s="112"/>
      <c r="AE755" s="112"/>
      <c r="AF755" s="112"/>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c r="BK755" s="124"/>
      <c r="BL755" s="124"/>
      <c r="BM755" s="124"/>
      <c r="BN755" s="124"/>
      <c r="BO755" s="124"/>
      <c r="BP755" s="124"/>
      <c r="BQ755" s="124"/>
      <c r="BR755" s="124"/>
      <c r="BS755" s="124"/>
      <c r="BT755" s="124"/>
      <c r="BU755" s="124"/>
      <c r="BV755" s="124"/>
      <c r="BW755" s="124"/>
      <c r="BX755" s="124"/>
      <c r="BY755" s="124"/>
      <c r="BZ755" s="124"/>
      <c r="CA755" s="124"/>
    </row>
    <row r="756">
      <c r="D756" s="143"/>
      <c r="E756" s="129"/>
      <c r="F756" s="112"/>
      <c r="G756" s="112"/>
      <c r="H756" s="112"/>
      <c r="I756" s="112"/>
      <c r="J756" s="112"/>
      <c r="K756" s="112"/>
      <c r="L756" s="112"/>
      <c r="M756" s="112"/>
      <c r="N756" s="112"/>
      <c r="O756" s="112"/>
      <c r="P756" s="112"/>
      <c r="Q756" s="112"/>
      <c r="R756" s="112"/>
      <c r="S756" s="112"/>
      <c r="T756" s="112"/>
      <c r="U756" s="124"/>
      <c r="V756" s="124"/>
      <c r="W756" s="124"/>
      <c r="X756" s="124"/>
      <c r="Y756" s="124"/>
      <c r="Z756" s="112"/>
      <c r="AA756" s="112"/>
      <c r="AB756" s="112"/>
      <c r="AC756" s="112"/>
      <c r="AD756" s="112"/>
      <c r="AE756" s="112"/>
      <c r="AF756" s="112"/>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c r="BK756" s="124"/>
      <c r="BL756" s="124"/>
      <c r="BM756" s="124"/>
      <c r="BN756" s="124"/>
      <c r="BO756" s="124"/>
      <c r="BP756" s="124"/>
      <c r="BQ756" s="124"/>
      <c r="BR756" s="124"/>
      <c r="BS756" s="124"/>
      <c r="BT756" s="124"/>
      <c r="BU756" s="124"/>
      <c r="BV756" s="124"/>
      <c r="BW756" s="124"/>
      <c r="BX756" s="124"/>
      <c r="BY756" s="124"/>
      <c r="BZ756" s="124"/>
      <c r="CA756" s="124"/>
    </row>
    <row r="757">
      <c r="D757" s="143"/>
      <c r="E757" s="129"/>
      <c r="F757" s="112"/>
      <c r="G757" s="112"/>
      <c r="H757" s="112"/>
      <c r="I757" s="112"/>
      <c r="J757" s="112"/>
      <c r="K757" s="112"/>
      <c r="L757" s="112"/>
      <c r="M757" s="112"/>
      <c r="N757" s="112"/>
      <c r="O757" s="112"/>
      <c r="P757" s="112"/>
      <c r="Q757" s="112"/>
      <c r="R757" s="112"/>
      <c r="S757" s="112"/>
      <c r="T757" s="112"/>
      <c r="U757" s="124"/>
      <c r="V757" s="124"/>
      <c r="W757" s="124"/>
      <c r="X757" s="124"/>
      <c r="Y757" s="124"/>
      <c r="Z757" s="112"/>
      <c r="AA757" s="112"/>
      <c r="AB757" s="112"/>
      <c r="AC757" s="112"/>
      <c r="AD757" s="112"/>
      <c r="AE757" s="112"/>
      <c r="AF757" s="112"/>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c r="BK757" s="124"/>
      <c r="BL757" s="124"/>
      <c r="BM757" s="124"/>
      <c r="BN757" s="124"/>
      <c r="BO757" s="124"/>
      <c r="BP757" s="124"/>
      <c r="BQ757" s="124"/>
      <c r="BR757" s="124"/>
      <c r="BS757" s="124"/>
      <c r="BT757" s="124"/>
      <c r="BU757" s="124"/>
      <c r="BV757" s="124"/>
      <c r="BW757" s="124"/>
      <c r="BX757" s="124"/>
      <c r="BY757" s="124"/>
      <c r="BZ757" s="124"/>
      <c r="CA757" s="124"/>
    </row>
    <row r="758">
      <c r="D758" s="143"/>
      <c r="E758" s="129"/>
      <c r="F758" s="112"/>
      <c r="G758" s="112"/>
      <c r="H758" s="112"/>
      <c r="I758" s="112"/>
      <c r="J758" s="112"/>
      <c r="K758" s="112"/>
      <c r="L758" s="112"/>
      <c r="M758" s="112"/>
      <c r="N758" s="112"/>
      <c r="O758" s="112"/>
      <c r="P758" s="112"/>
      <c r="Q758" s="112"/>
      <c r="R758" s="112"/>
      <c r="S758" s="112"/>
      <c r="T758" s="112"/>
      <c r="U758" s="124"/>
      <c r="V758" s="124"/>
      <c r="W758" s="124"/>
      <c r="X758" s="124"/>
      <c r="Y758" s="124"/>
      <c r="Z758" s="112"/>
      <c r="AA758" s="112"/>
      <c r="AB758" s="112"/>
      <c r="AC758" s="112"/>
      <c r="AD758" s="112"/>
      <c r="AE758" s="112"/>
      <c r="AF758" s="112"/>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c r="BK758" s="124"/>
      <c r="BL758" s="124"/>
      <c r="BM758" s="124"/>
      <c r="BN758" s="124"/>
      <c r="BO758" s="124"/>
      <c r="BP758" s="124"/>
      <c r="BQ758" s="124"/>
      <c r="BR758" s="124"/>
      <c r="BS758" s="124"/>
      <c r="BT758" s="124"/>
      <c r="BU758" s="124"/>
      <c r="BV758" s="124"/>
      <c r="BW758" s="124"/>
      <c r="BX758" s="124"/>
      <c r="BY758" s="124"/>
      <c r="BZ758" s="124"/>
      <c r="CA758" s="124"/>
    </row>
    <row r="759">
      <c r="D759" s="143"/>
      <c r="E759" s="129"/>
      <c r="F759" s="112"/>
      <c r="G759" s="112"/>
      <c r="H759" s="112"/>
      <c r="I759" s="112"/>
      <c r="J759" s="112"/>
      <c r="K759" s="112"/>
      <c r="L759" s="112"/>
      <c r="M759" s="112"/>
      <c r="N759" s="112"/>
      <c r="O759" s="112"/>
      <c r="P759" s="112"/>
      <c r="Q759" s="112"/>
      <c r="R759" s="112"/>
      <c r="S759" s="112"/>
      <c r="T759" s="112"/>
      <c r="U759" s="124"/>
      <c r="V759" s="124"/>
      <c r="W759" s="124"/>
      <c r="X759" s="124"/>
      <c r="Y759" s="124"/>
      <c r="Z759" s="112"/>
      <c r="AA759" s="112"/>
      <c r="AB759" s="112"/>
      <c r="AC759" s="112"/>
      <c r="AD759" s="112"/>
      <c r="AE759" s="112"/>
      <c r="AF759" s="112"/>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c r="BK759" s="124"/>
      <c r="BL759" s="124"/>
      <c r="BM759" s="124"/>
      <c r="BN759" s="124"/>
      <c r="BO759" s="124"/>
      <c r="BP759" s="124"/>
      <c r="BQ759" s="124"/>
      <c r="BR759" s="124"/>
      <c r="BS759" s="124"/>
      <c r="BT759" s="124"/>
      <c r="BU759" s="124"/>
      <c r="BV759" s="124"/>
      <c r="BW759" s="124"/>
      <c r="BX759" s="124"/>
      <c r="BY759" s="124"/>
      <c r="BZ759" s="124"/>
      <c r="CA759" s="124"/>
    </row>
    <row r="760">
      <c r="D760" s="143"/>
      <c r="E760" s="129"/>
      <c r="F760" s="112"/>
      <c r="G760" s="112"/>
      <c r="H760" s="112"/>
      <c r="I760" s="112"/>
      <c r="J760" s="112"/>
      <c r="K760" s="112"/>
      <c r="L760" s="112"/>
      <c r="M760" s="112"/>
      <c r="N760" s="112"/>
      <c r="O760" s="112"/>
      <c r="P760" s="112"/>
      <c r="Q760" s="112"/>
      <c r="R760" s="112"/>
      <c r="S760" s="112"/>
      <c r="T760" s="112"/>
      <c r="U760" s="124"/>
      <c r="V760" s="124"/>
      <c r="W760" s="124"/>
      <c r="X760" s="124"/>
      <c r="Y760" s="124"/>
      <c r="Z760" s="112"/>
      <c r="AA760" s="112"/>
      <c r="AB760" s="112"/>
      <c r="AC760" s="112"/>
      <c r="AD760" s="112"/>
      <c r="AE760" s="112"/>
      <c r="AF760" s="112"/>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c r="BK760" s="124"/>
      <c r="BL760" s="124"/>
      <c r="BM760" s="124"/>
      <c r="BN760" s="124"/>
      <c r="BO760" s="124"/>
      <c r="BP760" s="124"/>
      <c r="BQ760" s="124"/>
      <c r="BR760" s="124"/>
      <c r="BS760" s="124"/>
      <c r="BT760" s="124"/>
      <c r="BU760" s="124"/>
      <c r="BV760" s="124"/>
      <c r="BW760" s="124"/>
      <c r="BX760" s="124"/>
      <c r="BY760" s="124"/>
      <c r="BZ760" s="124"/>
      <c r="CA760" s="124"/>
    </row>
    <row r="761">
      <c r="D761" s="143"/>
      <c r="E761" s="129"/>
      <c r="F761" s="112"/>
      <c r="G761" s="112"/>
      <c r="H761" s="112"/>
      <c r="I761" s="112"/>
      <c r="J761" s="112"/>
      <c r="K761" s="112"/>
      <c r="L761" s="112"/>
      <c r="M761" s="112"/>
      <c r="N761" s="112"/>
      <c r="O761" s="112"/>
      <c r="P761" s="112"/>
      <c r="Q761" s="112"/>
      <c r="R761" s="112"/>
      <c r="S761" s="112"/>
      <c r="T761" s="112"/>
      <c r="U761" s="124"/>
      <c r="V761" s="124"/>
      <c r="W761" s="124"/>
      <c r="X761" s="124"/>
      <c r="Y761" s="124"/>
      <c r="Z761" s="112"/>
      <c r="AA761" s="112"/>
      <c r="AB761" s="112"/>
      <c r="AC761" s="112"/>
      <c r="AD761" s="112"/>
      <c r="AE761" s="112"/>
      <c r="AF761" s="112"/>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c r="BK761" s="124"/>
      <c r="BL761" s="124"/>
      <c r="BM761" s="124"/>
      <c r="BN761" s="124"/>
      <c r="BO761" s="124"/>
      <c r="BP761" s="124"/>
      <c r="BQ761" s="124"/>
      <c r="BR761" s="124"/>
      <c r="BS761" s="124"/>
      <c r="BT761" s="124"/>
      <c r="BU761" s="124"/>
      <c r="BV761" s="124"/>
      <c r="BW761" s="124"/>
      <c r="BX761" s="124"/>
      <c r="BY761" s="124"/>
      <c r="BZ761" s="124"/>
      <c r="CA761" s="124"/>
    </row>
    <row r="762">
      <c r="D762" s="143"/>
      <c r="E762" s="129"/>
      <c r="F762" s="112"/>
      <c r="G762" s="112"/>
      <c r="H762" s="112"/>
      <c r="I762" s="112"/>
      <c r="J762" s="112"/>
      <c r="K762" s="112"/>
      <c r="L762" s="112"/>
      <c r="M762" s="112"/>
      <c r="N762" s="112"/>
      <c r="O762" s="112"/>
      <c r="P762" s="112"/>
      <c r="Q762" s="112"/>
      <c r="R762" s="112"/>
      <c r="S762" s="112"/>
      <c r="T762" s="112"/>
      <c r="U762" s="124"/>
      <c r="V762" s="124"/>
      <c r="W762" s="124"/>
      <c r="X762" s="124"/>
      <c r="Y762" s="124"/>
      <c r="Z762" s="112"/>
      <c r="AA762" s="112"/>
      <c r="AB762" s="112"/>
      <c r="AC762" s="112"/>
      <c r="AD762" s="112"/>
      <c r="AE762" s="112"/>
      <c r="AF762" s="112"/>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c r="BK762" s="124"/>
      <c r="BL762" s="124"/>
      <c r="BM762" s="124"/>
      <c r="BN762" s="124"/>
      <c r="BO762" s="124"/>
      <c r="BP762" s="124"/>
      <c r="BQ762" s="124"/>
      <c r="BR762" s="124"/>
      <c r="BS762" s="124"/>
      <c r="BT762" s="124"/>
      <c r="BU762" s="124"/>
      <c r="BV762" s="124"/>
      <c r="BW762" s="124"/>
      <c r="BX762" s="124"/>
      <c r="BY762" s="124"/>
      <c r="BZ762" s="124"/>
      <c r="CA762" s="124"/>
    </row>
    <row r="763">
      <c r="D763" s="143"/>
      <c r="E763" s="129"/>
      <c r="F763" s="112"/>
      <c r="G763" s="112"/>
      <c r="H763" s="112"/>
      <c r="I763" s="112"/>
      <c r="J763" s="112"/>
      <c r="K763" s="112"/>
      <c r="L763" s="112"/>
      <c r="M763" s="112"/>
      <c r="N763" s="112"/>
      <c r="O763" s="112"/>
      <c r="P763" s="112"/>
      <c r="Q763" s="112"/>
      <c r="R763" s="112"/>
      <c r="S763" s="112"/>
      <c r="T763" s="112"/>
      <c r="U763" s="124"/>
      <c r="V763" s="124"/>
      <c r="W763" s="124"/>
      <c r="X763" s="124"/>
      <c r="Y763" s="124"/>
      <c r="Z763" s="112"/>
      <c r="AA763" s="112"/>
      <c r="AB763" s="112"/>
      <c r="AC763" s="112"/>
      <c r="AD763" s="112"/>
      <c r="AE763" s="112"/>
      <c r="AF763" s="112"/>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c r="BK763" s="124"/>
      <c r="BL763" s="124"/>
      <c r="BM763" s="124"/>
      <c r="BN763" s="124"/>
      <c r="BO763" s="124"/>
      <c r="BP763" s="124"/>
      <c r="BQ763" s="124"/>
      <c r="BR763" s="124"/>
      <c r="BS763" s="124"/>
      <c r="BT763" s="124"/>
      <c r="BU763" s="124"/>
      <c r="BV763" s="124"/>
      <c r="BW763" s="124"/>
      <c r="BX763" s="124"/>
      <c r="BY763" s="124"/>
      <c r="BZ763" s="124"/>
      <c r="CA763" s="124"/>
    </row>
    <row r="764">
      <c r="D764" s="143"/>
      <c r="E764" s="129"/>
      <c r="F764" s="112"/>
      <c r="G764" s="112"/>
      <c r="H764" s="112"/>
      <c r="I764" s="112"/>
      <c r="J764" s="112"/>
      <c r="K764" s="112"/>
      <c r="L764" s="112"/>
      <c r="M764" s="112"/>
      <c r="N764" s="112"/>
      <c r="O764" s="112"/>
      <c r="P764" s="112"/>
      <c r="Q764" s="112"/>
      <c r="R764" s="112"/>
      <c r="S764" s="112"/>
      <c r="T764" s="112"/>
      <c r="U764" s="124"/>
      <c r="V764" s="124"/>
      <c r="W764" s="124"/>
      <c r="X764" s="124"/>
      <c r="Y764" s="124"/>
      <c r="Z764" s="112"/>
      <c r="AA764" s="112"/>
      <c r="AB764" s="112"/>
      <c r="AC764" s="112"/>
      <c r="AD764" s="112"/>
      <c r="AE764" s="112"/>
      <c r="AF764" s="112"/>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c r="BK764" s="124"/>
      <c r="BL764" s="124"/>
      <c r="BM764" s="124"/>
      <c r="BN764" s="124"/>
      <c r="BO764" s="124"/>
      <c r="BP764" s="124"/>
      <c r="BQ764" s="124"/>
      <c r="BR764" s="124"/>
      <c r="BS764" s="124"/>
      <c r="BT764" s="124"/>
      <c r="BU764" s="124"/>
      <c r="BV764" s="124"/>
      <c r="BW764" s="124"/>
      <c r="BX764" s="124"/>
      <c r="BY764" s="124"/>
      <c r="BZ764" s="124"/>
      <c r="CA764" s="124"/>
    </row>
    <row r="765">
      <c r="D765" s="143"/>
      <c r="E765" s="129"/>
      <c r="F765" s="112"/>
      <c r="G765" s="112"/>
      <c r="H765" s="112"/>
      <c r="I765" s="112"/>
      <c r="J765" s="112"/>
      <c r="K765" s="112"/>
      <c r="L765" s="112"/>
      <c r="M765" s="112"/>
      <c r="N765" s="112"/>
      <c r="O765" s="112"/>
      <c r="P765" s="112"/>
      <c r="Q765" s="112"/>
      <c r="R765" s="112"/>
      <c r="S765" s="112"/>
      <c r="T765" s="112"/>
      <c r="U765" s="124"/>
      <c r="V765" s="124"/>
      <c r="W765" s="124"/>
      <c r="X765" s="124"/>
      <c r="Y765" s="124"/>
      <c r="Z765" s="112"/>
      <c r="AA765" s="112"/>
      <c r="AB765" s="112"/>
      <c r="AC765" s="112"/>
      <c r="AD765" s="112"/>
      <c r="AE765" s="112"/>
      <c r="AF765" s="112"/>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c r="BK765" s="124"/>
      <c r="BL765" s="124"/>
      <c r="BM765" s="124"/>
      <c r="BN765" s="124"/>
      <c r="BO765" s="124"/>
      <c r="BP765" s="124"/>
      <c r="BQ765" s="124"/>
      <c r="BR765" s="124"/>
      <c r="BS765" s="124"/>
      <c r="BT765" s="124"/>
      <c r="BU765" s="124"/>
      <c r="BV765" s="124"/>
      <c r="BW765" s="124"/>
      <c r="BX765" s="124"/>
      <c r="BY765" s="124"/>
      <c r="BZ765" s="124"/>
      <c r="CA765" s="124"/>
    </row>
    <row r="766">
      <c r="D766" s="143"/>
      <c r="E766" s="129"/>
      <c r="F766" s="112"/>
      <c r="G766" s="112"/>
      <c r="H766" s="112"/>
      <c r="I766" s="112"/>
      <c r="J766" s="112"/>
      <c r="K766" s="112"/>
      <c r="L766" s="112"/>
      <c r="M766" s="112"/>
      <c r="N766" s="112"/>
      <c r="O766" s="112"/>
      <c r="P766" s="112"/>
      <c r="Q766" s="112"/>
      <c r="R766" s="112"/>
      <c r="S766" s="112"/>
      <c r="T766" s="112"/>
      <c r="U766" s="124"/>
      <c r="V766" s="124"/>
      <c r="W766" s="124"/>
      <c r="X766" s="124"/>
      <c r="Y766" s="124"/>
      <c r="Z766" s="112"/>
      <c r="AA766" s="112"/>
      <c r="AB766" s="112"/>
      <c r="AC766" s="112"/>
      <c r="AD766" s="112"/>
      <c r="AE766" s="112"/>
      <c r="AF766" s="112"/>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c r="BK766" s="124"/>
      <c r="BL766" s="124"/>
      <c r="BM766" s="124"/>
      <c r="BN766" s="124"/>
      <c r="BO766" s="124"/>
      <c r="BP766" s="124"/>
      <c r="BQ766" s="124"/>
      <c r="BR766" s="124"/>
      <c r="BS766" s="124"/>
      <c r="BT766" s="124"/>
      <c r="BU766" s="124"/>
      <c r="BV766" s="124"/>
      <c r="BW766" s="124"/>
      <c r="BX766" s="124"/>
      <c r="BY766" s="124"/>
      <c r="BZ766" s="124"/>
      <c r="CA766" s="124"/>
    </row>
    <row r="767">
      <c r="D767" s="143"/>
      <c r="E767" s="129"/>
      <c r="F767" s="112"/>
      <c r="G767" s="112"/>
      <c r="H767" s="112"/>
      <c r="I767" s="112"/>
      <c r="J767" s="112"/>
      <c r="K767" s="112"/>
      <c r="L767" s="112"/>
      <c r="M767" s="112"/>
      <c r="N767" s="112"/>
      <c r="O767" s="112"/>
      <c r="P767" s="112"/>
      <c r="Q767" s="112"/>
      <c r="R767" s="112"/>
      <c r="S767" s="112"/>
      <c r="T767" s="112"/>
      <c r="U767" s="124"/>
      <c r="V767" s="124"/>
      <c r="W767" s="124"/>
      <c r="X767" s="124"/>
      <c r="Y767" s="124"/>
      <c r="Z767" s="112"/>
      <c r="AA767" s="112"/>
      <c r="AB767" s="112"/>
      <c r="AC767" s="112"/>
      <c r="AD767" s="112"/>
      <c r="AE767" s="112"/>
      <c r="AF767" s="112"/>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c r="BK767" s="124"/>
      <c r="BL767" s="124"/>
      <c r="BM767" s="124"/>
      <c r="BN767" s="124"/>
      <c r="BO767" s="124"/>
      <c r="BP767" s="124"/>
      <c r="BQ767" s="124"/>
      <c r="BR767" s="124"/>
      <c r="BS767" s="124"/>
      <c r="BT767" s="124"/>
      <c r="BU767" s="124"/>
      <c r="BV767" s="124"/>
      <c r="BW767" s="124"/>
      <c r="BX767" s="124"/>
      <c r="BY767" s="124"/>
      <c r="BZ767" s="124"/>
      <c r="CA767" s="124"/>
    </row>
    <row r="768">
      <c r="D768" s="143"/>
      <c r="E768" s="129"/>
      <c r="F768" s="112"/>
      <c r="G768" s="112"/>
      <c r="H768" s="112"/>
      <c r="I768" s="112"/>
      <c r="J768" s="112"/>
      <c r="K768" s="112"/>
      <c r="L768" s="112"/>
      <c r="M768" s="112"/>
      <c r="N768" s="112"/>
      <c r="O768" s="112"/>
      <c r="P768" s="112"/>
      <c r="Q768" s="112"/>
      <c r="R768" s="112"/>
      <c r="S768" s="112"/>
      <c r="T768" s="112"/>
      <c r="U768" s="124"/>
      <c r="V768" s="124"/>
      <c r="W768" s="124"/>
      <c r="X768" s="124"/>
      <c r="Y768" s="124"/>
      <c r="Z768" s="112"/>
      <c r="AA768" s="112"/>
      <c r="AB768" s="112"/>
      <c r="AC768" s="112"/>
      <c r="AD768" s="112"/>
      <c r="AE768" s="112"/>
      <c r="AF768" s="112"/>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c r="BK768" s="124"/>
      <c r="BL768" s="124"/>
      <c r="BM768" s="124"/>
      <c r="BN768" s="124"/>
      <c r="BO768" s="124"/>
      <c r="BP768" s="124"/>
      <c r="BQ768" s="124"/>
      <c r="BR768" s="124"/>
      <c r="BS768" s="124"/>
      <c r="BT768" s="124"/>
      <c r="BU768" s="124"/>
      <c r="BV768" s="124"/>
      <c r="BW768" s="124"/>
      <c r="BX768" s="124"/>
      <c r="BY768" s="124"/>
      <c r="BZ768" s="124"/>
      <c r="CA768" s="124"/>
    </row>
    <row r="769">
      <c r="D769" s="143"/>
      <c r="E769" s="129"/>
      <c r="F769" s="112"/>
      <c r="G769" s="112"/>
      <c r="H769" s="112"/>
      <c r="I769" s="112"/>
      <c r="J769" s="112"/>
      <c r="K769" s="112"/>
      <c r="L769" s="112"/>
      <c r="M769" s="112"/>
      <c r="N769" s="112"/>
      <c r="O769" s="112"/>
      <c r="P769" s="112"/>
      <c r="Q769" s="112"/>
      <c r="R769" s="112"/>
      <c r="S769" s="112"/>
      <c r="T769" s="112"/>
      <c r="U769" s="124"/>
      <c r="V769" s="124"/>
      <c r="W769" s="124"/>
      <c r="X769" s="124"/>
      <c r="Y769" s="124"/>
      <c r="Z769" s="112"/>
      <c r="AA769" s="112"/>
      <c r="AB769" s="112"/>
      <c r="AC769" s="112"/>
      <c r="AD769" s="112"/>
      <c r="AE769" s="112"/>
      <c r="AF769" s="112"/>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c r="BK769" s="124"/>
      <c r="BL769" s="124"/>
      <c r="BM769" s="124"/>
      <c r="BN769" s="124"/>
      <c r="BO769" s="124"/>
      <c r="BP769" s="124"/>
      <c r="BQ769" s="124"/>
      <c r="BR769" s="124"/>
      <c r="BS769" s="124"/>
      <c r="BT769" s="124"/>
      <c r="BU769" s="124"/>
      <c r="BV769" s="124"/>
      <c r="BW769" s="124"/>
      <c r="BX769" s="124"/>
      <c r="BY769" s="124"/>
      <c r="BZ769" s="124"/>
      <c r="CA769" s="124"/>
    </row>
    <row r="770">
      <c r="D770" s="143"/>
      <c r="E770" s="129"/>
      <c r="F770" s="112"/>
      <c r="G770" s="112"/>
      <c r="H770" s="112"/>
      <c r="I770" s="112"/>
      <c r="J770" s="112"/>
      <c r="K770" s="112"/>
      <c r="L770" s="112"/>
      <c r="M770" s="112"/>
      <c r="N770" s="112"/>
      <c r="O770" s="112"/>
      <c r="P770" s="112"/>
      <c r="Q770" s="112"/>
      <c r="R770" s="112"/>
      <c r="S770" s="112"/>
      <c r="T770" s="112"/>
      <c r="U770" s="124"/>
      <c r="V770" s="124"/>
      <c r="W770" s="124"/>
      <c r="X770" s="124"/>
      <c r="Y770" s="124"/>
      <c r="Z770" s="112"/>
      <c r="AA770" s="112"/>
      <c r="AB770" s="112"/>
      <c r="AC770" s="112"/>
      <c r="AD770" s="112"/>
      <c r="AE770" s="112"/>
      <c r="AF770" s="112"/>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c r="BK770" s="124"/>
      <c r="BL770" s="124"/>
      <c r="BM770" s="124"/>
      <c r="BN770" s="124"/>
      <c r="BO770" s="124"/>
      <c r="BP770" s="124"/>
      <c r="BQ770" s="124"/>
      <c r="BR770" s="124"/>
      <c r="BS770" s="124"/>
      <c r="BT770" s="124"/>
      <c r="BU770" s="124"/>
      <c r="BV770" s="124"/>
      <c r="BW770" s="124"/>
      <c r="BX770" s="124"/>
      <c r="BY770" s="124"/>
      <c r="BZ770" s="124"/>
      <c r="CA770" s="124"/>
    </row>
    <row r="771">
      <c r="D771" s="143"/>
      <c r="E771" s="129"/>
      <c r="F771" s="112"/>
      <c r="G771" s="112"/>
      <c r="H771" s="112"/>
      <c r="I771" s="112"/>
      <c r="J771" s="112"/>
      <c r="K771" s="112"/>
      <c r="L771" s="112"/>
      <c r="M771" s="112"/>
      <c r="N771" s="112"/>
      <c r="O771" s="112"/>
      <c r="P771" s="112"/>
      <c r="Q771" s="112"/>
      <c r="R771" s="112"/>
      <c r="S771" s="112"/>
      <c r="T771" s="112"/>
      <c r="U771" s="124"/>
      <c r="V771" s="124"/>
      <c r="W771" s="124"/>
      <c r="X771" s="124"/>
      <c r="Y771" s="124"/>
      <c r="Z771" s="112"/>
      <c r="AA771" s="112"/>
      <c r="AB771" s="112"/>
      <c r="AC771" s="112"/>
      <c r="AD771" s="112"/>
      <c r="AE771" s="112"/>
      <c r="AF771" s="112"/>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c r="BK771" s="124"/>
      <c r="BL771" s="124"/>
      <c r="BM771" s="124"/>
      <c r="BN771" s="124"/>
      <c r="BO771" s="124"/>
      <c r="BP771" s="124"/>
      <c r="BQ771" s="124"/>
      <c r="BR771" s="124"/>
      <c r="BS771" s="124"/>
      <c r="BT771" s="124"/>
      <c r="BU771" s="124"/>
      <c r="BV771" s="124"/>
      <c r="BW771" s="124"/>
      <c r="BX771" s="124"/>
      <c r="BY771" s="124"/>
      <c r="BZ771" s="124"/>
      <c r="CA771" s="124"/>
    </row>
    <row r="772">
      <c r="D772" s="143"/>
      <c r="E772" s="129"/>
      <c r="F772" s="112"/>
      <c r="G772" s="112"/>
      <c r="H772" s="112"/>
      <c r="I772" s="112"/>
      <c r="J772" s="112"/>
      <c r="K772" s="112"/>
      <c r="L772" s="112"/>
      <c r="M772" s="112"/>
      <c r="N772" s="112"/>
      <c r="O772" s="112"/>
      <c r="P772" s="112"/>
      <c r="Q772" s="112"/>
      <c r="R772" s="112"/>
      <c r="S772" s="112"/>
      <c r="T772" s="112"/>
      <c r="U772" s="124"/>
      <c r="V772" s="124"/>
      <c r="W772" s="124"/>
      <c r="X772" s="124"/>
      <c r="Y772" s="124"/>
      <c r="Z772" s="112"/>
      <c r="AA772" s="112"/>
      <c r="AB772" s="112"/>
      <c r="AC772" s="112"/>
      <c r="AD772" s="112"/>
      <c r="AE772" s="112"/>
      <c r="AF772" s="112"/>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c r="BK772" s="124"/>
      <c r="BL772" s="124"/>
      <c r="BM772" s="124"/>
      <c r="BN772" s="124"/>
      <c r="BO772" s="124"/>
      <c r="BP772" s="124"/>
      <c r="BQ772" s="124"/>
      <c r="BR772" s="124"/>
      <c r="BS772" s="124"/>
      <c r="BT772" s="124"/>
      <c r="BU772" s="124"/>
      <c r="BV772" s="124"/>
      <c r="BW772" s="124"/>
      <c r="BX772" s="124"/>
      <c r="BY772" s="124"/>
      <c r="BZ772" s="124"/>
      <c r="CA772" s="124"/>
    </row>
    <row r="773">
      <c r="D773" s="143"/>
      <c r="E773" s="129"/>
      <c r="F773" s="112"/>
      <c r="G773" s="112"/>
      <c r="H773" s="112"/>
      <c r="I773" s="112"/>
      <c r="J773" s="112"/>
      <c r="K773" s="112"/>
      <c r="L773" s="112"/>
      <c r="M773" s="112"/>
      <c r="N773" s="112"/>
      <c r="O773" s="112"/>
      <c r="P773" s="112"/>
      <c r="Q773" s="112"/>
      <c r="R773" s="112"/>
      <c r="S773" s="112"/>
      <c r="T773" s="112"/>
      <c r="U773" s="124"/>
      <c r="V773" s="124"/>
      <c r="W773" s="124"/>
      <c r="X773" s="124"/>
      <c r="Y773" s="124"/>
      <c r="Z773" s="112"/>
      <c r="AA773" s="112"/>
      <c r="AB773" s="112"/>
      <c r="AC773" s="112"/>
      <c r="AD773" s="112"/>
      <c r="AE773" s="112"/>
      <c r="AF773" s="112"/>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c r="BK773" s="124"/>
      <c r="BL773" s="124"/>
      <c r="BM773" s="124"/>
      <c r="BN773" s="124"/>
      <c r="BO773" s="124"/>
      <c r="BP773" s="124"/>
      <c r="BQ773" s="124"/>
      <c r="BR773" s="124"/>
      <c r="BS773" s="124"/>
      <c r="BT773" s="124"/>
      <c r="BU773" s="124"/>
      <c r="BV773" s="124"/>
      <c r="BW773" s="124"/>
      <c r="BX773" s="124"/>
      <c r="BY773" s="124"/>
      <c r="BZ773" s="124"/>
      <c r="CA773" s="124"/>
    </row>
    <row r="774">
      <c r="D774" s="143"/>
      <c r="E774" s="129"/>
      <c r="F774" s="112"/>
      <c r="G774" s="112"/>
      <c r="H774" s="112"/>
      <c r="I774" s="112"/>
      <c r="J774" s="112"/>
      <c r="K774" s="112"/>
      <c r="L774" s="112"/>
      <c r="M774" s="112"/>
      <c r="N774" s="112"/>
      <c r="O774" s="112"/>
      <c r="P774" s="112"/>
      <c r="Q774" s="112"/>
      <c r="R774" s="112"/>
      <c r="S774" s="112"/>
      <c r="T774" s="112"/>
      <c r="U774" s="124"/>
      <c r="V774" s="124"/>
      <c r="W774" s="124"/>
      <c r="X774" s="124"/>
      <c r="Y774" s="124"/>
      <c r="Z774" s="112"/>
      <c r="AA774" s="112"/>
      <c r="AB774" s="112"/>
      <c r="AC774" s="112"/>
      <c r="AD774" s="112"/>
      <c r="AE774" s="112"/>
      <c r="AF774" s="112"/>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c r="BK774" s="124"/>
      <c r="BL774" s="124"/>
      <c r="BM774" s="124"/>
      <c r="BN774" s="124"/>
      <c r="BO774" s="124"/>
      <c r="BP774" s="124"/>
      <c r="BQ774" s="124"/>
      <c r="BR774" s="124"/>
      <c r="BS774" s="124"/>
      <c r="BT774" s="124"/>
      <c r="BU774" s="124"/>
      <c r="BV774" s="124"/>
      <c r="BW774" s="124"/>
      <c r="BX774" s="124"/>
      <c r="BY774" s="124"/>
      <c r="BZ774" s="124"/>
      <c r="CA774" s="124"/>
    </row>
    <row r="775">
      <c r="D775" s="143"/>
      <c r="E775" s="129"/>
      <c r="F775" s="112"/>
      <c r="G775" s="112"/>
      <c r="H775" s="112"/>
      <c r="I775" s="112"/>
      <c r="J775" s="112"/>
      <c r="K775" s="112"/>
      <c r="L775" s="112"/>
      <c r="M775" s="112"/>
      <c r="N775" s="112"/>
      <c r="O775" s="112"/>
      <c r="P775" s="112"/>
      <c r="Q775" s="112"/>
      <c r="R775" s="112"/>
      <c r="S775" s="112"/>
      <c r="T775" s="112"/>
      <c r="U775" s="124"/>
      <c r="V775" s="124"/>
      <c r="W775" s="124"/>
      <c r="X775" s="124"/>
      <c r="Y775" s="124"/>
      <c r="Z775" s="112"/>
      <c r="AA775" s="112"/>
      <c r="AB775" s="112"/>
      <c r="AC775" s="112"/>
      <c r="AD775" s="112"/>
      <c r="AE775" s="112"/>
      <c r="AF775" s="112"/>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c r="BK775" s="124"/>
      <c r="BL775" s="124"/>
      <c r="BM775" s="124"/>
      <c r="BN775" s="124"/>
      <c r="BO775" s="124"/>
      <c r="BP775" s="124"/>
      <c r="BQ775" s="124"/>
      <c r="BR775" s="124"/>
      <c r="BS775" s="124"/>
      <c r="BT775" s="124"/>
      <c r="BU775" s="124"/>
      <c r="BV775" s="124"/>
      <c r="BW775" s="124"/>
      <c r="BX775" s="124"/>
      <c r="BY775" s="124"/>
      <c r="BZ775" s="124"/>
      <c r="CA775" s="124"/>
    </row>
    <row r="776">
      <c r="D776" s="143"/>
      <c r="E776" s="129"/>
      <c r="F776" s="112"/>
      <c r="G776" s="112"/>
      <c r="H776" s="112"/>
      <c r="I776" s="112"/>
      <c r="J776" s="112"/>
      <c r="K776" s="112"/>
      <c r="L776" s="112"/>
      <c r="M776" s="112"/>
      <c r="N776" s="112"/>
      <c r="O776" s="112"/>
      <c r="P776" s="112"/>
      <c r="Q776" s="112"/>
      <c r="R776" s="112"/>
      <c r="S776" s="112"/>
      <c r="T776" s="112"/>
      <c r="U776" s="124"/>
      <c r="V776" s="124"/>
      <c r="W776" s="124"/>
      <c r="X776" s="124"/>
      <c r="Y776" s="124"/>
      <c r="Z776" s="112"/>
      <c r="AA776" s="112"/>
      <c r="AB776" s="112"/>
      <c r="AC776" s="112"/>
      <c r="AD776" s="112"/>
      <c r="AE776" s="112"/>
      <c r="AF776" s="112"/>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c r="BK776" s="124"/>
      <c r="BL776" s="124"/>
      <c r="BM776" s="124"/>
      <c r="BN776" s="124"/>
      <c r="BO776" s="124"/>
      <c r="BP776" s="124"/>
      <c r="BQ776" s="124"/>
      <c r="BR776" s="124"/>
      <c r="BS776" s="124"/>
      <c r="BT776" s="124"/>
      <c r="BU776" s="124"/>
      <c r="BV776" s="124"/>
      <c r="BW776" s="124"/>
      <c r="BX776" s="124"/>
      <c r="BY776" s="124"/>
      <c r="BZ776" s="124"/>
      <c r="CA776" s="124"/>
    </row>
    <row r="777">
      <c r="D777" s="143"/>
      <c r="E777" s="129"/>
      <c r="F777" s="112"/>
      <c r="G777" s="112"/>
      <c r="H777" s="112"/>
      <c r="I777" s="112"/>
      <c r="J777" s="112"/>
      <c r="K777" s="112"/>
      <c r="L777" s="112"/>
      <c r="M777" s="112"/>
      <c r="N777" s="112"/>
      <c r="O777" s="112"/>
      <c r="P777" s="112"/>
      <c r="Q777" s="112"/>
      <c r="R777" s="112"/>
      <c r="S777" s="112"/>
      <c r="T777" s="112"/>
      <c r="U777" s="124"/>
      <c r="V777" s="124"/>
      <c r="W777" s="124"/>
      <c r="X777" s="124"/>
      <c r="Y777" s="124"/>
      <c r="Z777" s="112"/>
      <c r="AA777" s="112"/>
      <c r="AB777" s="112"/>
      <c r="AC777" s="112"/>
      <c r="AD777" s="112"/>
      <c r="AE777" s="112"/>
      <c r="AF777" s="112"/>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c r="BK777" s="124"/>
      <c r="BL777" s="124"/>
      <c r="BM777" s="124"/>
      <c r="BN777" s="124"/>
      <c r="BO777" s="124"/>
      <c r="BP777" s="124"/>
      <c r="BQ777" s="124"/>
      <c r="BR777" s="124"/>
      <c r="BS777" s="124"/>
      <c r="BT777" s="124"/>
      <c r="BU777" s="124"/>
      <c r="BV777" s="124"/>
      <c r="BW777" s="124"/>
      <c r="BX777" s="124"/>
      <c r="BY777" s="124"/>
      <c r="BZ777" s="124"/>
      <c r="CA777" s="124"/>
    </row>
    <row r="778">
      <c r="D778" s="143"/>
      <c r="E778" s="129"/>
      <c r="F778" s="112"/>
      <c r="G778" s="112"/>
      <c r="H778" s="112"/>
      <c r="I778" s="112"/>
      <c r="J778" s="112"/>
      <c r="K778" s="112"/>
      <c r="L778" s="112"/>
      <c r="M778" s="112"/>
      <c r="N778" s="112"/>
      <c r="O778" s="112"/>
      <c r="P778" s="112"/>
      <c r="Q778" s="112"/>
      <c r="R778" s="112"/>
      <c r="S778" s="112"/>
      <c r="T778" s="112"/>
      <c r="U778" s="124"/>
      <c r="V778" s="124"/>
      <c r="W778" s="124"/>
      <c r="X778" s="124"/>
      <c r="Y778" s="124"/>
      <c r="Z778" s="112"/>
      <c r="AA778" s="112"/>
      <c r="AB778" s="112"/>
      <c r="AC778" s="112"/>
      <c r="AD778" s="112"/>
      <c r="AE778" s="112"/>
      <c r="AF778" s="112"/>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c r="BK778" s="124"/>
      <c r="BL778" s="124"/>
      <c r="BM778" s="124"/>
      <c r="BN778" s="124"/>
      <c r="BO778" s="124"/>
      <c r="BP778" s="124"/>
      <c r="BQ778" s="124"/>
      <c r="BR778" s="124"/>
      <c r="BS778" s="124"/>
      <c r="BT778" s="124"/>
      <c r="BU778" s="124"/>
      <c r="BV778" s="124"/>
      <c r="BW778" s="124"/>
      <c r="BX778" s="124"/>
      <c r="BY778" s="124"/>
      <c r="BZ778" s="124"/>
      <c r="CA778" s="124"/>
    </row>
    <row r="779">
      <c r="D779" s="143"/>
      <c r="E779" s="129"/>
      <c r="F779" s="112"/>
      <c r="G779" s="112"/>
      <c r="H779" s="112"/>
      <c r="I779" s="112"/>
      <c r="J779" s="112"/>
      <c r="K779" s="112"/>
      <c r="L779" s="112"/>
      <c r="M779" s="112"/>
      <c r="N779" s="112"/>
      <c r="O779" s="112"/>
      <c r="P779" s="112"/>
      <c r="Q779" s="112"/>
      <c r="R779" s="112"/>
      <c r="S779" s="112"/>
      <c r="T779" s="112"/>
      <c r="U779" s="124"/>
      <c r="V779" s="124"/>
      <c r="W779" s="124"/>
      <c r="X779" s="124"/>
      <c r="Y779" s="124"/>
      <c r="Z779" s="112"/>
      <c r="AA779" s="112"/>
      <c r="AB779" s="112"/>
      <c r="AC779" s="112"/>
      <c r="AD779" s="112"/>
      <c r="AE779" s="112"/>
      <c r="AF779" s="112"/>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c r="BK779" s="124"/>
      <c r="BL779" s="124"/>
      <c r="BM779" s="124"/>
      <c r="BN779" s="124"/>
      <c r="BO779" s="124"/>
      <c r="BP779" s="124"/>
      <c r="BQ779" s="124"/>
      <c r="BR779" s="124"/>
      <c r="BS779" s="124"/>
      <c r="BT779" s="124"/>
      <c r="BU779" s="124"/>
      <c r="BV779" s="124"/>
      <c r="BW779" s="124"/>
      <c r="BX779" s="124"/>
      <c r="BY779" s="124"/>
      <c r="BZ779" s="124"/>
      <c r="CA779" s="124"/>
    </row>
    <row r="780">
      <c r="D780" s="143"/>
      <c r="E780" s="129"/>
      <c r="F780" s="112"/>
      <c r="G780" s="112"/>
      <c r="H780" s="112"/>
      <c r="I780" s="112"/>
      <c r="J780" s="112"/>
      <c r="K780" s="112"/>
      <c r="L780" s="112"/>
      <c r="M780" s="112"/>
      <c r="N780" s="112"/>
      <c r="O780" s="112"/>
      <c r="P780" s="112"/>
      <c r="Q780" s="112"/>
      <c r="R780" s="112"/>
      <c r="S780" s="112"/>
      <c r="T780" s="112"/>
      <c r="U780" s="124"/>
      <c r="V780" s="124"/>
      <c r="W780" s="124"/>
      <c r="X780" s="124"/>
      <c r="Y780" s="124"/>
      <c r="Z780" s="112"/>
      <c r="AA780" s="112"/>
      <c r="AB780" s="112"/>
      <c r="AC780" s="112"/>
      <c r="AD780" s="112"/>
      <c r="AE780" s="112"/>
      <c r="AF780" s="112"/>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c r="BK780" s="124"/>
      <c r="BL780" s="124"/>
      <c r="BM780" s="124"/>
      <c r="BN780" s="124"/>
      <c r="BO780" s="124"/>
      <c r="BP780" s="124"/>
      <c r="BQ780" s="124"/>
      <c r="BR780" s="124"/>
      <c r="BS780" s="124"/>
      <c r="BT780" s="124"/>
      <c r="BU780" s="124"/>
      <c r="BV780" s="124"/>
      <c r="BW780" s="124"/>
      <c r="BX780" s="124"/>
      <c r="BY780" s="124"/>
      <c r="BZ780" s="124"/>
      <c r="CA780" s="124"/>
    </row>
    <row r="781">
      <c r="D781" s="143"/>
      <c r="E781" s="129"/>
      <c r="F781" s="112"/>
      <c r="G781" s="112"/>
      <c r="H781" s="112"/>
      <c r="I781" s="112"/>
      <c r="J781" s="112"/>
      <c r="K781" s="112"/>
      <c r="L781" s="112"/>
      <c r="M781" s="112"/>
      <c r="N781" s="112"/>
      <c r="O781" s="112"/>
      <c r="P781" s="112"/>
      <c r="Q781" s="112"/>
      <c r="R781" s="112"/>
      <c r="S781" s="112"/>
      <c r="T781" s="112"/>
      <c r="U781" s="124"/>
      <c r="V781" s="124"/>
      <c r="W781" s="124"/>
      <c r="X781" s="124"/>
      <c r="Y781" s="124"/>
      <c r="Z781" s="112"/>
      <c r="AA781" s="112"/>
      <c r="AB781" s="112"/>
      <c r="AC781" s="112"/>
      <c r="AD781" s="112"/>
      <c r="AE781" s="112"/>
      <c r="AF781" s="112"/>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c r="BK781" s="124"/>
      <c r="BL781" s="124"/>
      <c r="BM781" s="124"/>
      <c r="BN781" s="124"/>
      <c r="BO781" s="124"/>
      <c r="BP781" s="124"/>
      <c r="BQ781" s="124"/>
      <c r="BR781" s="124"/>
      <c r="BS781" s="124"/>
      <c r="BT781" s="124"/>
      <c r="BU781" s="124"/>
      <c r="BV781" s="124"/>
      <c r="BW781" s="124"/>
      <c r="BX781" s="124"/>
      <c r="BY781" s="124"/>
      <c r="BZ781" s="124"/>
      <c r="CA781" s="124"/>
    </row>
    <row r="782">
      <c r="D782" s="143"/>
      <c r="E782" s="129"/>
      <c r="F782" s="112"/>
      <c r="G782" s="112"/>
      <c r="H782" s="112"/>
      <c r="I782" s="112"/>
      <c r="J782" s="112"/>
      <c r="K782" s="112"/>
      <c r="L782" s="112"/>
      <c r="M782" s="112"/>
      <c r="N782" s="112"/>
      <c r="O782" s="112"/>
      <c r="P782" s="112"/>
      <c r="Q782" s="112"/>
      <c r="R782" s="112"/>
      <c r="S782" s="112"/>
      <c r="T782" s="112"/>
      <c r="U782" s="124"/>
      <c r="V782" s="124"/>
      <c r="W782" s="124"/>
      <c r="X782" s="124"/>
      <c r="Y782" s="124"/>
      <c r="Z782" s="112"/>
      <c r="AA782" s="112"/>
      <c r="AB782" s="112"/>
      <c r="AC782" s="112"/>
      <c r="AD782" s="112"/>
      <c r="AE782" s="112"/>
      <c r="AF782" s="112"/>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c r="BK782" s="124"/>
      <c r="BL782" s="124"/>
      <c r="BM782" s="124"/>
      <c r="BN782" s="124"/>
      <c r="BO782" s="124"/>
      <c r="BP782" s="124"/>
      <c r="BQ782" s="124"/>
      <c r="BR782" s="124"/>
      <c r="BS782" s="124"/>
      <c r="BT782" s="124"/>
      <c r="BU782" s="124"/>
      <c r="BV782" s="124"/>
      <c r="BW782" s="124"/>
      <c r="BX782" s="124"/>
      <c r="BY782" s="124"/>
      <c r="BZ782" s="124"/>
      <c r="CA782" s="124"/>
    </row>
    <row r="783">
      <c r="D783" s="143"/>
      <c r="E783" s="129"/>
      <c r="F783" s="112"/>
      <c r="G783" s="112"/>
      <c r="H783" s="112"/>
      <c r="I783" s="112"/>
      <c r="J783" s="112"/>
      <c r="K783" s="112"/>
      <c r="L783" s="112"/>
      <c r="M783" s="112"/>
      <c r="N783" s="112"/>
      <c r="O783" s="112"/>
      <c r="P783" s="112"/>
      <c r="Q783" s="112"/>
      <c r="R783" s="112"/>
      <c r="S783" s="112"/>
      <c r="T783" s="112"/>
      <c r="U783" s="124"/>
      <c r="V783" s="124"/>
      <c r="W783" s="124"/>
      <c r="X783" s="124"/>
      <c r="Y783" s="124"/>
      <c r="Z783" s="112"/>
      <c r="AA783" s="112"/>
      <c r="AB783" s="112"/>
      <c r="AC783" s="112"/>
      <c r="AD783" s="112"/>
      <c r="AE783" s="112"/>
      <c r="AF783" s="112"/>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c r="BK783" s="124"/>
      <c r="BL783" s="124"/>
      <c r="BM783" s="124"/>
      <c r="BN783" s="124"/>
      <c r="BO783" s="124"/>
      <c r="BP783" s="124"/>
      <c r="BQ783" s="124"/>
      <c r="BR783" s="124"/>
      <c r="BS783" s="124"/>
      <c r="BT783" s="124"/>
      <c r="BU783" s="124"/>
      <c r="BV783" s="124"/>
      <c r="BW783" s="124"/>
      <c r="BX783" s="124"/>
      <c r="BY783" s="124"/>
      <c r="BZ783" s="124"/>
      <c r="CA783" s="124"/>
    </row>
    <row r="784">
      <c r="D784" s="143"/>
      <c r="E784" s="129"/>
      <c r="F784" s="112"/>
      <c r="G784" s="112"/>
      <c r="H784" s="112"/>
      <c r="I784" s="112"/>
      <c r="J784" s="112"/>
      <c r="K784" s="112"/>
      <c r="L784" s="112"/>
      <c r="M784" s="112"/>
      <c r="N784" s="112"/>
      <c r="O784" s="112"/>
      <c r="P784" s="112"/>
      <c r="Q784" s="112"/>
      <c r="R784" s="112"/>
      <c r="S784" s="112"/>
      <c r="T784" s="112"/>
      <c r="U784" s="124"/>
      <c r="V784" s="124"/>
      <c r="W784" s="124"/>
      <c r="X784" s="124"/>
      <c r="Y784" s="124"/>
      <c r="Z784" s="112"/>
      <c r="AA784" s="112"/>
      <c r="AB784" s="112"/>
      <c r="AC784" s="112"/>
      <c r="AD784" s="112"/>
      <c r="AE784" s="112"/>
      <c r="AF784" s="112"/>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c r="BK784" s="124"/>
      <c r="BL784" s="124"/>
      <c r="BM784" s="124"/>
      <c r="BN784" s="124"/>
      <c r="BO784" s="124"/>
      <c r="BP784" s="124"/>
      <c r="BQ784" s="124"/>
      <c r="BR784" s="124"/>
      <c r="BS784" s="124"/>
      <c r="BT784" s="124"/>
      <c r="BU784" s="124"/>
      <c r="BV784" s="124"/>
      <c r="BW784" s="124"/>
      <c r="BX784" s="124"/>
      <c r="BY784" s="124"/>
      <c r="BZ784" s="124"/>
      <c r="CA784" s="124"/>
    </row>
    <row r="785">
      <c r="D785" s="143"/>
      <c r="E785" s="129"/>
      <c r="F785" s="112"/>
      <c r="G785" s="112"/>
      <c r="H785" s="112"/>
      <c r="I785" s="112"/>
      <c r="J785" s="112"/>
      <c r="K785" s="112"/>
      <c r="L785" s="112"/>
      <c r="M785" s="112"/>
      <c r="N785" s="112"/>
      <c r="O785" s="112"/>
      <c r="P785" s="112"/>
      <c r="Q785" s="112"/>
      <c r="R785" s="112"/>
      <c r="S785" s="112"/>
      <c r="T785" s="112"/>
      <c r="U785" s="124"/>
      <c r="V785" s="124"/>
      <c r="W785" s="124"/>
      <c r="X785" s="124"/>
      <c r="Y785" s="124"/>
      <c r="Z785" s="112"/>
      <c r="AA785" s="112"/>
      <c r="AB785" s="112"/>
      <c r="AC785" s="112"/>
      <c r="AD785" s="112"/>
      <c r="AE785" s="112"/>
      <c r="AF785" s="112"/>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c r="BK785" s="124"/>
      <c r="BL785" s="124"/>
      <c r="BM785" s="124"/>
      <c r="BN785" s="124"/>
      <c r="BO785" s="124"/>
      <c r="BP785" s="124"/>
      <c r="BQ785" s="124"/>
      <c r="BR785" s="124"/>
      <c r="BS785" s="124"/>
      <c r="BT785" s="124"/>
      <c r="BU785" s="124"/>
      <c r="BV785" s="124"/>
      <c r="BW785" s="124"/>
      <c r="BX785" s="124"/>
      <c r="BY785" s="124"/>
      <c r="BZ785" s="124"/>
      <c r="CA785" s="124"/>
    </row>
    <row r="786">
      <c r="D786" s="143"/>
      <c r="E786" s="129"/>
      <c r="F786" s="112"/>
      <c r="G786" s="112"/>
      <c r="H786" s="112"/>
      <c r="I786" s="112"/>
      <c r="J786" s="112"/>
      <c r="K786" s="112"/>
      <c r="L786" s="112"/>
      <c r="M786" s="112"/>
      <c r="N786" s="112"/>
      <c r="O786" s="112"/>
      <c r="P786" s="112"/>
      <c r="Q786" s="112"/>
      <c r="R786" s="112"/>
      <c r="S786" s="112"/>
      <c r="T786" s="112"/>
      <c r="U786" s="124"/>
      <c r="V786" s="124"/>
      <c r="W786" s="124"/>
      <c r="X786" s="124"/>
      <c r="Y786" s="124"/>
      <c r="Z786" s="112"/>
      <c r="AA786" s="112"/>
      <c r="AB786" s="112"/>
      <c r="AC786" s="112"/>
      <c r="AD786" s="112"/>
      <c r="AE786" s="112"/>
      <c r="AF786" s="112"/>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c r="BK786" s="124"/>
      <c r="BL786" s="124"/>
      <c r="BM786" s="124"/>
      <c r="BN786" s="124"/>
      <c r="BO786" s="124"/>
      <c r="BP786" s="124"/>
      <c r="BQ786" s="124"/>
      <c r="BR786" s="124"/>
      <c r="BS786" s="124"/>
      <c r="BT786" s="124"/>
      <c r="BU786" s="124"/>
      <c r="BV786" s="124"/>
      <c r="BW786" s="124"/>
      <c r="BX786" s="124"/>
      <c r="BY786" s="124"/>
      <c r="BZ786" s="124"/>
      <c r="CA786" s="124"/>
    </row>
    <row r="787">
      <c r="D787" s="143"/>
      <c r="E787" s="129"/>
      <c r="F787" s="112"/>
      <c r="G787" s="112"/>
      <c r="H787" s="112"/>
      <c r="I787" s="112"/>
      <c r="J787" s="112"/>
      <c r="K787" s="112"/>
      <c r="L787" s="112"/>
      <c r="M787" s="112"/>
      <c r="N787" s="112"/>
      <c r="O787" s="112"/>
      <c r="P787" s="112"/>
      <c r="Q787" s="112"/>
      <c r="R787" s="112"/>
      <c r="S787" s="112"/>
      <c r="T787" s="112"/>
      <c r="U787" s="124"/>
      <c r="V787" s="124"/>
      <c r="W787" s="124"/>
      <c r="X787" s="124"/>
      <c r="Y787" s="124"/>
      <c r="Z787" s="112"/>
      <c r="AA787" s="112"/>
      <c r="AB787" s="112"/>
      <c r="AC787" s="112"/>
      <c r="AD787" s="112"/>
      <c r="AE787" s="112"/>
      <c r="AF787" s="112"/>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c r="BK787" s="124"/>
      <c r="BL787" s="124"/>
      <c r="BM787" s="124"/>
      <c r="BN787" s="124"/>
      <c r="BO787" s="124"/>
      <c r="BP787" s="124"/>
      <c r="BQ787" s="124"/>
      <c r="BR787" s="124"/>
      <c r="BS787" s="124"/>
      <c r="BT787" s="124"/>
      <c r="BU787" s="124"/>
      <c r="BV787" s="124"/>
      <c r="BW787" s="124"/>
      <c r="BX787" s="124"/>
      <c r="BY787" s="124"/>
      <c r="BZ787" s="124"/>
      <c r="CA787" s="124"/>
    </row>
    <row r="788">
      <c r="D788" s="143"/>
      <c r="E788" s="129"/>
      <c r="F788" s="112"/>
      <c r="G788" s="112"/>
      <c r="H788" s="112"/>
      <c r="I788" s="112"/>
      <c r="J788" s="112"/>
      <c r="K788" s="112"/>
      <c r="L788" s="112"/>
      <c r="M788" s="112"/>
      <c r="N788" s="112"/>
      <c r="O788" s="112"/>
      <c r="P788" s="112"/>
      <c r="Q788" s="112"/>
      <c r="R788" s="112"/>
      <c r="S788" s="112"/>
      <c r="T788" s="112"/>
      <c r="U788" s="124"/>
      <c r="V788" s="124"/>
      <c r="W788" s="124"/>
      <c r="X788" s="124"/>
      <c r="Y788" s="124"/>
      <c r="Z788" s="112"/>
      <c r="AA788" s="112"/>
      <c r="AB788" s="112"/>
      <c r="AC788" s="112"/>
      <c r="AD788" s="112"/>
      <c r="AE788" s="112"/>
      <c r="AF788" s="112"/>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c r="BK788" s="124"/>
      <c r="BL788" s="124"/>
      <c r="BM788" s="124"/>
      <c r="BN788" s="124"/>
      <c r="BO788" s="124"/>
      <c r="BP788" s="124"/>
      <c r="BQ788" s="124"/>
      <c r="BR788" s="124"/>
      <c r="BS788" s="124"/>
      <c r="BT788" s="124"/>
      <c r="BU788" s="124"/>
      <c r="BV788" s="124"/>
      <c r="BW788" s="124"/>
      <c r="BX788" s="124"/>
      <c r="BY788" s="124"/>
      <c r="BZ788" s="124"/>
      <c r="CA788" s="124"/>
    </row>
    <row r="789">
      <c r="D789" s="143"/>
      <c r="E789" s="129"/>
      <c r="F789" s="112"/>
      <c r="G789" s="112"/>
      <c r="H789" s="112"/>
      <c r="I789" s="112"/>
      <c r="J789" s="112"/>
      <c r="K789" s="112"/>
      <c r="L789" s="112"/>
      <c r="M789" s="112"/>
      <c r="N789" s="112"/>
      <c r="O789" s="112"/>
      <c r="P789" s="112"/>
      <c r="Q789" s="112"/>
      <c r="R789" s="112"/>
      <c r="S789" s="112"/>
      <c r="T789" s="112"/>
      <c r="U789" s="124"/>
      <c r="V789" s="124"/>
      <c r="W789" s="124"/>
      <c r="X789" s="124"/>
      <c r="Y789" s="124"/>
      <c r="Z789" s="112"/>
      <c r="AA789" s="112"/>
      <c r="AB789" s="112"/>
      <c r="AC789" s="112"/>
      <c r="AD789" s="112"/>
      <c r="AE789" s="112"/>
      <c r="AF789" s="112"/>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c r="BK789" s="124"/>
      <c r="BL789" s="124"/>
      <c r="BM789" s="124"/>
      <c r="BN789" s="124"/>
      <c r="BO789" s="124"/>
      <c r="BP789" s="124"/>
      <c r="BQ789" s="124"/>
      <c r="BR789" s="124"/>
      <c r="BS789" s="124"/>
      <c r="BT789" s="124"/>
      <c r="BU789" s="124"/>
      <c r="BV789" s="124"/>
      <c r="BW789" s="124"/>
      <c r="BX789" s="124"/>
      <c r="BY789" s="124"/>
      <c r="BZ789" s="124"/>
      <c r="CA789" s="124"/>
    </row>
    <row r="790">
      <c r="D790" s="143"/>
      <c r="E790" s="129"/>
      <c r="F790" s="112"/>
      <c r="G790" s="112"/>
      <c r="H790" s="112"/>
      <c r="I790" s="112"/>
      <c r="J790" s="112"/>
      <c r="K790" s="112"/>
      <c r="L790" s="112"/>
      <c r="M790" s="112"/>
      <c r="N790" s="112"/>
      <c r="O790" s="112"/>
      <c r="P790" s="112"/>
      <c r="Q790" s="112"/>
      <c r="R790" s="112"/>
      <c r="S790" s="112"/>
      <c r="T790" s="112"/>
      <c r="U790" s="124"/>
      <c r="V790" s="124"/>
      <c r="W790" s="124"/>
      <c r="X790" s="124"/>
      <c r="Y790" s="124"/>
      <c r="Z790" s="112"/>
      <c r="AA790" s="112"/>
      <c r="AB790" s="112"/>
      <c r="AC790" s="112"/>
      <c r="AD790" s="112"/>
      <c r="AE790" s="112"/>
      <c r="AF790" s="112"/>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c r="BK790" s="124"/>
      <c r="BL790" s="124"/>
      <c r="BM790" s="124"/>
      <c r="BN790" s="124"/>
      <c r="BO790" s="124"/>
      <c r="BP790" s="124"/>
      <c r="BQ790" s="124"/>
      <c r="BR790" s="124"/>
      <c r="BS790" s="124"/>
      <c r="BT790" s="124"/>
      <c r="BU790" s="124"/>
      <c r="BV790" s="124"/>
      <c r="BW790" s="124"/>
      <c r="BX790" s="124"/>
      <c r="BY790" s="124"/>
      <c r="BZ790" s="124"/>
      <c r="CA790" s="124"/>
    </row>
    <row r="791">
      <c r="D791" s="143"/>
      <c r="E791" s="129"/>
      <c r="F791" s="112"/>
      <c r="G791" s="112"/>
      <c r="H791" s="112"/>
      <c r="I791" s="112"/>
      <c r="J791" s="112"/>
      <c r="K791" s="112"/>
      <c r="L791" s="112"/>
      <c r="M791" s="112"/>
      <c r="N791" s="112"/>
      <c r="O791" s="112"/>
      <c r="P791" s="112"/>
      <c r="Q791" s="112"/>
      <c r="R791" s="112"/>
      <c r="S791" s="112"/>
      <c r="T791" s="112"/>
      <c r="U791" s="124"/>
      <c r="V791" s="124"/>
      <c r="W791" s="124"/>
      <c r="X791" s="124"/>
      <c r="Y791" s="124"/>
      <c r="Z791" s="112"/>
      <c r="AA791" s="112"/>
      <c r="AB791" s="112"/>
      <c r="AC791" s="112"/>
      <c r="AD791" s="112"/>
      <c r="AE791" s="112"/>
      <c r="AF791" s="112"/>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c r="BK791" s="124"/>
      <c r="BL791" s="124"/>
      <c r="BM791" s="124"/>
      <c r="BN791" s="124"/>
      <c r="BO791" s="124"/>
      <c r="BP791" s="124"/>
      <c r="BQ791" s="124"/>
      <c r="BR791" s="124"/>
      <c r="BS791" s="124"/>
      <c r="BT791" s="124"/>
      <c r="BU791" s="124"/>
      <c r="BV791" s="124"/>
      <c r="BW791" s="124"/>
      <c r="BX791" s="124"/>
      <c r="BY791" s="124"/>
      <c r="BZ791" s="124"/>
      <c r="CA791" s="124"/>
    </row>
    <row r="792">
      <c r="D792" s="143"/>
      <c r="E792" s="129"/>
      <c r="F792" s="112"/>
      <c r="G792" s="112"/>
      <c r="H792" s="112"/>
      <c r="I792" s="112"/>
      <c r="J792" s="112"/>
      <c r="K792" s="112"/>
      <c r="L792" s="112"/>
      <c r="M792" s="112"/>
      <c r="N792" s="112"/>
      <c r="O792" s="112"/>
      <c r="P792" s="112"/>
      <c r="Q792" s="112"/>
      <c r="R792" s="112"/>
      <c r="S792" s="112"/>
      <c r="T792" s="112"/>
      <c r="U792" s="124"/>
      <c r="V792" s="124"/>
      <c r="W792" s="124"/>
      <c r="X792" s="124"/>
      <c r="Y792" s="124"/>
      <c r="Z792" s="112"/>
      <c r="AA792" s="112"/>
      <c r="AB792" s="112"/>
      <c r="AC792" s="112"/>
      <c r="AD792" s="112"/>
      <c r="AE792" s="112"/>
      <c r="AF792" s="112"/>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c r="BK792" s="124"/>
      <c r="BL792" s="124"/>
      <c r="BM792" s="124"/>
      <c r="BN792" s="124"/>
      <c r="BO792" s="124"/>
      <c r="BP792" s="124"/>
      <c r="BQ792" s="124"/>
      <c r="BR792" s="124"/>
      <c r="BS792" s="124"/>
      <c r="BT792" s="124"/>
      <c r="BU792" s="124"/>
      <c r="BV792" s="124"/>
      <c r="BW792" s="124"/>
      <c r="BX792" s="124"/>
      <c r="BY792" s="124"/>
      <c r="BZ792" s="124"/>
      <c r="CA792" s="124"/>
    </row>
    <row r="793">
      <c r="D793" s="143"/>
      <c r="E793" s="129"/>
      <c r="F793" s="112"/>
      <c r="G793" s="112"/>
      <c r="H793" s="112"/>
      <c r="I793" s="112"/>
      <c r="J793" s="112"/>
      <c r="K793" s="112"/>
      <c r="L793" s="112"/>
      <c r="M793" s="112"/>
      <c r="N793" s="112"/>
      <c r="O793" s="112"/>
      <c r="P793" s="112"/>
      <c r="Q793" s="112"/>
      <c r="R793" s="112"/>
      <c r="S793" s="112"/>
      <c r="T793" s="112"/>
      <c r="U793" s="124"/>
      <c r="V793" s="124"/>
      <c r="W793" s="124"/>
      <c r="X793" s="124"/>
      <c r="Y793" s="124"/>
      <c r="Z793" s="112"/>
      <c r="AA793" s="112"/>
      <c r="AB793" s="112"/>
      <c r="AC793" s="112"/>
      <c r="AD793" s="112"/>
      <c r="AE793" s="112"/>
      <c r="AF793" s="112"/>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c r="BK793" s="124"/>
      <c r="BL793" s="124"/>
      <c r="BM793" s="124"/>
      <c r="BN793" s="124"/>
      <c r="BO793" s="124"/>
      <c r="BP793" s="124"/>
      <c r="BQ793" s="124"/>
      <c r="BR793" s="124"/>
      <c r="BS793" s="124"/>
      <c r="BT793" s="124"/>
      <c r="BU793" s="124"/>
      <c r="BV793" s="124"/>
      <c r="BW793" s="124"/>
      <c r="BX793" s="124"/>
      <c r="BY793" s="124"/>
      <c r="BZ793" s="124"/>
      <c r="CA793" s="124"/>
    </row>
    <row r="794">
      <c r="D794" s="143"/>
      <c r="E794" s="129"/>
      <c r="F794" s="112"/>
      <c r="G794" s="112"/>
      <c r="H794" s="112"/>
      <c r="I794" s="112"/>
      <c r="J794" s="112"/>
      <c r="K794" s="112"/>
      <c r="L794" s="112"/>
      <c r="M794" s="112"/>
      <c r="N794" s="112"/>
      <c r="O794" s="112"/>
      <c r="P794" s="112"/>
      <c r="Q794" s="112"/>
      <c r="R794" s="112"/>
      <c r="S794" s="112"/>
      <c r="T794" s="112"/>
      <c r="U794" s="124"/>
      <c r="V794" s="124"/>
      <c r="W794" s="124"/>
      <c r="X794" s="124"/>
      <c r="Y794" s="124"/>
      <c r="Z794" s="112"/>
      <c r="AA794" s="112"/>
      <c r="AB794" s="112"/>
      <c r="AC794" s="112"/>
      <c r="AD794" s="112"/>
      <c r="AE794" s="112"/>
      <c r="AF794" s="112"/>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c r="BK794" s="124"/>
      <c r="BL794" s="124"/>
      <c r="BM794" s="124"/>
      <c r="BN794" s="124"/>
      <c r="BO794" s="124"/>
      <c r="BP794" s="124"/>
      <c r="BQ794" s="124"/>
      <c r="BR794" s="124"/>
      <c r="BS794" s="124"/>
      <c r="BT794" s="124"/>
      <c r="BU794" s="124"/>
      <c r="BV794" s="124"/>
      <c r="BW794" s="124"/>
      <c r="BX794" s="124"/>
      <c r="BY794" s="124"/>
      <c r="BZ794" s="124"/>
      <c r="CA794" s="124"/>
    </row>
    <row r="795">
      <c r="D795" s="143"/>
      <c r="E795" s="129"/>
      <c r="F795" s="112"/>
      <c r="G795" s="112"/>
      <c r="H795" s="112"/>
      <c r="I795" s="112"/>
      <c r="J795" s="112"/>
      <c r="K795" s="112"/>
      <c r="L795" s="112"/>
      <c r="M795" s="112"/>
      <c r="N795" s="112"/>
      <c r="O795" s="112"/>
      <c r="P795" s="112"/>
      <c r="Q795" s="112"/>
      <c r="R795" s="112"/>
      <c r="S795" s="112"/>
      <c r="T795" s="112"/>
      <c r="U795" s="124"/>
      <c r="V795" s="124"/>
      <c r="W795" s="124"/>
      <c r="X795" s="124"/>
      <c r="Y795" s="124"/>
      <c r="Z795" s="112"/>
      <c r="AA795" s="112"/>
      <c r="AB795" s="112"/>
      <c r="AC795" s="112"/>
      <c r="AD795" s="112"/>
      <c r="AE795" s="112"/>
      <c r="AF795" s="112"/>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c r="BK795" s="124"/>
      <c r="BL795" s="124"/>
      <c r="BM795" s="124"/>
      <c r="BN795" s="124"/>
      <c r="BO795" s="124"/>
      <c r="BP795" s="124"/>
      <c r="BQ795" s="124"/>
      <c r="BR795" s="124"/>
      <c r="BS795" s="124"/>
      <c r="BT795" s="124"/>
      <c r="BU795" s="124"/>
      <c r="BV795" s="124"/>
      <c r="BW795" s="124"/>
      <c r="BX795" s="124"/>
      <c r="BY795" s="124"/>
      <c r="BZ795" s="124"/>
      <c r="CA795" s="124"/>
    </row>
    <row r="796">
      <c r="D796" s="143"/>
      <c r="E796" s="129"/>
      <c r="F796" s="112"/>
      <c r="G796" s="112"/>
      <c r="H796" s="112"/>
      <c r="I796" s="112"/>
      <c r="J796" s="112"/>
      <c r="K796" s="112"/>
      <c r="L796" s="112"/>
      <c r="M796" s="112"/>
      <c r="N796" s="112"/>
      <c r="O796" s="112"/>
      <c r="P796" s="112"/>
      <c r="Q796" s="112"/>
      <c r="R796" s="112"/>
      <c r="S796" s="112"/>
      <c r="T796" s="112"/>
      <c r="U796" s="124"/>
      <c r="V796" s="124"/>
      <c r="W796" s="124"/>
      <c r="X796" s="124"/>
      <c r="Y796" s="124"/>
      <c r="Z796" s="112"/>
      <c r="AA796" s="112"/>
      <c r="AB796" s="112"/>
      <c r="AC796" s="112"/>
      <c r="AD796" s="112"/>
      <c r="AE796" s="112"/>
      <c r="AF796" s="112"/>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c r="BK796" s="124"/>
      <c r="BL796" s="124"/>
      <c r="BM796" s="124"/>
      <c r="BN796" s="124"/>
      <c r="BO796" s="124"/>
      <c r="BP796" s="124"/>
      <c r="BQ796" s="124"/>
      <c r="BR796" s="124"/>
      <c r="BS796" s="124"/>
      <c r="BT796" s="124"/>
      <c r="BU796" s="124"/>
      <c r="BV796" s="124"/>
      <c r="BW796" s="124"/>
      <c r="BX796" s="124"/>
      <c r="BY796" s="124"/>
      <c r="BZ796" s="124"/>
      <c r="CA796" s="124"/>
    </row>
    <row r="797">
      <c r="D797" s="143"/>
      <c r="E797" s="129"/>
      <c r="F797" s="112"/>
      <c r="G797" s="112"/>
      <c r="H797" s="112"/>
      <c r="I797" s="112"/>
      <c r="J797" s="112"/>
      <c r="K797" s="112"/>
      <c r="L797" s="112"/>
      <c r="M797" s="112"/>
      <c r="N797" s="112"/>
      <c r="O797" s="112"/>
      <c r="P797" s="112"/>
      <c r="Q797" s="112"/>
      <c r="R797" s="112"/>
      <c r="S797" s="112"/>
      <c r="T797" s="112"/>
      <c r="U797" s="124"/>
      <c r="V797" s="124"/>
      <c r="W797" s="124"/>
      <c r="X797" s="124"/>
      <c r="Y797" s="124"/>
      <c r="Z797" s="112"/>
      <c r="AA797" s="112"/>
      <c r="AB797" s="112"/>
      <c r="AC797" s="112"/>
      <c r="AD797" s="112"/>
      <c r="AE797" s="112"/>
      <c r="AF797" s="112"/>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c r="BK797" s="124"/>
      <c r="BL797" s="124"/>
      <c r="BM797" s="124"/>
      <c r="BN797" s="124"/>
      <c r="BO797" s="124"/>
      <c r="BP797" s="124"/>
      <c r="BQ797" s="124"/>
      <c r="BR797" s="124"/>
      <c r="BS797" s="124"/>
      <c r="BT797" s="124"/>
      <c r="BU797" s="124"/>
      <c r="BV797" s="124"/>
      <c r="BW797" s="124"/>
      <c r="BX797" s="124"/>
      <c r="BY797" s="124"/>
      <c r="BZ797" s="124"/>
      <c r="CA797" s="124"/>
    </row>
    <row r="798">
      <c r="D798" s="143"/>
      <c r="E798" s="129"/>
      <c r="F798" s="112"/>
      <c r="G798" s="112"/>
      <c r="H798" s="112"/>
      <c r="I798" s="112"/>
      <c r="J798" s="112"/>
      <c r="K798" s="112"/>
      <c r="L798" s="112"/>
      <c r="M798" s="112"/>
      <c r="N798" s="112"/>
      <c r="O798" s="112"/>
      <c r="P798" s="112"/>
      <c r="Q798" s="112"/>
      <c r="R798" s="112"/>
      <c r="S798" s="112"/>
      <c r="T798" s="112"/>
      <c r="U798" s="124"/>
      <c r="V798" s="124"/>
      <c r="W798" s="124"/>
      <c r="X798" s="124"/>
      <c r="Y798" s="124"/>
      <c r="Z798" s="112"/>
      <c r="AA798" s="112"/>
      <c r="AB798" s="112"/>
      <c r="AC798" s="112"/>
      <c r="AD798" s="112"/>
      <c r="AE798" s="112"/>
      <c r="AF798" s="112"/>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c r="BK798" s="124"/>
      <c r="BL798" s="124"/>
      <c r="BM798" s="124"/>
      <c r="BN798" s="124"/>
      <c r="BO798" s="124"/>
      <c r="BP798" s="124"/>
      <c r="BQ798" s="124"/>
      <c r="BR798" s="124"/>
      <c r="BS798" s="124"/>
      <c r="BT798" s="124"/>
      <c r="BU798" s="124"/>
      <c r="BV798" s="124"/>
      <c r="BW798" s="124"/>
      <c r="BX798" s="124"/>
      <c r="BY798" s="124"/>
      <c r="BZ798" s="124"/>
      <c r="CA798" s="124"/>
    </row>
    <row r="799">
      <c r="D799" s="143"/>
      <c r="E799" s="129"/>
      <c r="F799" s="112"/>
      <c r="G799" s="112"/>
      <c r="H799" s="112"/>
      <c r="I799" s="112"/>
      <c r="J799" s="112"/>
      <c r="K799" s="112"/>
      <c r="L799" s="112"/>
      <c r="M799" s="112"/>
      <c r="N799" s="112"/>
      <c r="O799" s="112"/>
      <c r="P799" s="112"/>
      <c r="Q799" s="112"/>
      <c r="R799" s="112"/>
      <c r="S799" s="112"/>
      <c r="T799" s="112"/>
      <c r="U799" s="124"/>
      <c r="V799" s="124"/>
      <c r="W799" s="124"/>
      <c r="X799" s="124"/>
      <c r="Y799" s="124"/>
      <c r="Z799" s="112"/>
      <c r="AA799" s="112"/>
      <c r="AB799" s="112"/>
      <c r="AC799" s="112"/>
      <c r="AD799" s="112"/>
      <c r="AE799" s="112"/>
      <c r="AF799" s="112"/>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c r="BK799" s="124"/>
      <c r="BL799" s="124"/>
      <c r="BM799" s="124"/>
      <c r="BN799" s="124"/>
      <c r="BO799" s="124"/>
      <c r="BP799" s="124"/>
      <c r="BQ799" s="124"/>
      <c r="BR799" s="124"/>
      <c r="BS799" s="124"/>
      <c r="BT799" s="124"/>
      <c r="BU799" s="124"/>
      <c r="BV799" s="124"/>
      <c r="BW799" s="124"/>
      <c r="BX799" s="124"/>
      <c r="BY799" s="124"/>
      <c r="BZ799" s="124"/>
      <c r="CA799" s="124"/>
    </row>
    <row r="800">
      <c r="D800" s="143"/>
      <c r="E800" s="129"/>
      <c r="F800" s="112"/>
      <c r="G800" s="112"/>
      <c r="H800" s="112"/>
      <c r="I800" s="112"/>
      <c r="J800" s="112"/>
      <c r="K800" s="112"/>
      <c r="L800" s="112"/>
      <c r="M800" s="112"/>
      <c r="N800" s="112"/>
      <c r="O800" s="112"/>
      <c r="P800" s="112"/>
      <c r="Q800" s="112"/>
      <c r="R800" s="112"/>
      <c r="S800" s="112"/>
      <c r="T800" s="112"/>
      <c r="U800" s="124"/>
      <c r="V800" s="124"/>
      <c r="W800" s="124"/>
      <c r="X800" s="124"/>
      <c r="Y800" s="124"/>
      <c r="Z800" s="112"/>
      <c r="AA800" s="112"/>
      <c r="AB800" s="112"/>
      <c r="AC800" s="112"/>
      <c r="AD800" s="112"/>
      <c r="AE800" s="112"/>
      <c r="AF800" s="112"/>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c r="BK800" s="124"/>
      <c r="BL800" s="124"/>
      <c r="BM800" s="124"/>
      <c r="BN800" s="124"/>
      <c r="BO800" s="124"/>
      <c r="BP800" s="124"/>
      <c r="BQ800" s="124"/>
      <c r="BR800" s="124"/>
      <c r="BS800" s="124"/>
      <c r="BT800" s="124"/>
      <c r="BU800" s="124"/>
      <c r="BV800" s="124"/>
      <c r="BW800" s="124"/>
      <c r="BX800" s="124"/>
      <c r="BY800" s="124"/>
      <c r="BZ800" s="124"/>
      <c r="CA800" s="124"/>
    </row>
    <row r="801">
      <c r="D801" s="143"/>
      <c r="E801" s="129"/>
      <c r="F801" s="112"/>
      <c r="G801" s="112"/>
      <c r="H801" s="112"/>
      <c r="I801" s="112"/>
      <c r="J801" s="112"/>
      <c r="K801" s="112"/>
      <c r="L801" s="112"/>
      <c r="M801" s="112"/>
      <c r="N801" s="112"/>
      <c r="O801" s="112"/>
      <c r="P801" s="112"/>
      <c r="Q801" s="112"/>
      <c r="R801" s="112"/>
      <c r="S801" s="112"/>
      <c r="T801" s="112"/>
      <c r="U801" s="124"/>
      <c r="V801" s="124"/>
      <c r="W801" s="124"/>
      <c r="X801" s="124"/>
      <c r="Y801" s="124"/>
      <c r="Z801" s="112"/>
      <c r="AA801" s="112"/>
      <c r="AB801" s="112"/>
      <c r="AC801" s="112"/>
      <c r="AD801" s="112"/>
      <c r="AE801" s="112"/>
      <c r="AF801" s="112"/>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c r="BK801" s="124"/>
      <c r="BL801" s="124"/>
      <c r="BM801" s="124"/>
      <c r="BN801" s="124"/>
      <c r="BO801" s="124"/>
      <c r="BP801" s="124"/>
      <c r="BQ801" s="124"/>
      <c r="BR801" s="124"/>
      <c r="BS801" s="124"/>
      <c r="BT801" s="124"/>
      <c r="BU801" s="124"/>
      <c r="BV801" s="124"/>
      <c r="BW801" s="124"/>
      <c r="BX801" s="124"/>
      <c r="BY801" s="124"/>
      <c r="BZ801" s="124"/>
      <c r="CA801" s="124"/>
    </row>
    <row r="802">
      <c r="D802" s="143"/>
      <c r="E802" s="129"/>
      <c r="F802" s="112"/>
      <c r="G802" s="112"/>
      <c r="H802" s="112"/>
      <c r="I802" s="112"/>
      <c r="J802" s="112"/>
      <c r="K802" s="112"/>
      <c r="L802" s="112"/>
      <c r="M802" s="112"/>
      <c r="N802" s="112"/>
      <c r="O802" s="112"/>
      <c r="P802" s="112"/>
      <c r="Q802" s="112"/>
      <c r="R802" s="112"/>
      <c r="S802" s="112"/>
      <c r="T802" s="112"/>
      <c r="U802" s="124"/>
      <c r="V802" s="124"/>
      <c r="W802" s="124"/>
      <c r="X802" s="124"/>
      <c r="Y802" s="124"/>
      <c r="Z802" s="112"/>
      <c r="AA802" s="112"/>
      <c r="AB802" s="112"/>
      <c r="AC802" s="112"/>
      <c r="AD802" s="112"/>
      <c r="AE802" s="112"/>
      <c r="AF802" s="112"/>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c r="BK802" s="124"/>
      <c r="BL802" s="124"/>
      <c r="BM802" s="124"/>
      <c r="BN802" s="124"/>
      <c r="BO802" s="124"/>
      <c r="BP802" s="124"/>
      <c r="BQ802" s="124"/>
      <c r="BR802" s="124"/>
      <c r="BS802" s="124"/>
      <c r="BT802" s="124"/>
      <c r="BU802" s="124"/>
      <c r="BV802" s="124"/>
      <c r="BW802" s="124"/>
      <c r="BX802" s="124"/>
      <c r="BY802" s="124"/>
      <c r="BZ802" s="124"/>
      <c r="CA802" s="124"/>
    </row>
    <row r="803">
      <c r="D803" s="143"/>
      <c r="E803" s="129"/>
      <c r="F803" s="112"/>
      <c r="G803" s="112"/>
      <c r="H803" s="112"/>
      <c r="I803" s="112"/>
      <c r="J803" s="112"/>
      <c r="K803" s="112"/>
      <c r="L803" s="112"/>
      <c r="M803" s="112"/>
      <c r="N803" s="112"/>
      <c r="O803" s="112"/>
      <c r="P803" s="112"/>
      <c r="Q803" s="112"/>
      <c r="R803" s="112"/>
      <c r="S803" s="112"/>
      <c r="T803" s="112"/>
      <c r="U803" s="124"/>
      <c r="V803" s="124"/>
      <c r="W803" s="124"/>
      <c r="X803" s="124"/>
      <c r="Y803" s="124"/>
      <c r="Z803" s="112"/>
      <c r="AA803" s="112"/>
      <c r="AB803" s="112"/>
      <c r="AC803" s="112"/>
      <c r="AD803" s="112"/>
      <c r="AE803" s="112"/>
      <c r="AF803" s="112"/>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c r="BK803" s="124"/>
      <c r="BL803" s="124"/>
      <c r="BM803" s="124"/>
      <c r="BN803" s="124"/>
      <c r="BO803" s="124"/>
      <c r="BP803" s="124"/>
      <c r="BQ803" s="124"/>
      <c r="BR803" s="124"/>
      <c r="BS803" s="124"/>
      <c r="BT803" s="124"/>
      <c r="BU803" s="124"/>
      <c r="BV803" s="124"/>
      <c r="BW803" s="124"/>
      <c r="BX803" s="124"/>
      <c r="BY803" s="124"/>
      <c r="BZ803" s="124"/>
      <c r="CA803" s="124"/>
    </row>
    <row r="804">
      <c r="D804" s="143"/>
      <c r="E804" s="129"/>
      <c r="F804" s="112"/>
      <c r="G804" s="112"/>
      <c r="H804" s="112"/>
      <c r="I804" s="112"/>
      <c r="J804" s="112"/>
      <c r="K804" s="112"/>
      <c r="L804" s="112"/>
      <c r="M804" s="112"/>
      <c r="N804" s="112"/>
      <c r="O804" s="112"/>
      <c r="P804" s="112"/>
      <c r="Q804" s="112"/>
      <c r="R804" s="112"/>
      <c r="S804" s="112"/>
      <c r="T804" s="112"/>
      <c r="U804" s="124"/>
      <c r="V804" s="124"/>
      <c r="W804" s="124"/>
      <c r="X804" s="124"/>
      <c r="Y804" s="124"/>
      <c r="Z804" s="112"/>
      <c r="AA804" s="112"/>
      <c r="AB804" s="112"/>
      <c r="AC804" s="112"/>
      <c r="AD804" s="112"/>
      <c r="AE804" s="112"/>
      <c r="AF804" s="112"/>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c r="BK804" s="124"/>
      <c r="BL804" s="124"/>
      <c r="BM804" s="124"/>
      <c r="BN804" s="124"/>
      <c r="BO804" s="124"/>
      <c r="BP804" s="124"/>
      <c r="BQ804" s="124"/>
      <c r="BR804" s="124"/>
      <c r="BS804" s="124"/>
      <c r="BT804" s="124"/>
      <c r="BU804" s="124"/>
      <c r="BV804" s="124"/>
      <c r="BW804" s="124"/>
      <c r="BX804" s="124"/>
      <c r="BY804" s="124"/>
      <c r="BZ804" s="124"/>
      <c r="CA804" s="124"/>
    </row>
    <row r="805">
      <c r="D805" s="143"/>
      <c r="E805" s="129"/>
      <c r="F805" s="112"/>
      <c r="G805" s="112"/>
      <c r="H805" s="112"/>
      <c r="I805" s="112"/>
      <c r="J805" s="112"/>
      <c r="K805" s="112"/>
      <c r="L805" s="112"/>
      <c r="M805" s="112"/>
      <c r="N805" s="112"/>
      <c r="O805" s="112"/>
      <c r="P805" s="112"/>
      <c r="Q805" s="112"/>
      <c r="R805" s="112"/>
      <c r="S805" s="112"/>
      <c r="T805" s="112"/>
      <c r="U805" s="124"/>
      <c r="V805" s="124"/>
      <c r="W805" s="124"/>
      <c r="X805" s="124"/>
      <c r="Y805" s="124"/>
      <c r="Z805" s="112"/>
      <c r="AA805" s="112"/>
      <c r="AB805" s="112"/>
      <c r="AC805" s="112"/>
      <c r="AD805" s="112"/>
      <c r="AE805" s="112"/>
      <c r="AF805" s="112"/>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c r="BK805" s="124"/>
      <c r="BL805" s="124"/>
      <c r="BM805" s="124"/>
      <c r="BN805" s="124"/>
      <c r="BO805" s="124"/>
      <c r="BP805" s="124"/>
      <c r="BQ805" s="124"/>
      <c r="BR805" s="124"/>
      <c r="BS805" s="124"/>
      <c r="BT805" s="124"/>
      <c r="BU805" s="124"/>
      <c r="BV805" s="124"/>
      <c r="BW805" s="124"/>
      <c r="BX805" s="124"/>
      <c r="BY805" s="124"/>
      <c r="BZ805" s="124"/>
      <c r="CA805" s="124"/>
    </row>
    <row r="806">
      <c r="D806" s="143"/>
      <c r="E806" s="129"/>
      <c r="F806" s="112"/>
      <c r="G806" s="112"/>
      <c r="H806" s="112"/>
      <c r="I806" s="112"/>
      <c r="J806" s="112"/>
      <c r="K806" s="112"/>
      <c r="L806" s="112"/>
      <c r="M806" s="112"/>
      <c r="N806" s="112"/>
      <c r="O806" s="112"/>
      <c r="P806" s="112"/>
      <c r="Q806" s="112"/>
      <c r="R806" s="112"/>
      <c r="S806" s="112"/>
      <c r="T806" s="112"/>
      <c r="U806" s="124"/>
      <c r="V806" s="124"/>
      <c r="W806" s="124"/>
      <c r="X806" s="124"/>
      <c r="Y806" s="124"/>
      <c r="Z806" s="112"/>
      <c r="AA806" s="112"/>
      <c r="AB806" s="112"/>
      <c r="AC806" s="112"/>
      <c r="AD806" s="112"/>
      <c r="AE806" s="112"/>
      <c r="AF806" s="112"/>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c r="BK806" s="124"/>
      <c r="BL806" s="124"/>
      <c r="BM806" s="124"/>
      <c r="BN806" s="124"/>
      <c r="BO806" s="124"/>
      <c r="BP806" s="124"/>
      <c r="BQ806" s="124"/>
      <c r="BR806" s="124"/>
      <c r="BS806" s="124"/>
      <c r="BT806" s="124"/>
      <c r="BU806" s="124"/>
      <c r="BV806" s="124"/>
      <c r="BW806" s="124"/>
      <c r="BX806" s="124"/>
      <c r="BY806" s="124"/>
      <c r="BZ806" s="124"/>
      <c r="CA806" s="124"/>
    </row>
    <row r="807">
      <c r="D807" s="143"/>
      <c r="E807" s="129"/>
      <c r="F807" s="112"/>
      <c r="G807" s="112"/>
      <c r="H807" s="112"/>
      <c r="I807" s="112"/>
      <c r="J807" s="112"/>
      <c r="K807" s="112"/>
      <c r="L807" s="112"/>
      <c r="M807" s="112"/>
      <c r="N807" s="112"/>
      <c r="O807" s="112"/>
      <c r="P807" s="112"/>
      <c r="Q807" s="112"/>
      <c r="R807" s="112"/>
      <c r="S807" s="112"/>
      <c r="T807" s="112"/>
      <c r="U807" s="124"/>
      <c r="V807" s="124"/>
      <c r="W807" s="124"/>
      <c r="X807" s="124"/>
      <c r="Y807" s="124"/>
      <c r="Z807" s="112"/>
      <c r="AA807" s="112"/>
      <c r="AB807" s="112"/>
      <c r="AC807" s="112"/>
      <c r="AD807" s="112"/>
      <c r="AE807" s="112"/>
      <c r="AF807" s="112"/>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c r="BK807" s="124"/>
      <c r="BL807" s="124"/>
      <c r="BM807" s="124"/>
      <c r="BN807" s="124"/>
      <c r="BO807" s="124"/>
      <c r="BP807" s="124"/>
      <c r="BQ807" s="124"/>
      <c r="BR807" s="124"/>
      <c r="BS807" s="124"/>
      <c r="BT807" s="124"/>
      <c r="BU807" s="124"/>
      <c r="BV807" s="124"/>
      <c r="BW807" s="124"/>
      <c r="BX807" s="124"/>
      <c r="BY807" s="124"/>
      <c r="BZ807" s="124"/>
      <c r="CA807" s="124"/>
    </row>
    <row r="808">
      <c r="D808" s="143"/>
      <c r="E808" s="129"/>
      <c r="F808" s="112"/>
      <c r="G808" s="112"/>
      <c r="H808" s="112"/>
      <c r="I808" s="112"/>
      <c r="J808" s="112"/>
      <c r="K808" s="112"/>
      <c r="L808" s="112"/>
      <c r="M808" s="112"/>
      <c r="N808" s="112"/>
      <c r="O808" s="112"/>
      <c r="P808" s="112"/>
      <c r="Q808" s="112"/>
      <c r="R808" s="112"/>
      <c r="S808" s="112"/>
      <c r="T808" s="112"/>
      <c r="U808" s="124"/>
      <c r="V808" s="124"/>
      <c r="W808" s="124"/>
      <c r="X808" s="124"/>
      <c r="Y808" s="124"/>
      <c r="Z808" s="112"/>
      <c r="AA808" s="112"/>
      <c r="AB808" s="112"/>
      <c r="AC808" s="112"/>
      <c r="AD808" s="112"/>
      <c r="AE808" s="112"/>
      <c r="AF808" s="112"/>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c r="BK808" s="124"/>
      <c r="BL808" s="124"/>
      <c r="BM808" s="124"/>
      <c r="BN808" s="124"/>
      <c r="BO808" s="124"/>
      <c r="BP808" s="124"/>
      <c r="BQ808" s="124"/>
      <c r="BR808" s="124"/>
      <c r="BS808" s="124"/>
      <c r="BT808" s="124"/>
      <c r="BU808" s="124"/>
      <c r="BV808" s="124"/>
      <c r="BW808" s="124"/>
      <c r="BX808" s="124"/>
      <c r="BY808" s="124"/>
      <c r="BZ808" s="124"/>
      <c r="CA808" s="124"/>
    </row>
    <row r="809">
      <c r="D809" s="143"/>
      <c r="E809" s="129"/>
      <c r="F809" s="112"/>
      <c r="G809" s="112"/>
      <c r="H809" s="112"/>
      <c r="I809" s="112"/>
      <c r="J809" s="112"/>
      <c r="K809" s="112"/>
      <c r="L809" s="112"/>
      <c r="M809" s="112"/>
      <c r="N809" s="112"/>
      <c r="O809" s="112"/>
      <c r="P809" s="112"/>
      <c r="Q809" s="112"/>
      <c r="R809" s="112"/>
      <c r="S809" s="112"/>
      <c r="T809" s="112"/>
      <c r="U809" s="124"/>
      <c r="V809" s="124"/>
      <c r="W809" s="124"/>
      <c r="X809" s="124"/>
      <c r="Y809" s="124"/>
      <c r="Z809" s="112"/>
      <c r="AA809" s="112"/>
      <c r="AB809" s="112"/>
      <c r="AC809" s="112"/>
      <c r="AD809" s="112"/>
      <c r="AE809" s="112"/>
      <c r="AF809" s="112"/>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c r="BK809" s="124"/>
      <c r="BL809" s="124"/>
      <c r="BM809" s="124"/>
      <c r="BN809" s="124"/>
      <c r="BO809" s="124"/>
      <c r="BP809" s="124"/>
      <c r="BQ809" s="124"/>
      <c r="BR809" s="124"/>
      <c r="BS809" s="124"/>
      <c r="BT809" s="124"/>
      <c r="BU809" s="124"/>
      <c r="BV809" s="124"/>
      <c r="BW809" s="124"/>
      <c r="BX809" s="124"/>
      <c r="BY809" s="124"/>
      <c r="BZ809" s="124"/>
      <c r="CA809" s="124"/>
    </row>
    <row r="810">
      <c r="D810" s="143"/>
      <c r="E810" s="129"/>
      <c r="F810" s="112"/>
      <c r="G810" s="112"/>
      <c r="H810" s="112"/>
      <c r="I810" s="112"/>
      <c r="J810" s="112"/>
      <c r="K810" s="112"/>
      <c r="L810" s="112"/>
      <c r="M810" s="112"/>
      <c r="N810" s="112"/>
      <c r="O810" s="112"/>
      <c r="P810" s="112"/>
      <c r="Q810" s="112"/>
      <c r="R810" s="112"/>
      <c r="S810" s="112"/>
      <c r="T810" s="112"/>
      <c r="U810" s="124"/>
      <c r="V810" s="124"/>
      <c r="W810" s="124"/>
      <c r="X810" s="124"/>
      <c r="Y810" s="124"/>
      <c r="Z810" s="112"/>
      <c r="AA810" s="112"/>
      <c r="AB810" s="112"/>
      <c r="AC810" s="112"/>
      <c r="AD810" s="112"/>
      <c r="AE810" s="112"/>
      <c r="AF810" s="112"/>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c r="BK810" s="124"/>
      <c r="BL810" s="124"/>
      <c r="BM810" s="124"/>
      <c r="BN810" s="124"/>
      <c r="BO810" s="124"/>
      <c r="BP810" s="124"/>
      <c r="BQ810" s="124"/>
      <c r="BR810" s="124"/>
      <c r="BS810" s="124"/>
      <c r="BT810" s="124"/>
      <c r="BU810" s="124"/>
      <c r="BV810" s="124"/>
      <c r="BW810" s="124"/>
      <c r="BX810" s="124"/>
      <c r="BY810" s="124"/>
      <c r="BZ810" s="124"/>
      <c r="CA810" s="124"/>
    </row>
    <row r="811">
      <c r="D811" s="143"/>
      <c r="E811" s="129"/>
      <c r="F811" s="112"/>
      <c r="G811" s="112"/>
      <c r="H811" s="112"/>
      <c r="I811" s="112"/>
      <c r="J811" s="112"/>
      <c r="K811" s="112"/>
      <c r="L811" s="112"/>
      <c r="M811" s="112"/>
      <c r="N811" s="112"/>
      <c r="O811" s="112"/>
      <c r="P811" s="112"/>
      <c r="Q811" s="112"/>
      <c r="R811" s="112"/>
      <c r="S811" s="112"/>
      <c r="T811" s="112"/>
      <c r="U811" s="124"/>
      <c r="V811" s="124"/>
      <c r="W811" s="124"/>
      <c r="X811" s="124"/>
      <c r="Y811" s="124"/>
      <c r="Z811" s="112"/>
      <c r="AA811" s="112"/>
      <c r="AB811" s="112"/>
      <c r="AC811" s="112"/>
      <c r="AD811" s="112"/>
      <c r="AE811" s="112"/>
      <c r="AF811" s="112"/>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c r="BK811" s="124"/>
      <c r="BL811" s="124"/>
      <c r="BM811" s="124"/>
      <c r="BN811" s="124"/>
      <c r="BO811" s="124"/>
      <c r="BP811" s="124"/>
      <c r="BQ811" s="124"/>
      <c r="BR811" s="124"/>
      <c r="BS811" s="124"/>
      <c r="BT811" s="124"/>
      <c r="BU811" s="124"/>
      <c r="BV811" s="124"/>
      <c r="BW811" s="124"/>
      <c r="BX811" s="124"/>
      <c r="BY811" s="124"/>
      <c r="BZ811" s="124"/>
      <c r="CA811" s="124"/>
    </row>
    <row r="812">
      <c r="D812" s="143"/>
      <c r="E812" s="129"/>
      <c r="F812" s="112"/>
      <c r="G812" s="112"/>
      <c r="H812" s="112"/>
      <c r="I812" s="112"/>
      <c r="J812" s="112"/>
      <c r="K812" s="112"/>
      <c r="L812" s="112"/>
      <c r="M812" s="112"/>
      <c r="N812" s="112"/>
      <c r="O812" s="112"/>
      <c r="P812" s="112"/>
      <c r="Q812" s="112"/>
      <c r="R812" s="112"/>
      <c r="S812" s="112"/>
      <c r="T812" s="112"/>
      <c r="U812" s="124"/>
      <c r="V812" s="124"/>
      <c r="W812" s="124"/>
      <c r="X812" s="124"/>
      <c r="Y812" s="124"/>
      <c r="Z812" s="112"/>
      <c r="AA812" s="112"/>
      <c r="AB812" s="112"/>
      <c r="AC812" s="112"/>
      <c r="AD812" s="112"/>
      <c r="AE812" s="112"/>
      <c r="AF812" s="112"/>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c r="BK812" s="124"/>
      <c r="BL812" s="124"/>
      <c r="BM812" s="124"/>
      <c r="BN812" s="124"/>
      <c r="BO812" s="124"/>
      <c r="BP812" s="124"/>
      <c r="BQ812" s="124"/>
      <c r="BR812" s="124"/>
      <c r="BS812" s="124"/>
      <c r="BT812" s="124"/>
      <c r="BU812" s="124"/>
      <c r="BV812" s="124"/>
      <c r="BW812" s="124"/>
      <c r="BX812" s="124"/>
      <c r="BY812" s="124"/>
      <c r="BZ812" s="124"/>
      <c r="CA812" s="124"/>
    </row>
    <row r="813">
      <c r="D813" s="143"/>
      <c r="E813" s="129"/>
      <c r="F813" s="112"/>
      <c r="G813" s="112"/>
      <c r="H813" s="112"/>
      <c r="I813" s="112"/>
      <c r="J813" s="112"/>
      <c r="K813" s="112"/>
      <c r="L813" s="112"/>
      <c r="M813" s="112"/>
      <c r="N813" s="112"/>
      <c r="O813" s="112"/>
      <c r="P813" s="112"/>
      <c r="Q813" s="112"/>
      <c r="R813" s="112"/>
      <c r="S813" s="112"/>
      <c r="T813" s="112"/>
      <c r="U813" s="124"/>
      <c r="V813" s="124"/>
      <c r="W813" s="124"/>
      <c r="X813" s="124"/>
      <c r="Y813" s="124"/>
      <c r="Z813" s="112"/>
      <c r="AA813" s="112"/>
      <c r="AB813" s="112"/>
      <c r="AC813" s="112"/>
      <c r="AD813" s="112"/>
      <c r="AE813" s="112"/>
      <c r="AF813" s="112"/>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c r="BK813" s="124"/>
      <c r="BL813" s="124"/>
      <c r="BM813" s="124"/>
      <c r="BN813" s="124"/>
      <c r="BO813" s="124"/>
      <c r="BP813" s="124"/>
      <c r="BQ813" s="124"/>
      <c r="BR813" s="124"/>
      <c r="BS813" s="124"/>
      <c r="BT813" s="124"/>
      <c r="BU813" s="124"/>
      <c r="BV813" s="124"/>
      <c r="BW813" s="124"/>
      <c r="BX813" s="124"/>
      <c r="BY813" s="124"/>
      <c r="BZ813" s="124"/>
      <c r="CA813" s="124"/>
    </row>
    <row r="814">
      <c r="D814" s="143"/>
      <c r="E814" s="129"/>
      <c r="F814" s="112"/>
      <c r="G814" s="112"/>
      <c r="H814" s="112"/>
      <c r="I814" s="112"/>
      <c r="J814" s="112"/>
      <c r="K814" s="112"/>
      <c r="L814" s="112"/>
      <c r="M814" s="112"/>
      <c r="N814" s="112"/>
      <c r="O814" s="112"/>
      <c r="P814" s="112"/>
      <c r="Q814" s="112"/>
      <c r="R814" s="112"/>
      <c r="S814" s="112"/>
      <c r="T814" s="112"/>
      <c r="U814" s="124"/>
      <c r="V814" s="124"/>
      <c r="W814" s="124"/>
      <c r="X814" s="124"/>
      <c r="Y814" s="124"/>
      <c r="Z814" s="112"/>
      <c r="AA814" s="112"/>
      <c r="AB814" s="112"/>
      <c r="AC814" s="112"/>
      <c r="AD814" s="112"/>
      <c r="AE814" s="112"/>
      <c r="AF814" s="112"/>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c r="BK814" s="124"/>
      <c r="BL814" s="124"/>
      <c r="BM814" s="124"/>
      <c r="BN814" s="124"/>
      <c r="BO814" s="124"/>
      <c r="BP814" s="124"/>
      <c r="BQ814" s="124"/>
      <c r="BR814" s="124"/>
      <c r="BS814" s="124"/>
      <c r="BT814" s="124"/>
      <c r="BU814" s="124"/>
      <c r="BV814" s="124"/>
      <c r="BW814" s="124"/>
      <c r="BX814" s="124"/>
      <c r="BY814" s="124"/>
      <c r="BZ814" s="124"/>
      <c r="CA814" s="124"/>
    </row>
    <row r="815">
      <c r="D815" s="143"/>
      <c r="E815" s="129"/>
      <c r="F815" s="112"/>
      <c r="G815" s="112"/>
      <c r="H815" s="112"/>
      <c r="I815" s="112"/>
      <c r="J815" s="112"/>
      <c r="K815" s="112"/>
      <c r="L815" s="112"/>
      <c r="M815" s="112"/>
      <c r="N815" s="112"/>
      <c r="O815" s="112"/>
      <c r="P815" s="112"/>
      <c r="Q815" s="112"/>
      <c r="R815" s="112"/>
      <c r="S815" s="112"/>
      <c r="T815" s="112"/>
      <c r="U815" s="124"/>
      <c r="V815" s="124"/>
      <c r="W815" s="124"/>
      <c r="X815" s="124"/>
      <c r="Y815" s="124"/>
      <c r="Z815" s="112"/>
      <c r="AA815" s="112"/>
      <c r="AB815" s="112"/>
      <c r="AC815" s="112"/>
      <c r="AD815" s="112"/>
      <c r="AE815" s="112"/>
      <c r="AF815" s="112"/>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c r="BK815" s="124"/>
      <c r="BL815" s="124"/>
      <c r="BM815" s="124"/>
      <c r="BN815" s="124"/>
      <c r="BO815" s="124"/>
      <c r="BP815" s="124"/>
      <c r="BQ815" s="124"/>
      <c r="BR815" s="124"/>
      <c r="BS815" s="124"/>
      <c r="BT815" s="124"/>
      <c r="BU815" s="124"/>
      <c r="BV815" s="124"/>
      <c r="BW815" s="124"/>
      <c r="BX815" s="124"/>
      <c r="BY815" s="124"/>
      <c r="BZ815" s="124"/>
      <c r="CA815" s="124"/>
    </row>
    <row r="816">
      <c r="D816" s="143"/>
      <c r="E816" s="129"/>
      <c r="F816" s="112"/>
      <c r="G816" s="112"/>
      <c r="H816" s="112"/>
      <c r="I816" s="112"/>
      <c r="J816" s="112"/>
      <c r="K816" s="112"/>
      <c r="L816" s="112"/>
      <c r="M816" s="112"/>
      <c r="N816" s="112"/>
      <c r="O816" s="112"/>
      <c r="P816" s="112"/>
      <c r="Q816" s="112"/>
      <c r="R816" s="112"/>
      <c r="S816" s="112"/>
      <c r="T816" s="112"/>
      <c r="U816" s="124"/>
      <c r="V816" s="124"/>
      <c r="W816" s="124"/>
      <c r="X816" s="124"/>
      <c r="Y816" s="124"/>
      <c r="Z816" s="112"/>
      <c r="AA816" s="112"/>
      <c r="AB816" s="112"/>
      <c r="AC816" s="112"/>
      <c r="AD816" s="112"/>
      <c r="AE816" s="112"/>
      <c r="AF816" s="112"/>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c r="BK816" s="124"/>
      <c r="BL816" s="124"/>
      <c r="BM816" s="124"/>
      <c r="BN816" s="124"/>
      <c r="BO816" s="124"/>
      <c r="BP816" s="124"/>
      <c r="BQ816" s="124"/>
      <c r="BR816" s="124"/>
      <c r="BS816" s="124"/>
      <c r="BT816" s="124"/>
      <c r="BU816" s="124"/>
      <c r="BV816" s="124"/>
      <c r="BW816" s="124"/>
      <c r="BX816" s="124"/>
      <c r="BY816" s="124"/>
      <c r="BZ816" s="124"/>
      <c r="CA816" s="124"/>
    </row>
    <row r="817">
      <c r="D817" s="143"/>
      <c r="E817" s="129"/>
      <c r="F817" s="112"/>
      <c r="G817" s="112"/>
      <c r="H817" s="112"/>
      <c r="I817" s="112"/>
      <c r="J817" s="112"/>
      <c r="K817" s="112"/>
      <c r="L817" s="112"/>
      <c r="M817" s="112"/>
      <c r="N817" s="112"/>
      <c r="O817" s="112"/>
      <c r="P817" s="112"/>
      <c r="Q817" s="112"/>
      <c r="R817" s="112"/>
      <c r="S817" s="112"/>
      <c r="T817" s="112"/>
      <c r="U817" s="124"/>
      <c r="V817" s="124"/>
      <c r="W817" s="124"/>
      <c r="X817" s="124"/>
      <c r="Y817" s="124"/>
      <c r="Z817" s="112"/>
      <c r="AA817" s="112"/>
      <c r="AB817" s="112"/>
      <c r="AC817" s="112"/>
      <c r="AD817" s="112"/>
      <c r="AE817" s="112"/>
      <c r="AF817" s="112"/>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c r="BK817" s="124"/>
      <c r="BL817" s="124"/>
      <c r="BM817" s="124"/>
      <c r="BN817" s="124"/>
      <c r="BO817" s="124"/>
      <c r="BP817" s="124"/>
      <c r="BQ817" s="124"/>
      <c r="BR817" s="124"/>
      <c r="BS817" s="124"/>
      <c r="BT817" s="124"/>
      <c r="BU817" s="124"/>
      <c r="BV817" s="124"/>
      <c r="BW817" s="124"/>
      <c r="BX817" s="124"/>
      <c r="BY817" s="124"/>
      <c r="BZ817" s="124"/>
      <c r="CA817" s="124"/>
    </row>
    <row r="818">
      <c r="D818" s="143"/>
      <c r="E818" s="129"/>
      <c r="F818" s="112"/>
      <c r="G818" s="112"/>
      <c r="H818" s="112"/>
      <c r="I818" s="112"/>
      <c r="J818" s="112"/>
      <c r="K818" s="112"/>
      <c r="L818" s="112"/>
      <c r="M818" s="112"/>
      <c r="N818" s="112"/>
      <c r="O818" s="112"/>
      <c r="P818" s="112"/>
      <c r="Q818" s="112"/>
      <c r="R818" s="112"/>
      <c r="S818" s="112"/>
      <c r="T818" s="112"/>
      <c r="U818" s="124"/>
      <c r="V818" s="124"/>
      <c r="W818" s="124"/>
      <c r="X818" s="124"/>
      <c r="Y818" s="124"/>
      <c r="Z818" s="112"/>
      <c r="AA818" s="112"/>
      <c r="AB818" s="112"/>
      <c r="AC818" s="112"/>
      <c r="AD818" s="112"/>
      <c r="AE818" s="112"/>
      <c r="AF818" s="112"/>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c r="BK818" s="124"/>
      <c r="BL818" s="124"/>
      <c r="BM818" s="124"/>
      <c r="BN818" s="124"/>
      <c r="BO818" s="124"/>
      <c r="BP818" s="124"/>
      <c r="BQ818" s="124"/>
      <c r="BR818" s="124"/>
      <c r="BS818" s="124"/>
      <c r="BT818" s="124"/>
      <c r="BU818" s="124"/>
      <c r="BV818" s="124"/>
      <c r="BW818" s="124"/>
      <c r="BX818" s="124"/>
      <c r="BY818" s="124"/>
      <c r="BZ818" s="124"/>
      <c r="CA818" s="124"/>
    </row>
    <row r="819">
      <c r="D819" s="143"/>
      <c r="E819" s="129"/>
      <c r="F819" s="112"/>
      <c r="G819" s="112"/>
      <c r="H819" s="112"/>
      <c r="I819" s="112"/>
      <c r="J819" s="112"/>
      <c r="K819" s="112"/>
      <c r="L819" s="112"/>
      <c r="M819" s="112"/>
      <c r="N819" s="112"/>
      <c r="O819" s="112"/>
      <c r="P819" s="112"/>
      <c r="Q819" s="112"/>
      <c r="R819" s="112"/>
      <c r="S819" s="112"/>
      <c r="T819" s="112"/>
      <c r="U819" s="124"/>
      <c r="V819" s="124"/>
      <c r="W819" s="124"/>
      <c r="X819" s="124"/>
      <c r="Y819" s="124"/>
      <c r="Z819" s="112"/>
      <c r="AA819" s="112"/>
      <c r="AB819" s="112"/>
      <c r="AC819" s="112"/>
      <c r="AD819" s="112"/>
      <c r="AE819" s="112"/>
      <c r="AF819" s="112"/>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c r="BK819" s="124"/>
      <c r="BL819" s="124"/>
      <c r="BM819" s="124"/>
      <c r="BN819" s="124"/>
      <c r="BO819" s="124"/>
      <c r="BP819" s="124"/>
      <c r="BQ819" s="124"/>
      <c r="BR819" s="124"/>
      <c r="BS819" s="124"/>
      <c r="BT819" s="124"/>
      <c r="BU819" s="124"/>
      <c r="BV819" s="124"/>
      <c r="BW819" s="124"/>
      <c r="BX819" s="124"/>
      <c r="BY819" s="124"/>
      <c r="BZ819" s="124"/>
      <c r="CA819" s="124"/>
    </row>
    <row r="820">
      <c r="D820" s="143"/>
      <c r="E820" s="129"/>
      <c r="F820" s="112"/>
      <c r="G820" s="112"/>
      <c r="H820" s="112"/>
      <c r="I820" s="112"/>
      <c r="J820" s="112"/>
      <c r="K820" s="112"/>
      <c r="L820" s="112"/>
      <c r="M820" s="112"/>
      <c r="N820" s="112"/>
      <c r="O820" s="112"/>
      <c r="P820" s="112"/>
      <c r="Q820" s="112"/>
      <c r="R820" s="112"/>
      <c r="S820" s="112"/>
      <c r="T820" s="112"/>
      <c r="U820" s="124"/>
      <c r="V820" s="124"/>
      <c r="W820" s="124"/>
      <c r="X820" s="124"/>
      <c r="Y820" s="124"/>
      <c r="Z820" s="112"/>
      <c r="AA820" s="112"/>
      <c r="AB820" s="112"/>
      <c r="AC820" s="112"/>
      <c r="AD820" s="112"/>
      <c r="AE820" s="112"/>
      <c r="AF820" s="112"/>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c r="BK820" s="124"/>
      <c r="BL820" s="124"/>
      <c r="BM820" s="124"/>
      <c r="BN820" s="124"/>
      <c r="BO820" s="124"/>
      <c r="BP820" s="124"/>
      <c r="BQ820" s="124"/>
      <c r="BR820" s="124"/>
      <c r="BS820" s="124"/>
      <c r="BT820" s="124"/>
      <c r="BU820" s="124"/>
      <c r="BV820" s="124"/>
      <c r="BW820" s="124"/>
      <c r="BX820" s="124"/>
      <c r="BY820" s="124"/>
      <c r="BZ820" s="124"/>
      <c r="CA820" s="124"/>
    </row>
    <row r="821">
      <c r="D821" s="143"/>
      <c r="E821" s="129"/>
      <c r="F821" s="112"/>
      <c r="G821" s="112"/>
      <c r="H821" s="112"/>
      <c r="I821" s="112"/>
      <c r="J821" s="112"/>
      <c r="K821" s="112"/>
      <c r="L821" s="112"/>
      <c r="M821" s="112"/>
      <c r="N821" s="112"/>
      <c r="O821" s="112"/>
      <c r="P821" s="112"/>
      <c r="Q821" s="112"/>
      <c r="R821" s="112"/>
      <c r="S821" s="112"/>
      <c r="T821" s="112"/>
      <c r="U821" s="124"/>
      <c r="V821" s="124"/>
      <c r="W821" s="124"/>
      <c r="X821" s="124"/>
      <c r="Y821" s="124"/>
      <c r="Z821" s="112"/>
      <c r="AA821" s="112"/>
      <c r="AB821" s="112"/>
      <c r="AC821" s="112"/>
      <c r="AD821" s="112"/>
      <c r="AE821" s="112"/>
      <c r="AF821" s="112"/>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c r="BK821" s="124"/>
      <c r="BL821" s="124"/>
      <c r="BM821" s="124"/>
      <c r="BN821" s="124"/>
      <c r="BO821" s="124"/>
      <c r="BP821" s="124"/>
      <c r="BQ821" s="124"/>
      <c r="BR821" s="124"/>
      <c r="BS821" s="124"/>
      <c r="BT821" s="124"/>
      <c r="BU821" s="124"/>
      <c r="BV821" s="124"/>
      <c r="BW821" s="124"/>
      <c r="BX821" s="124"/>
      <c r="BY821" s="124"/>
      <c r="BZ821" s="124"/>
      <c r="CA821" s="124"/>
    </row>
    <row r="822">
      <c r="D822" s="143"/>
      <c r="E822" s="129"/>
      <c r="F822" s="112"/>
      <c r="G822" s="112"/>
      <c r="H822" s="112"/>
      <c r="I822" s="112"/>
      <c r="J822" s="112"/>
      <c r="K822" s="112"/>
      <c r="L822" s="112"/>
      <c r="M822" s="112"/>
      <c r="N822" s="112"/>
      <c r="O822" s="112"/>
      <c r="P822" s="112"/>
      <c r="Q822" s="112"/>
      <c r="R822" s="112"/>
      <c r="S822" s="112"/>
      <c r="T822" s="112"/>
      <c r="U822" s="124"/>
      <c r="V822" s="124"/>
      <c r="W822" s="124"/>
      <c r="X822" s="124"/>
      <c r="Y822" s="124"/>
      <c r="Z822" s="112"/>
      <c r="AA822" s="112"/>
      <c r="AB822" s="112"/>
      <c r="AC822" s="112"/>
      <c r="AD822" s="112"/>
      <c r="AE822" s="112"/>
      <c r="AF822" s="112"/>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c r="BK822" s="124"/>
      <c r="BL822" s="124"/>
      <c r="BM822" s="124"/>
      <c r="BN822" s="124"/>
      <c r="BO822" s="124"/>
      <c r="BP822" s="124"/>
      <c r="BQ822" s="124"/>
      <c r="BR822" s="124"/>
      <c r="BS822" s="124"/>
      <c r="BT822" s="124"/>
      <c r="BU822" s="124"/>
      <c r="BV822" s="124"/>
      <c r="BW822" s="124"/>
      <c r="BX822" s="124"/>
      <c r="BY822" s="124"/>
      <c r="BZ822" s="124"/>
      <c r="CA822" s="124"/>
    </row>
    <row r="823">
      <c r="D823" s="143"/>
      <c r="E823" s="129"/>
      <c r="F823" s="112"/>
      <c r="G823" s="112"/>
      <c r="H823" s="112"/>
      <c r="I823" s="112"/>
      <c r="J823" s="112"/>
      <c r="K823" s="112"/>
      <c r="L823" s="112"/>
      <c r="M823" s="112"/>
      <c r="N823" s="112"/>
      <c r="O823" s="112"/>
      <c r="P823" s="112"/>
      <c r="Q823" s="112"/>
      <c r="R823" s="112"/>
      <c r="S823" s="112"/>
      <c r="T823" s="112"/>
      <c r="U823" s="124"/>
      <c r="V823" s="124"/>
      <c r="W823" s="124"/>
      <c r="X823" s="124"/>
      <c r="Y823" s="124"/>
      <c r="Z823" s="112"/>
      <c r="AA823" s="112"/>
      <c r="AB823" s="112"/>
      <c r="AC823" s="112"/>
      <c r="AD823" s="112"/>
      <c r="AE823" s="112"/>
      <c r="AF823" s="112"/>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c r="BK823" s="124"/>
      <c r="BL823" s="124"/>
      <c r="BM823" s="124"/>
      <c r="BN823" s="124"/>
      <c r="BO823" s="124"/>
      <c r="BP823" s="124"/>
      <c r="BQ823" s="124"/>
      <c r="BR823" s="124"/>
      <c r="BS823" s="124"/>
      <c r="BT823" s="124"/>
      <c r="BU823" s="124"/>
      <c r="BV823" s="124"/>
      <c r="BW823" s="124"/>
      <c r="BX823" s="124"/>
      <c r="BY823" s="124"/>
      <c r="BZ823" s="124"/>
      <c r="CA823" s="124"/>
    </row>
    <row r="824">
      <c r="D824" s="143"/>
      <c r="E824" s="129"/>
      <c r="F824" s="112"/>
      <c r="G824" s="112"/>
      <c r="H824" s="112"/>
      <c r="I824" s="112"/>
      <c r="J824" s="112"/>
      <c r="K824" s="112"/>
      <c r="L824" s="112"/>
      <c r="M824" s="112"/>
      <c r="N824" s="112"/>
      <c r="O824" s="112"/>
      <c r="P824" s="112"/>
      <c r="Q824" s="112"/>
      <c r="R824" s="112"/>
      <c r="S824" s="112"/>
      <c r="T824" s="112"/>
      <c r="U824" s="124"/>
      <c r="V824" s="124"/>
      <c r="W824" s="124"/>
      <c r="X824" s="124"/>
      <c r="Y824" s="124"/>
      <c r="Z824" s="112"/>
      <c r="AA824" s="112"/>
      <c r="AB824" s="112"/>
      <c r="AC824" s="112"/>
      <c r="AD824" s="112"/>
      <c r="AE824" s="112"/>
      <c r="AF824" s="112"/>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c r="BK824" s="124"/>
      <c r="BL824" s="124"/>
      <c r="BM824" s="124"/>
      <c r="BN824" s="124"/>
      <c r="BO824" s="124"/>
      <c r="BP824" s="124"/>
      <c r="BQ824" s="124"/>
      <c r="BR824" s="124"/>
      <c r="BS824" s="124"/>
      <c r="BT824" s="124"/>
      <c r="BU824" s="124"/>
      <c r="BV824" s="124"/>
      <c r="BW824" s="124"/>
      <c r="BX824" s="124"/>
      <c r="BY824" s="124"/>
      <c r="BZ824" s="124"/>
      <c r="CA824" s="124"/>
    </row>
    <row r="825">
      <c r="D825" s="143"/>
      <c r="E825" s="129"/>
      <c r="F825" s="112"/>
      <c r="G825" s="112"/>
      <c r="H825" s="112"/>
      <c r="I825" s="112"/>
      <c r="J825" s="112"/>
      <c r="K825" s="112"/>
      <c r="L825" s="112"/>
      <c r="M825" s="112"/>
      <c r="N825" s="112"/>
      <c r="O825" s="112"/>
      <c r="P825" s="112"/>
      <c r="Q825" s="112"/>
      <c r="R825" s="112"/>
      <c r="S825" s="112"/>
      <c r="T825" s="112"/>
      <c r="U825" s="124"/>
      <c r="V825" s="124"/>
      <c r="W825" s="124"/>
      <c r="X825" s="124"/>
      <c r="Y825" s="124"/>
      <c r="Z825" s="112"/>
      <c r="AA825" s="112"/>
      <c r="AB825" s="112"/>
      <c r="AC825" s="112"/>
      <c r="AD825" s="112"/>
      <c r="AE825" s="112"/>
      <c r="AF825" s="112"/>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c r="BK825" s="124"/>
      <c r="BL825" s="124"/>
      <c r="BM825" s="124"/>
      <c r="BN825" s="124"/>
      <c r="BO825" s="124"/>
      <c r="BP825" s="124"/>
      <c r="BQ825" s="124"/>
      <c r="BR825" s="124"/>
      <c r="BS825" s="124"/>
      <c r="BT825" s="124"/>
      <c r="BU825" s="124"/>
      <c r="BV825" s="124"/>
      <c r="BW825" s="124"/>
      <c r="BX825" s="124"/>
      <c r="BY825" s="124"/>
      <c r="BZ825" s="124"/>
      <c r="CA825" s="124"/>
    </row>
    <row r="826">
      <c r="D826" s="143"/>
      <c r="E826" s="129"/>
      <c r="F826" s="112"/>
      <c r="G826" s="112"/>
      <c r="H826" s="112"/>
      <c r="I826" s="112"/>
      <c r="J826" s="112"/>
      <c r="K826" s="112"/>
      <c r="L826" s="112"/>
      <c r="M826" s="112"/>
      <c r="N826" s="112"/>
      <c r="O826" s="112"/>
      <c r="P826" s="112"/>
      <c r="Q826" s="112"/>
      <c r="R826" s="112"/>
      <c r="S826" s="112"/>
      <c r="T826" s="112"/>
      <c r="U826" s="124"/>
      <c r="V826" s="124"/>
      <c r="W826" s="124"/>
      <c r="X826" s="124"/>
      <c r="Y826" s="124"/>
      <c r="Z826" s="112"/>
      <c r="AA826" s="112"/>
      <c r="AB826" s="112"/>
      <c r="AC826" s="112"/>
      <c r="AD826" s="112"/>
      <c r="AE826" s="112"/>
      <c r="AF826" s="112"/>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c r="BK826" s="124"/>
      <c r="BL826" s="124"/>
      <c r="BM826" s="124"/>
      <c r="BN826" s="124"/>
      <c r="BO826" s="124"/>
      <c r="BP826" s="124"/>
      <c r="BQ826" s="124"/>
      <c r="BR826" s="124"/>
      <c r="BS826" s="124"/>
      <c r="BT826" s="124"/>
      <c r="BU826" s="124"/>
      <c r="BV826" s="124"/>
      <c r="BW826" s="124"/>
      <c r="BX826" s="124"/>
      <c r="BY826" s="124"/>
      <c r="BZ826" s="124"/>
      <c r="CA826" s="124"/>
    </row>
    <row r="827">
      <c r="D827" s="143"/>
      <c r="E827" s="129"/>
      <c r="F827" s="112"/>
      <c r="G827" s="112"/>
      <c r="H827" s="112"/>
      <c r="I827" s="112"/>
      <c r="J827" s="112"/>
      <c r="K827" s="112"/>
      <c r="L827" s="112"/>
      <c r="M827" s="112"/>
      <c r="N827" s="112"/>
      <c r="O827" s="112"/>
      <c r="P827" s="112"/>
      <c r="Q827" s="112"/>
      <c r="R827" s="112"/>
      <c r="S827" s="112"/>
      <c r="T827" s="112"/>
      <c r="U827" s="124"/>
      <c r="V827" s="124"/>
      <c r="W827" s="124"/>
      <c r="X827" s="124"/>
      <c r="Y827" s="124"/>
      <c r="Z827" s="112"/>
      <c r="AA827" s="112"/>
      <c r="AB827" s="112"/>
      <c r="AC827" s="112"/>
      <c r="AD827" s="112"/>
      <c r="AE827" s="112"/>
      <c r="AF827" s="112"/>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c r="BK827" s="124"/>
      <c r="BL827" s="124"/>
      <c r="BM827" s="124"/>
      <c r="BN827" s="124"/>
      <c r="BO827" s="124"/>
      <c r="BP827" s="124"/>
      <c r="BQ827" s="124"/>
      <c r="BR827" s="124"/>
      <c r="BS827" s="124"/>
      <c r="BT827" s="124"/>
      <c r="BU827" s="124"/>
      <c r="BV827" s="124"/>
      <c r="BW827" s="124"/>
      <c r="BX827" s="124"/>
      <c r="BY827" s="124"/>
      <c r="BZ827" s="124"/>
      <c r="CA827" s="124"/>
    </row>
    <row r="828">
      <c r="D828" s="143"/>
      <c r="E828" s="129"/>
      <c r="F828" s="112"/>
      <c r="G828" s="112"/>
      <c r="H828" s="112"/>
      <c r="I828" s="112"/>
      <c r="J828" s="112"/>
      <c r="K828" s="112"/>
      <c r="L828" s="112"/>
      <c r="M828" s="112"/>
      <c r="N828" s="112"/>
      <c r="O828" s="112"/>
      <c r="P828" s="112"/>
      <c r="Q828" s="112"/>
      <c r="R828" s="112"/>
      <c r="S828" s="112"/>
      <c r="T828" s="112"/>
      <c r="U828" s="124"/>
      <c r="V828" s="124"/>
      <c r="W828" s="124"/>
      <c r="X828" s="124"/>
      <c r="Y828" s="124"/>
      <c r="Z828" s="112"/>
      <c r="AA828" s="112"/>
      <c r="AB828" s="112"/>
      <c r="AC828" s="112"/>
      <c r="AD828" s="112"/>
      <c r="AE828" s="112"/>
      <c r="AF828" s="112"/>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c r="BK828" s="124"/>
      <c r="BL828" s="124"/>
      <c r="BM828" s="124"/>
      <c r="BN828" s="124"/>
      <c r="BO828" s="124"/>
      <c r="BP828" s="124"/>
      <c r="BQ828" s="124"/>
      <c r="BR828" s="124"/>
      <c r="BS828" s="124"/>
      <c r="BT828" s="124"/>
      <c r="BU828" s="124"/>
      <c r="BV828" s="124"/>
      <c r="BW828" s="124"/>
      <c r="BX828" s="124"/>
      <c r="BY828" s="124"/>
      <c r="BZ828" s="124"/>
      <c r="CA828" s="124"/>
    </row>
    <row r="829">
      <c r="D829" s="143"/>
      <c r="E829" s="129"/>
      <c r="F829" s="112"/>
      <c r="G829" s="112"/>
      <c r="H829" s="112"/>
      <c r="I829" s="112"/>
      <c r="J829" s="112"/>
      <c r="K829" s="112"/>
      <c r="L829" s="112"/>
      <c r="M829" s="112"/>
      <c r="N829" s="112"/>
      <c r="O829" s="112"/>
      <c r="P829" s="112"/>
      <c r="Q829" s="112"/>
      <c r="R829" s="112"/>
      <c r="S829" s="112"/>
      <c r="T829" s="112"/>
      <c r="U829" s="124"/>
      <c r="V829" s="124"/>
      <c r="W829" s="124"/>
      <c r="X829" s="124"/>
      <c r="Y829" s="124"/>
      <c r="Z829" s="112"/>
      <c r="AA829" s="112"/>
      <c r="AB829" s="112"/>
      <c r="AC829" s="112"/>
      <c r="AD829" s="112"/>
      <c r="AE829" s="112"/>
      <c r="AF829" s="112"/>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c r="BK829" s="124"/>
      <c r="BL829" s="124"/>
      <c r="BM829" s="124"/>
      <c r="BN829" s="124"/>
      <c r="BO829" s="124"/>
      <c r="BP829" s="124"/>
      <c r="BQ829" s="124"/>
      <c r="BR829" s="124"/>
      <c r="BS829" s="124"/>
      <c r="BT829" s="124"/>
      <c r="BU829" s="124"/>
      <c r="BV829" s="124"/>
      <c r="BW829" s="124"/>
      <c r="BX829" s="124"/>
      <c r="BY829" s="124"/>
      <c r="BZ829" s="124"/>
      <c r="CA829" s="124"/>
    </row>
    <row r="830">
      <c r="D830" s="143"/>
      <c r="E830" s="129"/>
      <c r="F830" s="112"/>
      <c r="G830" s="112"/>
      <c r="H830" s="112"/>
      <c r="I830" s="112"/>
      <c r="J830" s="112"/>
      <c r="K830" s="112"/>
      <c r="L830" s="112"/>
      <c r="M830" s="112"/>
      <c r="N830" s="112"/>
      <c r="O830" s="112"/>
      <c r="P830" s="112"/>
      <c r="Q830" s="112"/>
      <c r="R830" s="112"/>
      <c r="S830" s="112"/>
      <c r="T830" s="112"/>
      <c r="U830" s="124"/>
      <c r="V830" s="124"/>
      <c r="W830" s="124"/>
      <c r="X830" s="124"/>
      <c r="Y830" s="124"/>
      <c r="Z830" s="112"/>
      <c r="AA830" s="112"/>
      <c r="AB830" s="112"/>
      <c r="AC830" s="112"/>
      <c r="AD830" s="112"/>
      <c r="AE830" s="112"/>
      <c r="AF830" s="112"/>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c r="BK830" s="124"/>
      <c r="BL830" s="124"/>
      <c r="BM830" s="124"/>
      <c r="BN830" s="124"/>
      <c r="BO830" s="124"/>
      <c r="BP830" s="124"/>
      <c r="BQ830" s="124"/>
      <c r="BR830" s="124"/>
      <c r="BS830" s="124"/>
      <c r="BT830" s="124"/>
      <c r="BU830" s="124"/>
      <c r="BV830" s="124"/>
      <c r="BW830" s="124"/>
      <c r="BX830" s="124"/>
      <c r="BY830" s="124"/>
      <c r="BZ830" s="124"/>
      <c r="CA830" s="124"/>
    </row>
    <row r="831">
      <c r="D831" s="143"/>
      <c r="E831" s="129"/>
      <c r="F831" s="112"/>
      <c r="G831" s="112"/>
      <c r="H831" s="112"/>
      <c r="I831" s="112"/>
      <c r="J831" s="112"/>
      <c r="K831" s="112"/>
      <c r="L831" s="112"/>
      <c r="M831" s="112"/>
      <c r="N831" s="112"/>
      <c r="O831" s="112"/>
      <c r="P831" s="112"/>
      <c r="Q831" s="112"/>
      <c r="R831" s="112"/>
      <c r="S831" s="112"/>
      <c r="T831" s="112"/>
      <c r="U831" s="124"/>
      <c r="V831" s="124"/>
      <c r="W831" s="124"/>
      <c r="X831" s="124"/>
      <c r="Y831" s="124"/>
      <c r="Z831" s="112"/>
      <c r="AA831" s="112"/>
      <c r="AB831" s="112"/>
      <c r="AC831" s="112"/>
      <c r="AD831" s="112"/>
      <c r="AE831" s="112"/>
      <c r="AF831" s="112"/>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c r="BK831" s="124"/>
      <c r="BL831" s="124"/>
      <c r="BM831" s="124"/>
      <c r="BN831" s="124"/>
      <c r="BO831" s="124"/>
      <c r="BP831" s="124"/>
      <c r="BQ831" s="124"/>
      <c r="BR831" s="124"/>
      <c r="BS831" s="124"/>
      <c r="BT831" s="124"/>
      <c r="BU831" s="124"/>
      <c r="BV831" s="124"/>
      <c r="BW831" s="124"/>
      <c r="BX831" s="124"/>
      <c r="BY831" s="124"/>
      <c r="BZ831" s="124"/>
      <c r="CA831" s="124"/>
    </row>
    <row r="832">
      <c r="D832" s="143"/>
      <c r="E832" s="129"/>
      <c r="F832" s="112"/>
      <c r="G832" s="112"/>
      <c r="H832" s="112"/>
      <c r="I832" s="112"/>
      <c r="J832" s="112"/>
      <c r="K832" s="112"/>
      <c r="L832" s="112"/>
      <c r="M832" s="112"/>
      <c r="N832" s="112"/>
      <c r="O832" s="112"/>
      <c r="P832" s="112"/>
      <c r="Q832" s="112"/>
      <c r="R832" s="112"/>
      <c r="S832" s="112"/>
      <c r="T832" s="112"/>
      <c r="U832" s="124"/>
      <c r="V832" s="124"/>
      <c r="W832" s="124"/>
      <c r="X832" s="124"/>
      <c r="Y832" s="124"/>
      <c r="Z832" s="112"/>
      <c r="AA832" s="112"/>
      <c r="AB832" s="112"/>
      <c r="AC832" s="112"/>
      <c r="AD832" s="112"/>
      <c r="AE832" s="112"/>
      <c r="AF832" s="112"/>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c r="BK832" s="124"/>
      <c r="BL832" s="124"/>
      <c r="BM832" s="124"/>
      <c r="BN832" s="124"/>
      <c r="BO832" s="124"/>
      <c r="BP832" s="124"/>
      <c r="BQ832" s="124"/>
      <c r="BR832" s="124"/>
      <c r="BS832" s="124"/>
      <c r="BT832" s="124"/>
      <c r="BU832" s="124"/>
      <c r="BV832" s="124"/>
      <c r="BW832" s="124"/>
      <c r="BX832" s="124"/>
      <c r="BY832" s="124"/>
      <c r="BZ832" s="124"/>
      <c r="CA832" s="124"/>
    </row>
    <row r="833">
      <c r="D833" s="143"/>
      <c r="E833" s="129"/>
      <c r="F833" s="112"/>
      <c r="G833" s="112"/>
      <c r="H833" s="112"/>
      <c r="I833" s="112"/>
      <c r="J833" s="112"/>
      <c r="K833" s="112"/>
      <c r="L833" s="112"/>
      <c r="M833" s="112"/>
      <c r="N833" s="112"/>
      <c r="O833" s="112"/>
      <c r="P833" s="112"/>
      <c r="Q833" s="112"/>
      <c r="R833" s="112"/>
      <c r="S833" s="112"/>
      <c r="T833" s="112"/>
      <c r="U833" s="124"/>
      <c r="V833" s="124"/>
      <c r="W833" s="124"/>
      <c r="X833" s="124"/>
      <c r="Y833" s="124"/>
      <c r="Z833" s="112"/>
      <c r="AA833" s="112"/>
      <c r="AB833" s="112"/>
      <c r="AC833" s="112"/>
      <c r="AD833" s="112"/>
      <c r="AE833" s="112"/>
      <c r="AF833" s="112"/>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c r="BK833" s="124"/>
      <c r="BL833" s="124"/>
      <c r="BM833" s="124"/>
      <c r="BN833" s="124"/>
      <c r="BO833" s="124"/>
      <c r="BP833" s="124"/>
      <c r="BQ833" s="124"/>
      <c r="BR833" s="124"/>
      <c r="BS833" s="124"/>
      <c r="BT833" s="124"/>
      <c r="BU833" s="124"/>
      <c r="BV833" s="124"/>
      <c r="BW833" s="124"/>
      <c r="BX833" s="124"/>
      <c r="BY833" s="124"/>
      <c r="BZ833" s="124"/>
      <c r="CA833" s="124"/>
    </row>
    <row r="834">
      <c r="D834" s="143"/>
      <c r="E834" s="129"/>
      <c r="F834" s="112"/>
      <c r="G834" s="112"/>
      <c r="H834" s="112"/>
      <c r="I834" s="112"/>
      <c r="J834" s="112"/>
      <c r="K834" s="112"/>
      <c r="L834" s="112"/>
      <c r="M834" s="112"/>
      <c r="N834" s="112"/>
      <c r="O834" s="112"/>
      <c r="P834" s="112"/>
      <c r="Q834" s="112"/>
      <c r="R834" s="112"/>
      <c r="S834" s="112"/>
      <c r="T834" s="112"/>
      <c r="U834" s="124"/>
      <c r="V834" s="124"/>
      <c r="W834" s="124"/>
      <c r="X834" s="124"/>
      <c r="Y834" s="124"/>
      <c r="Z834" s="112"/>
      <c r="AA834" s="112"/>
      <c r="AB834" s="112"/>
      <c r="AC834" s="112"/>
      <c r="AD834" s="112"/>
      <c r="AE834" s="112"/>
      <c r="AF834" s="112"/>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c r="BK834" s="124"/>
      <c r="BL834" s="124"/>
      <c r="BM834" s="124"/>
      <c r="BN834" s="124"/>
      <c r="BO834" s="124"/>
      <c r="BP834" s="124"/>
      <c r="BQ834" s="124"/>
      <c r="BR834" s="124"/>
      <c r="BS834" s="124"/>
      <c r="BT834" s="124"/>
      <c r="BU834" s="124"/>
      <c r="BV834" s="124"/>
      <c r="BW834" s="124"/>
      <c r="BX834" s="124"/>
      <c r="BY834" s="124"/>
      <c r="BZ834" s="124"/>
      <c r="CA834" s="124"/>
    </row>
    <row r="835">
      <c r="D835" s="143"/>
      <c r="E835" s="129"/>
      <c r="F835" s="112"/>
      <c r="G835" s="112"/>
      <c r="H835" s="112"/>
      <c r="I835" s="112"/>
      <c r="J835" s="112"/>
      <c r="K835" s="112"/>
      <c r="L835" s="112"/>
      <c r="M835" s="112"/>
      <c r="N835" s="112"/>
      <c r="O835" s="112"/>
      <c r="P835" s="112"/>
      <c r="Q835" s="112"/>
      <c r="R835" s="112"/>
      <c r="S835" s="112"/>
      <c r="T835" s="112"/>
      <c r="U835" s="124"/>
      <c r="V835" s="124"/>
      <c r="W835" s="124"/>
      <c r="X835" s="124"/>
      <c r="Y835" s="124"/>
      <c r="Z835" s="112"/>
      <c r="AA835" s="112"/>
      <c r="AB835" s="112"/>
      <c r="AC835" s="112"/>
      <c r="AD835" s="112"/>
      <c r="AE835" s="112"/>
      <c r="AF835" s="112"/>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c r="BK835" s="124"/>
      <c r="BL835" s="124"/>
      <c r="BM835" s="124"/>
      <c r="BN835" s="124"/>
      <c r="BO835" s="124"/>
      <c r="BP835" s="124"/>
      <c r="BQ835" s="124"/>
      <c r="BR835" s="124"/>
      <c r="BS835" s="124"/>
      <c r="BT835" s="124"/>
      <c r="BU835" s="124"/>
      <c r="BV835" s="124"/>
      <c r="BW835" s="124"/>
      <c r="BX835" s="124"/>
      <c r="BY835" s="124"/>
      <c r="BZ835" s="124"/>
      <c r="CA835" s="124"/>
    </row>
    <row r="836">
      <c r="D836" s="143"/>
      <c r="E836" s="129"/>
      <c r="F836" s="112"/>
      <c r="G836" s="112"/>
      <c r="H836" s="112"/>
      <c r="I836" s="112"/>
      <c r="J836" s="112"/>
      <c r="K836" s="112"/>
      <c r="L836" s="112"/>
      <c r="M836" s="112"/>
      <c r="N836" s="112"/>
      <c r="O836" s="112"/>
      <c r="P836" s="112"/>
      <c r="Q836" s="112"/>
      <c r="R836" s="112"/>
      <c r="S836" s="112"/>
      <c r="T836" s="112"/>
      <c r="U836" s="124"/>
      <c r="V836" s="124"/>
      <c r="W836" s="124"/>
      <c r="X836" s="124"/>
      <c r="Y836" s="124"/>
      <c r="Z836" s="112"/>
      <c r="AA836" s="112"/>
      <c r="AB836" s="112"/>
      <c r="AC836" s="112"/>
      <c r="AD836" s="112"/>
      <c r="AE836" s="112"/>
      <c r="AF836" s="112"/>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c r="BK836" s="124"/>
      <c r="BL836" s="124"/>
      <c r="BM836" s="124"/>
      <c r="BN836" s="124"/>
      <c r="BO836" s="124"/>
      <c r="BP836" s="124"/>
      <c r="BQ836" s="124"/>
      <c r="BR836" s="124"/>
      <c r="BS836" s="124"/>
      <c r="BT836" s="124"/>
      <c r="BU836" s="124"/>
      <c r="BV836" s="124"/>
      <c r="BW836" s="124"/>
      <c r="BX836" s="124"/>
      <c r="BY836" s="124"/>
      <c r="BZ836" s="124"/>
      <c r="CA836" s="124"/>
    </row>
    <row r="837">
      <c r="D837" s="143"/>
      <c r="E837" s="129"/>
      <c r="F837" s="112"/>
      <c r="G837" s="112"/>
      <c r="H837" s="112"/>
      <c r="I837" s="112"/>
      <c r="J837" s="112"/>
      <c r="K837" s="112"/>
      <c r="L837" s="112"/>
      <c r="M837" s="112"/>
      <c r="N837" s="112"/>
      <c r="O837" s="112"/>
      <c r="P837" s="112"/>
      <c r="Q837" s="112"/>
      <c r="R837" s="112"/>
      <c r="S837" s="112"/>
      <c r="T837" s="112"/>
      <c r="U837" s="124"/>
      <c r="V837" s="124"/>
      <c r="W837" s="124"/>
      <c r="X837" s="124"/>
      <c r="Y837" s="124"/>
      <c r="Z837" s="112"/>
      <c r="AA837" s="112"/>
      <c r="AB837" s="112"/>
      <c r="AC837" s="112"/>
      <c r="AD837" s="112"/>
      <c r="AE837" s="112"/>
      <c r="AF837" s="112"/>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c r="BK837" s="124"/>
      <c r="BL837" s="124"/>
      <c r="BM837" s="124"/>
      <c r="BN837" s="124"/>
      <c r="BO837" s="124"/>
      <c r="BP837" s="124"/>
      <c r="BQ837" s="124"/>
      <c r="BR837" s="124"/>
      <c r="BS837" s="124"/>
      <c r="BT837" s="124"/>
      <c r="BU837" s="124"/>
      <c r="BV837" s="124"/>
      <c r="BW837" s="124"/>
      <c r="BX837" s="124"/>
      <c r="BY837" s="124"/>
      <c r="BZ837" s="124"/>
      <c r="CA837" s="124"/>
    </row>
    <row r="838">
      <c r="D838" s="143"/>
      <c r="E838" s="129"/>
      <c r="F838" s="112"/>
      <c r="G838" s="112"/>
      <c r="H838" s="112"/>
      <c r="I838" s="112"/>
      <c r="J838" s="112"/>
      <c r="K838" s="112"/>
      <c r="L838" s="112"/>
      <c r="M838" s="112"/>
      <c r="N838" s="112"/>
      <c r="O838" s="112"/>
      <c r="P838" s="112"/>
      <c r="Q838" s="112"/>
      <c r="R838" s="112"/>
      <c r="S838" s="112"/>
      <c r="T838" s="112"/>
      <c r="U838" s="124"/>
      <c r="V838" s="124"/>
      <c r="W838" s="124"/>
      <c r="X838" s="124"/>
      <c r="Y838" s="124"/>
      <c r="Z838" s="112"/>
      <c r="AA838" s="112"/>
      <c r="AB838" s="112"/>
      <c r="AC838" s="112"/>
      <c r="AD838" s="112"/>
      <c r="AE838" s="112"/>
      <c r="AF838" s="112"/>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c r="BK838" s="124"/>
      <c r="BL838" s="124"/>
      <c r="BM838" s="124"/>
      <c r="BN838" s="124"/>
      <c r="BO838" s="124"/>
      <c r="BP838" s="124"/>
      <c r="BQ838" s="124"/>
      <c r="BR838" s="124"/>
      <c r="BS838" s="124"/>
      <c r="BT838" s="124"/>
      <c r="BU838" s="124"/>
      <c r="BV838" s="124"/>
      <c r="BW838" s="124"/>
      <c r="BX838" s="124"/>
      <c r="BY838" s="124"/>
      <c r="BZ838" s="124"/>
      <c r="CA838" s="124"/>
    </row>
    <row r="839">
      <c r="D839" s="143"/>
      <c r="E839" s="129"/>
      <c r="F839" s="112"/>
      <c r="G839" s="112"/>
      <c r="H839" s="112"/>
      <c r="I839" s="112"/>
      <c r="J839" s="112"/>
      <c r="K839" s="112"/>
      <c r="L839" s="112"/>
      <c r="M839" s="112"/>
      <c r="N839" s="112"/>
      <c r="O839" s="112"/>
      <c r="P839" s="112"/>
      <c r="Q839" s="112"/>
      <c r="R839" s="112"/>
      <c r="S839" s="112"/>
      <c r="T839" s="112"/>
      <c r="U839" s="124"/>
      <c r="V839" s="124"/>
      <c r="W839" s="124"/>
      <c r="X839" s="124"/>
      <c r="Y839" s="124"/>
      <c r="Z839" s="112"/>
      <c r="AA839" s="112"/>
      <c r="AB839" s="112"/>
      <c r="AC839" s="112"/>
      <c r="AD839" s="112"/>
      <c r="AE839" s="112"/>
      <c r="AF839" s="112"/>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c r="BK839" s="124"/>
      <c r="BL839" s="124"/>
      <c r="BM839" s="124"/>
      <c r="BN839" s="124"/>
      <c r="BO839" s="124"/>
      <c r="BP839" s="124"/>
      <c r="BQ839" s="124"/>
      <c r="BR839" s="124"/>
      <c r="BS839" s="124"/>
      <c r="BT839" s="124"/>
      <c r="BU839" s="124"/>
      <c r="BV839" s="124"/>
      <c r="BW839" s="124"/>
      <c r="BX839" s="124"/>
      <c r="BY839" s="124"/>
      <c r="BZ839" s="124"/>
      <c r="CA839" s="124"/>
    </row>
    <row r="840">
      <c r="D840" s="143"/>
      <c r="E840" s="129"/>
      <c r="F840" s="112"/>
      <c r="G840" s="112"/>
      <c r="H840" s="112"/>
      <c r="I840" s="112"/>
      <c r="J840" s="112"/>
      <c r="K840" s="112"/>
      <c r="L840" s="112"/>
      <c r="M840" s="112"/>
      <c r="N840" s="112"/>
      <c r="O840" s="112"/>
      <c r="P840" s="112"/>
      <c r="Q840" s="112"/>
      <c r="R840" s="112"/>
      <c r="S840" s="112"/>
      <c r="T840" s="112"/>
      <c r="U840" s="124"/>
      <c r="V840" s="124"/>
      <c r="W840" s="124"/>
      <c r="X840" s="124"/>
      <c r="Y840" s="124"/>
      <c r="Z840" s="112"/>
      <c r="AA840" s="112"/>
      <c r="AB840" s="112"/>
      <c r="AC840" s="112"/>
      <c r="AD840" s="112"/>
      <c r="AE840" s="112"/>
      <c r="AF840" s="112"/>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c r="BK840" s="124"/>
      <c r="BL840" s="124"/>
      <c r="BM840" s="124"/>
      <c r="BN840" s="124"/>
      <c r="BO840" s="124"/>
      <c r="BP840" s="124"/>
      <c r="BQ840" s="124"/>
      <c r="BR840" s="124"/>
      <c r="BS840" s="124"/>
      <c r="BT840" s="124"/>
      <c r="BU840" s="124"/>
      <c r="BV840" s="124"/>
      <c r="BW840" s="124"/>
      <c r="BX840" s="124"/>
      <c r="BY840" s="124"/>
      <c r="BZ840" s="124"/>
      <c r="CA840" s="124"/>
    </row>
    <row r="841">
      <c r="D841" s="143"/>
      <c r="E841" s="129"/>
      <c r="F841" s="112"/>
      <c r="G841" s="112"/>
      <c r="H841" s="112"/>
      <c r="I841" s="112"/>
      <c r="J841" s="112"/>
      <c r="K841" s="112"/>
      <c r="L841" s="112"/>
      <c r="M841" s="112"/>
      <c r="N841" s="112"/>
      <c r="O841" s="112"/>
      <c r="P841" s="112"/>
      <c r="Q841" s="112"/>
      <c r="R841" s="112"/>
      <c r="S841" s="112"/>
      <c r="T841" s="112"/>
      <c r="U841" s="124"/>
      <c r="V841" s="124"/>
      <c r="W841" s="124"/>
      <c r="X841" s="124"/>
      <c r="Y841" s="124"/>
      <c r="Z841" s="112"/>
      <c r="AA841" s="112"/>
      <c r="AB841" s="112"/>
      <c r="AC841" s="112"/>
      <c r="AD841" s="112"/>
      <c r="AE841" s="112"/>
      <c r="AF841" s="112"/>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c r="BK841" s="124"/>
      <c r="BL841" s="124"/>
      <c r="BM841" s="124"/>
      <c r="BN841" s="124"/>
      <c r="BO841" s="124"/>
      <c r="BP841" s="124"/>
      <c r="BQ841" s="124"/>
      <c r="BR841" s="124"/>
      <c r="BS841" s="124"/>
      <c r="BT841" s="124"/>
      <c r="BU841" s="124"/>
      <c r="BV841" s="124"/>
      <c r="BW841" s="124"/>
      <c r="BX841" s="124"/>
      <c r="BY841" s="124"/>
      <c r="BZ841" s="124"/>
      <c r="CA841" s="124"/>
    </row>
    <row r="842">
      <c r="D842" s="143"/>
      <c r="E842" s="129"/>
      <c r="F842" s="112"/>
      <c r="G842" s="112"/>
      <c r="H842" s="112"/>
      <c r="I842" s="112"/>
      <c r="J842" s="112"/>
      <c r="K842" s="112"/>
      <c r="L842" s="112"/>
      <c r="M842" s="112"/>
      <c r="N842" s="112"/>
      <c r="O842" s="112"/>
      <c r="P842" s="112"/>
      <c r="Q842" s="112"/>
      <c r="R842" s="112"/>
      <c r="S842" s="112"/>
      <c r="T842" s="112"/>
      <c r="U842" s="124"/>
      <c r="V842" s="124"/>
      <c r="W842" s="124"/>
      <c r="X842" s="124"/>
      <c r="Y842" s="124"/>
      <c r="Z842" s="112"/>
      <c r="AA842" s="112"/>
      <c r="AB842" s="112"/>
      <c r="AC842" s="112"/>
      <c r="AD842" s="112"/>
      <c r="AE842" s="112"/>
      <c r="AF842" s="112"/>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c r="BK842" s="124"/>
      <c r="BL842" s="124"/>
      <c r="BM842" s="124"/>
      <c r="BN842" s="124"/>
      <c r="BO842" s="124"/>
      <c r="BP842" s="124"/>
      <c r="BQ842" s="124"/>
      <c r="BR842" s="124"/>
      <c r="BS842" s="124"/>
      <c r="BT842" s="124"/>
      <c r="BU842" s="124"/>
      <c r="BV842" s="124"/>
      <c r="BW842" s="124"/>
      <c r="BX842" s="124"/>
      <c r="BY842" s="124"/>
      <c r="BZ842" s="124"/>
      <c r="CA842" s="124"/>
    </row>
    <row r="843">
      <c r="D843" s="143"/>
      <c r="E843" s="129"/>
      <c r="F843" s="112"/>
      <c r="G843" s="112"/>
      <c r="H843" s="112"/>
      <c r="I843" s="112"/>
      <c r="J843" s="112"/>
      <c r="K843" s="112"/>
      <c r="L843" s="112"/>
      <c r="M843" s="112"/>
      <c r="N843" s="112"/>
      <c r="O843" s="112"/>
      <c r="P843" s="112"/>
      <c r="Q843" s="112"/>
      <c r="R843" s="112"/>
      <c r="S843" s="112"/>
      <c r="T843" s="112"/>
      <c r="U843" s="124"/>
      <c r="V843" s="124"/>
      <c r="W843" s="124"/>
      <c r="X843" s="124"/>
      <c r="Y843" s="124"/>
      <c r="Z843" s="112"/>
      <c r="AA843" s="112"/>
      <c r="AB843" s="112"/>
      <c r="AC843" s="112"/>
      <c r="AD843" s="112"/>
      <c r="AE843" s="112"/>
      <c r="AF843" s="112"/>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c r="BK843" s="124"/>
      <c r="BL843" s="124"/>
      <c r="BM843" s="124"/>
      <c r="BN843" s="124"/>
      <c r="BO843" s="124"/>
      <c r="BP843" s="124"/>
      <c r="BQ843" s="124"/>
      <c r="BR843" s="124"/>
      <c r="BS843" s="124"/>
      <c r="BT843" s="124"/>
      <c r="BU843" s="124"/>
      <c r="BV843" s="124"/>
      <c r="BW843" s="124"/>
      <c r="BX843" s="124"/>
      <c r="BY843" s="124"/>
      <c r="BZ843" s="124"/>
      <c r="CA843" s="124"/>
    </row>
    <row r="844">
      <c r="D844" s="143"/>
      <c r="E844" s="129"/>
      <c r="F844" s="112"/>
      <c r="G844" s="112"/>
      <c r="H844" s="112"/>
      <c r="I844" s="112"/>
      <c r="J844" s="112"/>
      <c r="K844" s="112"/>
      <c r="L844" s="112"/>
      <c r="M844" s="112"/>
      <c r="N844" s="112"/>
      <c r="O844" s="112"/>
      <c r="P844" s="112"/>
      <c r="Q844" s="112"/>
      <c r="R844" s="112"/>
      <c r="S844" s="112"/>
      <c r="T844" s="112"/>
      <c r="U844" s="124"/>
      <c r="V844" s="124"/>
      <c r="W844" s="124"/>
      <c r="X844" s="124"/>
      <c r="Y844" s="124"/>
      <c r="Z844" s="112"/>
      <c r="AA844" s="112"/>
      <c r="AB844" s="112"/>
      <c r="AC844" s="112"/>
      <c r="AD844" s="112"/>
      <c r="AE844" s="112"/>
      <c r="AF844" s="112"/>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c r="BK844" s="124"/>
      <c r="BL844" s="124"/>
      <c r="BM844" s="124"/>
      <c r="BN844" s="124"/>
      <c r="BO844" s="124"/>
      <c r="BP844" s="124"/>
      <c r="BQ844" s="124"/>
      <c r="BR844" s="124"/>
      <c r="BS844" s="124"/>
      <c r="BT844" s="124"/>
      <c r="BU844" s="124"/>
      <c r="BV844" s="124"/>
      <c r="BW844" s="124"/>
      <c r="BX844" s="124"/>
      <c r="BY844" s="124"/>
      <c r="BZ844" s="124"/>
      <c r="CA844" s="124"/>
    </row>
    <row r="845">
      <c r="D845" s="143"/>
      <c r="E845" s="129"/>
      <c r="F845" s="112"/>
      <c r="G845" s="112"/>
      <c r="H845" s="112"/>
      <c r="I845" s="112"/>
      <c r="J845" s="112"/>
      <c r="K845" s="112"/>
      <c r="L845" s="112"/>
      <c r="M845" s="112"/>
      <c r="N845" s="112"/>
      <c r="O845" s="112"/>
      <c r="P845" s="112"/>
      <c r="Q845" s="112"/>
      <c r="R845" s="112"/>
      <c r="S845" s="112"/>
      <c r="T845" s="112"/>
      <c r="U845" s="124"/>
      <c r="V845" s="124"/>
      <c r="W845" s="124"/>
      <c r="X845" s="124"/>
      <c r="Y845" s="124"/>
      <c r="Z845" s="112"/>
      <c r="AA845" s="112"/>
      <c r="AB845" s="112"/>
      <c r="AC845" s="112"/>
      <c r="AD845" s="112"/>
      <c r="AE845" s="112"/>
      <c r="AF845" s="112"/>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c r="BK845" s="124"/>
      <c r="BL845" s="124"/>
      <c r="BM845" s="124"/>
      <c r="BN845" s="124"/>
      <c r="BO845" s="124"/>
      <c r="BP845" s="124"/>
      <c r="BQ845" s="124"/>
      <c r="BR845" s="124"/>
      <c r="BS845" s="124"/>
      <c r="BT845" s="124"/>
      <c r="BU845" s="124"/>
      <c r="BV845" s="124"/>
      <c r="BW845" s="124"/>
      <c r="BX845" s="124"/>
      <c r="BY845" s="124"/>
      <c r="BZ845" s="124"/>
      <c r="CA845" s="124"/>
    </row>
    <row r="846">
      <c r="D846" s="143"/>
      <c r="E846" s="129"/>
      <c r="F846" s="112"/>
      <c r="G846" s="112"/>
      <c r="H846" s="112"/>
      <c r="I846" s="112"/>
      <c r="J846" s="112"/>
      <c r="K846" s="112"/>
      <c r="L846" s="112"/>
      <c r="M846" s="112"/>
      <c r="N846" s="112"/>
      <c r="O846" s="112"/>
      <c r="P846" s="112"/>
      <c r="Q846" s="112"/>
      <c r="R846" s="112"/>
      <c r="S846" s="112"/>
      <c r="T846" s="112"/>
      <c r="U846" s="124"/>
      <c r="V846" s="124"/>
      <c r="W846" s="124"/>
      <c r="X846" s="124"/>
      <c r="Y846" s="124"/>
      <c r="Z846" s="112"/>
      <c r="AA846" s="112"/>
      <c r="AB846" s="112"/>
      <c r="AC846" s="112"/>
      <c r="AD846" s="112"/>
      <c r="AE846" s="112"/>
      <c r="AF846" s="112"/>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c r="BK846" s="124"/>
      <c r="BL846" s="124"/>
      <c r="BM846" s="124"/>
      <c r="BN846" s="124"/>
      <c r="BO846" s="124"/>
      <c r="BP846" s="124"/>
      <c r="BQ846" s="124"/>
      <c r="BR846" s="124"/>
      <c r="BS846" s="124"/>
      <c r="BT846" s="124"/>
      <c r="BU846" s="124"/>
      <c r="BV846" s="124"/>
      <c r="BW846" s="124"/>
      <c r="BX846" s="124"/>
      <c r="BY846" s="124"/>
      <c r="BZ846" s="124"/>
      <c r="CA846" s="124"/>
    </row>
    <row r="847">
      <c r="D847" s="143"/>
      <c r="E847" s="129"/>
      <c r="F847" s="112"/>
      <c r="G847" s="112"/>
      <c r="H847" s="112"/>
      <c r="I847" s="112"/>
      <c r="J847" s="112"/>
      <c r="K847" s="112"/>
      <c r="L847" s="112"/>
      <c r="M847" s="112"/>
      <c r="N847" s="112"/>
      <c r="O847" s="112"/>
      <c r="P847" s="112"/>
      <c r="Q847" s="112"/>
      <c r="R847" s="112"/>
      <c r="S847" s="112"/>
      <c r="T847" s="112"/>
      <c r="U847" s="124"/>
      <c r="V847" s="124"/>
      <c r="W847" s="124"/>
      <c r="X847" s="124"/>
      <c r="Y847" s="124"/>
      <c r="Z847" s="112"/>
      <c r="AA847" s="112"/>
      <c r="AB847" s="112"/>
      <c r="AC847" s="112"/>
      <c r="AD847" s="112"/>
      <c r="AE847" s="112"/>
      <c r="AF847" s="112"/>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c r="BK847" s="124"/>
      <c r="BL847" s="124"/>
      <c r="BM847" s="124"/>
      <c r="BN847" s="124"/>
      <c r="BO847" s="124"/>
      <c r="BP847" s="124"/>
      <c r="BQ847" s="124"/>
      <c r="BR847" s="124"/>
      <c r="BS847" s="124"/>
      <c r="BT847" s="124"/>
      <c r="BU847" s="124"/>
      <c r="BV847" s="124"/>
      <c r="BW847" s="124"/>
      <c r="BX847" s="124"/>
      <c r="BY847" s="124"/>
      <c r="BZ847" s="124"/>
      <c r="CA847" s="124"/>
    </row>
    <row r="848">
      <c r="D848" s="143"/>
      <c r="E848" s="129"/>
      <c r="F848" s="112"/>
      <c r="G848" s="112"/>
      <c r="H848" s="112"/>
      <c r="I848" s="112"/>
      <c r="J848" s="112"/>
      <c r="K848" s="112"/>
      <c r="L848" s="112"/>
      <c r="M848" s="112"/>
      <c r="N848" s="112"/>
      <c r="O848" s="112"/>
      <c r="P848" s="112"/>
      <c r="Q848" s="112"/>
      <c r="R848" s="112"/>
      <c r="S848" s="112"/>
      <c r="T848" s="112"/>
      <c r="U848" s="124"/>
      <c r="V848" s="124"/>
      <c r="W848" s="124"/>
      <c r="X848" s="124"/>
      <c r="Y848" s="124"/>
      <c r="Z848" s="112"/>
      <c r="AA848" s="112"/>
      <c r="AB848" s="112"/>
      <c r="AC848" s="112"/>
      <c r="AD848" s="112"/>
      <c r="AE848" s="112"/>
      <c r="AF848" s="112"/>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c r="BK848" s="124"/>
      <c r="BL848" s="124"/>
      <c r="BM848" s="124"/>
      <c r="BN848" s="124"/>
      <c r="BO848" s="124"/>
      <c r="BP848" s="124"/>
      <c r="BQ848" s="124"/>
      <c r="BR848" s="124"/>
      <c r="BS848" s="124"/>
      <c r="BT848" s="124"/>
      <c r="BU848" s="124"/>
      <c r="BV848" s="124"/>
      <c r="BW848" s="124"/>
      <c r="BX848" s="124"/>
      <c r="BY848" s="124"/>
      <c r="BZ848" s="124"/>
      <c r="CA848" s="124"/>
    </row>
    <row r="849">
      <c r="D849" s="143"/>
      <c r="E849" s="129"/>
      <c r="F849" s="112"/>
      <c r="G849" s="112"/>
      <c r="H849" s="112"/>
      <c r="I849" s="112"/>
      <c r="J849" s="112"/>
      <c r="K849" s="112"/>
      <c r="L849" s="112"/>
      <c r="M849" s="112"/>
      <c r="N849" s="112"/>
      <c r="O849" s="112"/>
      <c r="P849" s="112"/>
      <c r="Q849" s="112"/>
      <c r="R849" s="112"/>
      <c r="S849" s="112"/>
      <c r="T849" s="112"/>
      <c r="U849" s="124"/>
      <c r="V849" s="124"/>
      <c r="W849" s="124"/>
      <c r="X849" s="124"/>
      <c r="Y849" s="124"/>
      <c r="Z849" s="112"/>
      <c r="AA849" s="112"/>
      <c r="AB849" s="112"/>
      <c r="AC849" s="112"/>
      <c r="AD849" s="112"/>
      <c r="AE849" s="112"/>
      <c r="AF849" s="112"/>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c r="BK849" s="124"/>
      <c r="BL849" s="124"/>
      <c r="BM849" s="124"/>
      <c r="BN849" s="124"/>
      <c r="BO849" s="124"/>
      <c r="BP849" s="124"/>
      <c r="BQ849" s="124"/>
      <c r="BR849" s="124"/>
      <c r="BS849" s="124"/>
      <c r="BT849" s="124"/>
      <c r="BU849" s="124"/>
      <c r="BV849" s="124"/>
      <c r="BW849" s="124"/>
      <c r="BX849" s="124"/>
      <c r="BY849" s="124"/>
      <c r="BZ849" s="124"/>
      <c r="CA849" s="124"/>
    </row>
    <row r="850">
      <c r="D850" s="143"/>
      <c r="E850" s="129"/>
      <c r="F850" s="112"/>
      <c r="G850" s="112"/>
      <c r="H850" s="112"/>
      <c r="I850" s="112"/>
      <c r="J850" s="112"/>
      <c r="K850" s="112"/>
      <c r="L850" s="112"/>
      <c r="M850" s="112"/>
      <c r="N850" s="112"/>
      <c r="O850" s="112"/>
      <c r="P850" s="112"/>
      <c r="Q850" s="112"/>
      <c r="R850" s="112"/>
      <c r="S850" s="112"/>
      <c r="T850" s="112"/>
      <c r="U850" s="124"/>
      <c r="V850" s="124"/>
      <c r="W850" s="124"/>
      <c r="X850" s="124"/>
      <c r="Y850" s="124"/>
      <c r="Z850" s="112"/>
      <c r="AA850" s="112"/>
      <c r="AB850" s="112"/>
      <c r="AC850" s="112"/>
      <c r="AD850" s="112"/>
      <c r="AE850" s="112"/>
      <c r="AF850" s="112"/>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c r="BK850" s="124"/>
      <c r="BL850" s="124"/>
      <c r="BM850" s="124"/>
      <c r="BN850" s="124"/>
      <c r="BO850" s="124"/>
      <c r="BP850" s="124"/>
      <c r="BQ850" s="124"/>
      <c r="BR850" s="124"/>
      <c r="BS850" s="124"/>
      <c r="BT850" s="124"/>
      <c r="BU850" s="124"/>
      <c r="BV850" s="124"/>
      <c r="BW850" s="124"/>
      <c r="BX850" s="124"/>
      <c r="BY850" s="124"/>
      <c r="BZ850" s="124"/>
      <c r="CA850" s="124"/>
    </row>
    <row r="851">
      <c r="D851" s="143"/>
      <c r="E851" s="129"/>
      <c r="F851" s="112"/>
      <c r="G851" s="112"/>
      <c r="H851" s="112"/>
      <c r="I851" s="112"/>
      <c r="J851" s="112"/>
      <c r="K851" s="112"/>
      <c r="L851" s="112"/>
      <c r="M851" s="112"/>
      <c r="N851" s="112"/>
      <c r="O851" s="112"/>
      <c r="P851" s="112"/>
      <c r="Q851" s="112"/>
      <c r="R851" s="112"/>
      <c r="S851" s="112"/>
      <c r="T851" s="112"/>
      <c r="U851" s="124"/>
      <c r="V851" s="124"/>
      <c r="W851" s="124"/>
      <c r="X851" s="124"/>
      <c r="Y851" s="124"/>
      <c r="Z851" s="112"/>
      <c r="AA851" s="112"/>
      <c r="AB851" s="112"/>
      <c r="AC851" s="112"/>
      <c r="AD851" s="112"/>
      <c r="AE851" s="112"/>
      <c r="AF851" s="112"/>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c r="BK851" s="124"/>
      <c r="BL851" s="124"/>
      <c r="BM851" s="124"/>
      <c r="BN851" s="124"/>
      <c r="BO851" s="124"/>
      <c r="BP851" s="124"/>
      <c r="BQ851" s="124"/>
      <c r="BR851" s="124"/>
      <c r="BS851" s="124"/>
      <c r="BT851" s="124"/>
      <c r="BU851" s="124"/>
      <c r="BV851" s="124"/>
      <c r="BW851" s="124"/>
      <c r="BX851" s="124"/>
      <c r="BY851" s="124"/>
      <c r="BZ851" s="124"/>
      <c r="CA851" s="124"/>
    </row>
    <row r="852">
      <c r="D852" s="143"/>
      <c r="E852" s="129"/>
      <c r="F852" s="112"/>
      <c r="G852" s="112"/>
      <c r="H852" s="112"/>
      <c r="I852" s="112"/>
      <c r="J852" s="112"/>
      <c r="K852" s="112"/>
      <c r="L852" s="112"/>
      <c r="M852" s="112"/>
      <c r="N852" s="112"/>
      <c r="O852" s="112"/>
      <c r="P852" s="112"/>
      <c r="Q852" s="112"/>
      <c r="R852" s="112"/>
      <c r="S852" s="112"/>
      <c r="T852" s="112"/>
      <c r="U852" s="124"/>
      <c r="V852" s="124"/>
      <c r="W852" s="124"/>
      <c r="X852" s="124"/>
      <c r="Y852" s="124"/>
      <c r="Z852" s="112"/>
      <c r="AA852" s="112"/>
      <c r="AB852" s="112"/>
      <c r="AC852" s="112"/>
      <c r="AD852" s="112"/>
      <c r="AE852" s="112"/>
      <c r="AF852" s="112"/>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c r="BK852" s="124"/>
      <c r="BL852" s="124"/>
      <c r="BM852" s="124"/>
      <c r="BN852" s="124"/>
      <c r="BO852" s="124"/>
      <c r="BP852" s="124"/>
      <c r="BQ852" s="124"/>
      <c r="BR852" s="124"/>
      <c r="BS852" s="124"/>
      <c r="BT852" s="124"/>
      <c r="BU852" s="124"/>
      <c r="BV852" s="124"/>
      <c r="BW852" s="124"/>
      <c r="BX852" s="124"/>
      <c r="BY852" s="124"/>
      <c r="BZ852" s="124"/>
      <c r="CA852" s="124"/>
    </row>
    <row r="853">
      <c r="D853" s="143"/>
      <c r="E853" s="129"/>
      <c r="F853" s="112"/>
      <c r="G853" s="112"/>
      <c r="H853" s="112"/>
      <c r="I853" s="112"/>
      <c r="J853" s="112"/>
      <c r="K853" s="112"/>
      <c r="L853" s="112"/>
      <c r="M853" s="112"/>
      <c r="N853" s="112"/>
      <c r="O853" s="112"/>
      <c r="P853" s="112"/>
      <c r="Q853" s="112"/>
      <c r="R853" s="112"/>
      <c r="S853" s="112"/>
      <c r="T853" s="112"/>
      <c r="U853" s="124"/>
      <c r="V853" s="124"/>
      <c r="W853" s="124"/>
      <c r="X853" s="124"/>
      <c r="Y853" s="124"/>
      <c r="Z853" s="112"/>
      <c r="AA853" s="112"/>
      <c r="AB853" s="112"/>
      <c r="AC853" s="112"/>
      <c r="AD853" s="112"/>
      <c r="AE853" s="112"/>
      <c r="AF853" s="112"/>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c r="BK853" s="124"/>
      <c r="BL853" s="124"/>
      <c r="BM853" s="124"/>
      <c r="BN853" s="124"/>
      <c r="BO853" s="124"/>
      <c r="BP853" s="124"/>
      <c r="BQ853" s="124"/>
      <c r="BR853" s="124"/>
      <c r="BS853" s="124"/>
      <c r="BT853" s="124"/>
      <c r="BU853" s="124"/>
      <c r="BV853" s="124"/>
      <c r="BW853" s="124"/>
      <c r="BX853" s="124"/>
      <c r="BY853" s="124"/>
      <c r="BZ853" s="124"/>
      <c r="CA853" s="124"/>
    </row>
    <row r="854">
      <c r="D854" s="143"/>
      <c r="E854" s="129"/>
      <c r="F854" s="112"/>
      <c r="G854" s="112"/>
      <c r="H854" s="112"/>
      <c r="I854" s="112"/>
      <c r="J854" s="112"/>
      <c r="K854" s="112"/>
      <c r="L854" s="112"/>
      <c r="M854" s="112"/>
      <c r="N854" s="112"/>
      <c r="O854" s="112"/>
      <c r="P854" s="112"/>
      <c r="Q854" s="112"/>
      <c r="R854" s="112"/>
      <c r="S854" s="112"/>
      <c r="T854" s="112"/>
      <c r="U854" s="124"/>
      <c r="V854" s="124"/>
      <c r="W854" s="124"/>
      <c r="X854" s="124"/>
      <c r="Y854" s="124"/>
      <c r="Z854" s="112"/>
      <c r="AA854" s="112"/>
      <c r="AB854" s="112"/>
      <c r="AC854" s="112"/>
      <c r="AD854" s="112"/>
      <c r="AE854" s="112"/>
      <c r="AF854" s="112"/>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c r="BK854" s="124"/>
      <c r="BL854" s="124"/>
      <c r="BM854" s="124"/>
      <c r="BN854" s="124"/>
      <c r="BO854" s="124"/>
      <c r="BP854" s="124"/>
      <c r="BQ854" s="124"/>
      <c r="BR854" s="124"/>
      <c r="BS854" s="124"/>
      <c r="BT854" s="124"/>
      <c r="BU854" s="124"/>
      <c r="BV854" s="124"/>
      <c r="BW854" s="124"/>
      <c r="BX854" s="124"/>
      <c r="BY854" s="124"/>
      <c r="BZ854" s="124"/>
      <c r="CA854" s="124"/>
    </row>
    <row r="855">
      <c r="D855" s="143"/>
      <c r="E855" s="129"/>
      <c r="F855" s="112"/>
      <c r="G855" s="112"/>
      <c r="H855" s="112"/>
      <c r="I855" s="112"/>
      <c r="J855" s="112"/>
      <c r="K855" s="112"/>
      <c r="L855" s="112"/>
      <c r="M855" s="112"/>
      <c r="N855" s="112"/>
      <c r="O855" s="112"/>
      <c r="P855" s="112"/>
      <c r="Q855" s="112"/>
      <c r="R855" s="112"/>
      <c r="S855" s="112"/>
      <c r="T855" s="112"/>
      <c r="U855" s="124"/>
      <c r="V855" s="124"/>
      <c r="W855" s="124"/>
      <c r="X855" s="124"/>
      <c r="Y855" s="124"/>
      <c r="Z855" s="112"/>
      <c r="AA855" s="112"/>
      <c r="AB855" s="112"/>
      <c r="AC855" s="112"/>
      <c r="AD855" s="112"/>
      <c r="AE855" s="112"/>
      <c r="AF855" s="112"/>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c r="BK855" s="124"/>
      <c r="BL855" s="124"/>
      <c r="BM855" s="124"/>
      <c r="BN855" s="124"/>
      <c r="BO855" s="124"/>
      <c r="BP855" s="124"/>
      <c r="BQ855" s="124"/>
      <c r="BR855" s="124"/>
      <c r="BS855" s="124"/>
      <c r="BT855" s="124"/>
      <c r="BU855" s="124"/>
      <c r="BV855" s="124"/>
      <c r="BW855" s="124"/>
      <c r="BX855" s="124"/>
      <c r="BY855" s="124"/>
      <c r="BZ855" s="124"/>
      <c r="CA855" s="124"/>
    </row>
    <row r="856">
      <c r="D856" s="143"/>
      <c r="E856" s="129"/>
      <c r="F856" s="112"/>
      <c r="G856" s="112"/>
      <c r="H856" s="112"/>
      <c r="I856" s="112"/>
      <c r="J856" s="112"/>
      <c r="K856" s="112"/>
      <c r="L856" s="112"/>
      <c r="M856" s="112"/>
      <c r="N856" s="112"/>
      <c r="O856" s="112"/>
      <c r="P856" s="112"/>
      <c r="Q856" s="112"/>
      <c r="R856" s="112"/>
      <c r="S856" s="112"/>
      <c r="T856" s="112"/>
      <c r="U856" s="124"/>
      <c r="V856" s="124"/>
      <c r="W856" s="124"/>
      <c r="X856" s="124"/>
      <c r="Y856" s="124"/>
      <c r="Z856" s="112"/>
      <c r="AA856" s="112"/>
      <c r="AB856" s="112"/>
      <c r="AC856" s="112"/>
      <c r="AD856" s="112"/>
      <c r="AE856" s="112"/>
      <c r="AF856" s="112"/>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c r="BK856" s="124"/>
      <c r="BL856" s="124"/>
      <c r="BM856" s="124"/>
      <c r="BN856" s="124"/>
      <c r="BO856" s="124"/>
      <c r="BP856" s="124"/>
      <c r="BQ856" s="124"/>
      <c r="BR856" s="124"/>
      <c r="BS856" s="124"/>
      <c r="BT856" s="124"/>
      <c r="BU856" s="124"/>
      <c r="BV856" s="124"/>
      <c r="BW856" s="124"/>
      <c r="BX856" s="124"/>
      <c r="BY856" s="124"/>
      <c r="BZ856" s="124"/>
      <c r="CA856" s="124"/>
    </row>
    <row r="857">
      <c r="D857" s="143"/>
      <c r="E857" s="129"/>
      <c r="F857" s="112"/>
      <c r="G857" s="112"/>
      <c r="H857" s="112"/>
      <c r="I857" s="112"/>
      <c r="J857" s="112"/>
      <c r="K857" s="112"/>
      <c r="L857" s="112"/>
      <c r="M857" s="112"/>
      <c r="N857" s="112"/>
      <c r="O857" s="112"/>
      <c r="P857" s="112"/>
      <c r="Q857" s="112"/>
      <c r="R857" s="112"/>
      <c r="S857" s="112"/>
      <c r="T857" s="112"/>
      <c r="U857" s="124"/>
      <c r="V857" s="124"/>
      <c r="W857" s="124"/>
      <c r="X857" s="124"/>
      <c r="Y857" s="124"/>
      <c r="Z857" s="112"/>
      <c r="AA857" s="112"/>
      <c r="AB857" s="112"/>
      <c r="AC857" s="112"/>
      <c r="AD857" s="112"/>
      <c r="AE857" s="112"/>
      <c r="AF857" s="112"/>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c r="BK857" s="124"/>
      <c r="BL857" s="124"/>
      <c r="BM857" s="124"/>
      <c r="BN857" s="124"/>
      <c r="BO857" s="124"/>
      <c r="BP857" s="124"/>
      <c r="BQ857" s="124"/>
      <c r="BR857" s="124"/>
      <c r="BS857" s="124"/>
      <c r="BT857" s="124"/>
      <c r="BU857" s="124"/>
      <c r="BV857" s="124"/>
      <c r="BW857" s="124"/>
      <c r="BX857" s="124"/>
      <c r="BY857" s="124"/>
      <c r="BZ857" s="124"/>
      <c r="CA857" s="124"/>
    </row>
    <row r="858">
      <c r="D858" s="143"/>
      <c r="E858" s="129"/>
      <c r="F858" s="112"/>
      <c r="G858" s="112"/>
      <c r="H858" s="112"/>
      <c r="I858" s="112"/>
      <c r="J858" s="112"/>
      <c r="K858" s="112"/>
      <c r="L858" s="112"/>
      <c r="M858" s="112"/>
      <c r="N858" s="112"/>
      <c r="O858" s="112"/>
      <c r="P858" s="112"/>
      <c r="Q858" s="112"/>
      <c r="R858" s="112"/>
      <c r="S858" s="112"/>
      <c r="T858" s="112"/>
      <c r="U858" s="124"/>
      <c r="V858" s="124"/>
      <c r="W858" s="124"/>
      <c r="X858" s="124"/>
      <c r="Y858" s="124"/>
      <c r="Z858" s="112"/>
      <c r="AA858" s="112"/>
      <c r="AB858" s="112"/>
      <c r="AC858" s="112"/>
      <c r="AD858" s="112"/>
      <c r="AE858" s="112"/>
      <c r="AF858" s="112"/>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c r="BK858" s="124"/>
      <c r="BL858" s="124"/>
      <c r="BM858" s="124"/>
      <c r="BN858" s="124"/>
      <c r="BO858" s="124"/>
      <c r="BP858" s="124"/>
      <c r="BQ858" s="124"/>
      <c r="BR858" s="124"/>
      <c r="BS858" s="124"/>
      <c r="BT858" s="124"/>
      <c r="BU858" s="124"/>
      <c r="BV858" s="124"/>
      <c r="BW858" s="124"/>
      <c r="BX858" s="124"/>
      <c r="BY858" s="124"/>
      <c r="BZ858" s="124"/>
      <c r="CA858" s="124"/>
    </row>
    <row r="859">
      <c r="D859" s="143"/>
      <c r="E859" s="129"/>
      <c r="F859" s="112"/>
      <c r="G859" s="112"/>
      <c r="H859" s="112"/>
      <c r="I859" s="112"/>
      <c r="J859" s="112"/>
      <c r="K859" s="112"/>
      <c r="L859" s="112"/>
      <c r="M859" s="112"/>
      <c r="N859" s="112"/>
      <c r="O859" s="112"/>
      <c r="P859" s="112"/>
      <c r="Q859" s="112"/>
      <c r="R859" s="112"/>
      <c r="S859" s="112"/>
      <c r="T859" s="112"/>
      <c r="U859" s="124"/>
      <c r="V859" s="124"/>
      <c r="W859" s="124"/>
      <c r="X859" s="124"/>
      <c r="Y859" s="124"/>
      <c r="Z859" s="112"/>
      <c r="AA859" s="112"/>
      <c r="AB859" s="112"/>
      <c r="AC859" s="112"/>
      <c r="AD859" s="112"/>
      <c r="AE859" s="112"/>
      <c r="AF859" s="112"/>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c r="BK859" s="124"/>
      <c r="BL859" s="124"/>
      <c r="BM859" s="124"/>
      <c r="BN859" s="124"/>
      <c r="BO859" s="124"/>
      <c r="BP859" s="124"/>
      <c r="BQ859" s="124"/>
      <c r="BR859" s="124"/>
      <c r="BS859" s="124"/>
      <c r="BT859" s="124"/>
      <c r="BU859" s="124"/>
      <c r="BV859" s="124"/>
      <c r="BW859" s="124"/>
      <c r="BX859" s="124"/>
      <c r="BY859" s="124"/>
      <c r="BZ859" s="124"/>
      <c r="CA859" s="124"/>
    </row>
    <row r="860">
      <c r="D860" s="143"/>
      <c r="E860" s="129"/>
      <c r="F860" s="112"/>
      <c r="G860" s="112"/>
      <c r="H860" s="112"/>
      <c r="I860" s="112"/>
      <c r="J860" s="112"/>
      <c r="K860" s="112"/>
      <c r="L860" s="112"/>
      <c r="M860" s="112"/>
      <c r="N860" s="112"/>
      <c r="O860" s="112"/>
      <c r="P860" s="112"/>
      <c r="Q860" s="112"/>
      <c r="R860" s="112"/>
      <c r="S860" s="112"/>
      <c r="T860" s="112"/>
      <c r="U860" s="124"/>
      <c r="V860" s="124"/>
      <c r="W860" s="124"/>
      <c r="X860" s="124"/>
      <c r="Y860" s="124"/>
      <c r="Z860" s="112"/>
      <c r="AA860" s="112"/>
      <c r="AB860" s="112"/>
      <c r="AC860" s="112"/>
      <c r="AD860" s="112"/>
      <c r="AE860" s="112"/>
      <c r="AF860" s="112"/>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c r="BK860" s="124"/>
      <c r="BL860" s="124"/>
      <c r="BM860" s="124"/>
      <c r="BN860" s="124"/>
      <c r="BO860" s="124"/>
      <c r="BP860" s="124"/>
      <c r="BQ860" s="124"/>
      <c r="BR860" s="124"/>
      <c r="BS860" s="124"/>
      <c r="BT860" s="124"/>
      <c r="BU860" s="124"/>
      <c r="BV860" s="124"/>
      <c r="BW860" s="124"/>
      <c r="BX860" s="124"/>
      <c r="BY860" s="124"/>
      <c r="BZ860" s="124"/>
      <c r="CA860" s="124"/>
    </row>
    <row r="861">
      <c r="D861" s="143"/>
      <c r="E861" s="129"/>
      <c r="F861" s="112"/>
      <c r="G861" s="112"/>
      <c r="H861" s="112"/>
      <c r="I861" s="112"/>
      <c r="J861" s="112"/>
      <c r="K861" s="112"/>
      <c r="L861" s="112"/>
      <c r="M861" s="112"/>
      <c r="N861" s="112"/>
      <c r="O861" s="112"/>
      <c r="P861" s="112"/>
      <c r="Q861" s="112"/>
      <c r="R861" s="112"/>
      <c r="S861" s="112"/>
      <c r="T861" s="112"/>
      <c r="U861" s="124"/>
      <c r="V861" s="124"/>
      <c r="W861" s="124"/>
      <c r="X861" s="124"/>
      <c r="Y861" s="124"/>
      <c r="Z861" s="112"/>
      <c r="AA861" s="112"/>
      <c r="AB861" s="112"/>
      <c r="AC861" s="112"/>
      <c r="AD861" s="112"/>
      <c r="AE861" s="112"/>
      <c r="AF861" s="112"/>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c r="BK861" s="124"/>
      <c r="BL861" s="124"/>
      <c r="BM861" s="124"/>
      <c r="BN861" s="124"/>
      <c r="BO861" s="124"/>
      <c r="BP861" s="124"/>
      <c r="BQ861" s="124"/>
      <c r="BR861" s="124"/>
      <c r="BS861" s="124"/>
      <c r="BT861" s="124"/>
      <c r="BU861" s="124"/>
      <c r="BV861" s="124"/>
      <c r="BW861" s="124"/>
      <c r="BX861" s="124"/>
      <c r="BY861" s="124"/>
      <c r="BZ861" s="124"/>
      <c r="CA861" s="124"/>
    </row>
    <row r="862">
      <c r="D862" s="143"/>
      <c r="E862" s="129"/>
      <c r="F862" s="112"/>
      <c r="G862" s="112"/>
      <c r="H862" s="112"/>
      <c r="I862" s="112"/>
      <c r="J862" s="112"/>
      <c r="K862" s="112"/>
      <c r="L862" s="112"/>
      <c r="M862" s="112"/>
      <c r="N862" s="112"/>
      <c r="O862" s="112"/>
      <c r="P862" s="112"/>
      <c r="Q862" s="112"/>
      <c r="R862" s="112"/>
      <c r="S862" s="112"/>
      <c r="T862" s="112"/>
      <c r="U862" s="124"/>
      <c r="V862" s="124"/>
      <c r="W862" s="124"/>
      <c r="X862" s="124"/>
      <c r="Y862" s="124"/>
      <c r="Z862" s="112"/>
      <c r="AA862" s="112"/>
      <c r="AB862" s="112"/>
      <c r="AC862" s="112"/>
      <c r="AD862" s="112"/>
      <c r="AE862" s="112"/>
      <c r="AF862" s="112"/>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c r="BK862" s="124"/>
      <c r="BL862" s="124"/>
      <c r="BM862" s="124"/>
      <c r="BN862" s="124"/>
      <c r="BO862" s="124"/>
      <c r="BP862" s="124"/>
      <c r="BQ862" s="124"/>
      <c r="BR862" s="124"/>
      <c r="BS862" s="124"/>
      <c r="BT862" s="124"/>
      <c r="BU862" s="124"/>
      <c r="BV862" s="124"/>
      <c r="BW862" s="124"/>
      <c r="BX862" s="124"/>
      <c r="BY862" s="124"/>
      <c r="BZ862" s="124"/>
      <c r="CA862" s="124"/>
    </row>
    <row r="863">
      <c r="D863" s="143"/>
      <c r="E863" s="129"/>
      <c r="F863" s="112"/>
      <c r="G863" s="112"/>
      <c r="H863" s="112"/>
      <c r="I863" s="112"/>
      <c r="J863" s="112"/>
      <c r="K863" s="112"/>
      <c r="L863" s="112"/>
      <c r="M863" s="112"/>
      <c r="N863" s="112"/>
      <c r="O863" s="112"/>
      <c r="P863" s="112"/>
      <c r="Q863" s="112"/>
      <c r="R863" s="112"/>
      <c r="S863" s="112"/>
      <c r="T863" s="112"/>
      <c r="U863" s="124"/>
      <c r="V863" s="124"/>
      <c r="W863" s="124"/>
      <c r="X863" s="124"/>
      <c r="Y863" s="124"/>
      <c r="Z863" s="112"/>
      <c r="AA863" s="112"/>
      <c r="AB863" s="112"/>
      <c r="AC863" s="112"/>
      <c r="AD863" s="112"/>
      <c r="AE863" s="112"/>
      <c r="AF863" s="112"/>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c r="BK863" s="124"/>
      <c r="BL863" s="124"/>
      <c r="BM863" s="124"/>
      <c r="BN863" s="124"/>
      <c r="BO863" s="124"/>
      <c r="BP863" s="124"/>
      <c r="BQ863" s="124"/>
      <c r="BR863" s="124"/>
      <c r="BS863" s="124"/>
      <c r="BT863" s="124"/>
      <c r="BU863" s="124"/>
      <c r="BV863" s="124"/>
      <c r="BW863" s="124"/>
      <c r="BX863" s="124"/>
      <c r="BY863" s="124"/>
      <c r="BZ863" s="124"/>
      <c r="CA863" s="124"/>
    </row>
    <row r="864">
      <c r="D864" s="143"/>
      <c r="E864" s="129"/>
      <c r="F864" s="112"/>
      <c r="G864" s="112"/>
      <c r="H864" s="112"/>
      <c r="I864" s="112"/>
      <c r="J864" s="112"/>
      <c r="K864" s="112"/>
      <c r="L864" s="112"/>
      <c r="M864" s="112"/>
      <c r="N864" s="112"/>
      <c r="O864" s="112"/>
      <c r="P864" s="112"/>
      <c r="Q864" s="112"/>
      <c r="R864" s="112"/>
      <c r="S864" s="112"/>
      <c r="T864" s="112"/>
      <c r="U864" s="124"/>
      <c r="V864" s="124"/>
      <c r="W864" s="124"/>
      <c r="X864" s="124"/>
      <c r="Y864" s="124"/>
      <c r="Z864" s="112"/>
      <c r="AA864" s="112"/>
      <c r="AB864" s="112"/>
      <c r="AC864" s="112"/>
      <c r="AD864" s="112"/>
      <c r="AE864" s="112"/>
      <c r="AF864" s="112"/>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c r="BK864" s="124"/>
      <c r="BL864" s="124"/>
      <c r="BM864" s="124"/>
      <c r="BN864" s="124"/>
      <c r="BO864" s="124"/>
      <c r="BP864" s="124"/>
      <c r="BQ864" s="124"/>
      <c r="BR864" s="124"/>
      <c r="BS864" s="124"/>
      <c r="BT864" s="124"/>
      <c r="BU864" s="124"/>
      <c r="BV864" s="124"/>
      <c r="BW864" s="124"/>
      <c r="BX864" s="124"/>
      <c r="BY864" s="124"/>
      <c r="BZ864" s="124"/>
      <c r="CA864" s="124"/>
    </row>
    <row r="865">
      <c r="D865" s="143"/>
      <c r="E865" s="129"/>
      <c r="F865" s="112"/>
      <c r="G865" s="112"/>
      <c r="H865" s="112"/>
      <c r="I865" s="112"/>
      <c r="J865" s="112"/>
      <c r="K865" s="112"/>
      <c r="L865" s="112"/>
      <c r="M865" s="112"/>
      <c r="N865" s="112"/>
      <c r="O865" s="112"/>
      <c r="P865" s="112"/>
      <c r="Q865" s="112"/>
      <c r="R865" s="112"/>
      <c r="S865" s="112"/>
      <c r="T865" s="112"/>
      <c r="U865" s="124"/>
      <c r="V865" s="124"/>
      <c r="W865" s="124"/>
      <c r="X865" s="124"/>
      <c r="Y865" s="124"/>
      <c r="Z865" s="112"/>
      <c r="AA865" s="112"/>
      <c r="AB865" s="112"/>
      <c r="AC865" s="112"/>
      <c r="AD865" s="112"/>
      <c r="AE865" s="112"/>
      <c r="AF865" s="112"/>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c r="BK865" s="124"/>
      <c r="BL865" s="124"/>
      <c r="BM865" s="124"/>
      <c r="BN865" s="124"/>
      <c r="BO865" s="124"/>
      <c r="BP865" s="124"/>
      <c r="BQ865" s="124"/>
      <c r="BR865" s="124"/>
      <c r="BS865" s="124"/>
      <c r="BT865" s="124"/>
      <c r="BU865" s="124"/>
      <c r="BV865" s="124"/>
      <c r="BW865" s="124"/>
      <c r="BX865" s="124"/>
      <c r="BY865" s="124"/>
      <c r="BZ865" s="124"/>
      <c r="CA865" s="124"/>
    </row>
    <row r="866">
      <c r="D866" s="143"/>
      <c r="E866" s="129"/>
      <c r="F866" s="112"/>
      <c r="G866" s="112"/>
      <c r="H866" s="112"/>
      <c r="I866" s="112"/>
      <c r="J866" s="112"/>
      <c r="K866" s="112"/>
      <c r="L866" s="112"/>
      <c r="M866" s="112"/>
      <c r="N866" s="112"/>
      <c r="O866" s="112"/>
      <c r="P866" s="112"/>
      <c r="Q866" s="112"/>
      <c r="R866" s="112"/>
      <c r="S866" s="112"/>
      <c r="T866" s="112"/>
      <c r="U866" s="124"/>
      <c r="V866" s="124"/>
      <c r="W866" s="124"/>
      <c r="X866" s="124"/>
      <c r="Y866" s="124"/>
      <c r="Z866" s="112"/>
      <c r="AA866" s="112"/>
      <c r="AB866" s="112"/>
      <c r="AC866" s="112"/>
      <c r="AD866" s="112"/>
      <c r="AE866" s="112"/>
      <c r="AF866" s="112"/>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c r="BK866" s="124"/>
      <c r="BL866" s="124"/>
      <c r="BM866" s="124"/>
      <c r="BN866" s="124"/>
      <c r="BO866" s="124"/>
      <c r="BP866" s="124"/>
      <c r="BQ866" s="124"/>
      <c r="BR866" s="124"/>
      <c r="BS866" s="124"/>
      <c r="BT866" s="124"/>
      <c r="BU866" s="124"/>
      <c r="BV866" s="124"/>
      <c r="BW866" s="124"/>
      <c r="BX866" s="124"/>
      <c r="BY866" s="124"/>
      <c r="BZ866" s="124"/>
      <c r="CA866" s="124"/>
    </row>
    <row r="867">
      <c r="D867" s="143"/>
      <c r="E867" s="129"/>
      <c r="F867" s="112"/>
      <c r="G867" s="112"/>
      <c r="H867" s="112"/>
      <c r="I867" s="112"/>
      <c r="J867" s="112"/>
      <c r="K867" s="112"/>
      <c r="L867" s="112"/>
      <c r="M867" s="112"/>
      <c r="N867" s="112"/>
      <c r="O867" s="112"/>
      <c r="P867" s="112"/>
      <c r="Q867" s="112"/>
      <c r="R867" s="112"/>
      <c r="S867" s="112"/>
      <c r="T867" s="112"/>
      <c r="U867" s="124"/>
      <c r="V867" s="124"/>
      <c r="W867" s="124"/>
      <c r="X867" s="124"/>
      <c r="Y867" s="124"/>
      <c r="Z867" s="112"/>
      <c r="AA867" s="112"/>
      <c r="AB867" s="112"/>
      <c r="AC867" s="112"/>
      <c r="AD867" s="112"/>
      <c r="AE867" s="112"/>
      <c r="AF867" s="112"/>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c r="BK867" s="124"/>
      <c r="BL867" s="124"/>
      <c r="BM867" s="124"/>
      <c r="BN867" s="124"/>
      <c r="BO867" s="124"/>
      <c r="BP867" s="124"/>
      <c r="BQ867" s="124"/>
      <c r="BR867" s="124"/>
      <c r="BS867" s="124"/>
      <c r="BT867" s="124"/>
      <c r="BU867" s="124"/>
      <c r="BV867" s="124"/>
      <c r="BW867" s="124"/>
      <c r="BX867" s="124"/>
      <c r="BY867" s="124"/>
      <c r="BZ867" s="124"/>
      <c r="CA867" s="124"/>
    </row>
    <row r="868">
      <c r="D868" s="143"/>
      <c r="E868" s="129"/>
      <c r="F868" s="112"/>
      <c r="G868" s="112"/>
      <c r="H868" s="112"/>
      <c r="I868" s="112"/>
      <c r="J868" s="112"/>
      <c r="K868" s="112"/>
      <c r="L868" s="112"/>
      <c r="M868" s="112"/>
      <c r="N868" s="112"/>
      <c r="O868" s="112"/>
      <c r="P868" s="112"/>
      <c r="Q868" s="112"/>
      <c r="R868" s="112"/>
      <c r="S868" s="112"/>
      <c r="T868" s="112"/>
      <c r="U868" s="124"/>
      <c r="V868" s="124"/>
      <c r="W868" s="124"/>
      <c r="X868" s="124"/>
      <c r="Y868" s="124"/>
      <c r="Z868" s="112"/>
      <c r="AA868" s="112"/>
      <c r="AB868" s="112"/>
      <c r="AC868" s="112"/>
      <c r="AD868" s="112"/>
      <c r="AE868" s="112"/>
      <c r="AF868" s="112"/>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c r="BK868" s="124"/>
      <c r="BL868" s="124"/>
      <c r="BM868" s="124"/>
      <c r="BN868" s="124"/>
      <c r="BO868" s="124"/>
      <c r="BP868" s="124"/>
      <c r="BQ868" s="124"/>
      <c r="BR868" s="124"/>
      <c r="BS868" s="124"/>
      <c r="BT868" s="124"/>
      <c r="BU868" s="124"/>
      <c r="BV868" s="124"/>
      <c r="BW868" s="124"/>
      <c r="BX868" s="124"/>
      <c r="BY868" s="124"/>
      <c r="BZ868" s="124"/>
      <c r="CA868" s="124"/>
    </row>
    <row r="869">
      <c r="D869" s="143"/>
      <c r="E869" s="129"/>
      <c r="F869" s="112"/>
      <c r="G869" s="112"/>
      <c r="H869" s="112"/>
      <c r="I869" s="112"/>
      <c r="J869" s="112"/>
      <c r="K869" s="112"/>
      <c r="L869" s="112"/>
      <c r="M869" s="112"/>
      <c r="N869" s="112"/>
      <c r="O869" s="112"/>
      <c r="P869" s="112"/>
      <c r="Q869" s="112"/>
      <c r="R869" s="112"/>
      <c r="S869" s="112"/>
      <c r="T869" s="112"/>
      <c r="U869" s="124"/>
      <c r="V869" s="124"/>
      <c r="W869" s="124"/>
      <c r="X869" s="124"/>
      <c r="Y869" s="124"/>
      <c r="Z869" s="112"/>
      <c r="AA869" s="112"/>
      <c r="AB869" s="112"/>
      <c r="AC869" s="112"/>
      <c r="AD869" s="112"/>
      <c r="AE869" s="112"/>
      <c r="AF869" s="112"/>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c r="BK869" s="124"/>
      <c r="BL869" s="124"/>
      <c r="BM869" s="124"/>
      <c r="BN869" s="124"/>
      <c r="BO869" s="124"/>
      <c r="BP869" s="124"/>
      <c r="BQ869" s="124"/>
      <c r="BR869" s="124"/>
      <c r="BS869" s="124"/>
      <c r="BT869" s="124"/>
      <c r="BU869" s="124"/>
      <c r="BV869" s="124"/>
      <c r="BW869" s="124"/>
      <c r="BX869" s="124"/>
      <c r="BY869" s="124"/>
      <c r="BZ869" s="124"/>
      <c r="CA869" s="124"/>
    </row>
    <row r="870">
      <c r="D870" s="143"/>
      <c r="E870" s="129"/>
      <c r="F870" s="112"/>
      <c r="G870" s="112"/>
      <c r="H870" s="112"/>
      <c r="I870" s="112"/>
      <c r="J870" s="112"/>
      <c r="K870" s="112"/>
      <c r="L870" s="112"/>
      <c r="M870" s="112"/>
      <c r="N870" s="112"/>
      <c r="O870" s="112"/>
      <c r="P870" s="112"/>
      <c r="Q870" s="112"/>
      <c r="R870" s="112"/>
      <c r="S870" s="112"/>
      <c r="T870" s="112"/>
      <c r="U870" s="124"/>
      <c r="V870" s="124"/>
      <c r="W870" s="124"/>
      <c r="X870" s="124"/>
      <c r="Y870" s="124"/>
      <c r="Z870" s="112"/>
      <c r="AA870" s="112"/>
      <c r="AB870" s="112"/>
      <c r="AC870" s="112"/>
      <c r="AD870" s="112"/>
      <c r="AE870" s="112"/>
      <c r="AF870" s="112"/>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c r="BK870" s="124"/>
      <c r="BL870" s="124"/>
      <c r="BM870" s="124"/>
      <c r="BN870" s="124"/>
      <c r="BO870" s="124"/>
      <c r="BP870" s="124"/>
      <c r="BQ870" s="124"/>
      <c r="BR870" s="124"/>
      <c r="BS870" s="124"/>
      <c r="BT870" s="124"/>
      <c r="BU870" s="124"/>
      <c r="BV870" s="124"/>
      <c r="BW870" s="124"/>
      <c r="BX870" s="124"/>
      <c r="BY870" s="124"/>
      <c r="BZ870" s="124"/>
      <c r="CA870" s="124"/>
    </row>
    <row r="871">
      <c r="D871" s="143"/>
      <c r="E871" s="129"/>
      <c r="F871" s="112"/>
      <c r="G871" s="112"/>
      <c r="H871" s="112"/>
      <c r="I871" s="112"/>
      <c r="J871" s="112"/>
      <c r="K871" s="112"/>
      <c r="L871" s="112"/>
      <c r="M871" s="112"/>
      <c r="N871" s="112"/>
      <c r="O871" s="112"/>
      <c r="P871" s="112"/>
      <c r="Q871" s="112"/>
      <c r="R871" s="112"/>
      <c r="S871" s="112"/>
      <c r="T871" s="112"/>
      <c r="U871" s="124"/>
      <c r="V871" s="124"/>
      <c r="W871" s="124"/>
      <c r="X871" s="124"/>
      <c r="Y871" s="124"/>
      <c r="Z871" s="112"/>
      <c r="AA871" s="112"/>
      <c r="AB871" s="112"/>
      <c r="AC871" s="112"/>
      <c r="AD871" s="112"/>
      <c r="AE871" s="112"/>
      <c r="AF871" s="112"/>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c r="BK871" s="124"/>
      <c r="BL871" s="124"/>
      <c r="BM871" s="124"/>
      <c r="BN871" s="124"/>
      <c r="BO871" s="124"/>
      <c r="BP871" s="124"/>
      <c r="BQ871" s="124"/>
      <c r="BR871" s="124"/>
      <c r="BS871" s="124"/>
      <c r="BT871" s="124"/>
      <c r="BU871" s="124"/>
      <c r="BV871" s="124"/>
      <c r="BW871" s="124"/>
      <c r="BX871" s="124"/>
      <c r="BY871" s="124"/>
      <c r="BZ871" s="124"/>
      <c r="CA871" s="124"/>
    </row>
    <row r="872">
      <c r="D872" s="143"/>
      <c r="E872" s="129"/>
      <c r="F872" s="112"/>
      <c r="G872" s="112"/>
      <c r="H872" s="112"/>
      <c r="I872" s="112"/>
      <c r="J872" s="112"/>
      <c r="K872" s="112"/>
      <c r="L872" s="112"/>
      <c r="M872" s="112"/>
      <c r="N872" s="112"/>
      <c r="O872" s="112"/>
      <c r="P872" s="112"/>
      <c r="Q872" s="112"/>
      <c r="R872" s="112"/>
      <c r="S872" s="112"/>
      <c r="T872" s="112"/>
      <c r="U872" s="124"/>
      <c r="V872" s="124"/>
      <c r="W872" s="124"/>
      <c r="X872" s="124"/>
      <c r="Y872" s="124"/>
      <c r="Z872" s="112"/>
      <c r="AA872" s="112"/>
      <c r="AB872" s="112"/>
      <c r="AC872" s="112"/>
      <c r="AD872" s="112"/>
      <c r="AE872" s="112"/>
      <c r="AF872" s="112"/>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c r="BK872" s="124"/>
      <c r="BL872" s="124"/>
      <c r="BM872" s="124"/>
      <c r="BN872" s="124"/>
      <c r="BO872" s="124"/>
      <c r="BP872" s="124"/>
      <c r="BQ872" s="124"/>
      <c r="BR872" s="124"/>
      <c r="BS872" s="124"/>
      <c r="BT872" s="124"/>
      <c r="BU872" s="124"/>
      <c r="BV872" s="124"/>
      <c r="BW872" s="124"/>
      <c r="BX872" s="124"/>
      <c r="BY872" s="124"/>
      <c r="BZ872" s="124"/>
      <c r="CA872" s="124"/>
    </row>
    <row r="873">
      <c r="D873" s="143"/>
      <c r="E873" s="129"/>
      <c r="F873" s="112"/>
      <c r="G873" s="112"/>
      <c r="H873" s="112"/>
      <c r="I873" s="112"/>
      <c r="J873" s="112"/>
      <c r="K873" s="112"/>
      <c r="L873" s="112"/>
      <c r="M873" s="112"/>
      <c r="N873" s="112"/>
      <c r="O873" s="112"/>
      <c r="P873" s="112"/>
      <c r="Q873" s="112"/>
      <c r="R873" s="112"/>
      <c r="S873" s="112"/>
      <c r="T873" s="112"/>
      <c r="U873" s="124"/>
      <c r="V873" s="124"/>
      <c r="W873" s="124"/>
      <c r="X873" s="124"/>
      <c r="Y873" s="124"/>
      <c r="Z873" s="112"/>
      <c r="AA873" s="112"/>
      <c r="AB873" s="112"/>
      <c r="AC873" s="112"/>
      <c r="AD873" s="112"/>
      <c r="AE873" s="112"/>
      <c r="AF873" s="112"/>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c r="BK873" s="124"/>
      <c r="BL873" s="124"/>
      <c r="BM873" s="124"/>
      <c r="BN873" s="124"/>
      <c r="BO873" s="124"/>
      <c r="BP873" s="124"/>
      <c r="BQ873" s="124"/>
      <c r="BR873" s="124"/>
      <c r="BS873" s="124"/>
      <c r="BT873" s="124"/>
      <c r="BU873" s="124"/>
      <c r="BV873" s="124"/>
      <c r="BW873" s="124"/>
      <c r="BX873" s="124"/>
      <c r="BY873" s="124"/>
      <c r="BZ873" s="124"/>
      <c r="CA873" s="124"/>
    </row>
    <row r="874">
      <c r="D874" s="143"/>
      <c r="E874" s="129"/>
      <c r="F874" s="112"/>
      <c r="G874" s="112"/>
      <c r="H874" s="112"/>
      <c r="I874" s="112"/>
      <c r="J874" s="112"/>
      <c r="K874" s="112"/>
      <c r="L874" s="112"/>
      <c r="M874" s="112"/>
      <c r="N874" s="112"/>
      <c r="O874" s="112"/>
      <c r="P874" s="112"/>
      <c r="Q874" s="112"/>
      <c r="R874" s="112"/>
      <c r="S874" s="112"/>
      <c r="T874" s="112"/>
      <c r="U874" s="124"/>
      <c r="V874" s="124"/>
      <c r="W874" s="124"/>
      <c r="X874" s="124"/>
      <c r="Y874" s="124"/>
      <c r="Z874" s="112"/>
      <c r="AA874" s="112"/>
      <c r="AB874" s="112"/>
      <c r="AC874" s="112"/>
      <c r="AD874" s="112"/>
      <c r="AE874" s="112"/>
      <c r="AF874" s="112"/>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c r="BK874" s="124"/>
      <c r="BL874" s="124"/>
      <c r="BM874" s="124"/>
      <c r="BN874" s="124"/>
      <c r="BO874" s="124"/>
      <c r="BP874" s="124"/>
      <c r="BQ874" s="124"/>
      <c r="BR874" s="124"/>
      <c r="BS874" s="124"/>
      <c r="BT874" s="124"/>
      <c r="BU874" s="124"/>
      <c r="BV874" s="124"/>
      <c r="BW874" s="124"/>
      <c r="BX874" s="124"/>
      <c r="BY874" s="124"/>
      <c r="BZ874" s="124"/>
      <c r="CA874" s="124"/>
    </row>
    <row r="875">
      <c r="D875" s="143"/>
      <c r="E875" s="129"/>
      <c r="F875" s="112"/>
      <c r="G875" s="112"/>
      <c r="H875" s="112"/>
      <c r="I875" s="112"/>
      <c r="J875" s="112"/>
      <c r="K875" s="112"/>
      <c r="L875" s="112"/>
      <c r="M875" s="112"/>
      <c r="N875" s="112"/>
      <c r="O875" s="112"/>
      <c r="P875" s="112"/>
      <c r="Q875" s="112"/>
      <c r="R875" s="112"/>
      <c r="S875" s="112"/>
      <c r="T875" s="112"/>
      <c r="U875" s="124"/>
      <c r="V875" s="124"/>
      <c r="W875" s="124"/>
      <c r="X875" s="124"/>
      <c r="Y875" s="124"/>
      <c r="Z875" s="112"/>
      <c r="AA875" s="112"/>
      <c r="AB875" s="112"/>
      <c r="AC875" s="112"/>
      <c r="AD875" s="112"/>
      <c r="AE875" s="112"/>
      <c r="AF875" s="112"/>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c r="BK875" s="124"/>
      <c r="BL875" s="124"/>
      <c r="BM875" s="124"/>
      <c r="BN875" s="124"/>
      <c r="BO875" s="124"/>
      <c r="BP875" s="124"/>
      <c r="BQ875" s="124"/>
      <c r="BR875" s="124"/>
      <c r="BS875" s="124"/>
      <c r="BT875" s="124"/>
      <c r="BU875" s="124"/>
      <c r="BV875" s="124"/>
      <c r="BW875" s="124"/>
      <c r="BX875" s="124"/>
      <c r="BY875" s="124"/>
      <c r="BZ875" s="124"/>
      <c r="CA875" s="124"/>
    </row>
    <row r="876">
      <c r="D876" s="143"/>
      <c r="E876" s="129"/>
      <c r="F876" s="112"/>
      <c r="G876" s="112"/>
      <c r="H876" s="112"/>
      <c r="I876" s="112"/>
      <c r="J876" s="112"/>
      <c r="K876" s="112"/>
      <c r="L876" s="112"/>
      <c r="M876" s="112"/>
      <c r="N876" s="112"/>
      <c r="O876" s="112"/>
      <c r="P876" s="112"/>
      <c r="Q876" s="112"/>
      <c r="R876" s="112"/>
      <c r="S876" s="112"/>
      <c r="T876" s="112"/>
      <c r="U876" s="124"/>
      <c r="V876" s="124"/>
      <c r="W876" s="124"/>
      <c r="X876" s="124"/>
      <c r="Y876" s="124"/>
      <c r="Z876" s="112"/>
      <c r="AA876" s="112"/>
      <c r="AB876" s="112"/>
      <c r="AC876" s="112"/>
      <c r="AD876" s="112"/>
      <c r="AE876" s="112"/>
      <c r="AF876" s="112"/>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c r="BK876" s="124"/>
      <c r="BL876" s="124"/>
      <c r="BM876" s="124"/>
      <c r="BN876" s="124"/>
      <c r="BO876" s="124"/>
      <c r="BP876" s="124"/>
      <c r="BQ876" s="124"/>
      <c r="BR876" s="124"/>
      <c r="BS876" s="124"/>
      <c r="BT876" s="124"/>
      <c r="BU876" s="124"/>
      <c r="BV876" s="124"/>
      <c r="BW876" s="124"/>
      <c r="BX876" s="124"/>
      <c r="BY876" s="124"/>
      <c r="BZ876" s="124"/>
      <c r="CA876" s="124"/>
    </row>
    <row r="877">
      <c r="D877" s="143"/>
      <c r="E877" s="129"/>
      <c r="F877" s="112"/>
      <c r="G877" s="112"/>
      <c r="H877" s="112"/>
      <c r="I877" s="112"/>
      <c r="J877" s="112"/>
      <c r="K877" s="112"/>
      <c r="L877" s="112"/>
      <c r="M877" s="112"/>
      <c r="N877" s="112"/>
      <c r="O877" s="112"/>
      <c r="P877" s="112"/>
      <c r="Q877" s="112"/>
      <c r="R877" s="112"/>
      <c r="S877" s="112"/>
      <c r="T877" s="112"/>
      <c r="U877" s="124"/>
      <c r="V877" s="124"/>
      <c r="W877" s="124"/>
      <c r="X877" s="124"/>
      <c r="Y877" s="124"/>
      <c r="Z877" s="112"/>
      <c r="AA877" s="112"/>
      <c r="AB877" s="112"/>
      <c r="AC877" s="112"/>
      <c r="AD877" s="112"/>
      <c r="AE877" s="112"/>
      <c r="AF877" s="112"/>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c r="BK877" s="124"/>
      <c r="BL877" s="124"/>
      <c r="BM877" s="124"/>
      <c r="BN877" s="124"/>
      <c r="BO877" s="124"/>
      <c r="BP877" s="124"/>
      <c r="BQ877" s="124"/>
      <c r="BR877" s="124"/>
      <c r="BS877" s="124"/>
      <c r="BT877" s="124"/>
      <c r="BU877" s="124"/>
      <c r="BV877" s="124"/>
      <c r="BW877" s="124"/>
      <c r="BX877" s="124"/>
      <c r="BY877" s="124"/>
      <c r="BZ877" s="124"/>
      <c r="CA877" s="124"/>
    </row>
    <row r="878">
      <c r="D878" s="143"/>
      <c r="E878" s="129"/>
      <c r="F878" s="112"/>
      <c r="G878" s="112"/>
      <c r="H878" s="112"/>
      <c r="I878" s="112"/>
      <c r="J878" s="112"/>
      <c r="K878" s="112"/>
      <c r="L878" s="112"/>
      <c r="M878" s="112"/>
      <c r="N878" s="112"/>
      <c r="O878" s="112"/>
      <c r="P878" s="112"/>
      <c r="Q878" s="112"/>
      <c r="R878" s="112"/>
      <c r="S878" s="112"/>
      <c r="T878" s="112"/>
      <c r="U878" s="124"/>
      <c r="V878" s="124"/>
      <c r="W878" s="124"/>
      <c r="X878" s="124"/>
      <c r="Y878" s="124"/>
      <c r="Z878" s="112"/>
      <c r="AA878" s="112"/>
      <c r="AB878" s="112"/>
      <c r="AC878" s="112"/>
      <c r="AD878" s="112"/>
      <c r="AE878" s="112"/>
      <c r="AF878" s="112"/>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c r="BK878" s="124"/>
      <c r="BL878" s="124"/>
      <c r="BM878" s="124"/>
      <c r="BN878" s="124"/>
      <c r="BO878" s="124"/>
      <c r="BP878" s="124"/>
      <c r="BQ878" s="124"/>
      <c r="BR878" s="124"/>
      <c r="BS878" s="124"/>
      <c r="BT878" s="124"/>
      <c r="BU878" s="124"/>
      <c r="BV878" s="124"/>
      <c r="BW878" s="124"/>
      <c r="BX878" s="124"/>
      <c r="BY878" s="124"/>
      <c r="BZ878" s="124"/>
      <c r="CA878" s="124"/>
    </row>
    <row r="879">
      <c r="D879" s="143"/>
      <c r="E879" s="129"/>
      <c r="F879" s="112"/>
      <c r="G879" s="112"/>
      <c r="H879" s="112"/>
      <c r="I879" s="112"/>
      <c r="J879" s="112"/>
      <c r="K879" s="112"/>
      <c r="L879" s="112"/>
      <c r="M879" s="112"/>
      <c r="N879" s="112"/>
      <c r="O879" s="112"/>
      <c r="P879" s="112"/>
      <c r="Q879" s="112"/>
      <c r="R879" s="112"/>
      <c r="S879" s="112"/>
      <c r="T879" s="112"/>
      <c r="U879" s="124"/>
      <c r="V879" s="124"/>
      <c r="W879" s="124"/>
      <c r="X879" s="124"/>
      <c r="Y879" s="124"/>
      <c r="Z879" s="112"/>
      <c r="AA879" s="112"/>
      <c r="AB879" s="112"/>
      <c r="AC879" s="112"/>
      <c r="AD879" s="112"/>
      <c r="AE879" s="112"/>
      <c r="AF879" s="112"/>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c r="BK879" s="124"/>
      <c r="BL879" s="124"/>
      <c r="BM879" s="124"/>
      <c r="BN879" s="124"/>
      <c r="BO879" s="124"/>
      <c r="BP879" s="124"/>
      <c r="BQ879" s="124"/>
      <c r="BR879" s="124"/>
      <c r="BS879" s="124"/>
      <c r="BT879" s="124"/>
      <c r="BU879" s="124"/>
      <c r="BV879" s="124"/>
      <c r="BW879" s="124"/>
      <c r="BX879" s="124"/>
      <c r="BY879" s="124"/>
      <c r="BZ879" s="124"/>
      <c r="CA879" s="124"/>
    </row>
    <row r="880">
      <c r="D880" s="143"/>
      <c r="E880" s="129"/>
      <c r="F880" s="112"/>
      <c r="G880" s="112"/>
      <c r="H880" s="112"/>
      <c r="I880" s="112"/>
      <c r="J880" s="112"/>
      <c r="K880" s="112"/>
      <c r="L880" s="112"/>
      <c r="M880" s="112"/>
      <c r="N880" s="112"/>
      <c r="O880" s="112"/>
      <c r="P880" s="112"/>
      <c r="Q880" s="112"/>
      <c r="R880" s="112"/>
      <c r="S880" s="112"/>
      <c r="T880" s="112"/>
      <c r="U880" s="124"/>
      <c r="V880" s="124"/>
      <c r="W880" s="124"/>
      <c r="X880" s="124"/>
      <c r="Y880" s="124"/>
      <c r="Z880" s="112"/>
      <c r="AA880" s="112"/>
      <c r="AB880" s="112"/>
      <c r="AC880" s="112"/>
      <c r="AD880" s="112"/>
      <c r="AE880" s="112"/>
      <c r="AF880" s="112"/>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c r="BK880" s="124"/>
      <c r="BL880" s="124"/>
      <c r="BM880" s="124"/>
      <c r="BN880" s="124"/>
      <c r="BO880" s="124"/>
      <c r="BP880" s="124"/>
      <c r="BQ880" s="124"/>
      <c r="BR880" s="124"/>
      <c r="BS880" s="124"/>
      <c r="BT880" s="124"/>
      <c r="BU880" s="124"/>
      <c r="BV880" s="124"/>
      <c r="BW880" s="124"/>
      <c r="BX880" s="124"/>
      <c r="BY880" s="124"/>
      <c r="BZ880" s="124"/>
      <c r="CA880" s="124"/>
    </row>
    <row r="881">
      <c r="D881" s="143"/>
      <c r="E881" s="129"/>
      <c r="F881" s="112"/>
      <c r="G881" s="112"/>
      <c r="H881" s="112"/>
      <c r="I881" s="112"/>
      <c r="J881" s="112"/>
      <c r="K881" s="112"/>
      <c r="L881" s="112"/>
      <c r="M881" s="112"/>
      <c r="N881" s="112"/>
      <c r="O881" s="112"/>
      <c r="P881" s="112"/>
      <c r="Q881" s="112"/>
      <c r="R881" s="112"/>
      <c r="S881" s="112"/>
      <c r="T881" s="112"/>
      <c r="U881" s="124"/>
      <c r="V881" s="124"/>
      <c r="W881" s="124"/>
      <c r="X881" s="124"/>
      <c r="Y881" s="124"/>
      <c r="Z881" s="112"/>
      <c r="AA881" s="112"/>
      <c r="AB881" s="112"/>
      <c r="AC881" s="112"/>
      <c r="AD881" s="112"/>
      <c r="AE881" s="112"/>
      <c r="AF881" s="112"/>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c r="BK881" s="124"/>
      <c r="BL881" s="124"/>
      <c r="BM881" s="124"/>
      <c r="BN881" s="124"/>
      <c r="BO881" s="124"/>
      <c r="BP881" s="124"/>
      <c r="BQ881" s="124"/>
      <c r="BR881" s="124"/>
      <c r="BS881" s="124"/>
      <c r="BT881" s="124"/>
      <c r="BU881" s="124"/>
      <c r="BV881" s="124"/>
      <c r="BW881" s="124"/>
      <c r="BX881" s="124"/>
      <c r="BY881" s="124"/>
      <c r="BZ881" s="124"/>
      <c r="CA881" s="124"/>
    </row>
    <row r="882">
      <c r="D882" s="143"/>
      <c r="E882" s="129"/>
      <c r="F882" s="112"/>
      <c r="G882" s="112"/>
      <c r="H882" s="112"/>
      <c r="I882" s="112"/>
      <c r="J882" s="112"/>
      <c r="K882" s="112"/>
      <c r="L882" s="112"/>
      <c r="M882" s="112"/>
      <c r="N882" s="112"/>
      <c r="O882" s="112"/>
      <c r="P882" s="112"/>
      <c r="Q882" s="112"/>
      <c r="R882" s="112"/>
      <c r="S882" s="112"/>
      <c r="T882" s="112"/>
      <c r="U882" s="124"/>
      <c r="V882" s="124"/>
      <c r="W882" s="124"/>
      <c r="X882" s="124"/>
      <c r="Y882" s="124"/>
      <c r="Z882" s="112"/>
      <c r="AA882" s="112"/>
      <c r="AB882" s="112"/>
      <c r="AC882" s="112"/>
      <c r="AD882" s="112"/>
      <c r="AE882" s="112"/>
      <c r="AF882" s="112"/>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c r="BK882" s="124"/>
      <c r="BL882" s="124"/>
      <c r="BM882" s="124"/>
      <c r="BN882" s="124"/>
      <c r="BO882" s="124"/>
      <c r="BP882" s="124"/>
      <c r="BQ882" s="124"/>
      <c r="BR882" s="124"/>
      <c r="BS882" s="124"/>
      <c r="BT882" s="124"/>
      <c r="BU882" s="124"/>
      <c r="BV882" s="124"/>
      <c r="BW882" s="124"/>
      <c r="BX882" s="124"/>
      <c r="BY882" s="124"/>
      <c r="BZ882" s="124"/>
      <c r="CA882" s="124"/>
    </row>
    <row r="883">
      <c r="D883" s="143"/>
      <c r="E883" s="129"/>
      <c r="F883" s="112"/>
      <c r="G883" s="112"/>
      <c r="H883" s="112"/>
      <c r="I883" s="112"/>
      <c r="J883" s="112"/>
      <c r="K883" s="112"/>
      <c r="L883" s="112"/>
      <c r="M883" s="112"/>
      <c r="N883" s="112"/>
      <c r="O883" s="112"/>
      <c r="P883" s="112"/>
      <c r="Q883" s="112"/>
      <c r="R883" s="112"/>
      <c r="S883" s="112"/>
      <c r="T883" s="112"/>
      <c r="U883" s="124"/>
      <c r="V883" s="124"/>
      <c r="W883" s="124"/>
      <c r="X883" s="124"/>
      <c r="Y883" s="124"/>
      <c r="Z883" s="112"/>
      <c r="AA883" s="112"/>
      <c r="AB883" s="112"/>
      <c r="AC883" s="112"/>
      <c r="AD883" s="112"/>
      <c r="AE883" s="112"/>
      <c r="AF883" s="112"/>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c r="BK883" s="124"/>
      <c r="BL883" s="124"/>
      <c r="BM883" s="124"/>
      <c r="BN883" s="124"/>
      <c r="BO883" s="124"/>
      <c r="BP883" s="124"/>
      <c r="BQ883" s="124"/>
      <c r="BR883" s="124"/>
      <c r="BS883" s="124"/>
      <c r="BT883" s="124"/>
      <c r="BU883" s="124"/>
      <c r="BV883" s="124"/>
      <c r="BW883" s="124"/>
      <c r="BX883" s="124"/>
      <c r="BY883" s="124"/>
      <c r="BZ883" s="124"/>
      <c r="CA883" s="124"/>
    </row>
    <row r="884">
      <c r="D884" s="143"/>
      <c r="E884" s="129"/>
      <c r="F884" s="112"/>
      <c r="G884" s="112"/>
      <c r="H884" s="112"/>
      <c r="I884" s="112"/>
      <c r="J884" s="112"/>
      <c r="K884" s="112"/>
      <c r="L884" s="112"/>
      <c r="M884" s="112"/>
      <c r="N884" s="112"/>
      <c r="O884" s="112"/>
      <c r="P884" s="112"/>
      <c r="Q884" s="112"/>
      <c r="R884" s="112"/>
      <c r="S884" s="112"/>
      <c r="T884" s="112"/>
      <c r="U884" s="124"/>
      <c r="V884" s="124"/>
      <c r="W884" s="124"/>
      <c r="X884" s="124"/>
      <c r="Y884" s="124"/>
      <c r="Z884" s="112"/>
      <c r="AA884" s="112"/>
      <c r="AB884" s="112"/>
      <c r="AC884" s="112"/>
      <c r="AD884" s="112"/>
      <c r="AE884" s="112"/>
      <c r="AF884" s="112"/>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c r="BK884" s="124"/>
      <c r="BL884" s="124"/>
      <c r="BM884" s="124"/>
      <c r="BN884" s="124"/>
      <c r="BO884" s="124"/>
      <c r="BP884" s="124"/>
      <c r="BQ884" s="124"/>
      <c r="BR884" s="124"/>
      <c r="BS884" s="124"/>
      <c r="BT884" s="124"/>
      <c r="BU884" s="124"/>
      <c r="BV884" s="124"/>
      <c r="BW884" s="124"/>
      <c r="BX884" s="124"/>
      <c r="BY884" s="124"/>
      <c r="BZ884" s="124"/>
      <c r="CA884" s="124"/>
    </row>
    <row r="885">
      <c r="D885" s="143"/>
      <c r="E885" s="129"/>
      <c r="F885" s="112"/>
      <c r="G885" s="112"/>
      <c r="H885" s="112"/>
      <c r="I885" s="112"/>
      <c r="J885" s="112"/>
      <c r="K885" s="112"/>
      <c r="L885" s="112"/>
      <c r="M885" s="112"/>
      <c r="N885" s="112"/>
      <c r="O885" s="112"/>
      <c r="P885" s="112"/>
      <c r="Q885" s="112"/>
      <c r="R885" s="112"/>
      <c r="S885" s="112"/>
      <c r="T885" s="112"/>
      <c r="U885" s="124"/>
      <c r="V885" s="124"/>
      <c r="W885" s="124"/>
      <c r="X885" s="124"/>
      <c r="Y885" s="124"/>
      <c r="Z885" s="112"/>
      <c r="AA885" s="112"/>
      <c r="AB885" s="112"/>
      <c r="AC885" s="112"/>
      <c r="AD885" s="112"/>
      <c r="AE885" s="112"/>
      <c r="AF885" s="112"/>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c r="BK885" s="124"/>
      <c r="BL885" s="124"/>
      <c r="BM885" s="124"/>
      <c r="BN885" s="124"/>
      <c r="BO885" s="124"/>
      <c r="BP885" s="124"/>
      <c r="BQ885" s="124"/>
      <c r="BR885" s="124"/>
      <c r="BS885" s="124"/>
      <c r="BT885" s="124"/>
      <c r="BU885" s="124"/>
      <c r="BV885" s="124"/>
      <c r="BW885" s="124"/>
      <c r="BX885" s="124"/>
      <c r="BY885" s="124"/>
      <c r="BZ885" s="124"/>
      <c r="CA885" s="124"/>
    </row>
    <row r="886">
      <c r="D886" s="143"/>
      <c r="E886" s="129"/>
      <c r="F886" s="112"/>
      <c r="G886" s="112"/>
      <c r="H886" s="112"/>
      <c r="I886" s="112"/>
      <c r="J886" s="112"/>
      <c r="K886" s="112"/>
      <c r="L886" s="112"/>
      <c r="M886" s="112"/>
      <c r="N886" s="112"/>
      <c r="O886" s="112"/>
      <c r="P886" s="112"/>
      <c r="Q886" s="112"/>
      <c r="R886" s="112"/>
      <c r="S886" s="112"/>
      <c r="T886" s="112"/>
      <c r="U886" s="124"/>
      <c r="V886" s="124"/>
      <c r="W886" s="124"/>
      <c r="X886" s="124"/>
      <c r="Y886" s="124"/>
      <c r="Z886" s="112"/>
      <c r="AA886" s="112"/>
      <c r="AB886" s="112"/>
      <c r="AC886" s="112"/>
      <c r="AD886" s="112"/>
      <c r="AE886" s="112"/>
      <c r="AF886" s="112"/>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c r="BK886" s="124"/>
      <c r="BL886" s="124"/>
      <c r="BM886" s="124"/>
      <c r="BN886" s="124"/>
      <c r="BO886" s="124"/>
      <c r="BP886" s="124"/>
      <c r="BQ886" s="124"/>
      <c r="BR886" s="124"/>
      <c r="BS886" s="124"/>
      <c r="BT886" s="124"/>
      <c r="BU886" s="124"/>
      <c r="BV886" s="124"/>
      <c r="BW886" s="124"/>
      <c r="BX886" s="124"/>
      <c r="BY886" s="124"/>
      <c r="BZ886" s="124"/>
      <c r="CA886" s="124"/>
    </row>
    <row r="887">
      <c r="D887" s="143"/>
      <c r="E887" s="129"/>
      <c r="F887" s="112"/>
      <c r="G887" s="112"/>
      <c r="H887" s="112"/>
      <c r="I887" s="112"/>
      <c r="J887" s="112"/>
      <c r="K887" s="112"/>
      <c r="L887" s="112"/>
      <c r="M887" s="112"/>
      <c r="N887" s="112"/>
      <c r="O887" s="112"/>
      <c r="P887" s="112"/>
      <c r="Q887" s="112"/>
      <c r="R887" s="112"/>
      <c r="S887" s="112"/>
      <c r="T887" s="112"/>
      <c r="U887" s="124"/>
      <c r="V887" s="124"/>
      <c r="W887" s="124"/>
      <c r="X887" s="124"/>
      <c r="Y887" s="124"/>
      <c r="Z887" s="112"/>
      <c r="AA887" s="112"/>
      <c r="AB887" s="112"/>
      <c r="AC887" s="112"/>
      <c r="AD887" s="112"/>
      <c r="AE887" s="112"/>
      <c r="AF887" s="112"/>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c r="BK887" s="124"/>
      <c r="BL887" s="124"/>
      <c r="BM887" s="124"/>
      <c r="BN887" s="124"/>
      <c r="BO887" s="124"/>
      <c r="BP887" s="124"/>
      <c r="BQ887" s="124"/>
      <c r="BR887" s="124"/>
      <c r="BS887" s="124"/>
      <c r="BT887" s="124"/>
      <c r="BU887" s="124"/>
      <c r="BV887" s="124"/>
      <c r="BW887" s="124"/>
      <c r="BX887" s="124"/>
      <c r="BY887" s="124"/>
      <c r="BZ887" s="124"/>
      <c r="CA887" s="124"/>
    </row>
    <row r="888">
      <c r="D888" s="143"/>
      <c r="E888" s="129"/>
      <c r="F888" s="112"/>
      <c r="G888" s="112"/>
      <c r="H888" s="112"/>
      <c r="I888" s="112"/>
      <c r="J888" s="112"/>
      <c r="K888" s="112"/>
      <c r="L888" s="112"/>
      <c r="M888" s="112"/>
      <c r="N888" s="112"/>
      <c r="O888" s="112"/>
      <c r="P888" s="112"/>
      <c r="Q888" s="112"/>
      <c r="R888" s="112"/>
      <c r="S888" s="112"/>
      <c r="T888" s="112"/>
      <c r="U888" s="124"/>
      <c r="V888" s="124"/>
      <c r="W888" s="124"/>
      <c r="X888" s="124"/>
      <c r="Y888" s="124"/>
      <c r="Z888" s="112"/>
      <c r="AA888" s="112"/>
      <c r="AB888" s="112"/>
      <c r="AC888" s="112"/>
      <c r="AD888" s="112"/>
      <c r="AE888" s="112"/>
      <c r="AF888" s="112"/>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c r="BK888" s="124"/>
      <c r="BL888" s="124"/>
      <c r="BM888" s="124"/>
      <c r="BN888" s="124"/>
      <c r="BO888" s="124"/>
      <c r="BP888" s="124"/>
      <c r="BQ888" s="124"/>
      <c r="BR888" s="124"/>
      <c r="BS888" s="124"/>
      <c r="BT888" s="124"/>
      <c r="BU888" s="124"/>
      <c r="BV888" s="124"/>
      <c r="BW888" s="124"/>
      <c r="BX888" s="124"/>
      <c r="BY888" s="124"/>
      <c r="BZ888" s="124"/>
      <c r="CA888" s="124"/>
    </row>
    <row r="889">
      <c r="D889" s="143"/>
      <c r="E889" s="129"/>
      <c r="F889" s="112"/>
      <c r="G889" s="112"/>
      <c r="H889" s="112"/>
      <c r="I889" s="112"/>
      <c r="J889" s="112"/>
      <c r="K889" s="112"/>
      <c r="L889" s="112"/>
      <c r="M889" s="112"/>
      <c r="N889" s="112"/>
      <c r="O889" s="112"/>
      <c r="P889" s="112"/>
      <c r="Q889" s="112"/>
      <c r="R889" s="112"/>
      <c r="S889" s="112"/>
      <c r="T889" s="112"/>
      <c r="U889" s="124"/>
      <c r="V889" s="124"/>
      <c r="W889" s="124"/>
      <c r="X889" s="124"/>
      <c r="Y889" s="124"/>
      <c r="Z889" s="112"/>
      <c r="AA889" s="112"/>
      <c r="AB889" s="112"/>
      <c r="AC889" s="112"/>
      <c r="AD889" s="112"/>
      <c r="AE889" s="112"/>
      <c r="AF889" s="112"/>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c r="BK889" s="124"/>
      <c r="BL889" s="124"/>
      <c r="BM889" s="124"/>
      <c r="BN889" s="124"/>
      <c r="BO889" s="124"/>
      <c r="BP889" s="124"/>
      <c r="BQ889" s="124"/>
      <c r="BR889" s="124"/>
      <c r="BS889" s="124"/>
      <c r="BT889" s="124"/>
      <c r="BU889" s="124"/>
      <c r="BV889" s="124"/>
      <c r="BW889" s="124"/>
      <c r="BX889" s="124"/>
      <c r="BY889" s="124"/>
      <c r="BZ889" s="124"/>
      <c r="CA889" s="124"/>
    </row>
    <row r="890">
      <c r="D890" s="143"/>
      <c r="E890" s="129"/>
      <c r="F890" s="112"/>
      <c r="G890" s="112"/>
      <c r="H890" s="112"/>
      <c r="I890" s="112"/>
      <c r="J890" s="112"/>
      <c r="K890" s="112"/>
      <c r="L890" s="112"/>
      <c r="M890" s="112"/>
      <c r="N890" s="112"/>
      <c r="O890" s="112"/>
      <c r="P890" s="112"/>
      <c r="Q890" s="112"/>
      <c r="R890" s="112"/>
      <c r="S890" s="112"/>
      <c r="T890" s="112"/>
      <c r="U890" s="124"/>
      <c r="V890" s="124"/>
      <c r="W890" s="124"/>
      <c r="X890" s="124"/>
      <c r="Y890" s="124"/>
      <c r="Z890" s="112"/>
      <c r="AA890" s="112"/>
      <c r="AB890" s="112"/>
      <c r="AC890" s="112"/>
      <c r="AD890" s="112"/>
      <c r="AE890" s="112"/>
      <c r="AF890" s="112"/>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c r="BK890" s="124"/>
      <c r="BL890" s="124"/>
      <c r="BM890" s="124"/>
      <c r="BN890" s="124"/>
      <c r="BO890" s="124"/>
      <c r="BP890" s="124"/>
      <c r="BQ890" s="124"/>
      <c r="BR890" s="124"/>
      <c r="BS890" s="124"/>
      <c r="BT890" s="124"/>
      <c r="BU890" s="124"/>
      <c r="BV890" s="124"/>
      <c r="BW890" s="124"/>
      <c r="BX890" s="124"/>
      <c r="BY890" s="124"/>
      <c r="BZ890" s="124"/>
      <c r="CA890" s="124"/>
    </row>
    <row r="891">
      <c r="D891" s="143"/>
      <c r="E891" s="129"/>
      <c r="F891" s="112"/>
      <c r="G891" s="112"/>
      <c r="H891" s="112"/>
      <c r="I891" s="112"/>
      <c r="J891" s="112"/>
      <c r="K891" s="112"/>
      <c r="L891" s="112"/>
      <c r="M891" s="112"/>
      <c r="N891" s="112"/>
      <c r="O891" s="112"/>
      <c r="P891" s="112"/>
      <c r="Q891" s="112"/>
      <c r="R891" s="112"/>
      <c r="S891" s="112"/>
      <c r="T891" s="112"/>
      <c r="U891" s="124"/>
      <c r="V891" s="124"/>
      <c r="W891" s="124"/>
      <c r="X891" s="124"/>
      <c r="Y891" s="124"/>
      <c r="Z891" s="112"/>
      <c r="AA891" s="112"/>
      <c r="AB891" s="112"/>
      <c r="AC891" s="112"/>
      <c r="AD891" s="112"/>
      <c r="AE891" s="112"/>
      <c r="AF891" s="112"/>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c r="BK891" s="124"/>
      <c r="BL891" s="124"/>
      <c r="BM891" s="124"/>
      <c r="BN891" s="124"/>
      <c r="BO891" s="124"/>
      <c r="BP891" s="124"/>
      <c r="BQ891" s="124"/>
      <c r="BR891" s="124"/>
      <c r="BS891" s="124"/>
      <c r="BT891" s="124"/>
      <c r="BU891" s="124"/>
      <c r="BV891" s="124"/>
      <c r="BW891" s="124"/>
      <c r="BX891" s="124"/>
      <c r="BY891" s="124"/>
      <c r="BZ891" s="124"/>
      <c r="CA891" s="124"/>
    </row>
    <row r="892">
      <c r="D892" s="143"/>
      <c r="E892" s="129"/>
      <c r="F892" s="112"/>
      <c r="G892" s="112"/>
      <c r="H892" s="112"/>
      <c r="I892" s="112"/>
      <c r="J892" s="112"/>
      <c r="K892" s="112"/>
      <c r="L892" s="112"/>
      <c r="M892" s="112"/>
      <c r="N892" s="112"/>
      <c r="O892" s="112"/>
      <c r="P892" s="112"/>
      <c r="Q892" s="112"/>
      <c r="R892" s="112"/>
      <c r="S892" s="112"/>
      <c r="T892" s="112"/>
      <c r="U892" s="124"/>
      <c r="V892" s="124"/>
      <c r="W892" s="124"/>
      <c r="X892" s="124"/>
      <c r="Y892" s="124"/>
      <c r="Z892" s="112"/>
      <c r="AA892" s="112"/>
      <c r="AB892" s="112"/>
      <c r="AC892" s="112"/>
      <c r="AD892" s="112"/>
      <c r="AE892" s="112"/>
      <c r="AF892" s="112"/>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c r="BK892" s="124"/>
      <c r="BL892" s="124"/>
      <c r="BM892" s="124"/>
      <c r="BN892" s="124"/>
      <c r="BO892" s="124"/>
      <c r="BP892" s="124"/>
      <c r="BQ892" s="124"/>
      <c r="BR892" s="124"/>
      <c r="BS892" s="124"/>
      <c r="BT892" s="124"/>
      <c r="BU892" s="124"/>
      <c r="BV892" s="124"/>
      <c r="BW892" s="124"/>
      <c r="BX892" s="124"/>
      <c r="BY892" s="124"/>
      <c r="BZ892" s="124"/>
      <c r="CA892" s="124"/>
    </row>
    <row r="893">
      <c r="D893" s="143"/>
      <c r="E893" s="129"/>
      <c r="F893" s="112"/>
      <c r="G893" s="112"/>
      <c r="H893" s="112"/>
      <c r="I893" s="112"/>
      <c r="J893" s="112"/>
      <c r="K893" s="112"/>
      <c r="L893" s="112"/>
      <c r="M893" s="112"/>
      <c r="N893" s="112"/>
      <c r="O893" s="112"/>
      <c r="P893" s="112"/>
      <c r="Q893" s="112"/>
      <c r="R893" s="112"/>
      <c r="S893" s="112"/>
      <c r="T893" s="112"/>
      <c r="U893" s="124"/>
      <c r="V893" s="124"/>
      <c r="W893" s="124"/>
      <c r="X893" s="124"/>
      <c r="Y893" s="124"/>
      <c r="Z893" s="112"/>
      <c r="AA893" s="112"/>
      <c r="AB893" s="112"/>
      <c r="AC893" s="112"/>
      <c r="AD893" s="112"/>
      <c r="AE893" s="112"/>
      <c r="AF893" s="112"/>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c r="BK893" s="124"/>
      <c r="BL893" s="124"/>
      <c r="BM893" s="124"/>
      <c r="BN893" s="124"/>
      <c r="BO893" s="124"/>
      <c r="BP893" s="124"/>
      <c r="BQ893" s="124"/>
      <c r="BR893" s="124"/>
      <c r="BS893" s="124"/>
      <c r="BT893" s="124"/>
      <c r="BU893" s="124"/>
      <c r="BV893" s="124"/>
      <c r="BW893" s="124"/>
      <c r="BX893" s="124"/>
      <c r="BY893" s="124"/>
      <c r="BZ893" s="124"/>
      <c r="CA893" s="124"/>
    </row>
    <row r="894">
      <c r="D894" s="143"/>
      <c r="E894" s="129"/>
      <c r="F894" s="112"/>
      <c r="G894" s="112"/>
      <c r="H894" s="112"/>
      <c r="I894" s="112"/>
      <c r="J894" s="112"/>
      <c r="K894" s="112"/>
      <c r="L894" s="112"/>
      <c r="M894" s="112"/>
      <c r="N894" s="112"/>
      <c r="O894" s="112"/>
      <c r="P894" s="112"/>
      <c r="Q894" s="112"/>
      <c r="R894" s="112"/>
      <c r="S894" s="112"/>
      <c r="T894" s="112"/>
      <c r="U894" s="124"/>
      <c r="V894" s="124"/>
      <c r="W894" s="124"/>
      <c r="X894" s="124"/>
      <c r="Y894" s="124"/>
      <c r="Z894" s="112"/>
      <c r="AA894" s="112"/>
      <c r="AB894" s="112"/>
      <c r="AC894" s="112"/>
      <c r="AD894" s="112"/>
      <c r="AE894" s="112"/>
      <c r="AF894" s="112"/>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c r="BK894" s="124"/>
      <c r="BL894" s="124"/>
      <c r="BM894" s="124"/>
      <c r="BN894" s="124"/>
      <c r="BO894" s="124"/>
      <c r="BP894" s="124"/>
      <c r="BQ894" s="124"/>
      <c r="BR894" s="124"/>
      <c r="BS894" s="124"/>
      <c r="BT894" s="124"/>
      <c r="BU894" s="124"/>
      <c r="BV894" s="124"/>
      <c r="BW894" s="124"/>
      <c r="BX894" s="124"/>
      <c r="BY894" s="124"/>
      <c r="BZ894" s="124"/>
      <c r="CA894" s="124"/>
    </row>
    <row r="895">
      <c r="D895" s="143"/>
      <c r="E895" s="129"/>
      <c r="F895" s="112"/>
      <c r="G895" s="112"/>
      <c r="H895" s="112"/>
      <c r="I895" s="112"/>
      <c r="J895" s="112"/>
      <c r="K895" s="112"/>
      <c r="L895" s="112"/>
      <c r="M895" s="112"/>
      <c r="N895" s="112"/>
      <c r="O895" s="112"/>
      <c r="P895" s="112"/>
      <c r="Q895" s="112"/>
      <c r="R895" s="112"/>
      <c r="S895" s="112"/>
      <c r="T895" s="112"/>
      <c r="U895" s="124"/>
      <c r="V895" s="124"/>
      <c r="W895" s="124"/>
      <c r="X895" s="124"/>
      <c r="Y895" s="124"/>
      <c r="Z895" s="112"/>
      <c r="AA895" s="112"/>
      <c r="AB895" s="112"/>
      <c r="AC895" s="112"/>
      <c r="AD895" s="112"/>
      <c r="AE895" s="112"/>
      <c r="AF895" s="112"/>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c r="BK895" s="124"/>
      <c r="BL895" s="124"/>
      <c r="BM895" s="124"/>
      <c r="BN895" s="124"/>
      <c r="BO895" s="124"/>
      <c r="BP895" s="124"/>
      <c r="BQ895" s="124"/>
      <c r="BR895" s="124"/>
      <c r="BS895" s="124"/>
      <c r="BT895" s="124"/>
      <c r="BU895" s="124"/>
      <c r="BV895" s="124"/>
      <c r="BW895" s="124"/>
      <c r="BX895" s="124"/>
      <c r="BY895" s="124"/>
      <c r="BZ895" s="124"/>
      <c r="CA895" s="124"/>
    </row>
    <row r="896">
      <c r="D896" s="143"/>
      <c r="E896" s="129"/>
      <c r="F896" s="112"/>
      <c r="G896" s="112"/>
      <c r="H896" s="112"/>
      <c r="I896" s="112"/>
      <c r="J896" s="112"/>
      <c r="K896" s="112"/>
      <c r="L896" s="112"/>
      <c r="M896" s="112"/>
      <c r="N896" s="112"/>
      <c r="O896" s="112"/>
      <c r="P896" s="112"/>
      <c r="Q896" s="112"/>
      <c r="R896" s="112"/>
      <c r="S896" s="112"/>
      <c r="T896" s="112"/>
      <c r="U896" s="124"/>
      <c r="V896" s="124"/>
      <c r="W896" s="124"/>
      <c r="X896" s="124"/>
      <c r="Y896" s="124"/>
      <c r="Z896" s="112"/>
      <c r="AA896" s="112"/>
      <c r="AB896" s="112"/>
      <c r="AC896" s="112"/>
      <c r="AD896" s="112"/>
      <c r="AE896" s="112"/>
      <c r="AF896" s="112"/>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c r="BK896" s="124"/>
      <c r="BL896" s="124"/>
      <c r="BM896" s="124"/>
      <c r="BN896" s="124"/>
      <c r="BO896" s="124"/>
      <c r="BP896" s="124"/>
      <c r="BQ896" s="124"/>
      <c r="BR896" s="124"/>
      <c r="BS896" s="124"/>
      <c r="BT896" s="124"/>
      <c r="BU896" s="124"/>
      <c r="BV896" s="124"/>
      <c r="BW896" s="124"/>
      <c r="BX896" s="124"/>
      <c r="BY896" s="124"/>
      <c r="BZ896" s="124"/>
      <c r="CA896" s="124"/>
    </row>
    <row r="897">
      <c r="D897" s="143"/>
      <c r="E897" s="129"/>
      <c r="F897" s="112"/>
      <c r="G897" s="112"/>
      <c r="H897" s="112"/>
      <c r="I897" s="112"/>
      <c r="J897" s="112"/>
      <c r="K897" s="112"/>
      <c r="L897" s="112"/>
      <c r="M897" s="112"/>
      <c r="N897" s="112"/>
      <c r="O897" s="112"/>
      <c r="P897" s="112"/>
      <c r="Q897" s="112"/>
      <c r="R897" s="112"/>
      <c r="S897" s="112"/>
      <c r="T897" s="112"/>
      <c r="U897" s="124"/>
      <c r="V897" s="124"/>
      <c r="W897" s="124"/>
      <c r="X897" s="124"/>
      <c r="Y897" s="124"/>
      <c r="Z897" s="112"/>
      <c r="AA897" s="112"/>
      <c r="AB897" s="112"/>
      <c r="AC897" s="112"/>
      <c r="AD897" s="112"/>
      <c r="AE897" s="112"/>
      <c r="AF897" s="112"/>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c r="BK897" s="124"/>
      <c r="BL897" s="124"/>
      <c r="BM897" s="124"/>
      <c r="BN897" s="124"/>
      <c r="BO897" s="124"/>
      <c r="BP897" s="124"/>
      <c r="BQ897" s="124"/>
      <c r="BR897" s="124"/>
      <c r="BS897" s="124"/>
      <c r="BT897" s="124"/>
      <c r="BU897" s="124"/>
      <c r="BV897" s="124"/>
      <c r="BW897" s="124"/>
      <c r="BX897" s="124"/>
      <c r="BY897" s="124"/>
      <c r="BZ897" s="124"/>
      <c r="CA897" s="124"/>
    </row>
    <row r="898">
      <c r="D898" s="143"/>
      <c r="E898" s="129"/>
      <c r="F898" s="112"/>
      <c r="G898" s="112"/>
      <c r="H898" s="112"/>
      <c r="I898" s="112"/>
      <c r="J898" s="112"/>
      <c r="K898" s="112"/>
      <c r="L898" s="112"/>
      <c r="M898" s="112"/>
      <c r="N898" s="112"/>
      <c r="O898" s="112"/>
      <c r="P898" s="112"/>
      <c r="Q898" s="112"/>
      <c r="R898" s="112"/>
      <c r="S898" s="112"/>
      <c r="T898" s="112"/>
      <c r="U898" s="124"/>
      <c r="V898" s="124"/>
      <c r="W898" s="124"/>
      <c r="X898" s="124"/>
      <c r="Y898" s="124"/>
      <c r="Z898" s="112"/>
      <c r="AA898" s="112"/>
      <c r="AB898" s="112"/>
      <c r="AC898" s="112"/>
      <c r="AD898" s="112"/>
      <c r="AE898" s="112"/>
      <c r="AF898" s="112"/>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c r="BK898" s="124"/>
      <c r="BL898" s="124"/>
      <c r="BM898" s="124"/>
      <c r="BN898" s="124"/>
      <c r="BO898" s="124"/>
      <c r="BP898" s="124"/>
      <c r="BQ898" s="124"/>
      <c r="BR898" s="124"/>
      <c r="BS898" s="124"/>
      <c r="BT898" s="124"/>
      <c r="BU898" s="124"/>
      <c r="BV898" s="124"/>
      <c r="BW898" s="124"/>
      <c r="BX898" s="124"/>
      <c r="BY898" s="124"/>
      <c r="BZ898" s="124"/>
      <c r="CA898" s="124"/>
    </row>
    <row r="899">
      <c r="D899" s="143"/>
      <c r="E899" s="129"/>
      <c r="F899" s="112"/>
      <c r="G899" s="112"/>
      <c r="H899" s="112"/>
      <c r="I899" s="112"/>
      <c r="J899" s="112"/>
      <c r="K899" s="112"/>
      <c r="L899" s="112"/>
      <c r="M899" s="112"/>
      <c r="N899" s="112"/>
      <c r="O899" s="112"/>
      <c r="P899" s="112"/>
      <c r="Q899" s="112"/>
      <c r="R899" s="112"/>
      <c r="S899" s="112"/>
      <c r="T899" s="112"/>
      <c r="U899" s="124"/>
      <c r="V899" s="124"/>
      <c r="W899" s="124"/>
      <c r="X899" s="124"/>
      <c r="Y899" s="124"/>
      <c r="Z899" s="112"/>
      <c r="AA899" s="112"/>
      <c r="AB899" s="112"/>
      <c r="AC899" s="112"/>
      <c r="AD899" s="112"/>
      <c r="AE899" s="112"/>
      <c r="AF899" s="112"/>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c r="BK899" s="124"/>
      <c r="BL899" s="124"/>
      <c r="BM899" s="124"/>
      <c r="BN899" s="124"/>
      <c r="BO899" s="124"/>
      <c r="BP899" s="124"/>
      <c r="BQ899" s="124"/>
      <c r="BR899" s="124"/>
      <c r="BS899" s="124"/>
      <c r="BT899" s="124"/>
      <c r="BU899" s="124"/>
      <c r="BV899" s="124"/>
      <c r="BW899" s="124"/>
      <c r="BX899" s="124"/>
      <c r="BY899" s="124"/>
      <c r="BZ899" s="124"/>
      <c r="CA899" s="124"/>
    </row>
    <row r="900">
      <c r="D900" s="143"/>
      <c r="E900" s="129"/>
      <c r="F900" s="112"/>
      <c r="G900" s="112"/>
      <c r="H900" s="112"/>
      <c r="I900" s="112"/>
      <c r="J900" s="112"/>
      <c r="K900" s="112"/>
      <c r="L900" s="112"/>
      <c r="M900" s="112"/>
      <c r="N900" s="112"/>
      <c r="O900" s="112"/>
      <c r="P900" s="112"/>
      <c r="Q900" s="112"/>
      <c r="R900" s="112"/>
      <c r="S900" s="112"/>
      <c r="T900" s="112"/>
      <c r="U900" s="124"/>
      <c r="V900" s="124"/>
      <c r="W900" s="124"/>
      <c r="X900" s="124"/>
      <c r="Y900" s="124"/>
      <c r="Z900" s="112"/>
      <c r="AA900" s="112"/>
      <c r="AB900" s="112"/>
      <c r="AC900" s="112"/>
      <c r="AD900" s="112"/>
      <c r="AE900" s="112"/>
      <c r="AF900" s="112"/>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c r="BK900" s="124"/>
      <c r="BL900" s="124"/>
      <c r="BM900" s="124"/>
      <c r="BN900" s="124"/>
      <c r="BO900" s="124"/>
      <c r="BP900" s="124"/>
      <c r="BQ900" s="124"/>
      <c r="BR900" s="124"/>
      <c r="BS900" s="124"/>
      <c r="BT900" s="124"/>
      <c r="BU900" s="124"/>
      <c r="BV900" s="124"/>
      <c r="BW900" s="124"/>
      <c r="BX900" s="124"/>
      <c r="BY900" s="124"/>
      <c r="BZ900" s="124"/>
      <c r="CA900" s="124"/>
    </row>
    <row r="901">
      <c r="D901" s="143"/>
      <c r="E901" s="129"/>
      <c r="F901" s="112"/>
      <c r="G901" s="112"/>
      <c r="H901" s="112"/>
      <c r="I901" s="112"/>
      <c r="J901" s="112"/>
      <c r="K901" s="112"/>
      <c r="L901" s="112"/>
      <c r="M901" s="112"/>
      <c r="N901" s="112"/>
      <c r="O901" s="112"/>
      <c r="P901" s="112"/>
      <c r="Q901" s="112"/>
      <c r="R901" s="112"/>
      <c r="S901" s="112"/>
      <c r="T901" s="112"/>
      <c r="U901" s="124"/>
      <c r="V901" s="124"/>
      <c r="W901" s="124"/>
      <c r="X901" s="124"/>
      <c r="Y901" s="124"/>
      <c r="Z901" s="112"/>
      <c r="AA901" s="112"/>
      <c r="AB901" s="112"/>
      <c r="AC901" s="112"/>
      <c r="AD901" s="112"/>
      <c r="AE901" s="112"/>
      <c r="AF901" s="112"/>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c r="BK901" s="124"/>
      <c r="BL901" s="124"/>
      <c r="BM901" s="124"/>
      <c r="BN901" s="124"/>
      <c r="BO901" s="124"/>
      <c r="BP901" s="124"/>
      <c r="BQ901" s="124"/>
      <c r="BR901" s="124"/>
      <c r="BS901" s="124"/>
      <c r="BT901" s="124"/>
      <c r="BU901" s="124"/>
      <c r="BV901" s="124"/>
      <c r="BW901" s="124"/>
      <c r="BX901" s="124"/>
      <c r="BY901" s="124"/>
      <c r="BZ901" s="124"/>
      <c r="CA901" s="124"/>
    </row>
    <row r="902">
      <c r="D902" s="143"/>
      <c r="E902" s="129"/>
      <c r="F902" s="112"/>
      <c r="G902" s="112"/>
      <c r="H902" s="112"/>
      <c r="I902" s="112"/>
      <c r="J902" s="112"/>
      <c r="K902" s="112"/>
      <c r="L902" s="112"/>
      <c r="M902" s="112"/>
      <c r="N902" s="112"/>
      <c r="O902" s="112"/>
      <c r="P902" s="112"/>
      <c r="Q902" s="112"/>
      <c r="R902" s="112"/>
      <c r="S902" s="112"/>
      <c r="T902" s="112"/>
      <c r="U902" s="124"/>
      <c r="V902" s="124"/>
      <c r="W902" s="124"/>
      <c r="X902" s="124"/>
      <c r="Y902" s="124"/>
      <c r="Z902" s="112"/>
      <c r="AA902" s="112"/>
      <c r="AB902" s="112"/>
      <c r="AC902" s="112"/>
      <c r="AD902" s="112"/>
      <c r="AE902" s="112"/>
      <c r="AF902" s="112"/>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c r="BK902" s="124"/>
      <c r="BL902" s="124"/>
      <c r="BM902" s="124"/>
      <c r="BN902" s="124"/>
      <c r="BO902" s="124"/>
      <c r="BP902" s="124"/>
      <c r="BQ902" s="124"/>
      <c r="BR902" s="124"/>
      <c r="BS902" s="124"/>
      <c r="BT902" s="124"/>
      <c r="BU902" s="124"/>
      <c r="BV902" s="124"/>
      <c r="BW902" s="124"/>
      <c r="BX902" s="124"/>
      <c r="BY902" s="124"/>
      <c r="BZ902" s="124"/>
      <c r="CA902" s="124"/>
    </row>
    <row r="903">
      <c r="D903" s="143"/>
      <c r="E903" s="129"/>
      <c r="F903" s="112"/>
      <c r="G903" s="112"/>
      <c r="H903" s="112"/>
      <c r="I903" s="112"/>
      <c r="J903" s="112"/>
      <c r="K903" s="112"/>
      <c r="L903" s="112"/>
      <c r="M903" s="112"/>
      <c r="N903" s="112"/>
      <c r="O903" s="112"/>
      <c r="P903" s="112"/>
      <c r="Q903" s="112"/>
      <c r="R903" s="112"/>
      <c r="S903" s="112"/>
      <c r="T903" s="112"/>
      <c r="U903" s="124"/>
      <c r="V903" s="124"/>
      <c r="W903" s="124"/>
      <c r="X903" s="124"/>
      <c r="Y903" s="124"/>
      <c r="Z903" s="112"/>
      <c r="AA903" s="112"/>
      <c r="AB903" s="112"/>
      <c r="AC903" s="112"/>
      <c r="AD903" s="112"/>
      <c r="AE903" s="112"/>
      <c r="AF903" s="112"/>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c r="BK903" s="124"/>
      <c r="BL903" s="124"/>
      <c r="BM903" s="124"/>
      <c r="BN903" s="124"/>
      <c r="BO903" s="124"/>
      <c r="BP903" s="124"/>
      <c r="BQ903" s="124"/>
      <c r="BR903" s="124"/>
      <c r="BS903" s="124"/>
      <c r="BT903" s="124"/>
      <c r="BU903" s="124"/>
      <c r="BV903" s="124"/>
      <c r="BW903" s="124"/>
      <c r="BX903" s="124"/>
      <c r="BY903" s="124"/>
      <c r="BZ903" s="124"/>
      <c r="CA903" s="124"/>
    </row>
    <row r="904">
      <c r="D904" s="143"/>
      <c r="E904" s="129"/>
      <c r="F904" s="112"/>
      <c r="G904" s="112"/>
      <c r="H904" s="112"/>
      <c r="I904" s="112"/>
      <c r="J904" s="112"/>
      <c r="K904" s="112"/>
      <c r="L904" s="112"/>
      <c r="M904" s="112"/>
      <c r="N904" s="112"/>
      <c r="O904" s="112"/>
      <c r="P904" s="112"/>
      <c r="Q904" s="112"/>
      <c r="R904" s="112"/>
      <c r="S904" s="112"/>
      <c r="T904" s="112"/>
      <c r="U904" s="124"/>
      <c r="V904" s="124"/>
      <c r="W904" s="124"/>
      <c r="X904" s="124"/>
      <c r="Y904" s="124"/>
      <c r="Z904" s="112"/>
      <c r="AA904" s="112"/>
      <c r="AB904" s="112"/>
      <c r="AC904" s="112"/>
      <c r="AD904" s="112"/>
      <c r="AE904" s="112"/>
      <c r="AF904" s="112"/>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c r="BK904" s="124"/>
      <c r="BL904" s="124"/>
      <c r="BM904" s="124"/>
      <c r="BN904" s="124"/>
      <c r="BO904" s="124"/>
      <c r="BP904" s="124"/>
      <c r="BQ904" s="124"/>
      <c r="BR904" s="124"/>
      <c r="BS904" s="124"/>
      <c r="BT904" s="124"/>
      <c r="BU904" s="124"/>
      <c r="BV904" s="124"/>
      <c r="BW904" s="124"/>
      <c r="BX904" s="124"/>
      <c r="BY904" s="124"/>
      <c r="BZ904" s="124"/>
      <c r="CA904" s="124"/>
    </row>
    <row r="905">
      <c r="D905" s="143"/>
      <c r="E905" s="129"/>
      <c r="F905" s="112"/>
      <c r="G905" s="112"/>
      <c r="H905" s="112"/>
      <c r="I905" s="112"/>
      <c r="J905" s="112"/>
      <c r="K905" s="112"/>
      <c r="L905" s="112"/>
      <c r="M905" s="112"/>
      <c r="N905" s="112"/>
      <c r="O905" s="112"/>
      <c r="P905" s="112"/>
      <c r="Q905" s="112"/>
      <c r="R905" s="112"/>
      <c r="S905" s="112"/>
      <c r="T905" s="112"/>
      <c r="U905" s="124"/>
      <c r="V905" s="124"/>
      <c r="W905" s="124"/>
      <c r="X905" s="124"/>
      <c r="Y905" s="124"/>
      <c r="Z905" s="112"/>
      <c r="AA905" s="112"/>
      <c r="AB905" s="112"/>
      <c r="AC905" s="112"/>
      <c r="AD905" s="112"/>
      <c r="AE905" s="112"/>
      <c r="AF905" s="112"/>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c r="BK905" s="124"/>
      <c r="BL905" s="124"/>
      <c r="BM905" s="124"/>
      <c r="BN905" s="124"/>
      <c r="BO905" s="124"/>
      <c r="BP905" s="124"/>
      <c r="BQ905" s="124"/>
      <c r="BR905" s="124"/>
      <c r="BS905" s="124"/>
      <c r="BT905" s="124"/>
      <c r="BU905" s="124"/>
      <c r="BV905" s="124"/>
      <c r="BW905" s="124"/>
      <c r="BX905" s="124"/>
      <c r="BY905" s="124"/>
      <c r="BZ905" s="124"/>
      <c r="CA905" s="124"/>
    </row>
    <row r="906">
      <c r="D906" s="143"/>
      <c r="E906" s="129"/>
      <c r="F906" s="112"/>
      <c r="G906" s="112"/>
      <c r="H906" s="112"/>
      <c r="I906" s="112"/>
      <c r="J906" s="112"/>
      <c r="K906" s="112"/>
      <c r="L906" s="112"/>
      <c r="M906" s="112"/>
      <c r="N906" s="112"/>
      <c r="O906" s="112"/>
      <c r="P906" s="112"/>
      <c r="Q906" s="112"/>
      <c r="R906" s="112"/>
      <c r="S906" s="112"/>
      <c r="T906" s="112"/>
      <c r="U906" s="124"/>
      <c r="V906" s="124"/>
      <c r="W906" s="124"/>
      <c r="X906" s="124"/>
      <c r="Y906" s="124"/>
      <c r="Z906" s="112"/>
      <c r="AA906" s="112"/>
      <c r="AB906" s="112"/>
      <c r="AC906" s="112"/>
      <c r="AD906" s="112"/>
      <c r="AE906" s="112"/>
      <c r="AF906" s="112"/>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c r="BK906" s="124"/>
      <c r="BL906" s="124"/>
      <c r="BM906" s="124"/>
      <c r="BN906" s="124"/>
      <c r="BO906" s="124"/>
      <c r="BP906" s="124"/>
      <c r="BQ906" s="124"/>
      <c r="BR906" s="124"/>
      <c r="BS906" s="124"/>
      <c r="BT906" s="124"/>
      <c r="BU906" s="124"/>
      <c r="BV906" s="124"/>
      <c r="BW906" s="124"/>
      <c r="BX906" s="124"/>
      <c r="BY906" s="124"/>
      <c r="BZ906" s="124"/>
      <c r="CA906" s="124"/>
    </row>
    <row r="907">
      <c r="D907" s="143"/>
      <c r="E907" s="129"/>
      <c r="F907" s="112"/>
      <c r="G907" s="112"/>
      <c r="H907" s="112"/>
      <c r="I907" s="112"/>
      <c r="J907" s="112"/>
      <c r="K907" s="112"/>
      <c r="L907" s="112"/>
      <c r="M907" s="112"/>
      <c r="N907" s="112"/>
      <c r="O907" s="112"/>
      <c r="P907" s="112"/>
      <c r="Q907" s="112"/>
      <c r="R907" s="112"/>
      <c r="S907" s="112"/>
      <c r="T907" s="112"/>
      <c r="U907" s="124"/>
      <c r="V907" s="124"/>
      <c r="W907" s="124"/>
      <c r="X907" s="124"/>
      <c r="Y907" s="124"/>
      <c r="Z907" s="112"/>
      <c r="AA907" s="112"/>
      <c r="AB907" s="112"/>
      <c r="AC907" s="112"/>
      <c r="AD907" s="112"/>
      <c r="AE907" s="112"/>
      <c r="AF907" s="112"/>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c r="BK907" s="124"/>
      <c r="BL907" s="124"/>
      <c r="BM907" s="124"/>
      <c r="BN907" s="124"/>
      <c r="BO907" s="124"/>
      <c r="BP907" s="124"/>
      <c r="BQ907" s="124"/>
      <c r="BR907" s="124"/>
      <c r="BS907" s="124"/>
      <c r="BT907" s="124"/>
      <c r="BU907" s="124"/>
      <c r="BV907" s="124"/>
      <c r="BW907" s="124"/>
      <c r="BX907" s="124"/>
      <c r="BY907" s="124"/>
      <c r="BZ907" s="124"/>
      <c r="CA907" s="124"/>
    </row>
    <row r="908">
      <c r="D908" s="143"/>
      <c r="E908" s="129"/>
      <c r="F908" s="112"/>
      <c r="G908" s="112"/>
      <c r="H908" s="112"/>
      <c r="I908" s="112"/>
      <c r="J908" s="112"/>
      <c r="K908" s="112"/>
      <c r="L908" s="112"/>
      <c r="M908" s="112"/>
      <c r="N908" s="112"/>
      <c r="O908" s="112"/>
      <c r="P908" s="112"/>
      <c r="Q908" s="112"/>
      <c r="R908" s="112"/>
      <c r="S908" s="112"/>
      <c r="T908" s="112"/>
      <c r="U908" s="124"/>
      <c r="V908" s="124"/>
      <c r="W908" s="124"/>
      <c r="X908" s="124"/>
      <c r="Y908" s="124"/>
      <c r="Z908" s="112"/>
      <c r="AA908" s="112"/>
      <c r="AB908" s="112"/>
      <c r="AC908" s="112"/>
      <c r="AD908" s="112"/>
      <c r="AE908" s="112"/>
      <c r="AF908" s="112"/>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c r="BK908" s="124"/>
      <c r="BL908" s="124"/>
      <c r="BM908" s="124"/>
      <c r="BN908" s="124"/>
      <c r="BO908" s="124"/>
      <c r="BP908" s="124"/>
      <c r="BQ908" s="124"/>
      <c r="BR908" s="124"/>
      <c r="BS908" s="124"/>
      <c r="BT908" s="124"/>
      <c r="BU908" s="124"/>
      <c r="BV908" s="124"/>
      <c r="BW908" s="124"/>
      <c r="BX908" s="124"/>
      <c r="BY908" s="124"/>
      <c r="BZ908" s="124"/>
      <c r="CA908" s="124"/>
    </row>
    <row r="909">
      <c r="D909" s="143"/>
      <c r="E909" s="129"/>
      <c r="F909" s="112"/>
      <c r="G909" s="112"/>
      <c r="H909" s="112"/>
      <c r="I909" s="112"/>
      <c r="J909" s="112"/>
      <c r="K909" s="112"/>
      <c r="L909" s="112"/>
      <c r="M909" s="112"/>
      <c r="N909" s="112"/>
      <c r="O909" s="112"/>
      <c r="P909" s="112"/>
      <c r="Q909" s="112"/>
      <c r="R909" s="112"/>
      <c r="S909" s="112"/>
      <c r="T909" s="112"/>
      <c r="U909" s="124"/>
      <c r="V909" s="124"/>
      <c r="W909" s="124"/>
      <c r="X909" s="124"/>
      <c r="Y909" s="124"/>
      <c r="Z909" s="112"/>
      <c r="AA909" s="112"/>
      <c r="AB909" s="112"/>
      <c r="AC909" s="112"/>
      <c r="AD909" s="112"/>
      <c r="AE909" s="112"/>
      <c r="AF909" s="112"/>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c r="BK909" s="124"/>
      <c r="BL909" s="124"/>
      <c r="BM909" s="124"/>
      <c r="BN909" s="124"/>
      <c r="BO909" s="124"/>
      <c r="BP909" s="124"/>
      <c r="BQ909" s="124"/>
      <c r="BR909" s="124"/>
      <c r="BS909" s="124"/>
      <c r="BT909" s="124"/>
      <c r="BU909" s="124"/>
      <c r="BV909" s="124"/>
      <c r="BW909" s="124"/>
      <c r="BX909" s="124"/>
      <c r="BY909" s="124"/>
      <c r="BZ909" s="124"/>
      <c r="CA909" s="124"/>
    </row>
    <row r="910">
      <c r="D910" s="143"/>
      <c r="E910" s="129"/>
      <c r="F910" s="112"/>
      <c r="G910" s="112"/>
      <c r="H910" s="112"/>
      <c r="I910" s="112"/>
      <c r="J910" s="112"/>
      <c r="K910" s="112"/>
      <c r="L910" s="112"/>
      <c r="M910" s="112"/>
      <c r="N910" s="112"/>
      <c r="O910" s="112"/>
      <c r="P910" s="112"/>
      <c r="Q910" s="112"/>
      <c r="R910" s="112"/>
      <c r="S910" s="112"/>
      <c r="T910" s="112"/>
      <c r="U910" s="124"/>
      <c r="V910" s="124"/>
      <c r="W910" s="124"/>
      <c r="X910" s="124"/>
      <c r="Y910" s="124"/>
      <c r="Z910" s="112"/>
      <c r="AA910" s="112"/>
      <c r="AB910" s="112"/>
      <c r="AC910" s="112"/>
      <c r="AD910" s="112"/>
      <c r="AE910" s="112"/>
      <c r="AF910" s="112"/>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c r="BK910" s="124"/>
      <c r="BL910" s="124"/>
      <c r="BM910" s="124"/>
      <c r="BN910" s="124"/>
      <c r="BO910" s="124"/>
      <c r="BP910" s="124"/>
      <c r="BQ910" s="124"/>
      <c r="BR910" s="124"/>
      <c r="BS910" s="124"/>
      <c r="BT910" s="124"/>
      <c r="BU910" s="124"/>
      <c r="BV910" s="124"/>
      <c r="BW910" s="124"/>
      <c r="BX910" s="124"/>
      <c r="BY910" s="124"/>
      <c r="BZ910" s="124"/>
      <c r="CA910" s="124"/>
    </row>
    <row r="911">
      <c r="D911" s="143"/>
      <c r="E911" s="129"/>
      <c r="F911" s="112"/>
      <c r="G911" s="112"/>
      <c r="H911" s="112"/>
      <c r="I911" s="112"/>
      <c r="J911" s="112"/>
      <c r="K911" s="112"/>
      <c r="L911" s="112"/>
      <c r="M911" s="112"/>
      <c r="N911" s="112"/>
      <c r="O911" s="112"/>
      <c r="P911" s="112"/>
      <c r="Q911" s="112"/>
      <c r="R911" s="112"/>
      <c r="S911" s="112"/>
      <c r="T911" s="112"/>
      <c r="U911" s="124"/>
      <c r="V911" s="124"/>
      <c r="W911" s="124"/>
      <c r="X911" s="124"/>
      <c r="Y911" s="124"/>
      <c r="Z911" s="112"/>
      <c r="AA911" s="112"/>
      <c r="AB911" s="112"/>
      <c r="AC911" s="112"/>
      <c r="AD911" s="112"/>
      <c r="AE911" s="112"/>
      <c r="AF911" s="112"/>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c r="BK911" s="124"/>
      <c r="BL911" s="124"/>
      <c r="BM911" s="124"/>
      <c r="BN911" s="124"/>
      <c r="BO911" s="124"/>
      <c r="BP911" s="124"/>
      <c r="BQ911" s="124"/>
      <c r="BR911" s="124"/>
      <c r="BS911" s="124"/>
      <c r="BT911" s="124"/>
      <c r="BU911" s="124"/>
      <c r="BV911" s="124"/>
      <c r="BW911" s="124"/>
      <c r="BX911" s="124"/>
      <c r="BY911" s="124"/>
      <c r="BZ911" s="124"/>
      <c r="CA911" s="124"/>
    </row>
    <row r="912">
      <c r="D912" s="143"/>
      <c r="E912" s="129"/>
      <c r="F912" s="112"/>
      <c r="G912" s="112"/>
      <c r="H912" s="112"/>
      <c r="I912" s="112"/>
      <c r="J912" s="112"/>
      <c r="K912" s="112"/>
      <c r="L912" s="112"/>
      <c r="M912" s="112"/>
      <c r="N912" s="112"/>
      <c r="O912" s="112"/>
      <c r="P912" s="112"/>
      <c r="Q912" s="112"/>
      <c r="R912" s="112"/>
      <c r="S912" s="112"/>
      <c r="T912" s="112"/>
      <c r="U912" s="124"/>
      <c r="V912" s="124"/>
      <c r="W912" s="124"/>
      <c r="X912" s="124"/>
      <c r="Y912" s="124"/>
      <c r="Z912" s="112"/>
      <c r="AA912" s="112"/>
      <c r="AB912" s="112"/>
      <c r="AC912" s="112"/>
      <c r="AD912" s="112"/>
      <c r="AE912" s="112"/>
      <c r="AF912" s="112"/>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c r="BK912" s="124"/>
      <c r="BL912" s="124"/>
      <c r="BM912" s="124"/>
      <c r="BN912" s="124"/>
      <c r="BO912" s="124"/>
      <c r="BP912" s="124"/>
      <c r="BQ912" s="124"/>
      <c r="BR912" s="124"/>
      <c r="BS912" s="124"/>
      <c r="BT912" s="124"/>
      <c r="BU912" s="124"/>
      <c r="BV912" s="124"/>
      <c r="BW912" s="124"/>
      <c r="BX912" s="124"/>
      <c r="BY912" s="124"/>
      <c r="BZ912" s="124"/>
      <c r="CA912" s="124"/>
    </row>
    <row r="913">
      <c r="D913" s="143"/>
      <c r="E913" s="129"/>
      <c r="F913" s="112"/>
      <c r="G913" s="112"/>
      <c r="H913" s="112"/>
      <c r="I913" s="112"/>
      <c r="J913" s="112"/>
      <c r="K913" s="112"/>
      <c r="L913" s="112"/>
      <c r="M913" s="112"/>
      <c r="N913" s="112"/>
      <c r="O913" s="112"/>
      <c r="P913" s="112"/>
      <c r="Q913" s="112"/>
      <c r="R913" s="112"/>
      <c r="S913" s="112"/>
      <c r="T913" s="112"/>
      <c r="U913" s="124"/>
      <c r="V913" s="124"/>
      <c r="W913" s="124"/>
      <c r="X913" s="124"/>
      <c r="Y913" s="124"/>
      <c r="Z913" s="112"/>
      <c r="AA913" s="112"/>
      <c r="AB913" s="112"/>
      <c r="AC913" s="112"/>
      <c r="AD913" s="112"/>
      <c r="AE913" s="112"/>
      <c r="AF913" s="112"/>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c r="BK913" s="124"/>
      <c r="BL913" s="124"/>
      <c r="BM913" s="124"/>
      <c r="BN913" s="124"/>
      <c r="BO913" s="124"/>
      <c r="BP913" s="124"/>
      <c r="BQ913" s="124"/>
      <c r="BR913" s="124"/>
      <c r="BS913" s="124"/>
      <c r="BT913" s="124"/>
      <c r="BU913" s="124"/>
      <c r="BV913" s="124"/>
      <c r="BW913" s="124"/>
      <c r="BX913" s="124"/>
      <c r="BY913" s="124"/>
      <c r="BZ913" s="124"/>
      <c r="CA913" s="124"/>
    </row>
    <row r="914">
      <c r="D914" s="143"/>
      <c r="E914" s="129"/>
      <c r="F914" s="112"/>
      <c r="G914" s="112"/>
      <c r="H914" s="112"/>
      <c r="I914" s="112"/>
      <c r="J914" s="112"/>
      <c r="K914" s="112"/>
      <c r="L914" s="112"/>
      <c r="M914" s="112"/>
      <c r="N914" s="112"/>
      <c r="O914" s="112"/>
      <c r="P914" s="112"/>
      <c r="Q914" s="112"/>
      <c r="R914" s="112"/>
      <c r="S914" s="112"/>
      <c r="T914" s="112"/>
      <c r="U914" s="124"/>
      <c r="V914" s="124"/>
      <c r="W914" s="124"/>
      <c r="X914" s="124"/>
      <c r="Y914" s="124"/>
      <c r="Z914" s="112"/>
      <c r="AA914" s="112"/>
      <c r="AB914" s="112"/>
      <c r="AC914" s="112"/>
      <c r="AD914" s="112"/>
      <c r="AE914" s="112"/>
      <c r="AF914" s="112"/>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c r="BK914" s="124"/>
      <c r="BL914" s="124"/>
      <c r="BM914" s="124"/>
      <c r="BN914" s="124"/>
      <c r="BO914" s="124"/>
      <c r="BP914" s="124"/>
      <c r="BQ914" s="124"/>
      <c r="BR914" s="124"/>
      <c r="BS914" s="124"/>
      <c r="BT914" s="124"/>
      <c r="BU914" s="124"/>
      <c r="BV914" s="124"/>
      <c r="BW914" s="124"/>
      <c r="BX914" s="124"/>
      <c r="BY914" s="124"/>
      <c r="BZ914" s="124"/>
      <c r="CA914" s="124"/>
    </row>
    <row r="915">
      <c r="D915" s="143"/>
      <c r="E915" s="129"/>
      <c r="F915" s="112"/>
      <c r="G915" s="112"/>
      <c r="H915" s="112"/>
      <c r="I915" s="112"/>
      <c r="J915" s="112"/>
      <c r="K915" s="112"/>
      <c r="L915" s="112"/>
      <c r="M915" s="112"/>
      <c r="N915" s="112"/>
      <c r="O915" s="112"/>
      <c r="P915" s="112"/>
      <c r="Q915" s="112"/>
      <c r="R915" s="112"/>
      <c r="S915" s="112"/>
      <c r="T915" s="112"/>
      <c r="U915" s="124"/>
      <c r="V915" s="124"/>
      <c r="W915" s="124"/>
      <c r="X915" s="124"/>
      <c r="Y915" s="124"/>
      <c r="Z915" s="112"/>
      <c r="AA915" s="112"/>
      <c r="AB915" s="112"/>
      <c r="AC915" s="112"/>
      <c r="AD915" s="112"/>
      <c r="AE915" s="112"/>
      <c r="AF915" s="112"/>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c r="BK915" s="124"/>
      <c r="BL915" s="124"/>
      <c r="BM915" s="124"/>
      <c r="BN915" s="124"/>
      <c r="BO915" s="124"/>
      <c r="BP915" s="124"/>
      <c r="BQ915" s="124"/>
      <c r="BR915" s="124"/>
      <c r="BS915" s="124"/>
      <c r="BT915" s="124"/>
      <c r="BU915" s="124"/>
      <c r="BV915" s="124"/>
      <c r="BW915" s="124"/>
      <c r="BX915" s="124"/>
      <c r="BY915" s="124"/>
      <c r="BZ915" s="124"/>
      <c r="CA915" s="124"/>
    </row>
    <row r="916">
      <c r="D916" s="143"/>
      <c r="E916" s="129"/>
      <c r="F916" s="112"/>
      <c r="G916" s="112"/>
      <c r="H916" s="112"/>
      <c r="I916" s="112"/>
      <c r="J916" s="112"/>
      <c r="K916" s="112"/>
      <c r="L916" s="112"/>
      <c r="M916" s="112"/>
      <c r="N916" s="112"/>
      <c r="O916" s="112"/>
      <c r="P916" s="112"/>
      <c r="Q916" s="112"/>
      <c r="R916" s="112"/>
      <c r="S916" s="112"/>
      <c r="T916" s="112"/>
      <c r="U916" s="124"/>
      <c r="V916" s="124"/>
      <c r="W916" s="124"/>
      <c r="X916" s="124"/>
      <c r="Y916" s="124"/>
      <c r="Z916" s="112"/>
      <c r="AA916" s="112"/>
      <c r="AB916" s="112"/>
      <c r="AC916" s="112"/>
      <c r="AD916" s="112"/>
      <c r="AE916" s="112"/>
      <c r="AF916" s="112"/>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c r="BK916" s="124"/>
      <c r="BL916" s="124"/>
      <c r="BM916" s="124"/>
      <c r="BN916" s="124"/>
      <c r="BO916" s="124"/>
      <c r="BP916" s="124"/>
      <c r="BQ916" s="124"/>
      <c r="BR916" s="124"/>
      <c r="BS916" s="124"/>
      <c r="BT916" s="124"/>
      <c r="BU916" s="124"/>
      <c r="BV916" s="124"/>
      <c r="BW916" s="124"/>
      <c r="BX916" s="124"/>
      <c r="BY916" s="124"/>
      <c r="BZ916" s="124"/>
      <c r="CA916" s="124"/>
    </row>
    <row r="917">
      <c r="D917" s="143"/>
      <c r="E917" s="129"/>
      <c r="F917" s="112"/>
      <c r="G917" s="112"/>
      <c r="H917" s="112"/>
      <c r="I917" s="112"/>
      <c r="J917" s="112"/>
      <c r="K917" s="112"/>
      <c r="L917" s="112"/>
      <c r="M917" s="112"/>
      <c r="N917" s="112"/>
      <c r="O917" s="112"/>
      <c r="P917" s="112"/>
      <c r="Q917" s="112"/>
      <c r="R917" s="112"/>
      <c r="S917" s="112"/>
      <c r="T917" s="112"/>
      <c r="U917" s="124"/>
      <c r="V917" s="124"/>
      <c r="W917" s="124"/>
      <c r="X917" s="124"/>
      <c r="Y917" s="124"/>
      <c r="Z917" s="112"/>
      <c r="AA917" s="112"/>
      <c r="AB917" s="112"/>
      <c r="AC917" s="112"/>
      <c r="AD917" s="112"/>
      <c r="AE917" s="112"/>
      <c r="AF917" s="112"/>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c r="BK917" s="124"/>
      <c r="BL917" s="124"/>
      <c r="BM917" s="124"/>
      <c r="BN917" s="124"/>
      <c r="BO917" s="124"/>
      <c r="BP917" s="124"/>
      <c r="BQ917" s="124"/>
      <c r="BR917" s="124"/>
      <c r="BS917" s="124"/>
      <c r="BT917" s="124"/>
      <c r="BU917" s="124"/>
      <c r="BV917" s="124"/>
      <c r="BW917" s="124"/>
      <c r="BX917" s="124"/>
      <c r="BY917" s="124"/>
      <c r="BZ917" s="124"/>
      <c r="CA917" s="124"/>
    </row>
    <row r="918">
      <c r="D918" s="143"/>
      <c r="E918" s="129"/>
      <c r="F918" s="112"/>
      <c r="G918" s="112"/>
      <c r="H918" s="112"/>
      <c r="I918" s="112"/>
      <c r="J918" s="112"/>
      <c r="K918" s="112"/>
      <c r="L918" s="112"/>
      <c r="M918" s="112"/>
      <c r="N918" s="112"/>
      <c r="O918" s="112"/>
      <c r="P918" s="112"/>
      <c r="Q918" s="112"/>
      <c r="R918" s="112"/>
      <c r="S918" s="112"/>
      <c r="T918" s="112"/>
      <c r="U918" s="124"/>
      <c r="V918" s="124"/>
      <c r="W918" s="124"/>
      <c r="X918" s="124"/>
      <c r="Y918" s="124"/>
      <c r="Z918" s="112"/>
      <c r="AA918" s="112"/>
      <c r="AB918" s="112"/>
      <c r="AC918" s="112"/>
      <c r="AD918" s="112"/>
      <c r="AE918" s="112"/>
      <c r="AF918" s="112"/>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c r="BK918" s="124"/>
      <c r="BL918" s="124"/>
      <c r="BM918" s="124"/>
      <c r="BN918" s="124"/>
      <c r="BO918" s="124"/>
      <c r="BP918" s="124"/>
      <c r="BQ918" s="124"/>
      <c r="BR918" s="124"/>
      <c r="BS918" s="124"/>
      <c r="BT918" s="124"/>
      <c r="BU918" s="124"/>
      <c r="BV918" s="124"/>
      <c r="BW918" s="124"/>
      <c r="BX918" s="124"/>
      <c r="BY918" s="124"/>
      <c r="BZ918" s="124"/>
      <c r="CA918" s="124"/>
    </row>
    <row r="919">
      <c r="D919" s="143"/>
      <c r="E919" s="129"/>
      <c r="F919" s="112"/>
      <c r="G919" s="112"/>
      <c r="H919" s="112"/>
      <c r="I919" s="112"/>
      <c r="J919" s="112"/>
      <c r="K919" s="112"/>
      <c r="L919" s="112"/>
      <c r="M919" s="112"/>
      <c r="N919" s="112"/>
      <c r="O919" s="112"/>
      <c r="P919" s="112"/>
      <c r="Q919" s="112"/>
      <c r="R919" s="112"/>
      <c r="S919" s="112"/>
      <c r="T919" s="112"/>
      <c r="U919" s="124"/>
      <c r="V919" s="124"/>
      <c r="W919" s="124"/>
      <c r="X919" s="124"/>
      <c r="Y919" s="124"/>
      <c r="Z919" s="112"/>
      <c r="AA919" s="112"/>
      <c r="AB919" s="112"/>
      <c r="AC919" s="112"/>
      <c r="AD919" s="112"/>
      <c r="AE919" s="112"/>
      <c r="AF919" s="112"/>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c r="BK919" s="124"/>
      <c r="BL919" s="124"/>
      <c r="BM919" s="124"/>
      <c r="BN919" s="124"/>
      <c r="BO919" s="124"/>
      <c r="BP919" s="124"/>
      <c r="BQ919" s="124"/>
      <c r="BR919" s="124"/>
      <c r="BS919" s="124"/>
      <c r="BT919" s="124"/>
      <c r="BU919" s="124"/>
      <c r="BV919" s="124"/>
      <c r="BW919" s="124"/>
      <c r="BX919" s="124"/>
      <c r="BY919" s="124"/>
      <c r="BZ919" s="124"/>
      <c r="CA919" s="124"/>
    </row>
    <row r="920">
      <c r="D920" s="143"/>
      <c r="E920" s="129"/>
      <c r="F920" s="112"/>
      <c r="G920" s="112"/>
      <c r="H920" s="112"/>
      <c r="I920" s="112"/>
      <c r="J920" s="112"/>
      <c r="K920" s="112"/>
      <c r="L920" s="112"/>
      <c r="M920" s="112"/>
      <c r="N920" s="112"/>
      <c r="O920" s="112"/>
      <c r="P920" s="112"/>
      <c r="Q920" s="112"/>
      <c r="R920" s="112"/>
      <c r="S920" s="112"/>
      <c r="T920" s="112"/>
      <c r="U920" s="124"/>
      <c r="V920" s="124"/>
      <c r="W920" s="124"/>
      <c r="X920" s="124"/>
      <c r="Y920" s="124"/>
      <c r="Z920" s="112"/>
      <c r="AA920" s="112"/>
      <c r="AB920" s="112"/>
      <c r="AC920" s="112"/>
      <c r="AD920" s="112"/>
      <c r="AE920" s="112"/>
      <c r="AF920" s="112"/>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c r="BK920" s="124"/>
      <c r="BL920" s="124"/>
      <c r="BM920" s="124"/>
      <c r="BN920" s="124"/>
      <c r="BO920" s="124"/>
      <c r="BP920" s="124"/>
      <c r="BQ920" s="124"/>
      <c r="BR920" s="124"/>
      <c r="BS920" s="124"/>
      <c r="BT920" s="124"/>
      <c r="BU920" s="124"/>
      <c r="BV920" s="124"/>
      <c r="BW920" s="124"/>
      <c r="BX920" s="124"/>
      <c r="BY920" s="124"/>
      <c r="BZ920" s="124"/>
      <c r="CA920" s="124"/>
    </row>
    <row r="921">
      <c r="D921" s="143"/>
      <c r="E921" s="129"/>
      <c r="F921" s="112"/>
      <c r="G921" s="112"/>
      <c r="H921" s="112"/>
      <c r="I921" s="112"/>
      <c r="J921" s="112"/>
      <c r="K921" s="112"/>
      <c r="L921" s="112"/>
      <c r="M921" s="112"/>
      <c r="N921" s="112"/>
      <c r="O921" s="112"/>
      <c r="P921" s="112"/>
      <c r="Q921" s="112"/>
      <c r="R921" s="112"/>
      <c r="S921" s="112"/>
      <c r="T921" s="112"/>
      <c r="U921" s="124"/>
      <c r="V921" s="124"/>
      <c r="W921" s="124"/>
      <c r="X921" s="124"/>
      <c r="Y921" s="124"/>
      <c r="Z921" s="112"/>
      <c r="AA921" s="112"/>
      <c r="AB921" s="112"/>
      <c r="AC921" s="112"/>
      <c r="AD921" s="112"/>
      <c r="AE921" s="112"/>
      <c r="AF921" s="112"/>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c r="BK921" s="124"/>
      <c r="BL921" s="124"/>
      <c r="BM921" s="124"/>
      <c r="BN921" s="124"/>
      <c r="BO921" s="124"/>
      <c r="BP921" s="124"/>
      <c r="BQ921" s="124"/>
      <c r="BR921" s="124"/>
      <c r="BS921" s="124"/>
      <c r="BT921" s="124"/>
      <c r="BU921" s="124"/>
      <c r="BV921" s="124"/>
      <c r="BW921" s="124"/>
      <c r="BX921" s="124"/>
      <c r="BY921" s="124"/>
      <c r="BZ921" s="124"/>
      <c r="CA921" s="124"/>
    </row>
    <row r="922">
      <c r="D922" s="143"/>
      <c r="E922" s="129"/>
      <c r="F922" s="112"/>
      <c r="G922" s="112"/>
      <c r="H922" s="112"/>
      <c r="I922" s="112"/>
      <c r="J922" s="112"/>
      <c r="K922" s="112"/>
      <c r="L922" s="112"/>
      <c r="M922" s="112"/>
      <c r="N922" s="112"/>
      <c r="O922" s="112"/>
      <c r="P922" s="112"/>
      <c r="Q922" s="112"/>
      <c r="R922" s="112"/>
      <c r="S922" s="112"/>
      <c r="T922" s="112"/>
      <c r="U922" s="124"/>
      <c r="V922" s="124"/>
      <c r="W922" s="124"/>
      <c r="X922" s="124"/>
      <c r="Y922" s="124"/>
      <c r="Z922" s="112"/>
      <c r="AA922" s="112"/>
      <c r="AB922" s="112"/>
      <c r="AC922" s="112"/>
      <c r="AD922" s="112"/>
      <c r="AE922" s="112"/>
      <c r="AF922" s="112"/>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c r="BK922" s="124"/>
      <c r="BL922" s="124"/>
      <c r="BM922" s="124"/>
      <c r="BN922" s="124"/>
      <c r="BO922" s="124"/>
      <c r="BP922" s="124"/>
      <c r="BQ922" s="124"/>
      <c r="BR922" s="124"/>
      <c r="BS922" s="124"/>
      <c r="BT922" s="124"/>
      <c r="BU922" s="124"/>
      <c r="BV922" s="124"/>
      <c r="BW922" s="124"/>
      <c r="BX922" s="124"/>
      <c r="BY922" s="124"/>
      <c r="BZ922" s="124"/>
      <c r="CA922" s="124"/>
    </row>
    <row r="923">
      <c r="D923" s="143"/>
      <c r="E923" s="129"/>
      <c r="F923" s="112"/>
      <c r="G923" s="112"/>
      <c r="H923" s="112"/>
      <c r="I923" s="112"/>
      <c r="J923" s="112"/>
      <c r="K923" s="112"/>
      <c r="L923" s="112"/>
      <c r="M923" s="112"/>
      <c r="N923" s="112"/>
      <c r="O923" s="112"/>
      <c r="P923" s="112"/>
      <c r="Q923" s="112"/>
      <c r="R923" s="112"/>
      <c r="S923" s="112"/>
      <c r="T923" s="112"/>
      <c r="U923" s="124"/>
      <c r="V923" s="124"/>
      <c r="W923" s="124"/>
      <c r="X923" s="124"/>
      <c r="Y923" s="124"/>
      <c r="Z923" s="112"/>
      <c r="AA923" s="112"/>
      <c r="AB923" s="112"/>
      <c r="AC923" s="112"/>
      <c r="AD923" s="112"/>
      <c r="AE923" s="112"/>
      <c r="AF923" s="112"/>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c r="BK923" s="124"/>
      <c r="BL923" s="124"/>
      <c r="BM923" s="124"/>
      <c r="BN923" s="124"/>
      <c r="BO923" s="124"/>
      <c r="BP923" s="124"/>
      <c r="BQ923" s="124"/>
      <c r="BR923" s="124"/>
      <c r="BS923" s="124"/>
      <c r="BT923" s="124"/>
      <c r="BU923" s="124"/>
      <c r="BV923" s="124"/>
      <c r="BW923" s="124"/>
      <c r="BX923" s="124"/>
      <c r="BY923" s="124"/>
      <c r="BZ923" s="124"/>
      <c r="CA923" s="124"/>
    </row>
    <row r="924">
      <c r="D924" s="143"/>
      <c r="E924" s="129"/>
      <c r="F924" s="112"/>
      <c r="G924" s="112"/>
      <c r="H924" s="112"/>
      <c r="I924" s="112"/>
      <c r="J924" s="112"/>
      <c r="K924" s="112"/>
      <c r="L924" s="112"/>
      <c r="M924" s="112"/>
      <c r="N924" s="112"/>
      <c r="O924" s="112"/>
      <c r="P924" s="112"/>
      <c r="Q924" s="112"/>
      <c r="R924" s="112"/>
      <c r="S924" s="112"/>
      <c r="T924" s="112"/>
      <c r="U924" s="124"/>
      <c r="V924" s="124"/>
      <c r="W924" s="124"/>
      <c r="X924" s="124"/>
      <c r="Y924" s="124"/>
      <c r="Z924" s="112"/>
      <c r="AA924" s="112"/>
      <c r="AB924" s="112"/>
      <c r="AC924" s="112"/>
      <c r="AD924" s="112"/>
      <c r="AE924" s="112"/>
      <c r="AF924" s="112"/>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c r="BK924" s="124"/>
      <c r="BL924" s="124"/>
      <c r="BM924" s="124"/>
      <c r="BN924" s="124"/>
      <c r="BO924" s="124"/>
      <c r="BP924" s="124"/>
      <c r="BQ924" s="124"/>
      <c r="BR924" s="124"/>
      <c r="BS924" s="124"/>
      <c r="BT924" s="124"/>
      <c r="BU924" s="124"/>
      <c r="BV924" s="124"/>
      <c r="BW924" s="124"/>
      <c r="BX924" s="124"/>
      <c r="BY924" s="124"/>
      <c r="BZ924" s="124"/>
      <c r="CA924" s="124"/>
    </row>
    <row r="925">
      <c r="D925" s="143"/>
      <c r="E925" s="129"/>
      <c r="F925" s="112"/>
      <c r="G925" s="112"/>
      <c r="H925" s="112"/>
      <c r="I925" s="112"/>
      <c r="J925" s="112"/>
      <c r="K925" s="112"/>
      <c r="L925" s="112"/>
      <c r="M925" s="112"/>
      <c r="N925" s="112"/>
      <c r="O925" s="112"/>
      <c r="P925" s="112"/>
      <c r="Q925" s="112"/>
      <c r="R925" s="112"/>
      <c r="S925" s="112"/>
      <c r="T925" s="112"/>
      <c r="U925" s="124"/>
      <c r="V925" s="124"/>
      <c r="W925" s="124"/>
      <c r="X925" s="124"/>
      <c r="Y925" s="124"/>
      <c r="Z925" s="112"/>
      <c r="AA925" s="112"/>
      <c r="AB925" s="112"/>
      <c r="AC925" s="112"/>
      <c r="AD925" s="112"/>
      <c r="AE925" s="112"/>
      <c r="AF925" s="112"/>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c r="BK925" s="124"/>
      <c r="BL925" s="124"/>
      <c r="BM925" s="124"/>
      <c r="BN925" s="124"/>
      <c r="BO925" s="124"/>
      <c r="BP925" s="124"/>
      <c r="BQ925" s="124"/>
      <c r="BR925" s="124"/>
      <c r="BS925" s="124"/>
      <c r="BT925" s="124"/>
      <c r="BU925" s="124"/>
      <c r="BV925" s="124"/>
      <c r="BW925" s="124"/>
      <c r="BX925" s="124"/>
      <c r="BY925" s="124"/>
      <c r="BZ925" s="124"/>
      <c r="CA925" s="124"/>
    </row>
    <row r="926">
      <c r="D926" s="143"/>
      <c r="E926" s="129"/>
      <c r="F926" s="112"/>
      <c r="G926" s="112"/>
      <c r="H926" s="112"/>
      <c r="I926" s="112"/>
      <c r="J926" s="112"/>
      <c r="K926" s="112"/>
      <c r="L926" s="112"/>
      <c r="M926" s="112"/>
      <c r="N926" s="112"/>
      <c r="O926" s="112"/>
      <c r="P926" s="112"/>
      <c r="Q926" s="112"/>
      <c r="R926" s="112"/>
      <c r="S926" s="112"/>
      <c r="T926" s="112"/>
      <c r="U926" s="124"/>
      <c r="V926" s="124"/>
      <c r="W926" s="124"/>
      <c r="X926" s="124"/>
      <c r="Y926" s="124"/>
      <c r="Z926" s="112"/>
      <c r="AA926" s="112"/>
      <c r="AB926" s="112"/>
      <c r="AC926" s="112"/>
      <c r="AD926" s="112"/>
      <c r="AE926" s="112"/>
      <c r="AF926" s="112"/>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c r="BK926" s="124"/>
      <c r="BL926" s="124"/>
      <c r="BM926" s="124"/>
      <c r="BN926" s="124"/>
      <c r="BO926" s="124"/>
      <c r="BP926" s="124"/>
      <c r="BQ926" s="124"/>
      <c r="BR926" s="124"/>
      <c r="BS926" s="124"/>
      <c r="BT926" s="124"/>
      <c r="BU926" s="124"/>
      <c r="BV926" s="124"/>
      <c r="BW926" s="124"/>
      <c r="BX926" s="124"/>
      <c r="BY926" s="124"/>
      <c r="BZ926" s="124"/>
      <c r="CA926" s="124"/>
    </row>
    <row r="927">
      <c r="D927" s="143"/>
      <c r="E927" s="129"/>
      <c r="F927" s="112"/>
      <c r="G927" s="112"/>
      <c r="H927" s="112"/>
      <c r="I927" s="112"/>
      <c r="J927" s="112"/>
      <c r="K927" s="112"/>
      <c r="L927" s="112"/>
      <c r="M927" s="112"/>
      <c r="N927" s="112"/>
      <c r="O927" s="112"/>
      <c r="P927" s="112"/>
      <c r="Q927" s="112"/>
      <c r="R927" s="112"/>
      <c r="S927" s="112"/>
      <c r="T927" s="112"/>
      <c r="U927" s="124"/>
      <c r="V927" s="124"/>
      <c r="W927" s="124"/>
      <c r="X927" s="124"/>
      <c r="Y927" s="124"/>
      <c r="Z927" s="112"/>
      <c r="AA927" s="112"/>
      <c r="AB927" s="112"/>
      <c r="AC927" s="112"/>
      <c r="AD927" s="112"/>
      <c r="AE927" s="112"/>
      <c r="AF927" s="112"/>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c r="BK927" s="124"/>
      <c r="BL927" s="124"/>
      <c r="BM927" s="124"/>
      <c r="BN927" s="124"/>
      <c r="BO927" s="124"/>
      <c r="BP927" s="124"/>
      <c r="BQ927" s="124"/>
      <c r="BR927" s="124"/>
      <c r="BS927" s="124"/>
      <c r="BT927" s="124"/>
      <c r="BU927" s="124"/>
      <c r="BV927" s="124"/>
      <c r="BW927" s="124"/>
      <c r="BX927" s="124"/>
      <c r="BY927" s="124"/>
      <c r="BZ927" s="124"/>
      <c r="CA927" s="124"/>
    </row>
    <row r="928">
      <c r="D928" s="143"/>
      <c r="E928" s="129"/>
      <c r="F928" s="112"/>
      <c r="G928" s="112"/>
      <c r="H928" s="112"/>
      <c r="I928" s="112"/>
      <c r="J928" s="112"/>
      <c r="K928" s="112"/>
      <c r="L928" s="112"/>
      <c r="M928" s="112"/>
      <c r="N928" s="112"/>
      <c r="O928" s="112"/>
      <c r="P928" s="112"/>
      <c r="Q928" s="112"/>
      <c r="R928" s="112"/>
      <c r="S928" s="112"/>
      <c r="T928" s="112"/>
      <c r="U928" s="124"/>
      <c r="V928" s="124"/>
      <c r="W928" s="124"/>
      <c r="X928" s="124"/>
      <c r="Y928" s="124"/>
      <c r="Z928" s="112"/>
      <c r="AA928" s="112"/>
      <c r="AB928" s="112"/>
      <c r="AC928" s="112"/>
      <c r="AD928" s="112"/>
      <c r="AE928" s="112"/>
      <c r="AF928" s="112"/>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c r="BK928" s="124"/>
      <c r="BL928" s="124"/>
      <c r="BM928" s="124"/>
      <c r="BN928" s="124"/>
      <c r="BO928" s="124"/>
      <c r="BP928" s="124"/>
      <c r="BQ928" s="124"/>
      <c r="BR928" s="124"/>
      <c r="BS928" s="124"/>
      <c r="BT928" s="124"/>
      <c r="BU928" s="124"/>
      <c r="BV928" s="124"/>
      <c r="BW928" s="124"/>
      <c r="BX928" s="124"/>
      <c r="BY928" s="124"/>
      <c r="BZ928" s="124"/>
      <c r="CA928" s="124"/>
    </row>
    <row r="929">
      <c r="D929" s="143"/>
      <c r="E929" s="129"/>
      <c r="F929" s="112"/>
      <c r="G929" s="112"/>
      <c r="H929" s="112"/>
      <c r="I929" s="112"/>
      <c r="J929" s="112"/>
      <c r="K929" s="112"/>
      <c r="L929" s="112"/>
      <c r="M929" s="112"/>
      <c r="N929" s="112"/>
      <c r="O929" s="112"/>
      <c r="P929" s="112"/>
      <c r="Q929" s="112"/>
      <c r="R929" s="112"/>
      <c r="S929" s="112"/>
      <c r="T929" s="112"/>
      <c r="U929" s="124"/>
      <c r="V929" s="124"/>
      <c r="W929" s="124"/>
      <c r="X929" s="124"/>
      <c r="Y929" s="124"/>
      <c r="Z929" s="112"/>
      <c r="AA929" s="112"/>
      <c r="AB929" s="112"/>
      <c r="AC929" s="112"/>
      <c r="AD929" s="112"/>
      <c r="AE929" s="112"/>
      <c r="AF929" s="112"/>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c r="BK929" s="124"/>
      <c r="BL929" s="124"/>
      <c r="BM929" s="124"/>
      <c r="BN929" s="124"/>
      <c r="BO929" s="124"/>
      <c r="BP929" s="124"/>
      <c r="BQ929" s="124"/>
      <c r="BR929" s="124"/>
      <c r="BS929" s="124"/>
      <c r="BT929" s="124"/>
      <c r="BU929" s="124"/>
      <c r="BV929" s="124"/>
      <c r="BW929" s="124"/>
      <c r="BX929" s="124"/>
      <c r="BY929" s="124"/>
      <c r="BZ929" s="124"/>
      <c r="CA929" s="124"/>
    </row>
    <row r="930">
      <c r="D930" s="143"/>
      <c r="E930" s="129"/>
      <c r="F930" s="112"/>
      <c r="G930" s="112"/>
      <c r="H930" s="112"/>
      <c r="I930" s="112"/>
      <c r="J930" s="112"/>
      <c r="K930" s="112"/>
      <c r="L930" s="112"/>
      <c r="M930" s="112"/>
      <c r="N930" s="112"/>
      <c r="O930" s="112"/>
      <c r="P930" s="112"/>
      <c r="Q930" s="112"/>
      <c r="R930" s="112"/>
      <c r="S930" s="112"/>
      <c r="T930" s="112"/>
      <c r="U930" s="124"/>
      <c r="V930" s="124"/>
      <c r="W930" s="124"/>
      <c r="X930" s="124"/>
      <c r="Y930" s="124"/>
      <c r="Z930" s="112"/>
      <c r="AA930" s="112"/>
      <c r="AB930" s="112"/>
      <c r="AC930" s="112"/>
      <c r="AD930" s="112"/>
      <c r="AE930" s="112"/>
      <c r="AF930" s="112"/>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c r="BK930" s="124"/>
      <c r="BL930" s="124"/>
      <c r="BM930" s="124"/>
      <c r="BN930" s="124"/>
      <c r="BO930" s="124"/>
      <c r="BP930" s="124"/>
      <c r="BQ930" s="124"/>
      <c r="BR930" s="124"/>
      <c r="BS930" s="124"/>
      <c r="BT930" s="124"/>
      <c r="BU930" s="124"/>
      <c r="BV930" s="124"/>
      <c r="BW930" s="124"/>
      <c r="BX930" s="124"/>
      <c r="BY930" s="124"/>
      <c r="BZ930" s="124"/>
      <c r="CA930" s="124"/>
    </row>
    <row r="931">
      <c r="D931" s="143"/>
      <c r="E931" s="129"/>
      <c r="F931" s="112"/>
      <c r="G931" s="112"/>
      <c r="H931" s="112"/>
      <c r="I931" s="112"/>
      <c r="J931" s="112"/>
      <c r="K931" s="112"/>
      <c r="L931" s="112"/>
      <c r="M931" s="112"/>
      <c r="N931" s="112"/>
      <c r="O931" s="112"/>
      <c r="P931" s="112"/>
      <c r="Q931" s="112"/>
      <c r="R931" s="112"/>
      <c r="S931" s="112"/>
      <c r="T931" s="112"/>
      <c r="U931" s="124"/>
      <c r="V931" s="124"/>
      <c r="W931" s="124"/>
      <c r="X931" s="124"/>
      <c r="Y931" s="124"/>
      <c r="Z931" s="112"/>
      <c r="AA931" s="112"/>
      <c r="AB931" s="112"/>
      <c r="AC931" s="112"/>
      <c r="AD931" s="112"/>
      <c r="AE931" s="112"/>
      <c r="AF931" s="112"/>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c r="BK931" s="124"/>
      <c r="BL931" s="124"/>
      <c r="BM931" s="124"/>
      <c r="BN931" s="124"/>
      <c r="BO931" s="124"/>
      <c r="BP931" s="124"/>
      <c r="BQ931" s="124"/>
      <c r="BR931" s="124"/>
      <c r="BS931" s="124"/>
      <c r="BT931" s="124"/>
      <c r="BU931" s="124"/>
      <c r="BV931" s="124"/>
      <c r="BW931" s="124"/>
      <c r="BX931" s="124"/>
      <c r="BY931" s="124"/>
      <c r="BZ931" s="124"/>
      <c r="CA931" s="124"/>
    </row>
    <row r="932">
      <c r="D932" s="143"/>
      <c r="E932" s="129"/>
      <c r="F932" s="112"/>
      <c r="G932" s="112"/>
      <c r="H932" s="112"/>
      <c r="I932" s="112"/>
      <c r="J932" s="112"/>
      <c r="K932" s="112"/>
      <c r="L932" s="112"/>
      <c r="M932" s="112"/>
      <c r="N932" s="112"/>
      <c r="O932" s="112"/>
      <c r="P932" s="112"/>
      <c r="Q932" s="112"/>
      <c r="R932" s="112"/>
      <c r="S932" s="112"/>
      <c r="T932" s="112"/>
      <c r="U932" s="124"/>
      <c r="V932" s="124"/>
      <c r="W932" s="124"/>
      <c r="X932" s="124"/>
      <c r="Y932" s="124"/>
      <c r="Z932" s="112"/>
      <c r="AA932" s="112"/>
      <c r="AB932" s="112"/>
      <c r="AC932" s="112"/>
      <c r="AD932" s="112"/>
      <c r="AE932" s="112"/>
      <c r="AF932" s="112"/>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c r="BK932" s="124"/>
      <c r="BL932" s="124"/>
      <c r="BM932" s="124"/>
      <c r="BN932" s="124"/>
      <c r="BO932" s="124"/>
      <c r="BP932" s="124"/>
      <c r="BQ932" s="124"/>
      <c r="BR932" s="124"/>
      <c r="BS932" s="124"/>
      <c r="BT932" s="124"/>
      <c r="BU932" s="124"/>
      <c r="BV932" s="124"/>
      <c r="BW932" s="124"/>
      <c r="BX932" s="124"/>
      <c r="BY932" s="124"/>
      <c r="BZ932" s="124"/>
      <c r="CA932" s="124"/>
    </row>
    <row r="933">
      <c r="D933" s="143"/>
      <c r="E933" s="129"/>
      <c r="F933" s="112"/>
      <c r="G933" s="112"/>
      <c r="H933" s="112"/>
      <c r="I933" s="112"/>
      <c r="J933" s="112"/>
      <c r="K933" s="112"/>
      <c r="L933" s="112"/>
      <c r="M933" s="112"/>
      <c r="N933" s="112"/>
      <c r="O933" s="112"/>
      <c r="P933" s="112"/>
      <c r="Q933" s="112"/>
      <c r="R933" s="112"/>
      <c r="S933" s="112"/>
      <c r="T933" s="112"/>
      <c r="U933" s="124"/>
      <c r="V933" s="124"/>
      <c r="W933" s="124"/>
      <c r="X933" s="124"/>
      <c r="Y933" s="124"/>
      <c r="Z933" s="112"/>
      <c r="AA933" s="112"/>
      <c r="AB933" s="112"/>
      <c r="AC933" s="112"/>
      <c r="AD933" s="112"/>
      <c r="AE933" s="112"/>
      <c r="AF933" s="112"/>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c r="BK933" s="124"/>
      <c r="BL933" s="124"/>
      <c r="BM933" s="124"/>
      <c r="BN933" s="124"/>
      <c r="BO933" s="124"/>
      <c r="BP933" s="124"/>
      <c r="BQ933" s="124"/>
      <c r="BR933" s="124"/>
      <c r="BS933" s="124"/>
      <c r="BT933" s="124"/>
      <c r="BU933" s="124"/>
      <c r="BV933" s="124"/>
      <c r="BW933" s="124"/>
      <c r="BX933" s="124"/>
      <c r="BY933" s="124"/>
      <c r="BZ933" s="124"/>
      <c r="CA933" s="124"/>
    </row>
    <row r="934">
      <c r="D934" s="143"/>
      <c r="E934" s="129"/>
      <c r="F934" s="112"/>
      <c r="G934" s="112"/>
      <c r="H934" s="112"/>
      <c r="I934" s="112"/>
      <c r="J934" s="112"/>
      <c r="K934" s="112"/>
      <c r="L934" s="112"/>
      <c r="M934" s="112"/>
      <c r="N934" s="112"/>
      <c r="O934" s="112"/>
      <c r="P934" s="112"/>
      <c r="Q934" s="112"/>
      <c r="R934" s="112"/>
      <c r="S934" s="112"/>
      <c r="T934" s="112"/>
      <c r="U934" s="124"/>
      <c r="V934" s="124"/>
      <c r="W934" s="124"/>
      <c r="X934" s="124"/>
      <c r="Y934" s="124"/>
      <c r="Z934" s="112"/>
      <c r="AA934" s="112"/>
      <c r="AB934" s="112"/>
      <c r="AC934" s="112"/>
      <c r="AD934" s="112"/>
      <c r="AE934" s="112"/>
      <c r="AF934" s="112"/>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c r="BK934" s="124"/>
      <c r="BL934" s="124"/>
      <c r="BM934" s="124"/>
      <c r="BN934" s="124"/>
      <c r="BO934" s="124"/>
      <c r="BP934" s="124"/>
      <c r="BQ934" s="124"/>
      <c r="BR934" s="124"/>
      <c r="BS934" s="124"/>
      <c r="BT934" s="124"/>
      <c r="BU934" s="124"/>
      <c r="BV934" s="124"/>
      <c r="BW934" s="124"/>
      <c r="BX934" s="124"/>
      <c r="BY934" s="124"/>
      <c r="BZ934" s="124"/>
      <c r="CA934" s="124"/>
    </row>
    <row r="935">
      <c r="D935" s="143"/>
      <c r="E935" s="129"/>
      <c r="F935" s="112"/>
      <c r="G935" s="112"/>
      <c r="H935" s="112"/>
      <c r="I935" s="112"/>
      <c r="J935" s="112"/>
      <c r="K935" s="112"/>
      <c r="L935" s="112"/>
      <c r="M935" s="112"/>
      <c r="N935" s="112"/>
      <c r="O935" s="112"/>
      <c r="P935" s="112"/>
      <c r="Q935" s="112"/>
      <c r="R935" s="112"/>
      <c r="S935" s="112"/>
      <c r="T935" s="112"/>
      <c r="U935" s="124"/>
      <c r="V935" s="124"/>
      <c r="W935" s="124"/>
      <c r="X935" s="124"/>
      <c r="Y935" s="124"/>
      <c r="Z935" s="112"/>
      <c r="AA935" s="112"/>
      <c r="AB935" s="112"/>
      <c r="AC935" s="112"/>
      <c r="AD935" s="112"/>
      <c r="AE935" s="112"/>
      <c r="AF935" s="112"/>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c r="BK935" s="124"/>
      <c r="BL935" s="124"/>
      <c r="BM935" s="124"/>
      <c r="BN935" s="124"/>
      <c r="BO935" s="124"/>
      <c r="BP935" s="124"/>
      <c r="BQ935" s="124"/>
      <c r="BR935" s="124"/>
      <c r="BS935" s="124"/>
      <c r="BT935" s="124"/>
      <c r="BU935" s="124"/>
      <c r="BV935" s="124"/>
      <c r="BW935" s="124"/>
      <c r="BX935" s="124"/>
      <c r="BY935" s="124"/>
      <c r="BZ935" s="124"/>
      <c r="CA935" s="124"/>
    </row>
    <row r="936">
      <c r="D936" s="143"/>
      <c r="E936" s="129"/>
      <c r="F936" s="112"/>
      <c r="G936" s="112"/>
      <c r="H936" s="112"/>
      <c r="I936" s="112"/>
      <c r="J936" s="112"/>
      <c r="K936" s="112"/>
      <c r="L936" s="112"/>
      <c r="M936" s="112"/>
      <c r="N936" s="112"/>
      <c r="O936" s="112"/>
      <c r="P936" s="112"/>
      <c r="Q936" s="112"/>
      <c r="R936" s="112"/>
      <c r="S936" s="112"/>
      <c r="T936" s="112"/>
      <c r="U936" s="124"/>
      <c r="V936" s="124"/>
      <c r="W936" s="124"/>
      <c r="X936" s="124"/>
      <c r="Y936" s="124"/>
      <c r="Z936" s="112"/>
      <c r="AA936" s="112"/>
      <c r="AB936" s="112"/>
      <c r="AC936" s="112"/>
      <c r="AD936" s="112"/>
      <c r="AE936" s="112"/>
      <c r="AF936" s="112"/>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c r="BK936" s="124"/>
      <c r="BL936" s="124"/>
      <c r="BM936" s="124"/>
      <c r="BN936" s="124"/>
      <c r="BO936" s="124"/>
      <c r="BP936" s="124"/>
      <c r="BQ936" s="124"/>
      <c r="BR936" s="124"/>
      <c r="BS936" s="124"/>
      <c r="BT936" s="124"/>
      <c r="BU936" s="124"/>
      <c r="BV936" s="124"/>
      <c r="BW936" s="124"/>
      <c r="BX936" s="124"/>
      <c r="BY936" s="124"/>
      <c r="BZ936" s="124"/>
      <c r="CA936" s="124"/>
    </row>
    <row r="937">
      <c r="D937" s="143"/>
      <c r="E937" s="129"/>
      <c r="F937" s="112"/>
      <c r="G937" s="112"/>
      <c r="H937" s="112"/>
      <c r="I937" s="112"/>
      <c r="J937" s="112"/>
      <c r="K937" s="112"/>
      <c r="L937" s="112"/>
      <c r="M937" s="112"/>
      <c r="N937" s="112"/>
      <c r="O937" s="112"/>
      <c r="P937" s="112"/>
      <c r="Q937" s="112"/>
      <c r="R937" s="112"/>
      <c r="S937" s="112"/>
      <c r="T937" s="112"/>
      <c r="U937" s="124"/>
      <c r="V937" s="124"/>
      <c r="W937" s="124"/>
      <c r="X937" s="124"/>
      <c r="Y937" s="124"/>
      <c r="Z937" s="112"/>
      <c r="AA937" s="112"/>
      <c r="AB937" s="112"/>
      <c r="AC937" s="112"/>
      <c r="AD937" s="112"/>
      <c r="AE937" s="112"/>
      <c r="AF937" s="112"/>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c r="BK937" s="124"/>
      <c r="BL937" s="124"/>
      <c r="BM937" s="124"/>
      <c r="BN937" s="124"/>
      <c r="BO937" s="124"/>
      <c r="BP937" s="124"/>
      <c r="BQ937" s="124"/>
      <c r="BR937" s="124"/>
      <c r="BS937" s="124"/>
      <c r="BT937" s="124"/>
      <c r="BU937" s="124"/>
      <c r="BV937" s="124"/>
      <c r="BW937" s="124"/>
      <c r="BX937" s="124"/>
      <c r="BY937" s="124"/>
      <c r="BZ937" s="124"/>
      <c r="CA937" s="124"/>
    </row>
    <row r="938">
      <c r="D938" s="143"/>
      <c r="E938" s="129"/>
      <c r="F938" s="112"/>
      <c r="G938" s="112"/>
      <c r="H938" s="112"/>
      <c r="I938" s="112"/>
      <c r="J938" s="112"/>
      <c r="K938" s="112"/>
      <c r="L938" s="112"/>
      <c r="M938" s="112"/>
      <c r="N938" s="112"/>
      <c r="O938" s="112"/>
      <c r="P938" s="112"/>
      <c r="Q938" s="112"/>
      <c r="R938" s="112"/>
      <c r="S938" s="112"/>
      <c r="T938" s="112"/>
      <c r="U938" s="124"/>
      <c r="V938" s="124"/>
      <c r="W938" s="124"/>
      <c r="X938" s="124"/>
      <c r="Y938" s="124"/>
      <c r="Z938" s="112"/>
      <c r="AA938" s="112"/>
      <c r="AB938" s="112"/>
      <c r="AC938" s="112"/>
      <c r="AD938" s="112"/>
      <c r="AE938" s="112"/>
      <c r="AF938" s="112"/>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c r="BK938" s="124"/>
      <c r="BL938" s="124"/>
      <c r="BM938" s="124"/>
      <c r="BN938" s="124"/>
      <c r="BO938" s="124"/>
      <c r="BP938" s="124"/>
      <c r="BQ938" s="124"/>
      <c r="BR938" s="124"/>
      <c r="BS938" s="124"/>
      <c r="BT938" s="124"/>
      <c r="BU938" s="124"/>
      <c r="BV938" s="124"/>
      <c r="BW938" s="124"/>
      <c r="BX938" s="124"/>
      <c r="BY938" s="124"/>
      <c r="BZ938" s="124"/>
      <c r="CA938" s="124"/>
    </row>
    <row r="939">
      <c r="D939" s="143"/>
      <c r="E939" s="129"/>
      <c r="F939" s="112"/>
      <c r="G939" s="112"/>
      <c r="H939" s="112"/>
      <c r="I939" s="112"/>
      <c r="J939" s="112"/>
      <c r="K939" s="112"/>
      <c r="L939" s="112"/>
      <c r="M939" s="112"/>
      <c r="N939" s="112"/>
      <c r="O939" s="112"/>
      <c r="P939" s="112"/>
      <c r="Q939" s="112"/>
      <c r="R939" s="112"/>
      <c r="S939" s="112"/>
      <c r="T939" s="112"/>
      <c r="U939" s="124"/>
      <c r="V939" s="124"/>
      <c r="W939" s="124"/>
      <c r="X939" s="124"/>
      <c r="Y939" s="124"/>
      <c r="Z939" s="112"/>
      <c r="AA939" s="112"/>
      <c r="AB939" s="112"/>
      <c r="AC939" s="112"/>
      <c r="AD939" s="112"/>
      <c r="AE939" s="112"/>
      <c r="AF939" s="112"/>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c r="BK939" s="124"/>
      <c r="BL939" s="124"/>
      <c r="BM939" s="124"/>
      <c r="BN939" s="124"/>
      <c r="BO939" s="124"/>
      <c r="BP939" s="124"/>
      <c r="BQ939" s="124"/>
      <c r="BR939" s="124"/>
      <c r="BS939" s="124"/>
      <c r="BT939" s="124"/>
      <c r="BU939" s="124"/>
      <c r="BV939" s="124"/>
      <c r="BW939" s="124"/>
      <c r="BX939" s="124"/>
      <c r="BY939" s="124"/>
      <c r="BZ939" s="124"/>
      <c r="CA939" s="124"/>
    </row>
    <row r="940">
      <c r="D940" s="143"/>
      <c r="E940" s="129"/>
      <c r="F940" s="112"/>
      <c r="G940" s="112"/>
      <c r="H940" s="112"/>
      <c r="I940" s="112"/>
      <c r="J940" s="112"/>
      <c r="K940" s="112"/>
      <c r="L940" s="112"/>
      <c r="M940" s="112"/>
      <c r="N940" s="112"/>
      <c r="O940" s="112"/>
      <c r="P940" s="112"/>
      <c r="Q940" s="112"/>
      <c r="R940" s="112"/>
      <c r="S940" s="112"/>
      <c r="T940" s="112"/>
      <c r="U940" s="124"/>
      <c r="V940" s="124"/>
      <c r="W940" s="124"/>
      <c r="X940" s="124"/>
      <c r="Y940" s="124"/>
      <c r="Z940" s="112"/>
      <c r="AA940" s="112"/>
      <c r="AB940" s="112"/>
      <c r="AC940" s="112"/>
      <c r="AD940" s="112"/>
      <c r="AE940" s="112"/>
      <c r="AF940" s="112"/>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c r="BK940" s="124"/>
      <c r="BL940" s="124"/>
      <c r="BM940" s="124"/>
      <c r="BN940" s="124"/>
      <c r="BO940" s="124"/>
      <c r="BP940" s="124"/>
      <c r="BQ940" s="124"/>
      <c r="BR940" s="124"/>
      <c r="BS940" s="124"/>
      <c r="BT940" s="124"/>
      <c r="BU940" s="124"/>
      <c r="BV940" s="124"/>
      <c r="BW940" s="124"/>
      <c r="BX940" s="124"/>
      <c r="BY940" s="124"/>
      <c r="BZ940" s="124"/>
      <c r="CA940" s="124"/>
    </row>
    <row r="941">
      <c r="D941" s="143"/>
      <c r="E941" s="129"/>
      <c r="F941" s="112"/>
      <c r="G941" s="112"/>
      <c r="H941" s="112"/>
      <c r="I941" s="112"/>
      <c r="J941" s="112"/>
      <c r="K941" s="112"/>
      <c r="L941" s="112"/>
      <c r="M941" s="112"/>
      <c r="N941" s="112"/>
      <c r="O941" s="112"/>
      <c r="P941" s="112"/>
      <c r="Q941" s="112"/>
      <c r="R941" s="112"/>
      <c r="S941" s="112"/>
      <c r="T941" s="112"/>
      <c r="U941" s="124"/>
      <c r="V941" s="124"/>
      <c r="W941" s="124"/>
      <c r="X941" s="124"/>
      <c r="Y941" s="124"/>
      <c r="Z941" s="112"/>
      <c r="AA941" s="112"/>
      <c r="AB941" s="112"/>
      <c r="AC941" s="112"/>
      <c r="AD941" s="112"/>
      <c r="AE941" s="112"/>
      <c r="AF941" s="112"/>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c r="BK941" s="124"/>
      <c r="BL941" s="124"/>
      <c r="BM941" s="124"/>
      <c r="BN941" s="124"/>
      <c r="BO941" s="124"/>
      <c r="BP941" s="124"/>
      <c r="BQ941" s="124"/>
      <c r="BR941" s="124"/>
      <c r="BS941" s="124"/>
      <c r="BT941" s="124"/>
      <c r="BU941" s="124"/>
      <c r="BV941" s="124"/>
      <c r="BW941" s="124"/>
      <c r="BX941" s="124"/>
      <c r="BY941" s="124"/>
      <c r="BZ941" s="124"/>
      <c r="CA941" s="124"/>
    </row>
    <row r="942">
      <c r="D942" s="143"/>
      <c r="E942" s="129"/>
      <c r="F942" s="112"/>
      <c r="G942" s="112"/>
      <c r="H942" s="112"/>
      <c r="I942" s="112"/>
      <c r="J942" s="112"/>
      <c r="K942" s="112"/>
      <c r="L942" s="112"/>
      <c r="M942" s="112"/>
      <c r="N942" s="112"/>
      <c r="O942" s="112"/>
      <c r="P942" s="112"/>
      <c r="Q942" s="112"/>
      <c r="R942" s="112"/>
      <c r="S942" s="112"/>
      <c r="T942" s="112"/>
      <c r="U942" s="124"/>
      <c r="V942" s="124"/>
      <c r="W942" s="124"/>
      <c r="X942" s="124"/>
      <c r="Y942" s="124"/>
      <c r="Z942" s="112"/>
      <c r="AA942" s="112"/>
      <c r="AB942" s="112"/>
      <c r="AC942" s="112"/>
      <c r="AD942" s="112"/>
      <c r="AE942" s="112"/>
      <c r="AF942" s="112"/>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c r="BK942" s="124"/>
      <c r="BL942" s="124"/>
      <c r="BM942" s="124"/>
      <c r="BN942" s="124"/>
      <c r="BO942" s="124"/>
      <c r="BP942" s="124"/>
      <c r="BQ942" s="124"/>
      <c r="BR942" s="124"/>
      <c r="BS942" s="124"/>
      <c r="BT942" s="124"/>
      <c r="BU942" s="124"/>
      <c r="BV942" s="124"/>
      <c r="BW942" s="124"/>
      <c r="BX942" s="124"/>
      <c r="BY942" s="124"/>
      <c r="BZ942" s="124"/>
      <c r="CA942" s="124"/>
    </row>
    <row r="943">
      <c r="D943" s="143"/>
      <c r="E943" s="129"/>
      <c r="F943" s="112"/>
      <c r="G943" s="112"/>
      <c r="H943" s="112"/>
      <c r="I943" s="112"/>
      <c r="J943" s="112"/>
      <c r="K943" s="112"/>
      <c r="L943" s="112"/>
      <c r="M943" s="112"/>
      <c r="N943" s="112"/>
      <c r="O943" s="112"/>
      <c r="P943" s="112"/>
      <c r="Q943" s="112"/>
      <c r="R943" s="112"/>
      <c r="S943" s="112"/>
      <c r="T943" s="112"/>
      <c r="U943" s="124"/>
      <c r="V943" s="124"/>
      <c r="W943" s="124"/>
      <c r="X943" s="124"/>
      <c r="Y943" s="124"/>
      <c r="Z943" s="112"/>
      <c r="AA943" s="112"/>
      <c r="AB943" s="112"/>
      <c r="AC943" s="112"/>
      <c r="AD943" s="112"/>
      <c r="AE943" s="112"/>
      <c r="AF943" s="112"/>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c r="BK943" s="124"/>
      <c r="BL943" s="124"/>
      <c r="BM943" s="124"/>
      <c r="BN943" s="124"/>
      <c r="BO943" s="124"/>
      <c r="BP943" s="124"/>
      <c r="BQ943" s="124"/>
      <c r="BR943" s="124"/>
      <c r="BS943" s="124"/>
      <c r="BT943" s="124"/>
      <c r="BU943" s="124"/>
      <c r="BV943" s="124"/>
      <c r="BW943" s="124"/>
      <c r="BX943" s="124"/>
      <c r="BY943" s="124"/>
      <c r="BZ943" s="124"/>
      <c r="CA943" s="124"/>
    </row>
    <row r="944">
      <c r="D944" s="143"/>
      <c r="E944" s="129"/>
      <c r="F944" s="112"/>
      <c r="G944" s="112"/>
      <c r="H944" s="112"/>
      <c r="I944" s="112"/>
      <c r="J944" s="112"/>
      <c r="K944" s="112"/>
      <c r="L944" s="112"/>
      <c r="M944" s="112"/>
      <c r="N944" s="112"/>
      <c r="O944" s="112"/>
      <c r="P944" s="112"/>
      <c r="Q944" s="112"/>
      <c r="R944" s="112"/>
      <c r="S944" s="112"/>
      <c r="T944" s="112"/>
      <c r="U944" s="124"/>
      <c r="V944" s="124"/>
      <c r="W944" s="124"/>
      <c r="X944" s="124"/>
      <c r="Y944" s="124"/>
      <c r="Z944" s="112"/>
      <c r="AA944" s="112"/>
      <c r="AB944" s="112"/>
      <c r="AC944" s="112"/>
      <c r="AD944" s="112"/>
      <c r="AE944" s="112"/>
      <c r="AF944" s="112"/>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c r="BK944" s="124"/>
      <c r="BL944" s="124"/>
      <c r="BM944" s="124"/>
      <c r="BN944" s="124"/>
      <c r="BO944" s="124"/>
      <c r="BP944" s="124"/>
      <c r="BQ944" s="124"/>
      <c r="BR944" s="124"/>
      <c r="BS944" s="124"/>
      <c r="BT944" s="124"/>
      <c r="BU944" s="124"/>
      <c r="BV944" s="124"/>
      <c r="BW944" s="124"/>
      <c r="BX944" s="124"/>
      <c r="BY944" s="124"/>
      <c r="BZ944" s="124"/>
      <c r="CA944" s="124"/>
    </row>
    <row r="945">
      <c r="D945" s="143"/>
      <c r="E945" s="129"/>
      <c r="F945" s="112"/>
      <c r="G945" s="112"/>
      <c r="H945" s="112"/>
      <c r="I945" s="112"/>
      <c r="J945" s="112"/>
      <c r="K945" s="112"/>
      <c r="L945" s="112"/>
      <c r="M945" s="112"/>
      <c r="N945" s="112"/>
      <c r="O945" s="112"/>
      <c r="P945" s="112"/>
      <c r="Q945" s="112"/>
      <c r="R945" s="112"/>
      <c r="S945" s="112"/>
      <c r="T945" s="112"/>
      <c r="U945" s="124"/>
      <c r="V945" s="124"/>
      <c r="W945" s="124"/>
      <c r="X945" s="124"/>
      <c r="Y945" s="124"/>
      <c r="Z945" s="112"/>
      <c r="AA945" s="112"/>
      <c r="AB945" s="112"/>
      <c r="AC945" s="112"/>
      <c r="AD945" s="112"/>
      <c r="AE945" s="112"/>
      <c r="AF945" s="112"/>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c r="BK945" s="124"/>
      <c r="BL945" s="124"/>
      <c r="BM945" s="124"/>
      <c r="BN945" s="124"/>
      <c r="BO945" s="124"/>
      <c r="BP945" s="124"/>
      <c r="BQ945" s="124"/>
      <c r="BR945" s="124"/>
      <c r="BS945" s="124"/>
      <c r="BT945" s="124"/>
      <c r="BU945" s="124"/>
      <c r="BV945" s="124"/>
      <c r="BW945" s="124"/>
      <c r="BX945" s="124"/>
      <c r="BY945" s="124"/>
      <c r="BZ945" s="124"/>
      <c r="CA945" s="124"/>
    </row>
    <row r="946">
      <c r="D946" s="143"/>
      <c r="E946" s="129"/>
      <c r="F946" s="112"/>
      <c r="G946" s="112"/>
      <c r="H946" s="112"/>
      <c r="I946" s="112"/>
      <c r="J946" s="112"/>
      <c r="K946" s="112"/>
      <c r="L946" s="112"/>
      <c r="M946" s="112"/>
      <c r="N946" s="112"/>
      <c r="O946" s="112"/>
      <c r="P946" s="112"/>
      <c r="Q946" s="112"/>
      <c r="R946" s="112"/>
      <c r="S946" s="112"/>
      <c r="T946" s="112"/>
      <c r="U946" s="124"/>
      <c r="V946" s="124"/>
      <c r="W946" s="124"/>
      <c r="X946" s="124"/>
      <c r="Y946" s="124"/>
      <c r="Z946" s="112"/>
      <c r="AA946" s="112"/>
      <c r="AB946" s="112"/>
      <c r="AC946" s="112"/>
      <c r="AD946" s="112"/>
      <c r="AE946" s="112"/>
      <c r="AF946" s="112"/>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c r="BK946" s="124"/>
      <c r="BL946" s="124"/>
      <c r="BM946" s="124"/>
      <c r="BN946" s="124"/>
      <c r="BO946" s="124"/>
      <c r="BP946" s="124"/>
      <c r="BQ946" s="124"/>
      <c r="BR946" s="124"/>
      <c r="BS946" s="124"/>
      <c r="BT946" s="124"/>
      <c r="BU946" s="124"/>
      <c r="BV946" s="124"/>
      <c r="BW946" s="124"/>
      <c r="BX946" s="124"/>
      <c r="BY946" s="124"/>
      <c r="BZ946" s="124"/>
      <c r="CA946" s="124"/>
    </row>
    <row r="947">
      <c r="D947" s="143"/>
      <c r="E947" s="129"/>
      <c r="F947" s="112"/>
      <c r="G947" s="112"/>
      <c r="H947" s="112"/>
      <c r="I947" s="112"/>
      <c r="J947" s="112"/>
      <c r="K947" s="112"/>
      <c r="L947" s="112"/>
      <c r="M947" s="112"/>
      <c r="N947" s="112"/>
      <c r="O947" s="112"/>
      <c r="P947" s="112"/>
      <c r="Q947" s="112"/>
      <c r="R947" s="112"/>
      <c r="S947" s="112"/>
      <c r="T947" s="112"/>
      <c r="U947" s="124"/>
      <c r="V947" s="124"/>
      <c r="W947" s="124"/>
      <c r="X947" s="124"/>
      <c r="Y947" s="124"/>
      <c r="Z947" s="112"/>
      <c r="AA947" s="112"/>
      <c r="AB947" s="112"/>
      <c r="AC947" s="112"/>
      <c r="AD947" s="112"/>
      <c r="AE947" s="112"/>
      <c r="AF947" s="112"/>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c r="BK947" s="124"/>
      <c r="BL947" s="124"/>
      <c r="BM947" s="124"/>
      <c r="BN947" s="124"/>
      <c r="BO947" s="124"/>
      <c r="BP947" s="124"/>
      <c r="BQ947" s="124"/>
      <c r="BR947" s="124"/>
      <c r="BS947" s="124"/>
      <c r="BT947" s="124"/>
      <c r="BU947" s="124"/>
      <c r="BV947" s="124"/>
      <c r="BW947" s="124"/>
      <c r="BX947" s="124"/>
      <c r="BY947" s="124"/>
      <c r="BZ947" s="124"/>
      <c r="CA947" s="124"/>
    </row>
    <row r="948">
      <c r="D948" s="143"/>
      <c r="E948" s="129"/>
      <c r="F948" s="112"/>
      <c r="G948" s="112"/>
      <c r="H948" s="112"/>
      <c r="I948" s="112"/>
      <c r="J948" s="112"/>
      <c r="K948" s="112"/>
      <c r="L948" s="112"/>
      <c r="M948" s="112"/>
      <c r="N948" s="112"/>
      <c r="O948" s="112"/>
      <c r="P948" s="112"/>
      <c r="Q948" s="112"/>
      <c r="R948" s="112"/>
      <c r="S948" s="112"/>
      <c r="T948" s="112"/>
      <c r="U948" s="124"/>
      <c r="V948" s="124"/>
      <c r="W948" s="124"/>
      <c r="X948" s="124"/>
      <c r="Y948" s="124"/>
      <c r="Z948" s="112"/>
      <c r="AA948" s="112"/>
      <c r="AB948" s="112"/>
      <c r="AC948" s="112"/>
      <c r="AD948" s="112"/>
      <c r="AE948" s="112"/>
      <c r="AF948" s="112"/>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c r="BK948" s="124"/>
      <c r="BL948" s="124"/>
      <c r="BM948" s="124"/>
      <c r="BN948" s="124"/>
      <c r="BO948" s="124"/>
      <c r="BP948" s="124"/>
      <c r="BQ948" s="124"/>
      <c r="BR948" s="124"/>
      <c r="BS948" s="124"/>
      <c r="BT948" s="124"/>
      <c r="BU948" s="124"/>
      <c r="BV948" s="124"/>
      <c r="BW948" s="124"/>
      <c r="BX948" s="124"/>
      <c r="BY948" s="124"/>
      <c r="BZ948" s="124"/>
      <c r="CA948" s="124"/>
    </row>
    <row r="949">
      <c r="D949" s="143"/>
      <c r="E949" s="129"/>
      <c r="F949" s="112"/>
      <c r="G949" s="112"/>
      <c r="H949" s="112"/>
      <c r="I949" s="112"/>
      <c r="J949" s="112"/>
      <c r="K949" s="112"/>
      <c r="L949" s="112"/>
      <c r="M949" s="112"/>
      <c r="N949" s="112"/>
      <c r="O949" s="112"/>
      <c r="P949" s="112"/>
      <c r="Q949" s="112"/>
      <c r="R949" s="112"/>
      <c r="S949" s="112"/>
      <c r="T949" s="112"/>
      <c r="U949" s="124"/>
      <c r="V949" s="124"/>
      <c r="W949" s="124"/>
      <c r="X949" s="124"/>
      <c r="Y949" s="124"/>
      <c r="Z949" s="112"/>
      <c r="AA949" s="112"/>
      <c r="AB949" s="112"/>
      <c r="AC949" s="112"/>
      <c r="AD949" s="112"/>
      <c r="AE949" s="112"/>
      <c r="AF949" s="112"/>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c r="BK949" s="124"/>
      <c r="BL949" s="124"/>
      <c r="BM949" s="124"/>
      <c r="BN949" s="124"/>
      <c r="BO949" s="124"/>
      <c r="BP949" s="124"/>
      <c r="BQ949" s="124"/>
      <c r="BR949" s="124"/>
      <c r="BS949" s="124"/>
      <c r="BT949" s="124"/>
      <c r="BU949" s="124"/>
      <c r="BV949" s="124"/>
      <c r="BW949" s="124"/>
      <c r="BX949" s="124"/>
      <c r="BY949" s="124"/>
      <c r="BZ949" s="124"/>
      <c r="CA949" s="124"/>
    </row>
    <row r="950">
      <c r="D950" s="143"/>
      <c r="E950" s="129"/>
      <c r="F950" s="112"/>
      <c r="G950" s="112"/>
      <c r="H950" s="112"/>
      <c r="I950" s="112"/>
      <c r="J950" s="112"/>
      <c r="K950" s="112"/>
      <c r="L950" s="112"/>
      <c r="M950" s="112"/>
      <c r="N950" s="112"/>
      <c r="O950" s="112"/>
      <c r="P950" s="112"/>
      <c r="Q950" s="112"/>
      <c r="R950" s="112"/>
      <c r="S950" s="112"/>
      <c r="T950" s="112"/>
      <c r="U950" s="124"/>
      <c r="V950" s="124"/>
      <c r="W950" s="124"/>
      <c r="X950" s="124"/>
      <c r="Y950" s="124"/>
      <c r="Z950" s="112"/>
      <c r="AA950" s="112"/>
      <c r="AB950" s="112"/>
      <c r="AC950" s="112"/>
      <c r="AD950" s="112"/>
      <c r="AE950" s="112"/>
      <c r="AF950" s="112"/>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c r="BK950" s="124"/>
      <c r="BL950" s="124"/>
      <c r="BM950" s="124"/>
      <c r="BN950" s="124"/>
      <c r="BO950" s="124"/>
      <c r="BP950" s="124"/>
      <c r="BQ950" s="124"/>
      <c r="BR950" s="124"/>
      <c r="BS950" s="124"/>
      <c r="BT950" s="124"/>
      <c r="BU950" s="124"/>
      <c r="BV950" s="124"/>
      <c r="BW950" s="124"/>
      <c r="BX950" s="124"/>
      <c r="BY950" s="124"/>
      <c r="BZ950" s="124"/>
      <c r="CA950" s="124"/>
    </row>
    <row r="951">
      <c r="D951" s="143"/>
      <c r="E951" s="129"/>
      <c r="F951" s="112"/>
      <c r="G951" s="112"/>
      <c r="H951" s="112"/>
      <c r="I951" s="112"/>
      <c r="J951" s="112"/>
      <c r="K951" s="112"/>
      <c r="L951" s="112"/>
      <c r="M951" s="112"/>
      <c r="N951" s="112"/>
      <c r="O951" s="112"/>
      <c r="P951" s="112"/>
      <c r="Q951" s="112"/>
      <c r="R951" s="112"/>
      <c r="S951" s="112"/>
      <c r="T951" s="112"/>
      <c r="U951" s="124"/>
      <c r="V951" s="124"/>
      <c r="W951" s="124"/>
      <c r="X951" s="124"/>
      <c r="Y951" s="124"/>
      <c r="Z951" s="112"/>
      <c r="AA951" s="112"/>
      <c r="AB951" s="112"/>
      <c r="AC951" s="112"/>
      <c r="AD951" s="112"/>
      <c r="AE951" s="112"/>
      <c r="AF951" s="112"/>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c r="BK951" s="124"/>
      <c r="BL951" s="124"/>
      <c r="BM951" s="124"/>
      <c r="BN951" s="124"/>
      <c r="BO951" s="124"/>
      <c r="BP951" s="124"/>
      <c r="BQ951" s="124"/>
      <c r="BR951" s="124"/>
      <c r="BS951" s="124"/>
      <c r="BT951" s="124"/>
      <c r="BU951" s="124"/>
      <c r="BV951" s="124"/>
      <c r="BW951" s="124"/>
      <c r="BX951" s="124"/>
      <c r="BY951" s="124"/>
      <c r="BZ951" s="124"/>
      <c r="CA951" s="124"/>
    </row>
    <row r="952">
      <c r="D952" s="143"/>
      <c r="E952" s="129"/>
      <c r="F952" s="112"/>
      <c r="G952" s="112"/>
      <c r="H952" s="112"/>
      <c r="I952" s="112"/>
      <c r="J952" s="112"/>
      <c r="K952" s="112"/>
      <c r="L952" s="112"/>
      <c r="M952" s="112"/>
      <c r="N952" s="112"/>
      <c r="O952" s="112"/>
      <c r="P952" s="112"/>
      <c r="Q952" s="112"/>
      <c r="R952" s="112"/>
      <c r="S952" s="112"/>
      <c r="T952" s="112"/>
      <c r="U952" s="124"/>
      <c r="V952" s="124"/>
      <c r="W952" s="124"/>
      <c r="X952" s="124"/>
      <c r="Y952" s="124"/>
      <c r="Z952" s="112"/>
      <c r="AA952" s="112"/>
      <c r="AB952" s="112"/>
      <c r="AC952" s="112"/>
      <c r="AD952" s="112"/>
      <c r="AE952" s="112"/>
      <c r="AF952" s="112"/>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c r="BK952" s="124"/>
      <c r="BL952" s="124"/>
      <c r="BM952" s="124"/>
      <c r="BN952" s="124"/>
      <c r="BO952" s="124"/>
      <c r="BP952" s="124"/>
      <c r="BQ952" s="124"/>
      <c r="BR952" s="124"/>
      <c r="BS952" s="124"/>
      <c r="BT952" s="124"/>
      <c r="BU952" s="124"/>
      <c r="BV952" s="124"/>
      <c r="BW952" s="124"/>
      <c r="BX952" s="124"/>
      <c r="BY952" s="124"/>
      <c r="BZ952" s="124"/>
      <c r="CA952" s="124"/>
    </row>
    <row r="953">
      <c r="D953" s="143"/>
      <c r="E953" s="129"/>
      <c r="F953" s="112"/>
      <c r="G953" s="112"/>
      <c r="H953" s="112"/>
      <c r="I953" s="112"/>
      <c r="J953" s="112"/>
      <c r="K953" s="112"/>
      <c r="L953" s="112"/>
      <c r="M953" s="112"/>
      <c r="N953" s="112"/>
      <c r="O953" s="112"/>
      <c r="P953" s="112"/>
      <c r="Q953" s="112"/>
      <c r="R953" s="112"/>
      <c r="S953" s="112"/>
      <c r="T953" s="112"/>
      <c r="U953" s="124"/>
      <c r="V953" s="124"/>
      <c r="W953" s="124"/>
      <c r="X953" s="124"/>
      <c r="Y953" s="124"/>
      <c r="Z953" s="112"/>
      <c r="AA953" s="112"/>
      <c r="AB953" s="112"/>
      <c r="AC953" s="112"/>
      <c r="AD953" s="112"/>
      <c r="AE953" s="112"/>
      <c r="AF953" s="112"/>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c r="BK953" s="124"/>
      <c r="BL953" s="124"/>
      <c r="BM953" s="124"/>
      <c r="BN953" s="124"/>
      <c r="BO953" s="124"/>
      <c r="BP953" s="124"/>
      <c r="BQ953" s="124"/>
      <c r="BR953" s="124"/>
      <c r="BS953" s="124"/>
      <c r="BT953" s="124"/>
      <c r="BU953" s="124"/>
      <c r="BV953" s="124"/>
      <c r="BW953" s="124"/>
      <c r="BX953" s="124"/>
      <c r="BY953" s="124"/>
      <c r="BZ953" s="124"/>
      <c r="CA953" s="124"/>
    </row>
    <row r="954">
      <c r="D954" s="143"/>
      <c r="E954" s="129"/>
      <c r="F954" s="112"/>
      <c r="G954" s="112"/>
      <c r="H954" s="112"/>
      <c r="I954" s="112"/>
      <c r="J954" s="112"/>
      <c r="K954" s="112"/>
      <c r="L954" s="112"/>
      <c r="M954" s="112"/>
      <c r="N954" s="112"/>
      <c r="O954" s="112"/>
      <c r="P954" s="112"/>
      <c r="Q954" s="112"/>
      <c r="R954" s="112"/>
      <c r="S954" s="112"/>
      <c r="T954" s="112"/>
      <c r="U954" s="124"/>
      <c r="V954" s="124"/>
      <c r="W954" s="124"/>
      <c r="X954" s="124"/>
      <c r="Y954" s="124"/>
      <c r="Z954" s="112"/>
      <c r="AA954" s="112"/>
      <c r="AB954" s="112"/>
      <c r="AC954" s="112"/>
      <c r="AD954" s="112"/>
      <c r="AE954" s="112"/>
      <c r="AF954" s="112"/>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c r="BK954" s="124"/>
      <c r="BL954" s="124"/>
      <c r="BM954" s="124"/>
      <c r="BN954" s="124"/>
      <c r="BO954" s="124"/>
      <c r="BP954" s="124"/>
      <c r="BQ954" s="124"/>
      <c r="BR954" s="124"/>
      <c r="BS954" s="124"/>
      <c r="BT954" s="124"/>
      <c r="BU954" s="124"/>
      <c r="BV954" s="124"/>
      <c r="BW954" s="124"/>
      <c r="BX954" s="124"/>
      <c r="BY954" s="124"/>
      <c r="BZ954" s="124"/>
      <c r="CA954" s="124"/>
    </row>
    <row r="955">
      <c r="D955" s="143"/>
      <c r="E955" s="129"/>
      <c r="F955" s="112"/>
      <c r="G955" s="112"/>
      <c r="H955" s="112"/>
      <c r="I955" s="112"/>
      <c r="J955" s="112"/>
      <c r="K955" s="112"/>
      <c r="L955" s="112"/>
      <c r="M955" s="112"/>
      <c r="N955" s="112"/>
      <c r="O955" s="112"/>
      <c r="P955" s="112"/>
      <c r="Q955" s="112"/>
      <c r="R955" s="112"/>
      <c r="S955" s="112"/>
      <c r="T955" s="112"/>
      <c r="U955" s="124"/>
      <c r="V955" s="124"/>
      <c r="W955" s="124"/>
      <c r="X955" s="124"/>
      <c r="Y955" s="124"/>
      <c r="Z955" s="112"/>
      <c r="AA955" s="112"/>
      <c r="AB955" s="112"/>
      <c r="AC955" s="112"/>
      <c r="AD955" s="112"/>
      <c r="AE955" s="112"/>
      <c r="AF955" s="112"/>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c r="BK955" s="124"/>
      <c r="BL955" s="124"/>
      <c r="BM955" s="124"/>
      <c r="BN955" s="124"/>
      <c r="BO955" s="124"/>
      <c r="BP955" s="124"/>
      <c r="BQ955" s="124"/>
      <c r="BR955" s="124"/>
      <c r="BS955" s="124"/>
      <c r="BT955" s="124"/>
      <c r="BU955" s="124"/>
      <c r="BV955" s="124"/>
      <c r="BW955" s="124"/>
      <c r="BX955" s="124"/>
      <c r="BY955" s="124"/>
      <c r="BZ955" s="124"/>
      <c r="CA955" s="124"/>
    </row>
    <row r="956">
      <c r="D956" s="143"/>
      <c r="E956" s="129"/>
      <c r="F956" s="112"/>
      <c r="G956" s="112"/>
      <c r="H956" s="112"/>
      <c r="I956" s="112"/>
      <c r="J956" s="112"/>
      <c r="K956" s="112"/>
      <c r="L956" s="112"/>
      <c r="M956" s="112"/>
      <c r="N956" s="112"/>
      <c r="O956" s="112"/>
      <c r="P956" s="112"/>
      <c r="Q956" s="112"/>
      <c r="R956" s="112"/>
      <c r="S956" s="112"/>
      <c r="T956" s="112"/>
      <c r="U956" s="124"/>
      <c r="V956" s="124"/>
      <c r="W956" s="124"/>
      <c r="X956" s="124"/>
      <c r="Y956" s="124"/>
      <c r="Z956" s="112"/>
      <c r="AA956" s="112"/>
      <c r="AB956" s="112"/>
      <c r="AC956" s="112"/>
      <c r="AD956" s="112"/>
      <c r="AE956" s="112"/>
      <c r="AF956" s="112"/>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c r="BK956" s="124"/>
      <c r="BL956" s="124"/>
      <c r="BM956" s="124"/>
      <c r="BN956" s="124"/>
      <c r="BO956" s="124"/>
      <c r="BP956" s="124"/>
      <c r="BQ956" s="124"/>
      <c r="BR956" s="124"/>
      <c r="BS956" s="124"/>
      <c r="BT956" s="124"/>
      <c r="BU956" s="124"/>
      <c r="BV956" s="124"/>
      <c r="BW956" s="124"/>
      <c r="BX956" s="124"/>
      <c r="BY956" s="124"/>
      <c r="BZ956" s="124"/>
      <c r="CA956" s="124"/>
    </row>
    <row r="957">
      <c r="D957" s="143"/>
      <c r="E957" s="129"/>
      <c r="F957" s="112"/>
      <c r="G957" s="112"/>
      <c r="H957" s="112"/>
      <c r="I957" s="112"/>
      <c r="J957" s="112"/>
      <c r="K957" s="112"/>
      <c r="L957" s="112"/>
      <c r="M957" s="112"/>
      <c r="N957" s="112"/>
      <c r="O957" s="112"/>
      <c r="P957" s="112"/>
      <c r="Q957" s="112"/>
      <c r="R957" s="112"/>
      <c r="S957" s="112"/>
      <c r="T957" s="112"/>
      <c r="U957" s="124"/>
      <c r="V957" s="124"/>
      <c r="W957" s="124"/>
      <c r="X957" s="124"/>
      <c r="Y957" s="124"/>
      <c r="Z957" s="112"/>
      <c r="AA957" s="112"/>
      <c r="AB957" s="112"/>
      <c r="AC957" s="112"/>
      <c r="AD957" s="112"/>
      <c r="AE957" s="112"/>
      <c r="AF957" s="112"/>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c r="BK957" s="124"/>
      <c r="BL957" s="124"/>
      <c r="BM957" s="124"/>
      <c r="BN957" s="124"/>
      <c r="BO957" s="124"/>
      <c r="BP957" s="124"/>
      <c r="BQ957" s="124"/>
      <c r="BR957" s="124"/>
      <c r="BS957" s="124"/>
      <c r="BT957" s="124"/>
      <c r="BU957" s="124"/>
      <c r="BV957" s="124"/>
      <c r="BW957" s="124"/>
      <c r="BX957" s="124"/>
      <c r="BY957" s="124"/>
      <c r="BZ957" s="124"/>
      <c r="CA957" s="124"/>
    </row>
    <row r="958">
      <c r="D958" s="143"/>
      <c r="E958" s="129"/>
      <c r="F958" s="112"/>
      <c r="G958" s="112"/>
      <c r="H958" s="112"/>
      <c r="I958" s="112"/>
      <c r="J958" s="112"/>
      <c r="K958" s="112"/>
      <c r="L958" s="112"/>
      <c r="M958" s="112"/>
      <c r="N958" s="112"/>
      <c r="O958" s="112"/>
      <c r="P958" s="112"/>
      <c r="Q958" s="112"/>
      <c r="R958" s="112"/>
      <c r="S958" s="112"/>
      <c r="T958" s="112"/>
      <c r="U958" s="124"/>
      <c r="V958" s="124"/>
      <c r="W958" s="124"/>
      <c r="X958" s="124"/>
      <c r="Y958" s="124"/>
      <c r="Z958" s="112"/>
      <c r="AA958" s="112"/>
      <c r="AB958" s="112"/>
      <c r="AC958" s="112"/>
      <c r="AD958" s="112"/>
      <c r="AE958" s="112"/>
      <c r="AF958" s="112"/>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c r="BK958" s="124"/>
      <c r="BL958" s="124"/>
      <c r="BM958" s="124"/>
      <c r="BN958" s="124"/>
      <c r="BO958" s="124"/>
      <c r="BP958" s="124"/>
      <c r="BQ958" s="124"/>
      <c r="BR958" s="124"/>
      <c r="BS958" s="124"/>
      <c r="BT958" s="124"/>
      <c r="BU958" s="124"/>
      <c r="BV958" s="124"/>
      <c r="BW958" s="124"/>
      <c r="BX958" s="124"/>
      <c r="BY958" s="124"/>
      <c r="BZ958" s="124"/>
      <c r="CA958" s="124"/>
    </row>
    <row r="959">
      <c r="D959" s="143"/>
      <c r="E959" s="129"/>
      <c r="F959" s="112"/>
      <c r="G959" s="112"/>
      <c r="H959" s="112"/>
      <c r="I959" s="112"/>
      <c r="J959" s="112"/>
      <c r="K959" s="112"/>
      <c r="L959" s="112"/>
      <c r="M959" s="112"/>
      <c r="N959" s="112"/>
      <c r="O959" s="112"/>
      <c r="P959" s="112"/>
      <c r="Q959" s="112"/>
      <c r="R959" s="112"/>
      <c r="S959" s="112"/>
      <c r="T959" s="112"/>
      <c r="U959" s="124"/>
      <c r="V959" s="124"/>
      <c r="W959" s="124"/>
      <c r="X959" s="124"/>
      <c r="Y959" s="124"/>
      <c r="Z959" s="112"/>
      <c r="AA959" s="112"/>
      <c r="AB959" s="112"/>
      <c r="AC959" s="112"/>
      <c r="AD959" s="112"/>
      <c r="AE959" s="112"/>
      <c r="AF959" s="112"/>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c r="BK959" s="124"/>
      <c r="BL959" s="124"/>
      <c r="BM959" s="124"/>
      <c r="BN959" s="124"/>
      <c r="BO959" s="124"/>
      <c r="BP959" s="124"/>
      <c r="BQ959" s="124"/>
      <c r="BR959" s="124"/>
      <c r="BS959" s="124"/>
      <c r="BT959" s="124"/>
      <c r="BU959" s="124"/>
      <c r="BV959" s="124"/>
      <c r="BW959" s="124"/>
      <c r="BX959" s="124"/>
      <c r="BY959" s="124"/>
      <c r="BZ959" s="124"/>
      <c r="CA959" s="124"/>
    </row>
    <row r="960">
      <c r="D960" s="143"/>
      <c r="E960" s="129"/>
      <c r="F960" s="112"/>
      <c r="G960" s="112"/>
      <c r="H960" s="112"/>
      <c r="I960" s="112"/>
      <c r="J960" s="112"/>
      <c r="K960" s="112"/>
      <c r="L960" s="112"/>
      <c r="M960" s="112"/>
      <c r="N960" s="112"/>
      <c r="O960" s="112"/>
      <c r="P960" s="112"/>
      <c r="Q960" s="112"/>
      <c r="R960" s="112"/>
      <c r="S960" s="112"/>
      <c r="T960" s="112"/>
      <c r="U960" s="124"/>
      <c r="V960" s="124"/>
      <c r="W960" s="124"/>
      <c r="X960" s="124"/>
      <c r="Y960" s="124"/>
      <c r="Z960" s="112"/>
      <c r="AA960" s="112"/>
      <c r="AB960" s="112"/>
      <c r="AC960" s="112"/>
      <c r="AD960" s="112"/>
      <c r="AE960" s="112"/>
      <c r="AF960" s="112"/>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c r="BK960" s="124"/>
      <c r="BL960" s="124"/>
      <c r="BM960" s="124"/>
      <c r="BN960" s="124"/>
      <c r="BO960" s="124"/>
      <c r="BP960" s="124"/>
      <c r="BQ960" s="124"/>
      <c r="BR960" s="124"/>
      <c r="BS960" s="124"/>
      <c r="BT960" s="124"/>
      <c r="BU960" s="124"/>
      <c r="BV960" s="124"/>
      <c r="BW960" s="124"/>
      <c r="BX960" s="124"/>
      <c r="BY960" s="124"/>
      <c r="BZ960" s="124"/>
      <c r="CA960" s="124"/>
    </row>
    <row r="961">
      <c r="D961" s="143"/>
      <c r="E961" s="129"/>
      <c r="F961" s="112"/>
      <c r="G961" s="112"/>
      <c r="H961" s="112"/>
      <c r="I961" s="112"/>
      <c r="J961" s="112"/>
      <c r="K961" s="112"/>
      <c r="L961" s="112"/>
      <c r="M961" s="112"/>
      <c r="N961" s="112"/>
      <c r="O961" s="112"/>
      <c r="P961" s="112"/>
      <c r="Q961" s="112"/>
      <c r="R961" s="112"/>
      <c r="S961" s="112"/>
      <c r="T961" s="112"/>
      <c r="U961" s="124"/>
      <c r="V961" s="124"/>
      <c r="W961" s="124"/>
      <c r="X961" s="124"/>
      <c r="Y961" s="124"/>
      <c r="Z961" s="112"/>
      <c r="AA961" s="112"/>
      <c r="AB961" s="112"/>
      <c r="AC961" s="112"/>
      <c r="AD961" s="112"/>
      <c r="AE961" s="112"/>
      <c r="AF961" s="112"/>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c r="BK961" s="124"/>
      <c r="BL961" s="124"/>
      <c r="BM961" s="124"/>
      <c r="BN961" s="124"/>
      <c r="BO961" s="124"/>
      <c r="BP961" s="124"/>
      <c r="BQ961" s="124"/>
      <c r="BR961" s="124"/>
      <c r="BS961" s="124"/>
      <c r="BT961" s="124"/>
      <c r="BU961" s="124"/>
      <c r="BV961" s="124"/>
      <c r="BW961" s="124"/>
      <c r="BX961" s="124"/>
      <c r="BY961" s="124"/>
      <c r="BZ961" s="124"/>
      <c r="CA961" s="124"/>
    </row>
    <row r="962">
      <c r="D962" s="143"/>
      <c r="E962" s="129"/>
      <c r="F962" s="112"/>
      <c r="G962" s="112"/>
      <c r="H962" s="112"/>
      <c r="I962" s="112"/>
      <c r="J962" s="112"/>
      <c r="K962" s="112"/>
      <c r="L962" s="112"/>
      <c r="M962" s="112"/>
      <c r="N962" s="112"/>
      <c r="O962" s="112"/>
      <c r="P962" s="112"/>
      <c r="Q962" s="112"/>
      <c r="R962" s="112"/>
      <c r="S962" s="112"/>
      <c r="T962" s="112"/>
      <c r="U962" s="124"/>
      <c r="V962" s="124"/>
      <c r="W962" s="124"/>
      <c r="X962" s="124"/>
      <c r="Y962" s="124"/>
      <c r="Z962" s="112"/>
      <c r="AA962" s="112"/>
      <c r="AB962" s="112"/>
      <c r="AC962" s="112"/>
      <c r="AD962" s="112"/>
      <c r="AE962" s="112"/>
      <c r="AF962" s="112"/>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c r="BK962" s="124"/>
      <c r="BL962" s="124"/>
      <c r="BM962" s="124"/>
      <c r="BN962" s="124"/>
      <c r="BO962" s="124"/>
      <c r="BP962" s="124"/>
      <c r="BQ962" s="124"/>
      <c r="BR962" s="124"/>
      <c r="BS962" s="124"/>
      <c r="BT962" s="124"/>
      <c r="BU962" s="124"/>
      <c r="BV962" s="124"/>
      <c r="BW962" s="124"/>
      <c r="BX962" s="124"/>
      <c r="BY962" s="124"/>
      <c r="BZ962" s="124"/>
      <c r="CA962" s="124"/>
    </row>
    <row r="963">
      <c r="D963" s="143"/>
      <c r="E963" s="129"/>
      <c r="F963" s="112"/>
      <c r="G963" s="112"/>
      <c r="H963" s="112"/>
      <c r="I963" s="112"/>
      <c r="J963" s="112"/>
      <c r="K963" s="112"/>
      <c r="L963" s="112"/>
      <c r="M963" s="112"/>
      <c r="N963" s="112"/>
      <c r="O963" s="112"/>
      <c r="P963" s="112"/>
      <c r="Q963" s="112"/>
      <c r="R963" s="112"/>
      <c r="S963" s="112"/>
      <c r="T963" s="112"/>
      <c r="U963" s="124"/>
      <c r="V963" s="124"/>
      <c r="W963" s="124"/>
      <c r="X963" s="124"/>
      <c r="Y963" s="124"/>
      <c r="Z963" s="112"/>
      <c r="AA963" s="112"/>
      <c r="AB963" s="112"/>
      <c r="AC963" s="112"/>
      <c r="AD963" s="112"/>
      <c r="AE963" s="112"/>
      <c r="AF963" s="112"/>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c r="BK963" s="124"/>
      <c r="BL963" s="124"/>
      <c r="BM963" s="124"/>
      <c r="BN963" s="124"/>
      <c r="BO963" s="124"/>
      <c r="BP963" s="124"/>
      <c r="BQ963" s="124"/>
      <c r="BR963" s="124"/>
      <c r="BS963" s="124"/>
      <c r="BT963" s="124"/>
      <c r="BU963" s="124"/>
      <c r="BV963" s="124"/>
      <c r="BW963" s="124"/>
      <c r="BX963" s="124"/>
      <c r="BY963" s="124"/>
      <c r="BZ963" s="124"/>
      <c r="CA963" s="124"/>
    </row>
    <row r="964">
      <c r="D964" s="143"/>
      <c r="E964" s="129"/>
      <c r="F964" s="112"/>
      <c r="G964" s="112"/>
      <c r="H964" s="112"/>
      <c r="I964" s="112"/>
      <c r="J964" s="112"/>
      <c r="K964" s="112"/>
      <c r="L964" s="112"/>
      <c r="M964" s="112"/>
      <c r="N964" s="112"/>
      <c r="O964" s="112"/>
      <c r="P964" s="112"/>
      <c r="Q964" s="112"/>
      <c r="R964" s="112"/>
      <c r="S964" s="112"/>
      <c r="T964" s="112"/>
      <c r="U964" s="124"/>
      <c r="V964" s="124"/>
      <c r="W964" s="124"/>
      <c r="X964" s="124"/>
      <c r="Y964" s="124"/>
      <c r="Z964" s="112"/>
      <c r="AA964" s="112"/>
      <c r="AB964" s="112"/>
      <c r="AC964" s="112"/>
      <c r="AD964" s="112"/>
      <c r="AE964" s="112"/>
      <c r="AF964" s="112"/>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c r="BK964" s="124"/>
      <c r="BL964" s="124"/>
      <c r="BM964" s="124"/>
      <c r="BN964" s="124"/>
      <c r="BO964" s="124"/>
      <c r="BP964" s="124"/>
      <c r="BQ964" s="124"/>
      <c r="BR964" s="124"/>
      <c r="BS964" s="124"/>
      <c r="BT964" s="124"/>
      <c r="BU964" s="124"/>
      <c r="BV964" s="124"/>
      <c r="BW964" s="124"/>
      <c r="BX964" s="124"/>
      <c r="BY964" s="124"/>
      <c r="BZ964" s="124"/>
      <c r="CA964" s="124"/>
    </row>
    <row r="965">
      <c r="D965" s="143"/>
      <c r="E965" s="129"/>
      <c r="F965" s="112"/>
      <c r="G965" s="112"/>
      <c r="H965" s="112"/>
      <c r="I965" s="112"/>
      <c r="J965" s="112"/>
      <c r="K965" s="112"/>
      <c r="L965" s="112"/>
      <c r="M965" s="112"/>
      <c r="N965" s="112"/>
      <c r="O965" s="112"/>
      <c r="P965" s="112"/>
      <c r="Q965" s="112"/>
      <c r="R965" s="112"/>
      <c r="S965" s="112"/>
      <c r="T965" s="112"/>
      <c r="U965" s="124"/>
      <c r="V965" s="124"/>
      <c r="W965" s="124"/>
      <c r="X965" s="124"/>
      <c r="Y965" s="124"/>
      <c r="Z965" s="112"/>
      <c r="AA965" s="112"/>
      <c r="AB965" s="112"/>
      <c r="AC965" s="112"/>
      <c r="AD965" s="112"/>
      <c r="AE965" s="112"/>
      <c r="AF965" s="112"/>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c r="BK965" s="124"/>
      <c r="BL965" s="124"/>
      <c r="BM965" s="124"/>
      <c r="BN965" s="124"/>
      <c r="BO965" s="124"/>
      <c r="BP965" s="124"/>
      <c r="BQ965" s="124"/>
      <c r="BR965" s="124"/>
      <c r="BS965" s="124"/>
      <c r="BT965" s="124"/>
      <c r="BU965" s="124"/>
      <c r="BV965" s="124"/>
      <c r="BW965" s="124"/>
      <c r="BX965" s="124"/>
      <c r="BY965" s="124"/>
      <c r="BZ965" s="124"/>
      <c r="CA965" s="124"/>
    </row>
    <row r="966">
      <c r="D966" s="143"/>
      <c r="E966" s="129"/>
      <c r="F966" s="112"/>
      <c r="G966" s="112"/>
      <c r="H966" s="112"/>
      <c r="I966" s="112"/>
      <c r="J966" s="112"/>
      <c r="K966" s="112"/>
      <c r="L966" s="112"/>
      <c r="M966" s="112"/>
      <c r="N966" s="112"/>
      <c r="O966" s="112"/>
      <c r="P966" s="112"/>
      <c r="Q966" s="112"/>
      <c r="R966" s="112"/>
      <c r="S966" s="112"/>
      <c r="T966" s="112"/>
      <c r="U966" s="124"/>
      <c r="V966" s="124"/>
      <c r="W966" s="124"/>
      <c r="X966" s="124"/>
      <c r="Y966" s="124"/>
      <c r="Z966" s="112"/>
      <c r="AA966" s="112"/>
      <c r="AB966" s="112"/>
      <c r="AC966" s="112"/>
      <c r="AD966" s="112"/>
      <c r="AE966" s="112"/>
      <c r="AF966" s="112"/>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c r="BK966" s="124"/>
      <c r="BL966" s="124"/>
      <c r="BM966" s="124"/>
      <c r="BN966" s="124"/>
      <c r="BO966" s="124"/>
      <c r="BP966" s="124"/>
      <c r="BQ966" s="124"/>
      <c r="BR966" s="124"/>
      <c r="BS966" s="124"/>
      <c r="BT966" s="124"/>
      <c r="BU966" s="124"/>
      <c r="BV966" s="124"/>
      <c r="BW966" s="124"/>
      <c r="BX966" s="124"/>
      <c r="BY966" s="124"/>
      <c r="BZ966" s="124"/>
      <c r="CA966" s="124"/>
    </row>
    <row r="967">
      <c r="D967" s="143"/>
      <c r="E967" s="129"/>
      <c r="F967" s="112"/>
      <c r="G967" s="112"/>
      <c r="H967" s="112"/>
      <c r="I967" s="112"/>
      <c r="J967" s="112"/>
      <c r="K967" s="112"/>
      <c r="L967" s="112"/>
      <c r="M967" s="112"/>
      <c r="N967" s="112"/>
      <c r="O967" s="112"/>
      <c r="P967" s="112"/>
      <c r="Q967" s="112"/>
      <c r="R967" s="112"/>
      <c r="S967" s="112"/>
      <c r="T967" s="112"/>
      <c r="U967" s="124"/>
      <c r="V967" s="124"/>
      <c r="W967" s="124"/>
      <c r="X967" s="124"/>
      <c r="Y967" s="124"/>
      <c r="Z967" s="112"/>
      <c r="AA967" s="112"/>
      <c r="AB967" s="112"/>
      <c r="AC967" s="112"/>
      <c r="AD967" s="112"/>
      <c r="AE967" s="112"/>
      <c r="AF967" s="112"/>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c r="BK967" s="124"/>
      <c r="BL967" s="124"/>
      <c r="BM967" s="124"/>
      <c r="BN967" s="124"/>
      <c r="BO967" s="124"/>
      <c r="BP967" s="124"/>
      <c r="BQ967" s="124"/>
      <c r="BR967" s="124"/>
      <c r="BS967" s="124"/>
      <c r="BT967" s="124"/>
      <c r="BU967" s="124"/>
      <c r="BV967" s="124"/>
      <c r="BW967" s="124"/>
      <c r="BX967" s="124"/>
      <c r="BY967" s="124"/>
      <c r="BZ967" s="124"/>
      <c r="CA967" s="124"/>
    </row>
    <row r="968">
      <c r="D968" s="143"/>
      <c r="E968" s="129"/>
      <c r="F968" s="112"/>
      <c r="G968" s="112"/>
      <c r="H968" s="112"/>
      <c r="I968" s="112"/>
      <c r="J968" s="112"/>
      <c r="K968" s="112"/>
      <c r="L968" s="112"/>
      <c r="M968" s="112"/>
      <c r="N968" s="112"/>
      <c r="O968" s="112"/>
      <c r="P968" s="112"/>
      <c r="Q968" s="112"/>
      <c r="R968" s="112"/>
      <c r="S968" s="112"/>
      <c r="T968" s="112"/>
      <c r="U968" s="124"/>
      <c r="V968" s="124"/>
      <c r="W968" s="124"/>
      <c r="X968" s="124"/>
      <c r="Y968" s="124"/>
      <c r="Z968" s="112"/>
      <c r="AA968" s="112"/>
      <c r="AB968" s="112"/>
      <c r="AC968" s="112"/>
      <c r="AD968" s="112"/>
      <c r="AE968" s="112"/>
      <c r="AF968" s="112"/>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c r="BK968" s="124"/>
      <c r="BL968" s="124"/>
      <c r="BM968" s="124"/>
      <c r="BN968" s="124"/>
      <c r="BO968" s="124"/>
      <c r="BP968" s="124"/>
      <c r="BQ968" s="124"/>
      <c r="BR968" s="124"/>
      <c r="BS968" s="124"/>
      <c r="BT968" s="124"/>
      <c r="BU968" s="124"/>
      <c r="BV968" s="124"/>
      <c r="BW968" s="124"/>
      <c r="BX968" s="124"/>
      <c r="BY968" s="124"/>
      <c r="BZ968" s="124"/>
      <c r="CA968" s="124"/>
    </row>
    <row r="969">
      <c r="D969" s="143"/>
      <c r="E969" s="129"/>
      <c r="F969" s="112"/>
      <c r="G969" s="112"/>
      <c r="H969" s="112"/>
      <c r="I969" s="112"/>
      <c r="J969" s="112"/>
      <c r="K969" s="112"/>
      <c r="L969" s="112"/>
      <c r="M969" s="112"/>
      <c r="N969" s="112"/>
      <c r="O969" s="112"/>
      <c r="P969" s="112"/>
      <c r="Q969" s="112"/>
      <c r="R969" s="112"/>
      <c r="S969" s="112"/>
      <c r="T969" s="112"/>
      <c r="U969" s="124"/>
      <c r="V969" s="124"/>
      <c r="W969" s="124"/>
      <c r="X969" s="124"/>
      <c r="Y969" s="124"/>
      <c r="Z969" s="112"/>
      <c r="AA969" s="112"/>
      <c r="AB969" s="112"/>
      <c r="AC969" s="112"/>
      <c r="AD969" s="112"/>
      <c r="AE969" s="112"/>
      <c r="AF969" s="112"/>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c r="BK969" s="124"/>
      <c r="BL969" s="124"/>
      <c r="BM969" s="124"/>
      <c r="BN969" s="124"/>
      <c r="BO969" s="124"/>
      <c r="BP969" s="124"/>
      <c r="BQ969" s="124"/>
      <c r="BR969" s="124"/>
      <c r="BS969" s="124"/>
      <c r="BT969" s="124"/>
      <c r="BU969" s="124"/>
      <c r="BV969" s="124"/>
      <c r="BW969" s="124"/>
      <c r="BX969" s="124"/>
      <c r="BY969" s="124"/>
      <c r="BZ969" s="124"/>
      <c r="CA969" s="124"/>
    </row>
    <row r="970">
      <c r="D970" s="143"/>
      <c r="E970" s="129"/>
      <c r="F970" s="112"/>
      <c r="G970" s="112"/>
      <c r="H970" s="112"/>
      <c r="I970" s="112"/>
      <c r="J970" s="112"/>
      <c r="K970" s="112"/>
      <c r="L970" s="112"/>
      <c r="M970" s="112"/>
      <c r="N970" s="112"/>
      <c r="O970" s="112"/>
      <c r="P970" s="112"/>
      <c r="Q970" s="112"/>
      <c r="R970" s="112"/>
      <c r="S970" s="112"/>
      <c r="T970" s="112"/>
      <c r="U970" s="124"/>
      <c r="V970" s="124"/>
      <c r="W970" s="124"/>
      <c r="X970" s="124"/>
      <c r="Y970" s="124"/>
      <c r="Z970" s="112"/>
      <c r="AA970" s="112"/>
      <c r="AB970" s="112"/>
      <c r="AC970" s="112"/>
      <c r="AD970" s="112"/>
      <c r="AE970" s="112"/>
      <c r="AF970" s="112"/>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c r="BK970" s="124"/>
      <c r="BL970" s="124"/>
      <c r="BM970" s="124"/>
      <c r="BN970" s="124"/>
      <c r="BO970" s="124"/>
      <c r="BP970" s="124"/>
      <c r="BQ970" s="124"/>
      <c r="BR970" s="124"/>
      <c r="BS970" s="124"/>
      <c r="BT970" s="124"/>
      <c r="BU970" s="124"/>
      <c r="BV970" s="124"/>
      <c r="BW970" s="124"/>
      <c r="BX970" s="124"/>
      <c r="BY970" s="124"/>
      <c r="BZ970" s="124"/>
      <c r="CA970" s="124"/>
    </row>
    <row r="971">
      <c r="D971" s="143"/>
      <c r="E971" s="129"/>
      <c r="F971" s="112"/>
      <c r="G971" s="112"/>
      <c r="H971" s="112"/>
      <c r="I971" s="112"/>
      <c r="J971" s="112"/>
      <c r="K971" s="112"/>
      <c r="L971" s="112"/>
      <c r="M971" s="112"/>
      <c r="N971" s="112"/>
      <c r="O971" s="112"/>
      <c r="P971" s="112"/>
      <c r="Q971" s="112"/>
      <c r="R971" s="112"/>
      <c r="S971" s="112"/>
      <c r="T971" s="112"/>
      <c r="U971" s="124"/>
      <c r="V971" s="124"/>
      <c r="W971" s="124"/>
      <c r="X971" s="124"/>
      <c r="Y971" s="124"/>
      <c r="Z971" s="112"/>
      <c r="AA971" s="112"/>
      <c r="AB971" s="112"/>
      <c r="AC971" s="112"/>
      <c r="AD971" s="112"/>
      <c r="AE971" s="112"/>
      <c r="AF971" s="112"/>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c r="BK971" s="124"/>
      <c r="BL971" s="124"/>
      <c r="BM971" s="124"/>
      <c r="BN971" s="124"/>
      <c r="BO971" s="124"/>
      <c r="BP971" s="124"/>
      <c r="BQ971" s="124"/>
      <c r="BR971" s="124"/>
      <c r="BS971" s="124"/>
      <c r="BT971" s="124"/>
      <c r="BU971" s="124"/>
      <c r="BV971" s="124"/>
      <c r="BW971" s="124"/>
      <c r="BX971" s="124"/>
      <c r="BY971" s="124"/>
      <c r="BZ971" s="124"/>
      <c r="CA971" s="124"/>
    </row>
    <row r="972">
      <c r="D972" s="143"/>
      <c r="E972" s="129"/>
      <c r="F972" s="112"/>
      <c r="G972" s="112"/>
      <c r="H972" s="112"/>
      <c r="I972" s="112"/>
      <c r="J972" s="112"/>
      <c r="K972" s="112"/>
      <c r="L972" s="112"/>
      <c r="M972" s="112"/>
      <c r="N972" s="112"/>
      <c r="O972" s="112"/>
      <c r="P972" s="112"/>
      <c r="Q972" s="112"/>
      <c r="R972" s="112"/>
      <c r="S972" s="112"/>
      <c r="T972" s="112"/>
      <c r="U972" s="124"/>
      <c r="V972" s="124"/>
      <c r="W972" s="124"/>
      <c r="X972" s="124"/>
      <c r="Y972" s="124"/>
      <c r="Z972" s="112"/>
      <c r="AA972" s="112"/>
      <c r="AB972" s="112"/>
      <c r="AC972" s="112"/>
      <c r="AD972" s="112"/>
      <c r="AE972" s="112"/>
      <c r="AF972" s="112"/>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c r="BK972" s="124"/>
      <c r="BL972" s="124"/>
      <c r="BM972" s="124"/>
      <c r="BN972" s="124"/>
      <c r="BO972" s="124"/>
      <c r="BP972" s="124"/>
      <c r="BQ972" s="124"/>
      <c r="BR972" s="124"/>
      <c r="BS972" s="124"/>
      <c r="BT972" s="124"/>
      <c r="BU972" s="124"/>
      <c r="BV972" s="124"/>
      <c r="BW972" s="124"/>
      <c r="BX972" s="124"/>
      <c r="BY972" s="124"/>
      <c r="BZ972" s="124"/>
      <c r="CA972" s="124"/>
    </row>
    <row r="973">
      <c r="D973" s="143"/>
      <c r="E973" s="129"/>
      <c r="F973" s="112"/>
      <c r="G973" s="112"/>
      <c r="H973" s="112"/>
      <c r="I973" s="112"/>
      <c r="J973" s="112"/>
      <c r="K973" s="112"/>
      <c r="L973" s="112"/>
      <c r="M973" s="112"/>
      <c r="N973" s="112"/>
      <c r="O973" s="112"/>
      <c r="P973" s="112"/>
      <c r="Q973" s="112"/>
      <c r="R973" s="112"/>
      <c r="S973" s="112"/>
      <c r="T973" s="112"/>
      <c r="U973" s="124"/>
      <c r="V973" s="124"/>
      <c r="W973" s="124"/>
      <c r="X973" s="124"/>
      <c r="Y973" s="124"/>
      <c r="Z973" s="112"/>
      <c r="AA973" s="112"/>
      <c r="AB973" s="112"/>
      <c r="AC973" s="112"/>
      <c r="AD973" s="112"/>
      <c r="AE973" s="112"/>
      <c r="AF973" s="112"/>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c r="BK973" s="124"/>
      <c r="BL973" s="124"/>
      <c r="BM973" s="124"/>
      <c r="BN973" s="124"/>
      <c r="BO973" s="124"/>
      <c r="BP973" s="124"/>
      <c r="BQ973" s="124"/>
      <c r="BR973" s="124"/>
      <c r="BS973" s="124"/>
      <c r="BT973" s="124"/>
      <c r="BU973" s="124"/>
      <c r="BV973" s="124"/>
      <c r="BW973" s="124"/>
      <c r="BX973" s="124"/>
      <c r="BY973" s="124"/>
      <c r="BZ973" s="124"/>
      <c r="CA973" s="124"/>
    </row>
    <row r="974">
      <c r="D974" s="143"/>
      <c r="E974" s="129"/>
      <c r="F974" s="112"/>
      <c r="G974" s="112"/>
      <c r="H974" s="112"/>
      <c r="I974" s="112"/>
      <c r="J974" s="112"/>
      <c r="K974" s="112"/>
      <c r="L974" s="112"/>
      <c r="M974" s="112"/>
      <c r="N974" s="112"/>
      <c r="O974" s="112"/>
      <c r="P974" s="112"/>
      <c r="Q974" s="112"/>
      <c r="R974" s="112"/>
      <c r="S974" s="112"/>
      <c r="T974" s="112"/>
      <c r="U974" s="124"/>
      <c r="V974" s="124"/>
      <c r="W974" s="124"/>
      <c r="X974" s="124"/>
      <c r="Y974" s="124"/>
      <c r="Z974" s="112"/>
      <c r="AA974" s="112"/>
      <c r="AB974" s="112"/>
      <c r="AC974" s="112"/>
      <c r="AD974" s="112"/>
      <c r="AE974" s="112"/>
      <c r="AF974" s="112"/>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c r="BK974" s="124"/>
      <c r="BL974" s="124"/>
      <c r="BM974" s="124"/>
      <c r="BN974" s="124"/>
      <c r="BO974" s="124"/>
      <c r="BP974" s="124"/>
      <c r="BQ974" s="124"/>
      <c r="BR974" s="124"/>
      <c r="BS974" s="124"/>
      <c r="BT974" s="124"/>
      <c r="BU974" s="124"/>
      <c r="BV974" s="124"/>
      <c r="BW974" s="124"/>
      <c r="BX974" s="124"/>
      <c r="BY974" s="124"/>
      <c r="BZ974" s="124"/>
      <c r="CA974" s="124"/>
    </row>
    <row r="975">
      <c r="D975" s="143"/>
      <c r="E975" s="129"/>
      <c r="F975" s="112"/>
      <c r="G975" s="112"/>
      <c r="H975" s="112"/>
      <c r="I975" s="112"/>
      <c r="J975" s="112"/>
      <c r="K975" s="112"/>
      <c r="L975" s="112"/>
      <c r="M975" s="112"/>
      <c r="N975" s="112"/>
      <c r="O975" s="112"/>
      <c r="P975" s="112"/>
      <c r="Q975" s="112"/>
      <c r="R975" s="112"/>
      <c r="S975" s="112"/>
      <c r="T975" s="112"/>
      <c r="U975" s="124"/>
      <c r="V975" s="124"/>
      <c r="W975" s="124"/>
      <c r="X975" s="124"/>
      <c r="Y975" s="124"/>
      <c r="Z975" s="112"/>
      <c r="AA975" s="112"/>
      <c r="AB975" s="112"/>
      <c r="AC975" s="112"/>
      <c r="AD975" s="112"/>
      <c r="AE975" s="112"/>
      <c r="AF975" s="112"/>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c r="BK975" s="124"/>
      <c r="BL975" s="124"/>
      <c r="BM975" s="124"/>
      <c r="BN975" s="124"/>
      <c r="BO975" s="124"/>
      <c r="BP975" s="124"/>
      <c r="BQ975" s="124"/>
      <c r="BR975" s="124"/>
      <c r="BS975" s="124"/>
      <c r="BT975" s="124"/>
      <c r="BU975" s="124"/>
      <c r="BV975" s="124"/>
      <c r="BW975" s="124"/>
      <c r="BX975" s="124"/>
      <c r="BY975" s="124"/>
      <c r="BZ975" s="124"/>
      <c r="CA975" s="124"/>
    </row>
    <row r="976">
      <c r="D976" s="143"/>
      <c r="E976" s="129"/>
      <c r="F976" s="112"/>
      <c r="G976" s="112"/>
      <c r="H976" s="112"/>
      <c r="I976" s="112"/>
      <c r="J976" s="112"/>
      <c r="K976" s="112"/>
      <c r="L976" s="112"/>
      <c r="M976" s="112"/>
      <c r="N976" s="112"/>
      <c r="O976" s="112"/>
      <c r="P976" s="112"/>
      <c r="Q976" s="112"/>
      <c r="R976" s="112"/>
      <c r="S976" s="112"/>
      <c r="T976" s="112"/>
      <c r="U976" s="124"/>
      <c r="V976" s="124"/>
      <c r="W976" s="124"/>
      <c r="X976" s="124"/>
      <c r="Y976" s="124"/>
      <c r="Z976" s="112"/>
      <c r="AA976" s="112"/>
      <c r="AB976" s="112"/>
      <c r="AC976" s="112"/>
      <c r="AD976" s="112"/>
      <c r="AE976" s="112"/>
      <c r="AF976" s="112"/>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c r="BK976" s="124"/>
      <c r="BL976" s="124"/>
      <c r="BM976" s="124"/>
      <c r="BN976" s="124"/>
      <c r="BO976" s="124"/>
      <c r="BP976" s="124"/>
      <c r="BQ976" s="124"/>
      <c r="BR976" s="124"/>
      <c r="BS976" s="124"/>
      <c r="BT976" s="124"/>
      <c r="BU976" s="124"/>
      <c r="BV976" s="124"/>
      <c r="BW976" s="124"/>
      <c r="BX976" s="124"/>
      <c r="BY976" s="124"/>
      <c r="BZ976" s="124"/>
      <c r="CA976" s="124"/>
    </row>
    <row r="977">
      <c r="D977" s="143"/>
      <c r="E977" s="129"/>
      <c r="F977" s="112"/>
      <c r="G977" s="112"/>
      <c r="H977" s="112"/>
      <c r="I977" s="112"/>
      <c r="J977" s="112"/>
      <c r="K977" s="112"/>
      <c r="L977" s="112"/>
      <c r="M977" s="112"/>
      <c r="N977" s="112"/>
      <c r="O977" s="112"/>
      <c r="P977" s="112"/>
      <c r="Q977" s="112"/>
      <c r="R977" s="112"/>
      <c r="S977" s="112"/>
      <c r="T977" s="112"/>
      <c r="U977" s="124"/>
      <c r="V977" s="124"/>
      <c r="W977" s="124"/>
      <c r="X977" s="124"/>
      <c r="Y977" s="124"/>
      <c r="Z977" s="112"/>
      <c r="AA977" s="112"/>
      <c r="AB977" s="112"/>
      <c r="AC977" s="112"/>
      <c r="AD977" s="112"/>
      <c r="AE977" s="112"/>
      <c r="AF977" s="112"/>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c r="BK977" s="124"/>
      <c r="BL977" s="124"/>
      <c r="BM977" s="124"/>
      <c r="BN977" s="124"/>
      <c r="BO977" s="124"/>
      <c r="BP977" s="124"/>
      <c r="BQ977" s="124"/>
      <c r="BR977" s="124"/>
      <c r="BS977" s="124"/>
      <c r="BT977" s="124"/>
      <c r="BU977" s="124"/>
      <c r="BV977" s="124"/>
      <c r="BW977" s="124"/>
      <c r="BX977" s="124"/>
      <c r="BY977" s="124"/>
      <c r="BZ977" s="124"/>
      <c r="CA977" s="124"/>
    </row>
    <row r="978">
      <c r="D978" s="143"/>
      <c r="E978" s="129"/>
      <c r="F978" s="112"/>
      <c r="G978" s="112"/>
      <c r="H978" s="112"/>
      <c r="I978" s="112"/>
      <c r="J978" s="112"/>
      <c r="K978" s="112"/>
      <c r="L978" s="112"/>
      <c r="M978" s="112"/>
      <c r="N978" s="112"/>
      <c r="O978" s="112"/>
      <c r="P978" s="112"/>
      <c r="Q978" s="112"/>
      <c r="R978" s="112"/>
      <c r="S978" s="112"/>
      <c r="T978" s="112"/>
      <c r="U978" s="124"/>
      <c r="V978" s="124"/>
      <c r="W978" s="124"/>
      <c r="X978" s="124"/>
      <c r="Y978" s="124"/>
      <c r="Z978" s="112"/>
      <c r="AA978" s="112"/>
      <c r="AB978" s="112"/>
      <c r="AC978" s="112"/>
      <c r="AD978" s="112"/>
      <c r="AE978" s="112"/>
      <c r="AF978" s="112"/>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c r="BK978" s="124"/>
      <c r="BL978" s="124"/>
      <c r="BM978" s="124"/>
      <c r="BN978" s="124"/>
      <c r="BO978" s="124"/>
      <c r="BP978" s="124"/>
      <c r="BQ978" s="124"/>
      <c r="BR978" s="124"/>
      <c r="BS978" s="124"/>
      <c r="BT978" s="124"/>
      <c r="BU978" s="124"/>
      <c r="BV978" s="124"/>
      <c r="BW978" s="124"/>
      <c r="BX978" s="124"/>
      <c r="BY978" s="124"/>
      <c r="BZ978" s="124"/>
      <c r="CA978" s="124"/>
    </row>
    <row r="979">
      <c r="D979" s="143"/>
      <c r="E979" s="129"/>
      <c r="F979" s="112"/>
      <c r="G979" s="112"/>
      <c r="H979" s="112"/>
      <c r="I979" s="112"/>
      <c r="J979" s="112"/>
      <c r="K979" s="112"/>
      <c r="L979" s="112"/>
      <c r="M979" s="112"/>
      <c r="N979" s="112"/>
      <c r="O979" s="112"/>
      <c r="P979" s="112"/>
      <c r="Q979" s="112"/>
      <c r="R979" s="112"/>
      <c r="S979" s="112"/>
      <c r="T979" s="112"/>
      <c r="U979" s="124"/>
      <c r="V979" s="124"/>
      <c r="W979" s="124"/>
      <c r="X979" s="124"/>
      <c r="Y979" s="124"/>
      <c r="Z979" s="112"/>
      <c r="AA979" s="112"/>
      <c r="AB979" s="112"/>
      <c r="AC979" s="112"/>
      <c r="AD979" s="112"/>
      <c r="AE979" s="112"/>
      <c r="AF979" s="112"/>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c r="BK979" s="124"/>
      <c r="BL979" s="124"/>
      <c r="BM979" s="124"/>
      <c r="BN979" s="124"/>
      <c r="BO979" s="124"/>
      <c r="BP979" s="124"/>
      <c r="BQ979" s="124"/>
      <c r="BR979" s="124"/>
      <c r="BS979" s="124"/>
      <c r="BT979" s="124"/>
      <c r="BU979" s="124"/>
      <c r="BV979" s="124"/>
      <c r="BW979" s="124"/>
      <c r="BX979" s="124"/>
      <c r="BY979" s="124"/>
      <c r="BZ979" s="124"/>
      <c r="CA979" s="124"/>
    </row>
    <row r="980">
      <c r="D980" s="143"/>
      <c r="E980" s="129"/>
      <c r="F980" s="112"/>
      <c r="G980" s="112"/>
      <c r="H980" s="112"/>
      <c r="I980" s="112"/>
      <c r="J980" s="112"/>
      <c r="K980" s="112"/>
      <c r="L980" s="112"/>
      <c r="M980" s="112"/>
      <c r="N980" s="112"/>
      <c r="O980" s="112"/>
      <c r="P980" s="112"/>
      <c r="Q980" s="112"/>
      <c r="R980" s="112"/>
      <c r="S980" s="112"/>
      <c r="T980" s="112"/>
      <c r="U980" s="124"/>
      <c r="V980" s="124"/>
      <c r="W980" s="124"/>
      <c r="X980" s="124"/>
      <c r="Y980" s="124"/>
      <c r="Z980" s="112"/>
      <c r="AA980" s="112"/>
      <c r="AB980" s="112"/>
      <c r="AC980" s="112"/>
      <c r="AD980" s="112"/>
      <c r="AE980" s="112"/>
      <c r="AF980" s="112"/>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c r="BK980" s="124"/>
      <c r="BL980" s="124"/>
      <c r="BM980" s="124"/>
      <c r="BN980" s="124"/>
      <c r="BO980" s="124"/>
      <c r="BP980" s="124"/>
      <c r="BQ980" s="124"/>
      <c r="BR980" s="124"/>
      <c r="BS980" s="124"/>
      <c r="BT980" s="124"/>
      <c r="BU980" s="124"/>
      <c r="BV980" s="124"/>
      <c r="BW980" s="124"/>
      <c r="BX980" s="124"/>
      <c r="BY980" s="124"/>
      <c r="BZ980" s="124"/>
      <c r="CA980" s="124"/>
    </row>
    <row r="981">
      <c r="D981" s="143"/>
      <c r="E981" s="129"/>
      <c r="F981" s="112"/>
      <c r="G981" s="112"/>
      <c r="H981" s="112"/>
      <c r="I981" s="112"/>
      <c r="J981" s="112"/>
      <c r="K981" s="112"/>
      <c r="L981" s="112"/>
      <c r="M981" s="112"/>
      <c r="N981" s="112"/>
      <c r="O981" s="112"/>
      <c r="P981" s="112"/>
      <c r="Q981" s="112"/>
      <c r="R981" s="112"/>
      <c r="S981" s="112"/>
      <c r="T981" s="112"/>
      <c r="U981" s="124"/>
      <c r="V981" s="124"/>
      <c r="W981" s="124"/>
      <c r="X981" s="124"/>
      <c r="Y981" s="124"/>
      <c r="Z981" s="112"/>
      <c r="AA981" s="112"/>
      <c r="AB981" s="112"/>
      <c r="AC981" s="112"/>
      <c r="AD981" s="112"/>
      <c r="AE981" s="112"/>
      <c r="AF981" s="112"/>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c r="BK981" s="124"/>
      <c r="BL981" s="124"/>
      <c r="BM981" s="124"/>
      <c r="BN981" s="124"/>
      <c r="BO981" s="124"/>
      <c r="BP981" s="124"/>
      <c r="BQ981" s="124"/>
      <c r="BR981" s="124"/>
      <c r="BS981" s="124"/>
      <c r="BT981" s="124"/>
      <c r="BU981" s="124"/>
      <c r="BV981" s="124"/>
      <c r="BW981" s="124"/>
      <c r="BX981" s="124"/>
      <c r="BY981" s="124"/>
      <c r="BZ981" s="124"/>
      <c r="CA981" s="124"/>
    </row>
    <row r="982">
      <c r="D982" s="143"/>
      <c r="E982" s="129"/>
      <c r="F982" s="112"/>
      <c r="G982" s="112"/>
      <c r="H982" s="112"/>
      <c r="I982" s="112"/>
      <c r="J982" s="112"/>
      <c r="K982" s="112"/>
      <c r="L982" s="112"/>
      <c r="M982" s="112"/>
      <c r="N982" s="112"/>
      <c r="O982" s="112"/>
      <c r="P982" s="112"/>
      <c r="Q982" s="112"/>
      <c r="R982" s="112"/>
      <c r="S982" s="112"/>
      <c r="T982" s="112"/>
      <c r="U982" s="124"/>
      <c r="V982" s="124"/>
      <c r="W982" s="124"/>
      <c r="X982" s="124"/>
      <c r="Y982" s="124"/>
      <c r="Z982" s="112"/>
      <c r="AA982" s="112"/>
      <c r="AB982" s="112"/>
      <c r="AC982" s="112"/>
      <c r="AD982" s="112"/>
      <c r="AE982" s="112"/>
      <c r="AF982" s="112"/>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c r="BK982" s="124"/>
      <c r="BL982" s="124"/>
      <c r="BM982" s="124"/>
      <c r="BN982" s="124"/>
      <c r="BO982" s="124"/>
      <c r="BP982" s="124"/>
      <c r="BQ982" s="124"/>
      <c r="BR982" s="124"/>
      <c r="BS982" s="124"/>
      <c r="BT982" s="124"/>
      <c r="BU982" s="124"/>
      <c r="BV982" s="124"/>
      <c r="BW982" s="124"/>
      <c r="BX982" s="124"/>
      <c r="BY982" s="124"/>
      <c r="BZ982" s="124"/>
      <c r="CA982" s="124"/>
    </row>
    <row r="983">
      <c r="D983" s="143"/>
      <c r="E983" s="129"/>
      <c r="F983" s="112"/>
      <c r="G983" s="112"/>
      <c r="H983" s="112"/>
      <c r="I983" s="112"/>
      <c r="J983" s="112"/>
      <c r="K983" s="112"/>
      <c r="L983" s="112"/>
      <c r="M983" s="112"/>
      <c r="N983" s="112"/>
      <c r="O983" s="112"/>
      <c r="P983" s="112"/>
      <c r="Q983" s="112"/>
      <c r="R983" s="112"/>
      <c r="S983" s="112"/>
      <c r="T983" s="112"/>
      <c r="U983" s="124"/>
      <c r="V983" s="124"/>
      <c r="W983" s="124"/>
      <c r="X983" s="124"/>
      <c r="Y983" s="124"/>
      <c r="Z983" s="112"/>
      <c r="AA983" s="112"/>
      <c r="AB983" s="112"/>
      <c r="AC983" s="112"/>
      <c r="AD983" s="112"/>
      <c r="AE983" s="112"/>
      <c r="AF983" s="112"/>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c r="BK983" s="124"/>
      <c r="BL983" s="124"/>
      <c r="BM983" s="124"/>
      <c r="BN983" s="124"/>
      <c r="BO983" s="124"/>
      <c r="BP983" s="124"/>
      <c r="BQ983" s="124"/>
      <c r="BR983" s="124"/>
      <c r="BS983" s="124"/>
      <c r="BT983" s="124"/>
      <c r="BU983" s="124"/>
      <c r="BV983" s="124"/>
      <c r="BW983" s="124"/>
      <c r="BX983" s="124"/>
      <c r="BY983" s="124"/>
      <c r="BZ983" s="124"/>
      <c r="CA983" s="124"/>
    </row>
    <row r="984">
      <c r="D984" s="143"/>
      <c r="E984" s="129"/>
      <c r="F984" s="112"/>
      <c r="G984" s="112"/>
      <c r="H984" s="112"/>
      <c r="I984" s="112"/>
      <c r="J984" s="112"/>
      <c r="K984" s="112"/>
      <c r="L984" s="112"/>
      <c r="M984" s="112"/>
      <c r="N984" s="112"/>
      <c r="O984" s="112"/>
      <c r="P984" s="112"/>
      <c r="Q984" s="112"/>
      <c r="R984" s="112"/>
      <c r="S984" s="112"/>
      <c r="T984" s="112"/>
      <c r="U984" s="124"/>
      <c r="V984" s="124"/>
      <c r="W984" s="124"/>
      <c r="X984" s="124"/>
      <c r="Y984" s="124"/>
      <c r="Z984" s="112"/>
      <c r="AA984" s="112"/>
      <c r="AB984" s="112"/>
      <c r="AC984" s="112"/>
      <c r="AD984" s="112"/>
      <c r="AE984" s="112"/>
      <c r="AF984" s="112"/>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c r="BK984" s="124"/>
      <c r="BL984" s="124"/>
      <c r="BM984" s="124"/>
      <c r="BN984" s="124"/>
      <c r="BO984" s="124"/>
      <c r="BP984" s="124"/>
      <c r="BQ984" s="124"/>
      <c r="BR984" s="124"/>
      <c r="BS984" s="124"/>
      <c r="BT984" s="124"/>
      <c r="BU984" s="124"/>
      <c r="BV984" s="124"/>
      <c r="BW984" s="124"/>
      <c r="BX984" s="124"/>
      <c r="BY984" s="124"/>
      <c r="BZ984" s="124"/>
      <c r="CA984" s="124"/>
    </row>
    <row r="985">
      <c r="D985" s="143"/>
      <c r="E985" s="129"/>
      <c r="F985" s="112"/>
      <c r="G985" s="112"/>
      <c r="H985" s="112"/>
      <c r="I985" s="112"/>
      <c r="J985" s="112"/>
      <c r="K985" s="112"/>
      <c r="L985" s="112"/>
      <c r="M985" s="112"/>
      <c r="N985" s="112"/>
      <c r="O985" s="112"/>
      <c r="P985" s="112"/>
      <c r="Q985" s="112"/>
      <c r="R985" s="112"/>
      <c r="S985" s="112"/>
      <c r="T985" s="112"/>
      <c r="U985" s="124"/>
      <c r="V985" s="124"/>
      <c r="W985" s="124"/>
      <c r="X985" s="124"/>
      <c r="Y985" s="124"/>
      <c r="Z985" s="112"/>
      <c r="AA985" s="112"/>
      <c r="AB985" s="112"/>
      <c r="AC985" s="112"/>
      <c r="AD985" s="112"/>
      <c r="AE985" s="112"/>
      <c r="AF985" s="112"/>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c r="BK985" s="124"/>
      <c r="BL985" s="124"/>
      <c r="BM985" s="124"/>
      <c r="BN985" s="124"/>
      <c r="BO985" s="124"/>
      <c r="BP985" s="124"/>
      <c r="BQ985" s="124"/>
      <c r="BR985" s="124"/>
      <c r="BS985" s="124"/>
      <c r="BT985" s="124"/>
      <c r="BU985" s="124"/>
      <c r="BV985" s="124"/>
      <c r="BW985" s="124"/>
      <c r="BX985" s="124"/>
      <c r="BY985" s="124"/>
      <c r="BZ985" s="124"/>
      <c r="CA985" s="124"/>
    </row>
    <row r="986">
      <c r="D986" s="143"/>
      <c r="E986" s="129"/>
      <c r="F986" s="112"/>
      <c r="G986" s="112"/>
      <c r="H986" s="112"/>
      <c r="I986" s="112"/>
      <c r="J986" s="112"/>
      <c r="K986" s="112"/>
      <c r="L986" s="112"/>
      <c r="M986" s="112"/>
      <c r="N986" s="112"/>
      <c r="O986" s="112"/>
      <c r="P986" s="112"/>
      <c r="Q986" s="112"/>
      <c r="R986" s="112"/>
      <c r="S986" s="112"/>
      <c r="T986" s="112"/>
      <c r="U986" s="124"/>
      <c r="V986" s="124"/>
      <c r="W986" s="124"/>
      <c r="X986" s="124"/>
      <c r="Y986" s="124"/>
      <c r="Z986" s="112"/>
      <c r="AA986" s="112"/>
      <c r="AB986" s="112"/>
      <c r="AC986" s="112"/>
      <c r="AD986" s="112"/>
      <c r="AE986" s="112"/>
      <c r="AF986" s="112"/>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c r="BK986" s="124"/>
      <c r="BL986" s="124"/>
      <c r="BM986" s="124"/>
      <c r="BN986" s="124"/>
      <c r="BO986" s="124"/>
      <c r="BP986" s="124"/>
      <c r="BQ986" s="124"/>
      <c r="BR986" s="124"/>
      <c r="BS986" s="124"/>
      <c r="BT986" s="124"/>
      <c r="BU986" s="124"/>
      <c r="BV986" s="124"/>
      <c r="BW986" s="124"/>
      <c r="BX986" s="124"/>
      <c r="BY986" s="124"/>
      <c r="BZ986" s="124"/>
      <c r="CA986" s="124"/>
    </row>
    <row r="987">
      <c r="D987" s="143"/>
      <c r="E987" s="129"/>
      <c r="F987" s="112"/>
      <c r="G987" s="112"/>
      <c r="H987" s="112"/>
      <c r="I987" s="112"/>
      <c r="J987" s="112"/>
      <c r="K987" s="112"/>
      <c r="L987" s="112"/>
      <c r="M987" s="112"/>
      <c r="N987" s="112"/>
      <c r="O987" s="112"/>
      <c r="P987" s="112"/>
      <c r="Q987" s="112"/>
      <c r="R987" s="112"/>
      <c r="S987" s="112"/>
      <c r="T987" s="112"/>
      <c r="U987" s="124"/>
      <c r="V987" s="124"/>
      <c r="W987" s="124"/>
      <c r="X987" s="124"/>
      <c r="Y987" s="124"/>
      <c r="Z987" s="112"/>
      <c r="AA987" s="112"/>
      <c r="AB987" s="112"/>
      <c r="AC987" s="112"/>
      <c r="AD987" s="112"/>
      <c r="AE987" s="112"/>
      <c r="AF987" s="112"/>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c r="BK987" s="124"/>
      <c r="BL987" s="124"/>
      <c r="BM987" s="124"/>
      <c r="BN987" s="124"/>
      <c r="BO987" s="124"/>
      <c r="BP987" s="124"/>
      <c r="BQ987" s="124"/>
      <c r="BR987" s="124"/>
      <c r="BS987" s="124"/>
      <c r="BT987" s="124"/>
      <c r="BU987" s="124"/>
      <c r="BV987" s="124"/>
      <c r="BW987" s="124"/>
      <c r="BX987" s="124"/>
      <c r="BY987" s="124"/>
      <c r="BZ987" s="124"/>
      <c r="CA987" s="124"/>
    </row>
    <row r="988">
      <c r="D988" s="143"/>
      <c r="E988" s="129"/>
      <c r="F988" s="112"/>
      <c r="G988" s="112"/>
      <c r="H988" s="112"/>
      <c r="I988" s="112"/>
      <c r="J988" s="112"/>
      <c r="K988" s="112"/>
      <c r="L988" s="112"/>
      <c r="M988" s="112"/>
      <c r="N988" s="112"/>
      <c r="O988" s="112"/>
      <c r="P988" s="112"/>
      <c r="Q988" s="112"/>
      <c r="R988" s="112"/>
      <c r="S988" s="112"/>
      <c r="T988" s="112"/>
      <c r="U988" s="124"/>
      <c r="V988" s="124"/>
      <c r="W988" s="124"/>
      <c r="X988" s="124"/>
      <c r="Y988" s="124"/>
      <c r="Z988" s="112"/>
      <c r="AA988" s="112"/>
      <c r="AB988" s="112"/>
      <c r="AC988" s="112"/>
      <c r="AD988" s="112"/>
      <c r="AE988" s="112"/>
      <c r="AF988" s="112"/>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c r="BK988" s="124"/>
      <c r="BL988" s="124"/>
      <c r="BM988" s="124"/>
      <c r="BN988" s="124"/>
      <c r="BO988" s="124"/>
      <c r="BP988" s="124"/>
      <c r="BQ988" s="124"/>
      <c r="BR988" s="124"/>
      <c r="BS988" s="124"/>
      <c r="BT988" s="124"/>
      <c r="BU988" s="124"/>
      <c r="BV988" s="124"/>
      <c r="BW988" s="124"/>
      <c r="BX988" s="124"/>
      <c r="BY988" s="124"/>
      <c r="BZ988" s="124"/>
      <c r="CA988" s="124"/>
    </row>
    <row r="989">
      <c r="D989" s="143"/>
      <c r="E989" s="129"/>
      <c r="F989" s="112"/>
      <c r="G989" s="112"/>
      <c r="H989" s="112"/>
      <c r="I989" s="112"/>
      <c r="J989" s="112"/>
      <c r="K989" s="112"/>
      <c r="L989" s="112"/>
      <c r="M989" s="112"/>
      <c r="N989" s="112"/>
      <c r="O989" s="112"/>
      <c r="P989" s="112"/>
      <c r="Q989" s="112"/>
      <c r="R989" s="112"/>
      <c r="S989" s="112"/>
      <c r="T989" s="112"/>
      <c r="U989" s="124"/>
      <c r="V989" s="124"/>
      <c r="W989" s="124"/>
      <c r="X989" s="124"/>
      <c r="Y989" s="124"/>
      <c r="Z989" s="112"/>
      <c r="AA989" s="112"/>
      <c r="AB989" s="112"/>
      <c r="AC989" s="112"/>
      <c r="AD989" s="112"/>
      <c r="AE989" s="112"/>
      <c r="AF989" s="112"/>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c r="BK989" s="124"/>
      <c r="BL989" s="124"/>
      <c r="BM989" s="124"/>
      <c r="BN989" s="124"/>
      <c r="BO989" s="124"/>
      <c r="BP989" s="124"/>
      <c r="BQ989" s="124"/>
      <c r="BR989" s="124"/>
      <c r="BS989" s="124"/>
      <c r="BT989" s="124"/>
      <c r="BU989" s="124"/>
      <c r="BV989" s="124"/>
      <c r="BW989" s="124"/>
      <c r="BX989" s="124"/>
      <c r="BY989" s="124"/>
      <c r="BZ989" s="124"/>
      <c r="CA989" s="124"/>
    </row>
    <row r="990">
      <c r="D990" s="143"/>
      <c r="E990" s="129"/>
      <c r="F990" s="112"/>
      <c r="G990" s="112"/>
      <c r="H990" s="112"/>
      <c r="I990" s="112"/>
      <c r="J990" s="112"/>
      <c r="K990" s="112"/>
      <c r="L990" s="112"/>
      <c r="M990" s="112"/>
      <c r="N990" s="112"/>
      <c r="O990" s="112"/>
      <c r="P990" s="112"/>
      <c r="Q990" s="112"/>
      <c r="R990" s="112"/>
      <c r="S990" s="112"/>
      <c r="T990" s="112"/>
      <c r="U990" s="124"/>
      <c r="V990" s="124"/>
      <c r="W990" s="124"/>
      <c r="X990" s="124"/>
      <c r="Y990" s="124"/>
      <c r="Z990" s="112"/>
      <c r="AA990" s="112"/>
      <c r="AB990" s="112"/>
      <c r="AC990" s="112"/>
      <c r="AD990" s="112"/>
      <c r="AE990" s="112"/>
      <c r="AF990" s="112"/>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c r="BK990" s="124"/>
      <c r="BL990" s="124"/>
      <c r="BM990" s="124"/>
      <c r="BN990" s="124"/>
      <c r="BO990" s="124"/>
      <c r="BP990" s="124"/>
      <c r="BQ990" s="124"/>
      <c r="BR990" s="124"/>
      <c r="BS990" s="124"/>
      <c r="BT990" s="124"/>
      <c r="BU990" s="124"/>
      <c r="BV990" s="124"/>
      <c r="BW990" s="124"/>
      <c r="BX990" s="124"/>
      <c r="BY990" s="124"/>
      <c r="BZ990" s="124"/>
      <c r="CA990" s="124"/>
    </row>
    <row r="991">
      <c r="D991" s="143"/>
      <c r="E991" s="129"/>
      <c r="F991" s="112"/>
      <c r="G991" s="112"/>
      <c r="H991" s="112"/>
      <c r="I991" s="112"/>
      <c r="J991" s="112"/>
      <c r="K991" s="112"/>
      <c r="L991" s="112"/>
      <c r="M991" s="112"/>
      <c r="N991" s="112"/>
      <c r="O991" s="112"/>
      <c r="P991" s="112"/>
      <c r="Q991" s="112"/>
      <c r="R991" s="112"/>
      <c r="S991" s="112"/>
      <c r="T991" s="112"/>
      <c r="U991" s="124"/>
      <c r="V991" s="124"/>
      <c r="W991" s="124"/>
      <c r="X991" s="124"/>
      <c r="Y991" s="124"/>
      <c r="Z991" s="112"/>
      <c r="AA991" s="112"/>
      <c r="AB991" s="112"/>
      <c r="AC991" s="112"/>
      <c r="AD991" s="112"/>
      <c r="AE991" s="112"/>
      <c r="AF991" s="112"/>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c r="BK991" s="124"/>
      <c r="BL991" s="124"/>
      <c r="BM991" s="124"/>
      <c r="BN991" s="124"/>
      <c r="BO991" s="124"/>
      <c r="BP991" s="124"/>
      <c r="BQ991" s="124"/>
      <c r="BR991" s="124"/>
      <c r="BS991" s="124"/>
      <c r="BT991" s="124"/>
      <c r="BU991" s="124"/>
      <c r="BV991" s="124"/>
      <c r="BW991" s="124"/>
      <c r="BX991" s="124"/>
      <c r="BY991" s="124"/>
      <c r="BZ991" s="124"/>
      <c r="CA991" s="124"/>
    </row>
    <row r="992">
      <c r="D992" s="143"/>
      <c r="E992" s="129"/>
      <c r="F992" s="112"/>
      <c r="G992" s="112"/>
      <c r="H992" s="112"/>
      <c r="I992" s="112"/>
      <c r="J992" s="112"/>
      <c r="K992" s="112"/>
      <c r="L992" s="112"/>
      <c r="M992" s="112"/>
      <c r="N992" s="112"/>
      <c r="O992" s="112"/>
      <c r="P992" s="112"/>
      <c r="Q992" s="112"/>
      <c r="R992" s="112"/>
      <c r="S992" s="112"/>
      <c r="T992" s="112"/>
      <c r="U992" s="124"/>
      <c r="V992" s="124"/>
      <c r="W992" s="124"/>
      <c r="X992" s="124"/>
      <c r="Y992" s="124"/>
      <c r="Z992" s="112"/>
      <c r="AA992" s="112"/>
      <c r="AB992" s="112"/>
      <c r="AC992" s="112"/>
      <c r="AD992" s="112"/>
      <c r="AE992" s="112"/>
      <c r="AF992" s="112"/>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c r="BK992" s="124"/>
      <c r="BL992" s="124"/>
      <c r="BM992" s="124"/>
      <c r="BN992" s="124"/>
      <c r="BO992" s="124"/>
      <c r="BP992" s="124"/>
      <c r="BQ992" s="124"/>
      <c r="BR992" s="124"/>
      <c r="BS992" s="124"/>
      <c r="BT992" s="124"/>
      <c r="BU992" s="124"/>
      <c r="BV992" s="124"/>
      <c r="BW992" s="124"/>
      <c r="BX992" s="124"/>
      <c r="BY992" s="124"/>
      <c r="BZ992" s="124"/>
      <c r="CA992" s="124"/>
    </row>
    <row r="993">
      <c r="D993" s="143"/>
      <c r="E993" s="129"/>
      <c r="F993" s="112"/>
      <c r="G993" s="112"/>
      <c r="H993" s="112"/>
      <c r="I993" s="112"/>
      <c r="J993" s="112"/>
      <c r="K993" s="112"/>
      <c r="L993" s="112"/>
      <c r="M993" s="112"/>
      <c r="N993" s="112"/>
      <c r="O993" s="112"/>
      <c r="P993" s="112"/>
      <c r="Q993" s="112"/>
      <c r="R993" s="112"/>
      <c r="S993" s="112"/>
      <c r="T993" s="112"/>
      <c r="U993" s="124"/>
      <c r="V993" s="124"/>
      <c r="W993" s="124"/>
      <c r="X993" s="124"/>
      <c r="Y993" s="124"/>
      <c r="Z993" s="112"/>
      <c r="AA993" s="112"/>
      <c r="AB993" s="112"/>
      <c r="AC993" s="112"/>
      <c r="AD993" s="112"/>
      <c r="AE993" s="112"/>
      <c r="AF993" s="112"/>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c r="BK993" s="124"/>
      <c r="BL993" s="124"/>
      <c r="BM993" s="124"/>
      <c r="BN993" s="124"/>
      <c r="BO993" s="124"/>
      <c r="BP993" s="124"/>
      <c r="BQ993" s="124"/>
      <c r="BR993" s="124"/>
      <c r="BS993" s="124"/>
      <c r="BT993" s="124"/>
      <c r="BU993" s="124"/>
      <c r="BV993" s="124"/>
      <c r="BW993" s="124"/>
      <c r="BX993" s="124"/>
      <c r="BY993" s="124"/>
      <c r="BZ993" s="124"/>
      <c r="CA993" s="124"/>
    </row>
    <row r="994">
      <c r="D994" s="143"/>
      <c r="E994" s="129"/>
      <c r="F994" s="112"/>
      <c r="G994" s="112"/>
      <c r="H994" s="112"/>
      <c r="I994" s="112"/>
      <c r="J994" s="112"/>
      <c r="K994" s="112"/>
      <c r="L994" s="112"/>
      <c r="M994" s="112"/>
      <c r="N994" s="112"/>
      <c r="O994" s="112"/>
      <c r="P994" s="112"/>
      <c r="Q994" s="112"/>
      <c r="R994" s="112"/>
      <c r="S994" s="112"/>
      <c r="T994" s="112"/>
      <c r="U994" s="124"/>
      <c r="V994" s="124"/>
      <c r="W994" s="124"/>
      <c r="X994" s="124"/>
      <c r="Y994" s="124"/>
      <c r="Z994" s="112"/>
      <c r="AA994" s="112"/>
      <c r="AB994" s="112"/>
      <c r="AC994" s="112"/>
      <c r="AD994" s="112"/>
      <c r="AE994" s="112"/>
      <c r="AF994" s="112"/>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c r="BK994" s="124"/>
      <c r="BL994" s="124"/>
      <c r="BM994" s="124"/>
      <c r="BN994" s="124"/>
      <c r="BO994" s="124"/>
      <c r="BP994" s="124"/>
      <c r="BQ994" s="124"/>
      <c r="BR994" s="124"/>
      <c r="BS994" s="124"/>
      <c r="BT994" s="124"/>
      <c r="BU994" s="124"/>
      <c r="BV994" s="124"/>
      <c r="BW994" s="124"/>
      <c r="BX994" s="124"/>
      <c r="BY994" s="124"/>
      <c r="BZ994" s="124"/>
      <c r="CA994" s="124"/>
    </row>
    <row r="995">
      <c r="D995" s="143"/>
      <c r="E995" s="129"/>
      <c r="F995" s="112"/>
      <c r="G995" s="112"/>
      <c r="H995" s="112"/>
      <c r="I995" s="112"/>
      <c r="J995" s="112"/>
      <c r="K995" s="112"/>
      <c r="L995" s="112"/>
      <c r="M995" s="112"/>
      <c r="N995" s="112"/>
      <c r="O995" s="112"/>
      <c r="P995" s="112"/>
      <c r="Q995" s="112"/>
      <c r="R995" s="112"/>
      <c r="S995" s="112"/>
      <c r="T995" s="112"/>
      <c r="U995" s="124"/>
      <c r="V995" s="124"/>
      <c r="W995" s="124"/>
      <c r="X995" s="124"/>
      <c r="Y995" s="124"/>
      <c r="Z995" s="112"/>
      <c r="AA995" s="112"/>
      <c r="AB995" s="112"/>
      <c r="AC995" s="112"/>
      <c r="AD995" s="112"/>
      <c r="AE995" s="112"/>
      <c r="AF995" s="112"/>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c r="BK995" s="124"/>
      <c r="BL995" s="124"/>
      <c r="BM995" s="124"/>
      <c r="BN995" s="124"/>
      <c r="BO995" s="124"/>
      <c r="BP995" s="124"/>
      <c r="BQ995" s="124"/>
      <c r="BR995" s="124"/>
      <c r="BS995" s="124"/>
      <c r="BT995" s="124"/>
      <c r="BU995" s="124"/>
      <c r="BV995" s="124"/>
      <c r="BW995" s="124"/>
      <c r="BX995" s="124"/>
      <c r="BY995" s="124"/>
      <c r="BZ995" s="124"/>
      <c r="CA995" s="124"/>
    </row>
    <row r="996">
      <c r="D996" s="143"/>
      <c r="E996" s="129"/>
      <c r="F996" s="112"/>
      <c r="G996" s="112"/>
      <c r="H996" s="112"/>
      <c r="I996" s="112"/>
      <c r="J996" s="112"/>
      <c r="K996" s="112"/>
      <c r="L996" s="112"/>
      <c r="M996" s="112"/>
      <c r="N996" s="112"/>
      <c r="O996" s="112"/>
      <c r="P996" s="112"/>
      <c r="Q996" s="112"/>
      <c r="R996" s="112"/>
      <c r="S996" s="112"/>
      <c r="T996" s="112"/>
      <c r="U996" s="124"/>
      <c r="V996" s="124"/>
      <c r="W996" s="124"/>
      <c r="X996" s="124"/>
      <c r="Y996" s="124"/>
      <c r="Z996" s="112"/>
      <c r="AA996" s="112"/>
      <c r="AB996" s="112"/>
      <c r="AC996" s="112"/>
      <c r="AD996" s="112"/>
      <c r="AE996" s="112"/>
      <c r="AF996" s="112"/>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c r="BK996" s="124"/>
      <c r="BL996" s="124"/>
      <c r="BM996" s="124"/>
      <c r="BN996" s="124"/>
      <c r="BO996" s="124"/>
      <c r="BP996" s="124"/>
      <c r="BQ996" s="124"/>
      <c r="BR996" s="124"/>
      <c r="BS996" s="124"/>
      <c r="BT996" s="124"/>
      <c r="BU996" s="124"/>
      <c r="BV996" s="124"/>
      <c r="BW996" s="124"/>
      <c r="BX996" s="124"/>
      <c r="BY996" s="124"/>
      <c r="BZ996" s="124"/>
      <c r="CA996" s="124"/>
    </row>
    <row r="997">
      <c r="D997" s="143"/>
      <c r="E997" s="129"/>
      <c r="F997" s="112"/>
      <c r="G997" s="112"/>
      <c r="H997" s="112"/>
      <c r="I997" s="112"/>
      <c r="J997" s="112"/>
      <c r="K997" s="112"/>
      <c r="L997" s="112"/>
      <c r="M997" s="112"/>
      <c r="N997" s="112"/>
      <c r="O997" s="112"/>
      <c r="P997" s="112"/>
      <c r="Q997" s="112"/>
      <c r="R997" s="112"/>
      <c r="S997" s="112"/>
      <c r="T997" s="112"/>
      <c r="U997" s="124"/>
      <c r="V997" s="124"/>
      <c r="W997" s="124"/>
      <c r="X997" s="124"/>
      <c r="Y997" s="124"/>
      <c r="Z997" s="112"/>
      <c r="AA997" s="112"/>
      <c r="AB997" s="112"/>
      <c r="AC997" s="112"/>
      <c r="AD997" s="112"/>
      <c r="AE997" s="112"/>
      <c r="AF997" s="112"/>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c r="BK997" s="124"/>
      <c r="BL997" s="124"/>
      <c r="BM997" s="124"/>
      <c r="BN997" s="124"/>
      <c r="BO997" s="124"/>
      <c r="BP997" s="124"/>
      <c r="BQ997" s="124"/>
      <c r="BR997" s="124"/>
      <c r="BS997" s="124"/>
      <c r="BT997" s="124"/>
      <c r="BU997" s="124"/>
      <c r="BV997" s="124"/>
      <c r="BW997" s="124"/>
      <c r="BX997" s="124"/>
      <c r="BY997" s="124"/>
      <c r="BZ997" s="124"/>
      <c r="CA997" s="124"/>
    </row>
    <row r="998">
      <c r="D998" s="143"/>
      <c r="E998" s="129"/>
      <c r="F998" s="112"/>
      <c r="G998" s="112"/>
      <c r="H998" s="112"/>
      <c r="I998" s="112"/>
      <c r="J998" s="112"/>
      <c r="K998" s="112"/>
      <c r="L998" s="112"/>
      <c r="M998" s="112"/>
      <c r="N998" s="112"/>
      <c r="O998" s="112"/>
      <c r="P998" s="112"/>
      <c r="Q998" s="112"/>
      <c r="R998" s="112"/>
      <c r="S998" s="112"/>
      <c r="T998" s="112"/>
      <c r="U998" s="124"/>
      <c r="V998" s="124"/>
      <c r="W998" s="124"/>
      <c r="X998" s="124"/>
      <c r="Y998" s="124"/>
      <c r="Z998" s="112"/>
      <c r="AA998" s="112"/>
      <c r="AB998" s="112"/>
      <c r="AC998" s="112"/>
      <c r="AD998" s="112"/>
      <c r="AE998" s="112"/>
      <c r="AF998" s="112"/>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c r="BK998" s="124"/>
      <c r="BL998" s="124"/>
      <c r="BM998" s="124"/>
      <c r="BN998" s="124"/>
      <c r="BO998" s="124"/>
      <c r="BP998" s="124"/>
      <c r="BQ998" s="124"/>
      <c r="BR998" s="124"/>
      <c r="BS998" s="124"/>
      <c r="BT998" s="124"/>
      <c r="BU998" s="124"/>
      <c r="BV998" s="124"/>
      <c r="BW998" s="124"/>
      <c r="BX998" s="124"/>
      <c r="BY998" s="124"/>
      <c r="BZ998" s="124"/>
      <c r="CA998" s="124"/>
    </row>
    <row r="999">
      <c r="D999" s="143"/>
      <c r="E999" s="129"/>
      <c r="F999" s="112"/>
      <c r="G999" s="112"/>
      <c r="H999" s="112"/>
      <c r="I999" s="112"/>
      <c r="J999" s="112"/>
      <c r="K999" s="112"/>
      <c r="L999" s="112"/>
      <c r="M999" s="112"/>
      <c r="N999" s="112"/>
      <c r="O999" s="112"/>
      <c r="P999" s="112"/>
      <c r="Q999" s="112"/>
      <c r="R999" s="112"/>
      <c r="S999" s="112"/>
      <c r="T999" s="112"/>
      <c r="U999" s="124"/>
      <c r="V999" s="124"/>
      <c r="W999" s="124"/>
      <c r="X999" s="124"/>
      <c r="Y999" s="124"/>
      <c r="Z999" s="112"/>
      <c r="AA999" s="112"/>
      <c r="AB999" s="112"/>
      <c r="AC999" s="112"/>
      <c r="AD999" s="112"/>
      <c r="AE999" s="112"/>
      <c r="AF999" s="112"/>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c r="BK999" s="124"/>
      <c r="BL999" s="124"/>
      <c r="BM999" s="124"/>
      <c r="BN999" s="124"/>
      <c r="BO999" s="124"/>
      <c r="BP999" s="124"/>
      <c r="BQ999" s="124"/>
      <c r="BR999" s="124"/>
      <c r="BS999" s="124"/>
      <c r="BT999" s="124"/>
      <c r="BU999" s="124"/>
      <c r="BV999" s="124"/>
      <c r="BW999" s="124"/>
      <c r="BX999" s="124"/>
      <c r="BY999" s="124"/>
      <c r="BZ999" s="124"/>
      <c r="CA999" s="124"/>
    </row>
    <row r="1000">
      <c r="D1000" s="143"/>
      <c r="E1000" s="129"/>
      <c r="F1000" s="112"/>
      <c r="G1000" s="112"/>
      <c r="H1000" s="112"/>
      <c r="I1000" s="112"/>
      <c r="J1000" s="112"/>
      <c r="K1000" s="112"/>
      <c r="L1000" s="112"/>
      <c r="M1000" s="112"/>
      <c r="N1000" s="112"/>
      <c r="O1000" s="112"/>
      <c r="P1000" s="112"/>
      <c r="Q1000" s="112"/>
      <c r="R1000" s="112"/>
      <c r="S1000" s="112"/>
      <c r="T1000" s="112"/>
      <c r="U1000" s="124"/>
      <c r="V1000" s="124"/>
      <c r="W1000" s="124"/>
      <c r="X1000" s="124"/>
      <c r="Y1000" s="124"/>
      <c r="Z1000" s="112"/>
      <c r="AA1000" s="112"/>
      <c r="AB1000" s="112"/>
      <c r="AC1000" s="112"/>
      <c r="AD1000" s="112"/>
      <c r="AE1000" s="112"/>
      <c r="AF1000" s="112"/>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c r="BK1000" s="124"/>
      <c r="BL1000" s="124"/>
      <c r="BM1000" s="124"/>
      <c r="BN1000" s="124"/>
      <c r="BO1000" s="124"/>
      <c r="BP1000" s="124"/>
      <c r="BQ1000" s="124"/>
      <c r="BR1000" s="124"/>
      <c r="BS1000" s="124"/>
      <c r="BT1000" s="124"/>
      <c r="BU1000" s="124"/>
      <c r="BV1000" s="124"/>
      <c r="BW1000" s="124"/>
      <c r="BX1000" s="124"/>
      <c r="BY1000" s="124"/>
      <c r="BZ1000" s="124"/>
      <c r="CA1000" s="124"/>
    </row>
    <row r="1001">
      <c r="D1001" s="143"/>
      <c r="E1001" s="129"/>
      <c r="F1001" s="112"/>
      <c r="G1001" s="112"/>
      <c r="H1001" s="112"/>
      <c r="I1001" s="112"/>
      <c r="J1001" s="112"/>
      <c r="K1001" s="112"/>
      <c r="L1001" s="112"/>
      <c r="M1001" s="112"/>
      <c r="N1001" s="112"/>
      <c r="O1001" s="112"/>
      <c r="P1001" s="112"/>
      <c r="Q1001" s="112"/>
      <c r="R1001" s="112"/>
      <c r="S1001" s="112"/>
      <c r="T1001" s="112"/>
      <c r="U1001" s="124"/>
      <c r="V1001" s="124"/>
      <c r="W1001" s="124"/>
      <c r="X1001" s="124"/>
      <c r="Y1001" s="124"/>
      <c r="Z1001" s="112"/>
      <c r="AA1001" s="112"/>
      <c r="AB1001" s="112"/>
      <c r="AC1001" s="112"/>
      <c r="AD1001" s="112"/>
      <c r="AE1001" s="112"/>
      <c r="AF1001" s="112"/>
      <c r="AG1001" s="124"/>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c r="BK1001" s="124"/>
      <c r="BL1001" s="124"/>
      <c r="BM1001" s="124"/>
      <c r="BN1001" s="124"/>
      <c r="BO1001" s="124"/>
      <c r="BP1001" s="124"/>
      <c r="BQ1001" s="124"/>
      <c r="BR1001" s="124"/>
      <c r="BS1001" s="124"/>
      <c r="BT1001" s="124"/>
      <c r="BU1001" s="124"/>
      <c r="BV1001" s="124"/>
      <c r="BW1001" s="124"/>
      <c r="BX1001" s="124"/>
      <c r="BY1001" s="124"/>
      <c r="BZ1001" s="124"/>
      <c r="CA1001" s="124"/>
    </row>
  </sheetData>
  <mergeCells count="18">
    <mergeCell ref="A1:B1"/>
    <mergeCell ref="C1:D1"/>
    <mergeCell ref="F1:T1"/>
    <mergeCell ref="U1:Y1"/>
    <mergeCell ref="Z1:AA1"/>
    <mergeCell ref="AB1:AF1"/>
    <mergeCell ref="AH1:AH2"/>
    <mergeCell ref="A57:B57"/>
    <mergeCell ref="BN1:BP1"/>
    <mergeCell ref="BR1:BV1"/>
    <mergeCell ref="BW1:CA1"/>
    <mergeCell ref="AI1:AL1"/>
    <mergeCell ref="AM1:AP1"/>
    <mergeCell ref="AQ1:AS1"/>
    <mergeCell ref="AT1:BB1"/>
    <mergeCell ref="BD1:BF1"/>
    <mergeCell ref="BG1:BH1"/>
    <mergeCell ref="BI1:BM1"/>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2.14"/>
    <col customWidth="1" min="2" max="2" width="40.29"/>
    <col customWidth="1" min="3" max="3" width="17.86"/>
    <col customWidth="1" min="6" max="20" width="7.43"/>
    <col customWidth="1" min="21" max="21" width="19.43"/>
    <col customWidth="1" min="22" max="22" width="17.0"/>
    <col customWidth="1" min="23" max="23" width="24.86"/>
    <col customWidth="1" min="24" max="24" width="29.14"/>
    <col customWidth="1" min="25" max="25" width="27.57"/>
    <col customWidth="1" min="26" max="27" width="4.43"/>
    <col customWidth="1" min="28" max="28" width="6.57"/>
    <col customWidth="1" min="29" max="29" width="3.86"/>
    <col customWidth="1" min="30" max="30" width="4.57"/>
    <col customWidth="1" min="31" max="31" width="5.29"/>
    <col customWidth="1" min="32" max="32" width="5.0"/>
    <col customWidth="1" min="33" max="33" width="31.14"/>
    <col customWidth="1" min="34" max="35" width="4.0"/>
    <col customWidth="1" min="36" max="37" width="4.29"/>
    <col customWidth="1" min="38" max="68" width="4.43"/>
    <col customWidth="1" min="69" max="69" width="2.0"/>
    <col customWidth="1" min="70" max="79" width="4.43"/>
  </cols>
  <sheetData>
    <row r="1">
      <c r="A1" s="194" t="s">
        <v>0</v>
      </c>
      <c r="C1" s="145" t="s">
        <v>1</v>
      </c>
      <c r="E1" s="4"/>
      <c r="F1" s="15" t="s">
        <v>2</v>
      </c>
      <c r="U1" s="23" t="s">
        <v>3</v>
      </c>
      <c r="Z1" s="195" t="s">
        <v>4</v>
      </c>
      <c r="AB1" s="196" t="s">
        <v>5</v>
      </c>
      <c r="AG1" s="149"/>
      <c r="AH1" s="10" t="s">
        <v>6</v>
      </c>
      <c r="AI1" s="11" t="s">
        <v>7</v>
      </c>
      <c r="AM1" s="12" t="s">
        <v>8</v>
      </c>
      <c r="AQ1" s="13" t="s">
        <v>9</v>
      </c>
      <c r="AT1" s="14" t="s">
        <v>10</v>
      </c>
      <c r="BC1" s="15"/>
      <c r="BD1" s="16" t="s">
        <v>11</v>
      </c>
      <c r="BG1" s="17" t="s">
        <v>4348</v>
      </c>
      <c r="BI1" s="18" t="s">
        <v>12</v>
      </c>
      <c r="BN1" s="19" t="s">
        <v>13</v>
      </c>
      <c r="BQ1" s="21"/>
      <c r="BR1" s="22" t="s">
        <v>14</v>
      </c>
      <c r="BW1" s="23" t="s">
        <v>15</v>
      </c>
    </row>
    <row r="2" ht="24.0" customHeight="1">
      <c r="A2" s="25" t="s">
        <v>17</v>
      </c>
      <c r="B2" s="197" t="s">
        <v>18</v>
      </c>
      <c r="C2" s="27" t="s">
        <v>19</v>
      </c>
      <c r="D2" s="28" t="s">
        <v>20</v>
      </c>
      <c r="E2" s="4" t="s">
        <v>21</v>
      </c>
      <c r="F2" s="15" t="s">
        <v>22</v>
      </c>
      <c r="G2" s="15" t="s">
        <v>23</v>
      </c>
      <c r="H2" s="15" t="s">
        <v>24</v>
      </c>
      <c r="I2" s="15" t="s">
        <v>25</v>
      </c>
      <c r="J2" s="15" t="s">
        <v>26</v>
      </c>
      <c r="K2" s="15" t="s">
        <v>27</v>
      </c>
      <c r="L2" s="15" t="s">
        <v>28</v>
      </c>
      <c r="M2" s="15" t="s">
        <v>29</v>
      </c>
      <c r="N2" s="15" t="s">
        <v>30</v>
      </c>
      <c r="O2" s="15" t="s">
        <v>31</v>
      </c>
      <c r="P2" s="15" t="s">
        <v>32</v>
      </c>
      <c r="Q2" s="15" t="s">
        <v>33</v>
      </c>
      <c r="R2" s="15" t="s">
        <v>34</v>
      </c>
      <c r="S2" s="15" t="s">
        <v>35</v>
      </c>
      <c r="T2" s="15" t="s">
        <v>36</v>
      </c>
      <c r="U2" s="150" t="s">
        <v>37</v>
      </c>
      <c r="V2" s="150" t="s">
        <v>38</v>
      </c>
      <c r="W2" s="150" t="s">
        <v>39</v>
      </c>
      <c r="X2" s="150" t="s">
        <v>40</v>
      </c>
      <c r="Y2" s="150" t="s">
        <v>41</v>
      </c>
      <c r="Z2" s="31" t="s">
        <v>42</v>
      </c>
      <c r="AA2" s="31" t="s">
        <v>43</v>
      </c>
      <c r="AB2" s="32" t="s">
        <v>44</v>
      </c>
      <c r="AC2" s="32" t="s">
        <v>45</v>
      </c>
      <c r="AD2" s="32" t="s">
        <v>46</v>
      </c>
      <c r="AE2" s="32" t="s">
        <v>47</v>
      </c>
      <c r="AF2" s="32" t="s">
        <v>48</v>
      </c>
      <c r="AG2" s="9" t="s">
        <v>49</v>
      </c>
      <c r="AI2" s="33" t="s">
        <v>7</v>
      </c>
      <c r="AJ2" s="33" t="s">
        <v>50</v>
      </c>
      <c r="AK2" s="33" t="s">
        <v>51</v>
      </c>
      <c r="AL2" s="33" t="s">
        <v>52</v>
      </c>
      <c r="AM2" s="34" t="s">
        <v>8</v>
      </c>
      <c r="AN2" s="34" t="s">
        <v>53</v>
      </c>
      <c r="AO2" s="34" t="s">
        <v>54</v>
      </c>
      <c r="AP2" s="34" t="s">
        <v>55</v>
      </c>
      <c r="AQ2" s="35" t="s">
        <v>9</v>
      </c>
      <c r="AR2" s="35" t="s">
        <v>56</v>
      </c>
      <c r="AS2" s="35" t="s">
        <v>57</v>
      </c>
      <c r="AT2" s="36" t="s">
        <v>10</v>
      </c>
      <c r="AU2" s="36" t="s">
        <v>58</v>
      </c>
      <c r="AV2" s="36" t="s">
        <v>59</v>
      </c>
      <c r="AW2" s="36" t="s">
        <v>60</v>
      </c>
      <c r="AX2" s="36" t="s">
        <v>61</v>
      </c>
      <c r="AY2" s="36" t="s">
        <v>62</v>
      </c>
      <c r="AZ2" s="36" t="s">
        <v>63</v>
      </c>
      <c r="BA2" s="36" t="s">
        <v>64</v>
      </c>
      <c r="BB2" s="36" t="s">
        <v>65</v>
      </c>
      <c r="BC2" s="37" t="s">
        <v>66</v>
      </c>
      <c r="BD2" s="38" t="s">
        <v>67</v>
      </c>
      <c r="BE2" s="38" t="s">
        <v>68</v>
      </c>
      <c r="BF2" s="38" t="s">
        <v>69</v>
      </c>
      <c r="BG2" s="39" t="s">
        <v>4348</v>
      </c>
      <c r="BH2" s="39" t="s">
        <v>70</v>
      </c>
      <c r="BI2" s="40" t="s">
        <v>71</v>
      </c>
      <c r="BJ2" s="40" t="s">
        <v>72</v>
      </c>
      <c r="BK2" s="40" t="s">
        <v>73</v>
      </c>
      <c r="BL2" s="40" t="s">
        <v>74</v>
      </c>
      <c r="BM2" s="40" t="s">
        <v>75</v>
      </c>
      <c r="BN2" s="41" t="s">
        <v>76</v>
      </c>
      <c r="BO2" s="41" t="s">
        <v>4349</v>
      </c>
      <c r="BP2" s="41" t="s">
        <v>4350</v>
      </c>
      <c r="BQ2" s="43"/>
      <c r="BR2" s="44" t="s">
        <v>78</v>
      </c>
      <c r="BS2" s="44" t="s">
        <v>79</v>
      </c>
      <c r="BT2" s="44" t="s">
        <v>80</v>
      </c>
      <c r="BU2" s="44" t="s">
        <v>81</v>
      </c>
      <c r="BV2" s="44" t="s">
        <v>82</v>
      </c>
      <c r="BW2" s="45" t="s">
        <v>83</v>
      </c>
      <c r="BX2" s="45" t="s">
        <v>84</v>
      </c>
      <c r="BY2" s="45" t="s">
        <v>85</v>
      </c>
      <c r="BZ2" s="45" t="s">
        <v>86</v>
      </c>
      <c r="CA2" s="45" t="s">
        <v>87</v>
      </c>
    </row>
    <row r="3" ht="26.25" customHeight="1">
      <c r="A3" s="136" t="s">
        <v>4409</v>
      </c>
      <c r="C3" s="141"/>
      <c r="D3" s="137"/>
      <c r="E3" s="112"/>
      <c r="F3" s="112"/>
      <c r="G3" s="112"/>
      <c r="H3" s="112"/>
      <c r="I3" s="112"/>
      <c r="J3" s="112"/>
      <c r="K3" s="112"/>
      <c r="L3" s="112"/>
      <c r="M3" s="112"/>
      <c r="N3" s="112"/>
      <c r="O3" s="112"/>
      <c r="P3" s="112"/>
      <c r="Q3" s="112"/>
      <c r="R3" s="112"/>
      <c r="S3" s="112"/>
      <c r="T3" s="112"/>
      <c r="U3" s="124"/>
      <c r="V3" s="124"/>
      <c r="W3" s="124"/>
      <c r="X3" s="124"/>
      <c r="Y3" s="124"/>
      <c r="Z3" s="112"/>
      <c r="AA3" s="112"/>
      <c r="AB3" s="112"/>
      <c r="AC3" s="112"/>
      <c r="AD3" s="112"/>
      <c r="AE3" s="112"/>
      <c r="AF3" s="112"/>
      <c r="AG3" s="124"/>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c r="BS3" s="115"/>
      <c r="BT3" s="115"/>
      <c r="BU3" s="115"/>
      <c r="BV3" s="115"/>
      <c r="BW3" s="115"/>
      <c r="BX3" s="115"/>
      <c r="BY3" s="115"/>
      <c r="BZ3" s="115"/>
      <c r="CA3" s="115"/>
    </row>
    <row r="4" ht="45.75" customHeight="1">
      <c r="A4" s="198" t="str">
        <f>HYPERLINK("https://drive.google.com/open?id=1tSPIqz0LPVMrYYERBGrXa5tezBu_sKXo","Armstrong2007")</f>
        <v>Armstrong2007</v>
      </c>
      <c r="B4" s="199" t="s">
        <v>173</v>
      </c>
      <c r="C4" s="200" t="s">
        <v>174</v>
      </c>
      <c r="D4" s="201">
        <v>2007.0</v>
      </c>
      <c r="E4" s="106"/>
      <c r="F4" s="106"/>
      <c r="G4" s="106"/>
      <c r="H4" s="201">
        <v>1.0</v>
      </c>
      <c r="I4" s="106"/>
      <c r="J4" s="106"/>
      <c r="K4" s="106"/>
      <c r="L4" s="106"/>
      <c r="M4" s="106"/>
      <c r="N4" s="106"/>
      <c r="O4" s="106"/>
      <c r="P4" s="106"/>
      <c r="Q4" s="106"/>
      <c r="R4" s="106"/>
      <c r="S4" s="106"/>
      <c r="T4" s="106"/>
      <c r="U4" s="201" t="s">
        <v>175</v>
      </c>
      <c r="V4" s="201" t="s">
        <v>176</v>
      </c>
      <c r="W4" s="201" t="s">
        <v>177</v>
      </c>
      <c r="X4" s="201" t="s">
        <v>178</v>
      </c>
      <c r="Y4" s="202" t="s">
        <v>100</v>
      </c>
      <c r="Z4" s="106"/>
      <c r="AA4" s="201">
        <v>1.0</v>
      </c>
      <c r="AB4" s="106"/>
      <c r="AC4" s="201">
        <v>1.0</v>
      </c>
      <c r="AD4" s="106"/>
      <c r="AE4" s="106"/>
      <c r="AF4" s="106"/>
      <c r="AG4" s="201" t="s">
        <v>179</v>
      </c>
      <c r="AH4" s="115" t="s">
        <v>1240</v>
      </c>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v>1.0</v>
      </c>
      <c r="CA4" s="115"/>
    </row>
    <row r="5">
      <c r="A5" s="192" t="str">
        <f>HYPERLINK("https://drive.google.com/open?id=1L61Nl17Xa4kVGW887nv5j-W5KC3kQzxE","Arnott2006")</f>
        <v>Arnott2006</v>
      </c>
      <c r="B5" s="203" t="s">
        <v>180</v>
      </c>
      <c r="C5" s="201" t="s">
        <v>181</v>
      </c>
      <c r="D5" s="201">
        <v>2006.0</v>
      </c>
      <c r="E5" s="106"/>
      <c r="F5" s="106"/>
      <c r="G5" s="201">
        <v>1.0</v>
      </c>
      <c r="H5" s="201">
        <v>1.0</v>
      </c>
      <c r="I5" s="106"/>
      <c r="J5" s="106"/>
      <c r="K5" s="106"/>
      <c r="L5" s="201">
        <v>1.0</v>
      </c>
      <c r="M5" s="106"/>
      <c r="N5" s="201">
        <v>1.0</v>
      </c>
      <c r="O5" s="106"/>
      <c r="P5" s="106"/>
      <c r="Q5" s="106"/>
      <c r="R5" s="106"/>
      <c r="S5" s="106"/>
      <c r="T5" s="106"/>
      <c r="U5" s="201" t="s">
        <v>182</v>
      </c>
      <c r="V5" s="201" t="s">
        <v>183</v>
      </c>
      <c r="W5" s="201"/>
      <c r="X5" s="201" t="s">
        <v>184</v>
      </c>
      <c r="Y5" s="201" t="s">
        <v>100</v>
      </c>
      <c r="Z5" s="106"/>
      <c r="AA5" s="201">
        <v>1.0</v>
      </c>
      <c r="AB5" s="201">
        <v>1.0</v>
      </c>
      <c r="AC5" s="201">
        <v>1.0</v>
      </c>
      <c r="AD5" s="201">
        <v>1.0</v>
      </c>
      <c r="AE5" s="106"/>
      <c r="AF5" s="106"/>
      <c r="AG5" s="201" t="s">
        <v>185</v>
      </c>
      <c r="AH5" s="115">
        <v>1.0</v>
      </c>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v>1.0</v>
      </c>
      <c r="BI5" s="115"/>
      <c r="BJ5" s="115"/>
      <c r="BK5" s="115"/>
      <c r="BL5" s="115"/>
      <c r="BM5" s="115"/>
      <c r="BN5" s="115"/>
      <c r="BO5" s="115"/>
      <c r="BP5" s="115"/>
      <c r="BQ5" s="115"/>
      <c r="BR5" s="115"/>
      <c r="BS5" s="115"/>
      <c r="BT5" s="115"/>
      <c r="BU5" s="115"/>
      <c r="BV5" s="115"/>
      <c r="BW5" s="115"/>
      <c r="BX5" s="115"/>
      <c r="BY5" s="115"/>
      <c r="BZ5" s="115"/>
      <c r="CA5" s="115"/>
    </row>
    <row r="6">
      <c r="A6" s="198" t="str">
        <f>HYPERLINK("https://drive.google.com/open?id=1UuDDLae1YVrFNGmfXix4X-7W7FuFAPXO","Asgapour2007")</f>
        <v>Asgapour2007</v>
      </c>
      <c r="B6" s="203" t="s">
        <v>4637</v>
      </c>
      <c r="C6" s="200" t="s">
        <v>4638</v>
      </c>
      <c r="D6" s="201">
        <v>2007.0</v>
      </c>
      <c r="E6" s="201">
        <v>1.0</v>
      </c>
      <c r="F6" s="106"/>
      <c r="G6" s="106"/>
      <c r="H6" s="106"/>
      <c r="I6" s="106"/>
      <c r="J6" s="106"/>
      <c r="K6" s="106"/>
      <c r="L6" s="106"/>
      <c r="M6" s="106"/>
      <c r="N6" s="106"/>
      <c r="O6" s="106"/>
      <c r="P6" s="106"/>
      <c r="Q6" s="106"/>
      <c r="R6" s="106"/>
      <c r="S6" s="106"/>
      <c r="T6" s="106"/>
      <c r="U6" s="201" t="s">
        <v>4639</v>
      </c>
      <c r="V6" s="106"/>
      <c r="W6" s="201" t="s">
        <v>4640</v>
      </c>
      <c r="X6" s="201" t="s">
        <v>4641</v>
      </c>
      <c r="Y6" s="201" t="s">
        <v>100</v>
      </c>
      <c r="Z6" s="201">
        <v>1.0</v>
      </c>
      <c r="AA6" s="106"/>
      <c r="AB6" s="106"/>
      <c r="AC6" s="201">
        <v>1.0</v>
      </c>
      <c r="AD6" s="106"/>
      <c r="AE6" s="106"/>
      <c r="AF6" s="106"/>
      <c r="AG6" s="201" t="s">
        <v>4642</v>
      </c>
      <c r="AH6" s="115" t="s">
        <v>1240</v>
      </c>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row>
    <row r="7">
      <c r="A7" s="198" t="str">
        <f>HYPERLINK("https://drive.google.com/open?id=10lUjDLIUCCNUpJhPmMJ3KKnhemH3nxSF","Bednarik2006")</f>
        <v>Bednarik2006</v>
      </c>
      <c r="B7" s="200" t="s">
        <v>200</v>
      </c>
      <c r="C7" s="204" t="s">
        <v>201</v>
      </c>
      <c r="D7" s="201">
        <v>2006.0</v>
      </c>
      <c r="E7" s="106"/>
      <c r="F7" s="106"/>
      <c r="G7" s="106"/>
      <c r="H7" s="106"/>
      <c r="I7" s="106"/>
      <c r="J7" s="201">
        <v>1.0</v>
      </c>
      <c r="K7" s="106"/>
      <c r="L7" s="106"/>
      <c r="M7" s="106"/>
      <c r="N7" s="106"/>
      <c r="O7" s="106"/>
      <c r="P7" s="106"/>
      <c r="Q7" s="106"/>
      <c r="R7" s="106"/>
      <c r="S7" s="106"/>
      <c r="T7" s="106"/>
      <c r="U7" s="106"/>
      <c r="V7" s="201" t="s">
        <v>202</v>
      </c>
      <c r="W7" s="201" t="s">
        <v>203</v>
      </c>
      <c r="X7" s="204" t="s">
        <v>204</v>
      </c>
      <c r="Y7" s="201" t="s">
        <v>100</v>
      </c>
      <c r="Z7" s="201">
        <v>1.0</v>
      </c>
      <c r="AA7" s="106"/>
      <c r="AB7" s="106"/>
      <c r="AC7" s="201">
        <v>1.0</v>
      </c>
      <c r="AD7" s="106"/>
      <c r="AE7" s="106"/>
      <c r="AF7" s="106"/>
      <c r="AG7" s="201" t="s">
        <v>205</v>
      </c>
      <c r="AH7" s="115">
        <v>1.0</v>
      </c>
      <c r="AI7" s="115"/>
      <c r="AJ7" s="115"/>
      <c r="AK7" s="115"/>
      <c r="AL7" s="115"/>
      <c r="AM7" s="115"/>
      <c r="AN7" s="115"/>
      <c r="AO7" s="115"/>
      <c r="AP7" s="115"/>
      <c r="AQ7" s="115"/>
      <c r="AR7" s="115"/>
      <c r="AS7" s="115"/>
      <c r="AT7" s="115"/>
      <c r="AU7" s="115"/>
      <c r="AV7" s="115"/>
      <c r="AW7" s="115"/>
      <c r="AX7" s="115"/>
      <c r="AY7" s="115"/>
      <c r="AZ7" s="115"/>
      <c r="BA7" s="115"/>
      <c r="BB7" s="115"/>
      <c r="BC7" s="115"/>
      <c r="BD7" s="115" t="s">
        <v>1240</v>
      </c>
      <c r="BE7" s="115"/>
      <c r="BF7" s="115"/>
      <c r="BG7" s="115"/>
      <c r="BH7" s="115"/>
      <c r="BI7" s="115" t="s">
        <v>1240</v>
      </c>
      <c r="BJ7" s="115"/>
      <c r="BK7" s="115"/>
      <c r="BL7" s="115"/>
      <c r="BM7" s="115"/>
      <c r="BN7" s="115"/>
      <c r="BO7" s="115"/>
      <c r="BP7" s="115"/>
      <c r="BQ7" s="115"/>
      <c r="BR7" s="115"/>
      <c r="BS7" s="115"/>
      <c r="BT7" s="115"/>
      <c r="BU7" s="115"/>
      <c r="BV7" s="115"/>
      <c r="BW7" s="115"/>
      <c r="BX7" s="115"/>
      <c r="BY7" s="115"/>
      <c r="BZ7" s="115"/>
      <c r="CA7" s="115">
        <v>1.0</v>
      </c>
    </row>
    <row r="8">
      <c r="A8" s="192" t="str">
        <f>HYPERLINK("https://drive.google.com/open?id=153ZFMNYR_5zHDHDYEVCxkuemEU7oZWcI","Bednarik2008")</f>
        <v>Bednarik2008</v>
      </c>
      <c r="B8" s="203" t="s">
        <v>206</v>
      </c>
      <c r="C8" s="200" t="s">
        <v>201</v>
      </c>
      <c r="D8" s="201">
        <v>2008.0</v>
      </c>
      <c r="E8" s="106"/>
      <c r="F8" s="106"/>
      <c r="G8" s="106"/>
      <c r="H8" s="106"/>
      <c r="I8" s="106"/>
      <c r="J8" s="201">
        <v>1.0</v>
      </c>
      <c r="K8" s="106"/>
      <c r="L8" s="106"/>
      <c r="M8" s="106"/>
      <c r="N8" s="106"/>
      <c r="O8" s="106"/>
      <c r="P8" s="106"/>
      <c r="Q8" s="106"/>
      <c r="R8" s="106"/>
      <c r="S8" s="106"/>
      <c r="T8" s="106"/>
      <c r="U8" s="106"/>
      <c r="V8" s="201" t="s">
        <v>207</v>
      </c>
      <c r="W8" s="201" t="s">
        <v>208</v>
      </c>
      <c r="X8" s="106"/>
      <c r="Y8" s="201" t="s">
        <v>100</v>
      </c>
      <c r="Z8" s="201">
        <v>1.0</v>
      </c>
      <c r="AA8" s="106"/>
      <c r="AB8" s="106"/>
      <c r="AC8" s="201">
        <v>1.0</v>
      </c>
      <c r="AD8" s="106"/>
      <c r="AE8" s="106"/>
      <c r="AF8" s="106"/>
      <c r="AG8" s="201" t="s">
        <v>209</v>
      </c>
      <c r="AH8" s="115">
        <v>1.0</v>
      </c>
      <c r="AI8" s="115">
        <v>1.0</v>
      </c>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v>1.0</v>
      </c>
    </row>
    <row r="9">
      <c r="A9" s="192" t="str">
        <f>HYPERLINK("https://drive.google.com/open?id=1iqR3K7cP7KEfWXHDBqrsjxGg-EhkKSrw","Corritore1999")</f>
        <v>Corritore1999</v>
      </c>
      <c r="B9" s="200" t="s">
        <v>361</v>
      </c>
      <c r="C9" s="201" t="s">
        <v>362</v>
      </c>
      <c r="D9" s="201">
        <v>1999.0</v>
      </c>
      <c r="E9" s="106"/>
      <c r="F9" s="106"/>
      <c r="G9" s="106"/>
      <c r="H9" s="106"/>
      <c r="I9" s="106"/>
      <c r="J9" s="201">
        <v>1.0</v>
      </c>
      <c r="K9" s="106"/>
      <c r="L9" s="106"/>
      <c r="M9" s="106"/>
      <c r="N9" s="106"/>
      <c r="O9" s="106"/>
      <c r="P9" s="106"/>
      <c r="Q9" s="106"/>
      <c r="R9" s="106"/>
      <c r="S9" s="106"/>
      <c r="T9" s="106"/>
      <c r="U9" s="201" t="s">
        <v>363</v>
      </c>
      <c r="V9" s="201" t="s">
        <v>364</v>
      </c>
      <c r="W9" s="201" t="s">
        <v>365</v>
      </c>
      <c r="X9" s="201" t="s">
        <v>366</v>
      </c>
      <c r="Y9" s="201" t="s">
        <v>100</v>
      </c>
      <c r="Z9" s="201">
        <v>1.0</v>
      </c>
      <c r="AA9" s="106"/>
      <c r="AB9" s="106"/>
      <c r="AC9" s="201">
        <v>1.0</v>
      </c>
      <c r="AD9" s="106"/>
      <c r="AE9" s="106"/>
      <c r="AF9" s="106"/>
      <c r="AG9" s="201" t="s">
        <v>367</v>
      </c>
      <c r="AH9" s="115">
        <v>1.0</v>
      </c>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15">
        <v>1.0</v>
      </c>
      <c r="BJ9" s="124"/>
      <c r="BK9" s="124"/>
      <c r="BL9" s="115">
        <v>1.0</v>
      </c>
      <c r="BM9" s="124"/>
      <c r="BN9" s="124"/>
      <c r="BO9" s="124"/>
      <c r="BP9" s="124"/>
      <c r="BQ9" s="124"/>
      <c r="BR9" s="124"/>
      <c r="BS9" s="124"/>
      <c r="BT9" s="124"/>
      <c r="BU9" s="124"/>
      <c r="BV9" s="124"/>
      <c r="BW9" s="124"/>
      <c r="BX9" s="115">
        <v>1.0</v>
      </c>
      <c r="BY9" s="124"/>
      <c r="BZ9" s="115"/>
      <c r="CA9" s="124"/>
    </row>
    <row r="10">
      <c r="A10" s="198" t="str">
        <f>HYPERLINK("https://drive.google.com/open?id=14IlZpfQv8PT8Zy3ZqFGUPu9lkuFdJUM4","Cruz-Lemus2009")</f>
        <v>Cruz-Lemus2009</v>
      </c>
      <c r="B10" s="200" t="s">
        <v>368</v>
      </c>
      <c r="C10" s="201" t="s">
        <v>268</v>
      </c>
      <c r="D10" s="201">
        <v>2009.0</v>
      </c>
      <c r="E10" s="106"/>
      <c r="F10" s="106"/>
      <c r="G10" s="201"/>
      <c r="H10" s="106"/>
      <c r="I10" s="106"/>
      <c r="J10" s="201">
        <v>1.0</v>
      </c>
      <c r="K10" s="106"/>
      <c r="L10" s="106"/>
      <c r="M10" s="106"/>
      <c r="N10" s="106"/>
      <c r="O10" s="106"/>
      <c r="P10" s="106"/>
      <c r="Q10" s="106"/>
      <c r="R10" s="106"/>
      <c r="S10" s="106"/>
      <c r="T10" s="106"/>
      <c r="U10" s="201" t="s">
        <v>369</v>
      </c>
      <c r="V10" s="201" t="s">
        <v>370</v>
      </c>
      <c r="W10" s="201" t="s">
        <v>371</v>
      </c>
      <c r="X10" s="201" t="s">
        <v>372</v>
      </c>
      <c r="Y10" s="201" t="s">
        <v>100</v>
      </c>
      <c r="Z10" s="201">
        <v>1.0</v>
      </c>
      <c r="AA10" s="106"/>
      <c r="AB10" s="106"/>
      <c r="AC10" s="201">
        <v>1.0</v>
      </c>
      <c r="AD10" s="106"/>
      <c r="AE10" s="106"/>
      <c r="AF10" s="106"/>
      <c r="AG10" s="201" t="s">
        <v>373</v>
      </c>
      <c r="AH10" s="115">
        <v>1.0</v>
      </c>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15" t="s">
        <v>1240</v>
      </c>
      <c r="BE10" s="124"/>
      <c r="BF10" s="124"/>
      <c r="BG10" s="124"/>
      <c r="BH10" s="124"/>
      <c r="BI10" s="115" t="s">
        <v>1240</v>
      </c>
      <c r="BJ10" s="124"/>
      <c r="BK10" s="124"/>
      <c r="BL10" s="124"/>
      <c r="BM10" s="124"/>
      <c r="BN10" s="124"/>
      <c r="BO10" s="124"/>
      <c r="BP10" s="124"/>
      <c r="BQ10" s="124"/>
      <c r="BR10" s="124"/>
      <c r="BS10" s="124"/>
      <c r="BT10" s="124"/>
      <c r="BU10" s="124"/>
      <c r="BV10" s="124"/>
      <c r="BW10" s="124"/>
      <c r="BX10" s="115">
        <v>1.0</v>
      </c>
      <c r="BY10" s="124"/>
      <c r="BZ10" s="124"/>
      <c r="CA10" s="124"/>
    </row>
    <row r="11">
      <c r="A11" s="192" t="str">
        <f>HYPERLINK("https://drive.google.com/open?id=1_ak7t8NRAlUHkfNlShgYpUa0Y64up_k_","Curtis1979")</f>
        <v>Curtis1979</v>
      </c>
      <c r="B11" s="200" t="s">
        <v>374</v>
      </c>
      <c r="C11" s="201" t="s">
        <v>375</v>
      </c>
      <c r="D11" s="201">
        <v>1979.0</v>
      </c>
      <c r="E11" s="106"/>
      <c r="F11" s="106"/>
      <c r="G11" s="106"/>
      <c r="H11" s="106"/>
      <c r="I11" s="106"/>
      <c r="J11" s="201">
        <v>1.0</v>
      </c>
      <c r="K11" s="106"/>
      <c r="L11" s="106"/>
      <c r="M11" s="106"/>
      <c r="N11" s="106"/>
      <c r="O11" s="106"/>
      <c r="P11" s="106"/>
      <c r="Q11" s="106"/>
      <c r="R11" s="106"/>
      <c r="S11" s="106"/>
      <c r="T11" s="106"/>
      <c r="U11" s="106"/>
      <c r="V11" s="201" t="s">
        <v>376</v>
      </c>
      <c r="W11" s="201" t="s">
        <v>377</v>
      </c>
      <c r="X11" s="205" t="s">
        <v>378</v>
      </c>
      <c r="Y11" s="201" t="s">
        <v>100</v>
      </c>
      <c r="Z11" s="201">
        <v>1.0</v>
      </c>
      <c r="AA11" s="106"/>
      <c r="AB11" s="106"/>
      <c r="AC11" s="201">
        <v>1.0</v>
      </c>
      <c r="AD11" s="106"/>
      <c r="AE11" s="106"/>
      <c r="AF11" s="106"/>
      <c r="AG11" s="201" t="s">
        <v>379</v>
      </c>
      <c r="AH11" s="115">
        <v>1.0</v>
      </c>
      <c r="AI11" s="115"/>
      <c r="AJ11" s="115"/>
      <c r="AK11" s="115"/>
      <c r="AL11" s="115"/>
      <c r="AM11" s="115">
        <v>1.0</v>
      </c>
      <c r="AN11" s="115"/>
      <c r="AO11" s="115"/>
      <c r="AP11" s="115"/>
      <c r="AQ11" s="115"/>
      <c r="AR11" s="115"/>
      <c r="AS11" s="115"/>
      <c r="AT11" s="115"/>
      <c r="AU11" s="115"/>
      <c r="AV11" s="115"/>
      <c r="AW11" s="115"/>
      <c r="AX11" s="115"/>
      <c r="AY11" s="115"/>
      <c r="AZ11" s="115"/>
      <c r="BA11" s="115"/>
      <c r="BB11" s="115"/>
      <c r="BC11" s="115"/>
      <c r="BD11" s="115">
        <v>1.0</v>
      </c>
      <c r="BE11" s="115"/>
      <c r="BF11" s="115"/>
      <c r="BG11" s="115"/>
      <c r="BH11" s="115"/>
      <c r="BI11" s="115"/>
      <c r="BJ11" s="115"/>
      <c r="BK11" s="115"/>
      <c r="BL11" s="115"/>
      <c r="BM11" s="115"/>
      <c r="BN11" s="115"/>
      <c r="BO11" s="115"/>
      <c r="BP11" s="115"/>
      <c r="BQ11" s="115"/>
      <c r="BR11" s="115"/>
      <c r="BS11" s="115"/>
      <c r="BT11" s="115"/>
      <c r="BU11" s="115"/>
      <c r="BV11" s="115"/>
      <c r="BW11" s="115"/>
      <c r="BX11" s="115">
        <v>1.0</v>
      </c>
      <c r="BY11" s="115"/>
      <c r="BZ11" s="115"/>
      <c r="CA11" s="115"/>
    </row>
    <row r="12">
      <c r="A12" s="198" t="str">
        <f>HYPERLINK("https://drive.google.com/open?id=1HDSfZX6mUBhrYf-hLFeafUVax6Rj7g1M","Curtis1988")</f>
        <v>Curtis1988</v>
      </c>
      <c r="B12" s="200" t="s">
        <v>380</v>
      </c>
      <c r="C12" s="201" t="s">
        <v>381</v>
      </c>
      <c r="D12" s="201">
        <v>1988.0</v>
      </c>
      <c r="E12" s="106"/>
      <c r="F12" s="201">
        <v>1.0</v>
      </c>
      <c r="G12" s="201">
        <v>1.0</v>
      </c>
      <c r="H12" s="106"/>
      <c r="I12" s="106"/>
      <c r="J12" s="106"/>
      <c r="K12" s="106"/>
      <c r="L12" s="106"/>
      <c r="M12" s="201">
        <v>1.0</v>
      </c>
      <c r="N12" s="106"/>
      <c r="O12" s="106"/>
      <c r="P12" s="106"/>
      <c r="Q12" s="106"/>
      <c r="R12" s="106"/>
      <c r="S12" s="106"/>
      <c r="T12" s="106"/>
      <c r="U12" s="201" t="s">
        <v>382</v>
      </c>
      <c r="V12" s="106"/>
      <c r="W12" s="106"/>
      <c r="X12" s="106"/>
      <c r="Y12" s="201" t="s">
        <v>383</v>
      </c>
      <c r="Z12" s="106"/>
      <c r="AA12" s="201">
        <v>1.0</v>
      </c>
      <c r="AB12" s="106"/>
      <c r="AC12" s="201">
        <v>1.0</v>
      </c>
      <c r="AD12" s="106"/>
      <c r="AE12" s="106"/>
      <c r="AF12" s="106"/>
      <c r="AG12" s="201" t="s">
        <v>384</v>
      </c>
      <c r="AH12" s="115" t="s">
        <v>1240</v>
      </c>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c r="A13" s="192" t="str">
        <f>HYPERLINK("https://drive.google.com/open?id=10LsMmsYvJU5QcU6q_GW6uHkGNSJZjPmr","Davies1994")</f>
        <v>Davies1994</v>
      </c>
      <c r="B13" s="200" t="s">
        <v>396</v>
      </c>
      <c r="C13" s="200" t="s">
        <v>362</v>
      </c>
      <c r="D13" s="201">
        <v>1994.0</v>
      </c>
      <c r="E13" s="106"/>
      <c r="F13" s="106"/>
      <c r="G13" s="106"/>
      <c r="H13" s="201">
        <v>1.0</v>
      </c>
      <c r="I13" s="106"/>
      <c r="J13" s="106"/>
      <c r="K13" s="106"/>
      <c r="L13" s="106"/>
      <c r="M13" s="106"/>
      <c r="N13" s="106"/>
      <c r="O13" s="106"/>
      <c r="P13" s="106"/>
      <c r="Q13" s="106"/>
      <c r="R13" s="106"/>
      <c r="S13" s="106"/>
      <c r="T13" s="106"/>
      <c r="U13" s="201" t="s">
        <v>397</v>
      </c>
      <c r="V13" s="201" t="s">
        <v>398</v>
      </c>
      <c r="W13" s="201" t="s">
        <v>399</v>
      </c>
      <c r="X13" s="201" t="s">
        <v>400</v>
      </c>
      <c r="Y13" s="201" t="s">
        <v>100</v>
      </c>
      <c r="Z13" s="201">
        <v>1.0</v>
      </c>
      <c r="AA13" s="106"/>
      <c r="AB13" s="106"/>
      <c r="AC13" s="201">
        <v>1.0</v>
      </c>
      <c r="AD13" s="106"/>
      <c r="AE13" s="106"/>
      <c r="AF13" s="106"/>
      <c r="AG13" s="201" t="s">
        <v>401</v>
      </c>
      <c r="AH13" s="115">
        <v>1.0</v>
      </c>
      <c r="AI13" s="115"/>
      <c r="AJ13" s="115"/>
      <c r="AK13" s="115"/>
      <c r="AL13" s="115"/>
      <c r="AM13" s="115">
        <v>1.0</v>
      </c>
      <c r="AN13" s="115"/>
      <c r="AO13" s="115"/>
      <c r="AP13" s="115"/>
      <c r="AQ13" s="115"/>
      <c r="AR13" s="115"/>
      <c r="AS13" s="115"/>
      <c r="AT13" s="115"/>
      <c r="AU13" s="115"/>
      <c r="AV13" s="115"/>
      <c r="AW13" s="115"/>
      <c r="AX13" s="115"/>
      <c r="AY13" s="115"/>
      <c r="AZ13" s="115"/>
      <c r="BA13" s="115"/>
      <c r="BB13" s="115"/>
      <c r="BC13" s="115"/>
      <c r="BD13" s="115">
        <v>1.0</v>
      </c>
      <c r="BE13" s="115"/>
      <c r="BF13" s="115"/>
      <c r="BG13" s="115"/>
      <c r="BH13" s="115"/>
      <c r="BI13" s="115">
        <v>1.0</v>
      </c>
      <c r="BJ13" s="115"/>
      <c r="BK13" s="115"/>
      <c r="BL13" s="115"/>
      <c r="BM13" s="115"/>
      <c r="BN13" s="115"/>
      <c r="BO13" s="115"/>
      <c r="BP13" s="115"/>
      <c r="BQ13" s="115"/>
      <c r="BR13" s="115"/>
      <c r="BS13" s="115"/>
      <c r="BT13" s="115"/>
      <c r="BU13" s="115"/>
      <c r="BV13" s="115"/>
      <c r="BW13" s="115"/>
      <c r="BX13" s="115">
        <v>1.0</v>
      </c>
      <c r="BY13" s="115"/>
      <c r="BZ13" s="115"/>
      <c r="CA13" s="115"/>
    </row>
    <row r="14">
      <c r="A14" s="192" t="str">
        <f>HYPERLINK("https://drive.google.com/open?id=1XhePEcoTdktQOS-EKHF9Q7AqIkQ3KzM4","Guindon1986")</f>
        <v>Guindon1986</v>
      </c>
      <c r="B14" s="200" t="s">
        <v>531</v>
      </c>
      <c r="C14" s="200" t="s">
        <v>532</v>
      </c>
      <c r="D14" s="201">
        <v>1986.0</v>
      </c>
      <c r="E14" s="106"/>
      <c r="F14" s="106"/>
      <c r="G14" s="201">
        <v>1.0</v>
      </c>
      <c r="H14" s="106"/>
      <c r="I14" s="106"/>
      <c r="J14" s="106"/>
      <c r="K14" s="106"/>
      <c r="L14" s="106"/>
      <c r="M14" s="106"/>
      <c r="N14" s="106"/>
      <c r="O14" s="106"/>
      <c r="P14" s="106"/>
      <c r="Q14" s="106"/>
      <c r="R14" s="106"/>
      <c r="S14" s="106"/>
      <c r="T14" s="106"/>
      <c r="U14" s="106"/>
      <c r="V14" s="201" t="s">
        <v>533</v>
      </c>
      <c r="W14" s="106"/>
      <c r="X14" s="201" t="s">
        <v>534</v>
      </c>
      <c r="Y14" s="201" t="s">
        <v>535</v>
      </c>
      <c r="Z14" s="106"/>
      <c r="AA14" s="106"/>
      <c r="AB14" s="106"/>
      <c r="AC14" s="201">
        <v>1.0</v>
      </c>
      <c r="AD14" s="106"/>
      <c r="AE14" s="106"/>
      <c r="AF14" s="106"/>
      <c r="AG14" s="201" t="s">
        <v>536</v>
      </c>
      <c r="AH14" s="115">
        <v>1.0</v>
      </c>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v>1.0</v>
      </c>
      <c r="BJ14" s="115"/>
      <c r="BK14" s="115"/>
      <c r="BL14" s="115"/>
      <c r="BM14" s="115"/>
      <c r="BN14" s="115"/>
      <c r="BO14" s="115"/>
      <c r="BP14" s="115"/>
      <c r="BQ14" s="115"/>
      <c r="BR14" s="115"/>
      <c r="BS14" s="115"/>
      <c r="BT14" s="115"/>
      <c r="BU14" s="115">
        <v>1.0</v>
      </c>
      <c r="BV14" s="115"/>
      <c r="BW14" s="115"/>
      <c r="BX14" s="115"/>
      <c r="BY14" s="115"/>
      <c r="BZ14" s="115"/>
      <c r="CA14" s="115"/>
    </row>
    <row r="15">
      <c r="A15" s="46" t="s">
        <v>4548</v>
      </c>
      <c r="B15" s="200" t="s">
        <v>4643</v>
      </c>
      <c r="C15" s="188" t="s">
        <v>4644</v>
      </c>
      <c r="D15" s="201">
        <v>1987.0</v>
      </c>
      <c r="E15" s="201">
        <v>1.0</v>
      </c>
      <c r="F15" s="106"/>
      <c r="G15" s="106"/>
      <c r="H15" s="106"/>
      <c r="I15" s="106"/>
      <c r="J15" s="106"/>
      <c r="K15" s="106"/>
      <c r="L15" s="106"/>
      <c r="M15" s="106"/>
      <c r="N15" s="106"/>
      <c r="O15" s="106"/>
      <c r="P15" s="106"/>
      <c r="Q15" s="106"/>
      <c r="R15" s="106"/>
      <c r="S15" s="106"/>
      <c r="T15" s="106"/>
      <c r="U15" s="106"/>
      <c r="V15" s="106"/>
      <c r="W15" s="106"/>
      <c r="X15" s="106"/>
      <c r="Y15" s="106"/>
      <c r="Z15" s="106"/>
      <c r="AA15" s="106"/>
      <c r="AB15" s="106"/>
      <c r="AC15" s="106"/>
      <c r="AD15" s="106"/>
      <c r="AE15" s="106"/>
      <c r="AF15" s="106"/>
      <c r="AG15" s="106"/>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c r="A16" s="138" t="str">
        <f>HYPERLINK("https://drive.google.com/open?id=17WyDMcyD-X-XbfHH6x7Lg2YNgZ1IOuNx","Hahn1999")</f>
        <v>Hahn1999</v>
      </c>
      <c r="B16" s="200" t="s">
        <v>543</v>
      </c>
      <c r="C16" s="201" t="s">
        <v>544</v>
      </c>
      <c r="D16" s="140">
        <v>1999.0</v>
      </c>
      <c r="E16" s="106"/>
      <c r="F16" s="106"/>
      <c r="G16" s="201">
        <v>1.0</v>
      </c>
      <c r="H16" s="106"/>
      <c r="I16" s="106"/>
      <c r="J16" s="106"/>
      <c r="K16" s="106"/>
      <c r="L16" s="106"/>
      <c r="M16" s="106"/>
      <c r="N16" s="106"/>
      <c r="O16" s="106"/>
      <c r="P16" s="106"/>
      <c r="Q16" s="106"/>
      <c r="R16" s="106"/>
      <c r="S16" s="106"/>
      <c r="T16" s="106"/>
      <c r="U16" s="201" t="s">
        <v>545</v>
      </c>
      <c r="V16" s="201" t="s">
        <v>546</v>
      </c>
      <c r="W16" s="201" t="s">
        <v>547</v>
      </c>
      <c r="X16" s="201" t="s">
        <v>548</v>
      </c>
      <c r="Y16" s="201" t="s">
        <v>100</v>
      </c>
      <c r="Z16" s="201">
        <v>1.0</v>
      </c>
      <c r="AA16" s="106"/>
      <c r="AB16" s="201">
        <v>1.0</v>
      </c>
      <c r="AC16" s="201">
        <v>1.0</v>
      </c>
      <c r="AD16" s="106"/>
      <c r="AE16" s="106"/>
      <c r="AF16" s="106"/>
      <c r="AG16" s="201" t="s">
        <v>549</v>
      </c>
      <c r="AH16" s="115">
        <v>1.0</v>
      </c>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v>1.0</v>
      </c>
      <c r="BJ16" s="115"/>
      <c r="BK16" s="115"/>
      <c r="BL16" s="115"/>
      <c r="BM16" s="115"/>
      <c r="BN16" s="115"/>
      <c r="BO16" s="115"/>
      <c r="BP16" s="115"/>
      <c r="BQ16" s="115"/>
      <c r="BR16" s="115"/>
      <c r="BS16" s="115"/>
      <c r="BT16" s="115"/>
      <c r="BU16" s="115"/>
      <c r="BV16" s="115"/>
      <c r="BW16" s="115"/>
      <c r="BX16" s="115">
        <v>1.0</v>
      </c>
      <c r="BY16" s="115"/>
      <c r="BZ16" s="115"/>
      <c r="CA16" s="115"/>
    </row>
    <row r="17">
      <c r="A17" s="139" t="str">
        <f>HYPERLINK("https://drive.google.com/open?id=1nvYFpYsWyzDg4wyic2k_LXl6V8iUx36L","Hansen2012a")</f>
        <v>Hansen2012a</v>
      </c>
      <c r="B17" s="200" t="s">
        <v>550</v>
      </c>
      <c r="C17" s="200" t="s">
        <v>551</v>
      </c>
      <c r="D17" s="201">
        <v>2012.0</v>
      </c>
      <c r="E17" s="106"/>
      <c r="F17" s="201">
        <v>1.0</v>
      </c>
      <c r="G17" s="106"/>
      <c r="H17" s="106"/>
      <c r="I17" s="106"/>
      <c r="J17" s="106"/>
      <c r="K17" s="106"/>
      <c r="L17" s="106"/>
      <c r="M17" s="106"/>
      <c r="N17" s="106"/>
      <c r="O17" s="106"/>
      <c r="P17" s="106"/>
      <c r="Q17" s="106"/>
      <c r="R17" s="106"/>
      <c r="S17" s="106"/>
      <c r="T17" s="106"/>
      <c r="U17" s="201" t="s">
        <v>552</v>
      </c>
      <c r="V17" s="106"/>
      <c r="W17" s="106"/>
      <c r="X17" s="106"/>
      <c r="Y17" s="201" t="s">
        <v>100</v>
      </c>
      <c r="AA17" s="201">
        <v>1.0</v>
      </c>
      <c r="AB17" s="106"/>
      <c r="AC17" s="201">
        <v>1.0</v>
      </c>
      <c r="AD17" s="106"/>
      <c r="AE17" s="106"/>
      <c r="AF17" s="106"/>
      <c r="AG17" s="201" t="s">
        <v>553</v>
      </c>
      <c r="AH17" s="115" t="s">
        <v>1240</v>
      </c>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c r="A18" s="139" t="str">
        <f>HYPERLINK("https://drive.google.com/open?id=1Ni6BexeXJyhJK7nU8e7SpC64IosRFVx4","Hansen2012b")</f>
        <v>Hansen2012b</v>
      </c>
      <c r="B18" s="200" t="s">
        <v>554</v>
      </c>
      <c r="C18" s="200" t="s">
        <v>555</v>
      </c>
      <c r="D18" s="201">
        <v>2012.0</v>
      </c>
      <c r="E18" s="106"/>
      <c r="F18" s="106"/>
      <c r="G18" s="201">
        <v>1.0</v>
      </c>
      <c r="H18" s="106"/>
      <c r="I18" s="106"/>
      <c r="J18" s="106"/>
      <c r="K18" s="106"/>
      <c r="L18" s="106"/>
      <c r="M18" s="106"/>
      <c r="N18" s="106"/>
      <c r="O18" s="106"/>
      <c r="P18" s="106"/>
      <c r="Q18" s="106"/>
      <c r="R18" s="106"/>
      <c r="S18" s="106"/>
      <c r="T18" s="106"/>
      <c r="U18" s="201" t="s">
        <v>556</v>
      </c>
      <c r="V18" s="201" t="s">
        <v>557</v>
      </c>
      <c r="W18" s="201" t="s">
        <v>525</v>
      </c>
      <c r="X18" s="106"/>
      <c r="Y18" s="201" t="s">
        <v>100</v>
      </c>
      <c r="Z18" s="201">
        <v>1.0</v>
      </c>
      <c r="AA18" s="106"/>
      <c r="AB18" s="201">
        <v>1.0</v>
      </c>
      <c r="AC18" s="106"/>
      <c r="AD18" s="106"/>
      <c r="AE18" s="106"/>
      <c r="AF18" s="106"/>
      <c r="AG18" s="201" t="s">
        <v>558</v>
      </c>
      <c r="AH18" s="115">
        <v>1.0</v>
      </c>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row>
    <row r="19">
      <c r="A19" s="138" t="str">
        <f>HYPERLINK("https://drive.google.com/open?id=1wnybH-nhZRcI_fhtD5Xhg0zw6Ggq82ut","Love1977")</f>
        <v>Love1977</v>
      </c>
      <c r="B19" s="200" t="s">
        <v>709</v>
      </c>
      <c r="C19" s="200" t="s">
        <v>710</v>
      </c>
      <c r="D19" s="201">
        <v>1977.0</v>
      </c>
      <c r="E19" s="106"/>
      <c r="F19" s="106"/>
      <c r="G19" s="106"/>
      <c r="H19" s="106"/>
      <c r="I19" s="106"/>
      <c r="J19" s="201">
        <v>1.0</v>
      </c>
      <c r="K19" s="106"/>
      <c r="L19" s="106"/>
      <c r="M19" s="106"/>
      <c r="N19" s="106"/>
      <c r="O19" s="106"/>
      <c r="P19" s="106"/>
      <c r="Q19" s="106"/>
      <c r="R19" s="106"/>
      <c r="S19" s="106"/>
      <c r="T19" s="106"/>
      <c r="U19" s="106"/>
      <c r="V19" s="201" t="s">
        <v>711</v>
      </c>
      <c r="W19" s="201" t="s">
        <v>712</v>
      </c>
      <c r="X19" s="201" t="s">
        <v>713</v>
      </c>
      <c r="Y19" s="201" t="s">
        <v>100</v>
      </c>
      <c r="Z19" s="201">
        <v>1.0</v>
      </c>
      <c r="AA19" s="106"/>
      <c r="AB19" s="106"/>
      <c r="AC19" s="201">
        <v>1.0</v>
      </c>
      <c r="AD19" s="106"/>
      <c r="AE19" s="106"/>
      <c r="AF19" s="106"/>
      <c r="AG19" s="201" t="s">
        <v>714</v>
      </c>
      <c r="AH19" s="115">
        <v>1.0</v>
      </c>
      <c r="AI19" s="115"/>
      <c r="AJ19" s="115"/>
      <c r="AK19" s="115"/>
      <c r="AL19" s="115"/>
      <c r="AM19" s="115">
        <v>1.0</v>
      </c>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v>1.0</v>
      </c>
      <c r="BJ19" s="115"/>
      <c r="BK19" s="115"/>
      <c r="BL19" s="115"/>
      <c r="BM19" s="115"/>
      <c r="BN19" s="115"/>
      <c r="BO19" s="115"/>
      <c r="BP19" s="115"/>
      <c r="BQ19" s="115"/>
      <c r="BR19" s="115"/>
      <c r="BS19" s="115"/>
      <c r="BT19" s="115"/>
      <c r="BU19" s="115"/>
      <c r="BV19" s="115"/>
      <c r="BW19" s="115"/>
      <c r="BX19" s="115">
        <v>1.0</v>
      </c>
      <c r="BY19" s="115"/>
      <c r="BZ19" s="115"/>
      <c r="CA19" s="115"/>
    </row>
    <row r="20">
      <c r="A20" s="139" t="str">
        <f>HYPERLINK("https://drive.google.com/open?id=1FrWZcpMcD9HhHZUuGY5JfjAYJIFnczOF","Malhotra1980")</f>
        <v>Malhotra1980</v>
      </c>
      <c r="B20" s="188" t="s">
        <v>726</v>
      </c>
      <c r="C20" s="200" t="s">
        <v>727</v>
      </c>
      <c r="D20" s="201">
        <v>1980.0</v>
      </c>
      <c r="E20" s="106"/>
      <c r="F20" s="201">
        <v>1.0</v>
      </c>
      <c r="G20" s="201">
        <v>1.0</v>
      </c>
      <c r="H20" s="106"/>
      <c r="I20" s="106"/>
      <c r="J20" s="106"/>
      <c r="K20" s="106"/>
      <c r="L20" s="106"/>
      <c r="M20" s="106"/>
      <c r="N20" s="106"/>
      <c r="O20" s="106"/>
      <c r="P20" s="106"/>
      <c r="Q20" s="106"/>
      <c r="R20" s="106"/>
      <c r="S20" s="106"/>
      <c r="T20" s="106"/>
      <c r="U20" s="106"/>
      <c r="V20" s="201" t="s">
        <v>728</v>
      </c>
      <c r="W20" s="201" t="s">
        <v>729</v>
      </c>
      <c r="X20" s="201" t="s">
        <v>730</v>
      </c>
      <c r="Y20" s="201" t="s">
        <v>100</v>
      </c>
      <c r="Z20" s="201">
        <v>1.0</v>
      </c>
      <c r="AA20" s="201">
        <v>1.0</v>
      </c>
      <c r="AB20" s="106"/>
      <c r="AC20" s="201">
        <v>1.0</v>
      </c>
      <c r="AD20" s="106"/>
      <c r="AE20" s="106"/>
      <c r="AF20" s="106"/>
      <c r="AG20" s="201" t="s">
        <v>731</v>
      </c>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row>
    <row r="21">
      <c r="A21" s="139" t="str">
        <f>HYPERLINK("https://drive.google.com/open?id=1krfqDFvrztoo8N34QZSAXBCr2TQfIB3w","Malhotra2012")</f>
        <v>Malhotra2012</v>
      </c>
      <c r="B21" s="200" t="s">
        <v>4645</v>
      </c>
      <c r="C21" s="200" t="s">
        <v>4646</v>
      </c>
      <c r="D21" s="201">
        <v>2012.0</v>
      </c>
      <c r="E21" s="201">
        <v>1.0</v>
      </c>
      <c r="F21" s="201">
        <v>1.0</v>
      </c>
      <c r="G21" s="201">
        <v>1.0</v>
      </c>
      <c r="H21" s="106"/>
      <c r="I21" s="106"/>
      <c r="J21" s="106"/>
      <c r="K21" s="106"/>
      <c r="L21" s="106"/>
      <c r="M21" s="106"/>
      <c r="N21" s="106"/>
      <c r="O21" s="106"/>
      <c r="P21" s="106"/>
      <c r="Q21" s="106"/>
      <c r="R21" s="106"/>
      <c r="S21" s="106"/>
      <c r="T21" s="106"/>
      <c r="U21" s="106"/>
      <c r="V21" s="201" t="s">
        <v>4647</v>
      </c>
      <c r="W21" s="106"/>
      <c r="X21" s="106"/>
      <c r="Y21" s="201" t="s">
        <v>4648</v>
      </c>
      <c r="Z21" s="201">
        <v>1.0</v>
      </c>
      <c r="AA21" s="106"/>
      <c r="AB21" s="201">
        <v>1.0</v>
      </c>
      <c r="AC21" s="106"/>
      <c r="AD21" s="106"/>
      <c r="AE21" s="106"/>
      <c r="AF21" s="106"/>
      <c r="AG21" s="201" t="s">
        <v>4649</v>
      </c>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row>
    <row r="22">
      <c r="A22" s="138" t="str">
        <f>HYPERLINK("https://drive.google.com/open?id=1HqVyD5-5zkSEXYFgRz5OWioz8Pr87qJW","Maier2014")</f>
        <v>Maier2014</v>
      </c>
      <c r="B22" s="200" t="s">
        <v>715</v>
      </c>
      <c r="C22" s="200" t="s">
        <v>716</v>
      </c>
      <c r="D22" s="201">
        <v>2014.0</v>
      </c>
      <c r="E22" s="106"/>
      <c r="F22" s="201">
        <v>1.0</v>
      </c>
      <c r="G22" s="201">
        <v>1.0</v>
      </c>
      <c r="H22" s="106"/>
      <c r="I22" s="106"/>
      <c r="J22" s="201">
        <v>1.0</v>
      </c>
      <c r="K22" s="106"/>
      <c r="L22" s="106"/>
      <c r="M22" s="106"/>
      <c r="N22" s="106"/>
      <c r="O22" s="106"/>
      <c r="P22" s="106"/>
      <c r="Q22" s="106"/>
      <c r="R22" s="106"/>
      <c r="S22" s="106"/>
      <c r="T22" s="106"/>
      <c r="U22" s="106"/>
      <c r="V22" s="201" t="s">
        <v>717</v>
      </c>
      <c r="W22" s="201" t="s">
        <v>718</v>
      </c>
      <c r="X22" s="201" t="s">
        <v>719</v>
      </c>
      <c r="Y22" s="201" t="s">
        <v>100</v>
      </c>
      <c r="Z22" s="201">
        <v>1.0</v>
      </c>
      <c r="AA22" s="106"/>
      <c r="AB22" s="106"/>
      <c r="AC22" s="201">
        <v>1.0</v>
      </c>
      <c r="AD22" s="106"/>
      <c r="AE22" s="106"/>
      <c r="AF22" s="106"/>
      <c r="AG22" s="201" t="s">
        <v>720</v>
      </c>
      <c r="AH22" s="115">
        <v>1.0</v>
      </c>
      <c r="AI22" s="115"/>
      <c r="AJ22" s="115"/>
      <c r="AK22" s="115"/>
      <c r="AL22" s="115"/>
      <c r="AM22" s="115"/>
      <c r="AN22" s="115"/>
      <c r="AO22" s="115"/>
      <c r="AP22" s="115"/>
      <c r="AQ22" s="115">
        <v>1.0</v>
      </c>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v>1.0</v>
      </c>
    </row>
    <row r="23">
      <c r="A23" s="138" t="str">
        <f>HYPERLINK("https://drive.google.com/open?id=1PiNjew3gWjNn6w4-XfXkAHMjdkppzWpX","McKeithen1981")</f>
        <v>McKeithen1981</v>
      </c>
      <c r="B23" s="200" t="s">
        <v>732</v>
      </c>
      <c r="C23" s="200" t="s">
        <v>733</v>
      </c>
      <c r="D23" s="201">
        <v>1981.0</v>
      </c>
      <c r="E23" s="106"/>
      <c r="F23" s="106"/>
      <c r="G23" s="106"/>
      <c r="H23" s="106"/>
      <c r="I23" s="106"/>
      <c r="J23" s="201">
        <v>1.0</v>
      </c>
      <c r="K23" s="106"/>
      <c r="L23" s="106"/>
      <c r="M23" s="106"/>
      <c r="N23" s="106"/>
      <c r="O23" s="106"/>
      <c r="P23" s="106"/>
      <c r="Q23" s="106"/>
      <c r="R23" s="106"/>
      <c r="S23" s="106"/>
      <c r="T23" s="106"/>
      <c r="U23" s="106"/>
      <c r="V23" s="201" t="s">
        <v>734</v>
      </c>
      <c r="W23" s="201" t="s">
        <v>735</v>
      </c>
      <c r="X23" s="201" t="s">
        <v>736</v>
      </c>
      <c r="Y23" s="201" t="s">
        <v>100</v>
      </c>
      <c r="Z23" s="201">
        <v>1.0</v>
      </c>
      <c r="AA23" s="106"/>
      <c r="AB23" s="106"/>
      <c r="AC23" s="201">
        <v>1.0</v>
      </c>
      <c r="AD23" s="106"/>
      <c r="AE23" s="106"/>
      <c r="AF23" s="106"/>
      <c r="AG23" s="201" t="s">
        <v>737</v>
      </c>
      <c r="AH23" s="115">
        <v>1.0</v>
      </c>
      <c r="AI23" s="124"/>
      <c r="AJ23" s="124"/>
      <c r="AK23" s="124"/>
      <c r="AL23" s="124"/>
      <c r="AM23" s="115">
        <v>1.0</v>
      </c>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15">
        <v>1.0</v>
      </c>
      <c r="BJ23" s="124"/>
      <c r="BK23" s="124"/>
      <c r="BL23" s="124"/>
      <c r="BM23" s="124"/>
      <c r="BN23" s="124"/>
      <c r="BO23" s="124"/>
      <c r="BP23" s="124"/>
      <c r="BQ23" s="124"/>
      <c r="BR23" s="124"/>
      <c r="BS23" s="124"/>
      <c r="BT23" s="124"/>
      <c r="BU23" s="124"/>
      <c r="BV23" s="124"/>
      <c r="BW23" s="124"/>
      <c r="BX23" s="115">
        <v>1.0</v>
      </c>
      <c r="BY23" s="124"/>
      <c r="BZ23" s="124"/>
      <c r="CA23" s="124"/>
    </row>
    <row r="24">
      <c r="A24" s="139" t="str">
        <f>HYPERLINK("https://drive.google.com/open?id=1J0G-4q-o4jLVgqWldTs3OBrQh6Mtzzs1","Ricca2010")</f>
        <v>Ricca2010</v>
      </c>
      <c r="B24" s="200" t="s">
        <v>887</v>
      </c>
      <c r="C24" s="201" t="s">
        <v>829</v>
      </c>
      <c r="D24" s="201">
        <v>2010.0</v>
      </c>
      <c r="E24" s="106"/>
      <c r="F24" s="106"/>
      <c r="G24" s="106"/>
      <c r="H24" s="106"/>
      <c r="I24" s="106"/>
      <c r="J24" s="201">
        <v>1.0</v>
      </c>
      <c r="K24" s="106"/>
      <c r="L24" s="106"/>
      <c r="M24" s="106"/>
      <c r="N24" s="106"/>
      <c r="O24" s="106"/>
      <c r="P24" s="106"/>
      <c r="Q24" s="106"/>
      <c r="R24" s="106"/>
      <c r="S24" s="106"/>
      <c r="T24" s="106"/>
      <c r="U24" s="106"/>
      <c r="V24" s="201" t="s">
        <v>370</v>
      </c>
      <c r="W24" s="201" t="s">
        <v>888</v>
      </c>
      <c r="X24" s="201" t="s">
        <v>889</v>
      </c>
      <c r="Y24" s="201" t="s">
        <v>100</v>
      </c>
      <c r="Z24" s="201">
        <v>1.0</v>
      </c>
      <c r="AA24" s="106"/>
      <c r="AB24" s="106"/>
      <c r="AC24" s="201">
        <v>1.0</v>
      </c>
      <c r="AD24" s="106"/>
      <c r="AE24" s="106"/>
      <c r="AF24" s="106"/>
      <c r="AG24" s="201" t="s">
        <v>890</v>
      </c>
      <c r="AH24" s="115">
        <v>1.0</v>
      </c>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15" t="s">
        <v>1240</v>
      </c>
      <c r="BE24" s="124"/>
      <c r="BF24" s="124"/>
      <c r="BG24" s="124"/>
      <c r="BH24" s="124"/>
      <c r="BI24" s="115" t="s">
        <v>1240</v>
      </c>
      <c r="BJ24" s="124"/>
      <c r="BK24" s="124"/>
      <c r="BL24" s="124"/>
      <c r="BM24" s="124"/>
      <c r="BN24" s="124"/>
      <c r="BO24" s="124"/>
      <c r="BP24" s="124"/>
      <c r="BQ24" s="124"/>
      <c r="BR24" s="124"/>
      <c r="BS24" s="124"/>
      <c r="BT24" s="124"/>
      <c r="BU24" s="124"/>
      <c r="BV24" s="124"/>
      <c r="BW24" s="124"/>
      <c r="BX24" s="115">
        <v>1.0</v>
      </c>
      <c r="BY24" s="124"/>
      <c r="BZ24" s="124"/>
      <c r="CA24" s="124"/>
    </row>
    <row r="25">
      <c r="A25" s="46" t="s">
        <v>4650</v>
      </c>
      <c r="B25" s="200" t="s">
        <v>4651</v>
      </c>
      <c r="C25" s="201" t="s">
        <v>4652</v>
      </c>
      <c r="D25" s="201">
        <v>1986.0</v>
      </c>
      <c r="E25" s="201">
        <v>1.0</v>
      </c>
      <c r="F25" s="106"/>
      <c r="G25" s="106"/>
      <c r="H25" s="106"/>
      <c r="I25" s="106"/>
      <c r="J25" s="106"/>
      <c r="K25" s="106"/>
      <c r="L25" s="106"/>
      <c r="M25" s="106"/>
      <c r="N25" s="106"/>
      <c r="O25" s="106"/>
      <c r="P25" s="106"/>
      <c r="Q25" s="106"/>
      <c r="R25" s="106"/>
      <c r="S25" s="106"/>
      <c r="T25" s="106"/>
      <c r="U25" s="106"/>
      <c r="W25" s="106"/>
      <c r="X25" s="106"/>
      <c r="Y25" s="106"/>
      <c r="Z25" s="106"/>
      <c r="AA25" s="106"/>
      <c r="AB25" s="106"/>
      <c r="AC25" s="106"/>
      <c r="AD25" s="106"/>
      <c r="AE25" s="106"/>
      <c r="AF25" s="106"/>
      <c r="AG25" s="106"/>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c r="A26" s="138" t="str">
        <f>HYPERLINK("https://drive.google.com/open?id=1Irk-Nr-xegGvbWycBecHkcychEbefqZm","Robillard1999")</f>
        <v>Robillard1999</v>
      </c>
      <c r="B26" s="200" t="s">
        <v>891</v>
      </c>
      <c r="C26" s="201" t="s">
        <v>381</v>
      </c>
      <c r="D26" s="201">
        <v>1999.0</v>
      </c>
      <c r="E26" s="106"/>
      <c r="F26" s="106"/>
      <c r="G26" s="106"/>
      <c r="H26" s="201">
        <v>1.0</v>
      </c>
      <c r="I26" s="106"/>
      <c r="J26" s="106"/>
      <c r="K26" s="106"/>
      <c r="L26" s="106"/>
      <c r="M26" s="106"/>
      <c r="N26" s="106"/>
      <c r="O26" s="106"/>
      <c r="P26" s="106"/>
      <c r="Q26" s="106"/>
      <c r="R26" s="106"/>
      <c r="S26" s="106"/>
      <c r="T26" s="106"/>
      <c r="U26" s="106"/>
      <c r="V26" s="201" t="s">
        <v>892</v>
      </c>
      <c r="X26" s="106"/>
      <c r="Y26" s="201" t="s">
        <v>100</v>
      </c>
      <c r="Z26" s="201">
        <v>1.0</v>
      </c>
      <c r="AA26" s="106"/>
      <c r="AB26" s="106"/>
      <c r="AC26" s="106"/>
      <c r="AD26" s="106"/>
      <c r="AE26" s="201">
        <v>1.0</v>
      </c>
      <c r="AF26" s="106"/>
      <c r="AG26" s="201" t="s">
        <v>893</v>
      </c>
      <c r="AH26" s="115">
        <v>1.0</v>
      </c>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15">
        <v>1.0</v>
      </c>
      <c r="BJ26" s="124"/>
      <c r="BK26" s="124"/>
      <c r="BL26" s="124"/>
      <c r="BM26" s="124"/>
      <c r="BN26" s="124"/>
      <c r="BO26" s="124"/>
      <c r="BP26" s="124"/>
      <c r="BQ26" s="124"/>
      <c r="BR26" s="124"/>
      <c r="BS26" s="124"/>
      <c r="BT26" s="124"/>
      <c r="BU26" s="124"/>
      <c r="BV26" s="124"/>
      <c r="BW26" s="124"/>
      <c r="BX26" s="124"/>
      <c r="BY26" s="124"/>
      <c r="BZ26" s="124"/>
      <c r="CA26" s="124"/>
    </row>
    <row r="27">
      <c r="A27" s="139" t="str">
        <f>HYPERLINK("https://drive.google.com/open?id=1U_wWs3hw59Qsy0U9jbcv3Y3dudy1Zy0h","Robillard2004")</f>
        <v>Robillard2004</v>
      </c>
      <c r="B27" s="200" t="s">
        <v>894</v>
      </c>
      <c r="C27" s="201" t="s">
        <v>895</v>
      </c>
      <c r="D27" s="201">
        <v>2004.0</v>
      </c>
      <c r="E27" s="106"/>
      <c r="F27" s="106"/>
      <c r="G27" s="106"/>
      <c r="H27" s="201"/>
      <c r="I27" s="106"/>
      <c r="J27" s="201">
        <v>1.0</v>
      </c>
      <c r="K27" s="106"/>
      <c r="L27" s="106"/>
      <c r="M27" s="106"/>
      <c r="N27" s="106"/>
      <c r="O27" s="106"/>
      <c r="P27" s="106"/>
      <c r="Q27" s="106"/>
      <c r="R27" s="106"/>
      <c r="S27" s="106"/>
      <c r="T27" s="106"/>
      <c r="U27" s="106"/>
      <c r="V27" s="201" t="s">
        <v>896</v>
      </c>
      <c r="W27" s="201" t="s">
        <v>897</v>
      </c>
      <c r="X27" s="201" t="s">
        <v>898</v>
      </c>
      <c r="Y27" s="201" t="s">
        <v>100</v>
      </c>
      <c r="Z27" s="106"/>
      <c r="AA27" s="106"/>
      <c r="AB27" s="106"/>
      <c r="AC27" s="201">
        <v>1.0</v>
      </c>
      <c r="AD27" s="106"/>
      <c r="AE27" s="106"/>
      <c r="AF27" s="106"/>
      <c r="AG27" s="201" t="s">
        <v>899</v>
      </c>
      <c r="AH27" s="115">
        <v>1.0</v>
      </c>
      <c r="AI27" s="115">
        <v>1.0</v>
      </c>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c r="A28" s="138" t="str">
        <f>HYPERLINK("https://drive.google.com/open?id=1ysEOW9hHePjvp6Pn144PgBmSdeT3hZBf","Rosson1990")</f>
        <v>Rosson1990</v>
      </c>
      <c r="B28" s="200" t="s">
        <v>900</v>
      </c>
      <c r="C28" s="201" t="s">
        <v>852</v>
      </c>
      <c r="D28" s="201">
        <v>1990.0</v>
      </c>
      <c r="E28" s="106"/>
      <c r="F28" s="106"/>
      <c r="G28" s="201">
        <v>1.0</v>
      </c>
      <c r="H28" s="106"/>
      <c r="I28" s="106"/>
      <c r="J28" s="106"/>
      <c r="K28" s="106"/>
      <c r="L28" s="106"/>
      <c r="M28" s="106"/>
      <c r="N28" s="106"/>
      <c r="O28" s="106"/>
      <c r="P28" s="106"/>
      <c r="Q28" s="106"/>
      <c r="R28" s="106"/>
      <c r="S28" s="106"/>
      <c r="T28" s="106"/>
      <c r="U28" s="106"/>
      <c r="V28" s="201" t="s">
        <v>901</v>
      </c>
      <c r="W28" s="106"/>
      <c r="X28" s="106"/>
      <c r="Y28" s="201" t="s">
        <v>100</v>
      </c>
      <c r="Z28" s="106"/>
      <c r="AA28" s="106"/>
      <c r="AB28" s="106"/>
      <c r="AC28" s="106"/>
      <c r="AD28" s="106"/>
      <c r="AE28" s="201">
        <v>1.0</v>
      </c>
      <c r="AF28" s="106"/>
      <c r="AG28" s="201" t="s">
        <v>902</v>
      </c>
      <c r="AH28" s="115">
        <v>1.0</v>
      </c>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15">
        <v>1.0</v>
      </c>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row>
    <row r="29">
      <c r="A29" s="138" t="str">
        <f>HYPERLINK("https://drive.google.com/open?id=17PWH79etvFNbgkdKlNAMyzoeDa-Tsz0v","Siau1996")</f>
        <v>Siau1996</v>
      </c>
      <c r="B29" s="200" t="s">
        <v>980</v>
      </c>
      <c r="C29" s="201" t="s">
        <v>981</v>
      </c>
      <c r="D29" s="201">
        <v>1996.0</v>
      </c>
      <c r="E29" s="106"/>
      <c r="F29" s="201">
        <v>1.0</v>
      </c>
      <c r="G29" s="106"/>
      <c r="H29" s="106"/>
      <c r="I29" s="106"/>
      <c r="J29" s="106"/>
      <c r="K29" s="106"/>
      <c r="L29" s="106"/>
      <c r="M29" s="106"/>
      <c r="N29" s="106"/>
      <c r="O29" s="106"/>
      <c r="P29" s="106"/>
      <c r="Q29" s="106"/>
      <c r="R29" s="106"/>
      <c r="S29" s="106"/>
      <c r="T29" s="106"/>
      <c r="U29" s="106"/>
      <c r="V29" s="201" t="s">
        <v>982</v>
      </c>
      <c r="W29" s="201" t="s">
        <v>983</v>
      </c>
      <c r="X29" s="201" t="s">
        <v>984</v>
      </c>
      <c r="Y29" s="201" t="s">
        <v>100</v>
      </c>
      <c r="Z29" s="201">
        <v>1.0</v>
      </c>
      <c r="AA29" s="106"/>
      <c r="AB29" s="106"/>
      <c r="AC29" s="201">
        <v>1.0</v>
      </c>
      <c r="AD29" s="106"/>
      <c r="AE29" s="106"/>
      <c r="AF29" s="106"/>
      <c r="AG29" s="201" t="s">
        <v>985</v>
      </c>
      <c r="AH29" s="115">
        <v>1.0</v>
      </c>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15">
        <v>1.0</v>
      </c>
      <c r="BI29" s="124"/>
      <c r="BJ29" s="124"/>
      <c r="BK29" s="124"/>
      <c r="BL29" s="124"/>
      <c r="BM29" s="124"/>
      <c r="BN29" s="124"/>
      <c r="BO29" s="124"/>
      <c r="BP29" s="124"/>
      <c r="BQ29" s="124"/>
      <c r="BR29" s="124"/>
      <c r="BS29" s="124"/>
      <c r="BT29" s="124"/>
      <c r="BU29" s="124"/>
      <c r="BV29" s="124"/>
      <c r="BW29" s="124"/>
      <c r="BX29" s="124"/>
      <c r="BY29" s="124"/>
      <c r="BZ29" s="115">
        <v>1.0</v>
      </c>
      <c r="CA29" s="124"/>
    </row>
    <row r="30">
      <c r="A30" s="139" t="str">
        <f>HYPERLINK("https://drive.google.com/open?id=1RPplDpdnmPhn78DHnapSLnM_hg0y1aLs","Siau2005")</f>
        <v>Siau2005</v>
      </c>
      <c r="B30" s="200" t="s">
        <v>991</v>
      </c>
      <c r="C30" s="200" t="s">
        <v>992</v>
      </c>
      <c r="D30" s="201">
        <v>2005.0</v>
      </c>
      <c r="E30" s="106"/>
      <c r="F30" s="201">
        <v>1.0</v>
      </c>
      <c r="G30" s="201">
        <v>1.0</v>
      </c>
      <c r="H30" s="201">
        <v>1.0</v>
      </c>
      <c r="I30" s="106"/>
      <c r="J30" s="106"/>
      <c r="K30" s="106"/>
      <c r="L30" s="106"/>
      <c r="M30" s="106"/>
      <c r="N30" s="106"/>
      <c r="O30" s="106"/>
      <c r="P30" s="106"/>
      <c r="Q30" s="106"/>
      <c r="R30" s="106"/>
      <c r="S30" s="106"/>
      <c r="T30" s="106"/>
      <c r="U30" s="106"/>
      <c r="V30" s="201" t="s">
        <v>993</v>
      </c>
      <c r="W30" s="106"/>
      <c r="X30" s="106"/>
      <c r="Y30" s="201" t="s">
        <v>100</v>
      </c>
      <c r="Z30" s="201">
        <v>1.0</v>
      </c>
      <c r="AA30" s="106"/>
      <c r="AB30" s="201">
        <v>1.0</v>
      </c>
      <c r="AC30" s="106"/>
      <c r="AD30" s="106"/>
      <c r="AE30" s="106"/>
      <c r="AF30" s="106"/>
      <c r="AG30" s="201" t="s">
        <v>994</v>
      </c>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row>
    <row r="31">
      <c r="A31" s="206" t="str">
        <f>HYPERLINK("https://drive.google.com/open?id=0B00cIHsghs6UX1J0NVBWZnNDY28","Siddigi1986")</f>
        <v>Siddigi1986</v>
      </c>
      <c r="B31" s="207"/>
      <c r="C31" s="106"/>
      <c r="D31" s="106"/>
      <c r="E31" s="201">
        <v>1.0</v>
      </c>
      <c r="F31" s="106"/>
      <c r="G31" s="106"/>
      <c r="H31" s="106"/>
      <c r="I31" s="106"/>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row>
    <row r="32">
      <c r="A32" s="140" t="s">
        <v>4653</v>
      </c>
      <c r="E32" s="140">
        <v>1.0</v>
      </c>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c r="A33" s="139" t="str">
        <f>HYPERLINK("https://drive.google.com/open?id=1WPx7gz8zAyR8LuCdxS7mURW9NjFjR7mb","Siegmund2012")</f>
        <v>Siegmund2012</v>
      </c>
      <c r="B33" s="200" t="s">
        <v>1003</v>
      </c>
      <c r="C33" s="200" t="s">
        <v>1004</v>
      </c>
      <c r="D33" s="201">
        <v>2012.0</v>
      </c>
      <c r="E33" s="106"/>
      <c r="F33" s="106"/>
      <c r="G33" s="106"/>
      <c r="H33" s="106"/>
      <c r="I33" s="106"/>
      <c r="J33" s="201">
        <v>1.0</v>
      </c>
      <c r="K33" s="106"/>
      <c r="L33" s="106"/>
      <c r="M33" s="106"/>
      <c r="N33" s="106"/>
      <c r="O33" s="106"/>
      <c r="P33" s="106"/>
      <c r="Q33" s="106"/>
      <c r="R33" s="106"/>
      <c r="S33" s="106"/>
      <c r="T33" s="106"/>
      <c r="U33" s="106"/>
      <c r="V33" s="201" t="s">
        <v>1005</v>
      </c>
      <c r="W33" s="201" t="s">
        <v>1006</v>
      </c>
      <c r="X33" s="201" t="s">
        <v>1007</v>
      </c>
      <c r="Y33" s="201" t="s">
        <v>100</v>
      </c>
      <c r="Z33" s="106"/>
      <c r="AA33" s="106"/>
      <c r="AB33" s="106"/>
      <c r="AC33" s="201">
        <v>1.0</v>
      </c>
      <c r="AD33" s="106"/>
      <c r="AE33" s="106"/>
      <c r="AF33" s="106"/>
      <c r="AG33" s="201" t="s">
        <v>1008</v>
      </c>
      <c r="AH33" s="115">
        <v>1.0</v>
      </c>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t="s">
        <v>1240</v>
      </c>
      <c r="BE33" s="115"/>
      <c r="BF33" s="115"/>
      <c r="BG33" s="115"/>
      <c r="BH33" s="115"/>
      <c r="BI33" s="115" t="s">
        <v>1240</v>
      </c>
      <c r="BJ33" s="115"/>
      <c r="BK33" s="115"/>
      <c r="BL33" s="115"/>
      <c r="BM33" s="115"/>
      <c r="BN33" s="115"/>
      <c r="BO33" s="115"/>
      <c r="BP33" s="115"/>
      <c r="BQ33" s="115"/>
      <c r="BR33" s="115"/>
      <c r="BS33" s="115"/>
      <c r="BT33" s="115"/>
      <c r="BU33" s="115"/>
      <c r="BV33" s="115"/>
      <c r="BW33" s="115"/>
      <c r="BX33" s="115"/>
      <c r="BY33" s="115">
        <v>1.0</v>
      </c>
      <c r="BZ33" s="115"/>
      <c r="CA33" s="115"/>
    </row>
    <row r="34">
      <c r="A34" s="139" t="str">
        <f>HYPERLINK("https://drive.google.com/open?id=1rDKNduLMosW3kAtjRPg3ysBMESXet2O7","Thummadi2011")</f>
        <v>Thummadi2011</v>
      </c>
      <c r="B34" s="200" t="s">
        <v>1116</v>
      </c>
      <c r="C34" s="208" t="s">
        <v>1117</v>
      </c>
      <c r="D34" s="201">
        <v>2011.0</v>
      </c>
      <c r="E34" s="106"/>
      <c r="F34" s="201">
        <v>1.0</v>
      </c>
      <c r="G34" s="106"/>
      <c r="H34" s="106"/>
      <c r="I34" s="106"/>
      <c r="J34" s="106"/>
      <c r="K34" s="106"/>
      <c r="L34" s="106"/>
      <c r="M34" s="106"/>
      <c r="N34" s="106"/>
      <c r="O34" s="106"/>
      <c r="P34" s="106"/>
      <c r="Q34" s="106"/>
      <c r="R34" s="106"/>
      <c r="S34" s="106"/>
      <c r="T34" s="106"/>
      <c r="U34" s="201" t="s">
        <v>1118</v>
      </c>
      <c r="V34" s="201" t="s">
        <v>1119</v>
      </c>
      <c r="W34" s="106"/>
      <c r="X34" s="106"/>
      <c r="Y34" s="201" t="s">
        <v>100</v>
      </c>
      <c r="Z34" s="106"/>
      <c r="AA34" s="106"/>
      <c r="AB34" s="106"/>
      <c r="AC34" s="106"/>
      <c r="AD34" s="106"/>
      <c r="AE34" s="201">
        <v>1.0</v>
      </c>
      <c r="AF34" s="106"/>
      <c r="AG34" s="201" t="s">
        <v>1120</v>
      </c>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c r="A35" s="139" t="str">
        <f>HYPERLINK("https://drive.google.com/open?id=1R24oUzjijPz5IRLu2_4URJOaQwYK9iCT","Tracz1979")</f>
        <v>Tracz1979</v>
      </c>
      <c r="B35" s="200" t="s">
        <v>1127</v>
      </c>
      <c r="C35" s="200" t="s">
        <v>1128</v>
      </c>
      <c r="D35" s="201">
        <v>1979.0</v>
      </c>
      <c r="E35" s="201"/>
      <c r="F35" s="106"/>
      <c r="G35" s="106"/>
      <c r="H35" s="201">
        <v>1.0</v>
      </c>
      <c r="I35" s="106"/>
      <c r="J35" s="106"/>
      <c r="K35" s="106"/>
      <c r="L35" s="106"/>
      <c r="M35" s="106"/>
      <c r="N35" s="106"/>
      <c r="O35" s="106"/>
      <c r="P35" s="106"/>
      <c r="Q35" s="106"/>
      <c r="R35" s="106"/>
      <c r="S35" s="106"/>
      <c r="T35" s="106"/>
      <c r="U35" s="106"/>
      <c r="V35" s="106"/>
      <c r="W35" s="106"/>
      <c r="X35" s="106"/>
      <c r="Y35" s="106"/>
      <c r="Z35" s="201">
        <v>1.0</v>
      </c>
      <c r="AA35" s="106"/>
      <c r="AB35" s="106"/>
      <c r="AC35" s="106"/>
      <c r="AD35" s="106"/>
      <c r="AE35" s="201">
        <v>1.0</v>
      </c>
      <c r="AF35" s="201"/>
      <c r="AG35" s="201" t="s">
        <v>1129</v>
      </c>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c r="A36" s="139" t="str">
        <f>HYPERLINK("https://drive.google.com/open?id=1mhzXbBgQTIpD2ZYPpIiuQvYhFKyDjqaY","Treude2010")</f>
        <v>Treude2010</v>
      </c>
      <c r="B36" s="200" t="s">
        <v>1130</v>
      </c>
      <c r="C36" s="201" t="s">
        <v>1131</v>
      </c>
      <c r="D36" s="201">
        <v>2010.0</v>
      </c>
      <c r="E36" s="106"/>
      <c r="F36" s="106"/>
      <c r="G36" s="106"/>
      <c r="H36" s="106"/>
      <c r="I36" s="106"/>
      <c r="J36" s="106"/>
      <c r="K36" s="106"/>
      <c r="L36" s="201">
        <v>1.0</v>
      </c>
      <c r="M36" s="201">
        <v>1.0</v>
      </c>
      <c r="N36" s="106"/>
      <c r="O36" s="106"/>
      <c r="P36" s="106"/>
      <c r="Q36" s="106"/>
      <c r="R36" s="106"/>
      <c r="S36" s="106"/>
      <c r="T36" s="106"/>
      <c r="U36" s="106"/>
      <c r="V36" s="106"/>
      <c r="W36" s="106"/>
      <c r="X36" s="106"/>
      <c r="Y36" s="106"/>
      <c r="Z36" s="106"/>
      <c r="AA36" s="201">
        <v>1.0</v>
      </c>
      <c r="AB36" s="106"/>
      <c r="AC36" s="201">
        <v>1.0</v>
      </c>
      <c r="AD36" s="106"/>
      <c r="AE36" s="106"/>
      <c r="AF36" s="106"/>
      <c r="AG36" s="201" t="s">
        <v>1132</v>
      </c>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c r="A37" s="138" t="str">
        <f>HYPERLINK("https://drive.google.com/open?id=1iUtQKNl545xhvh7IjKcWTzz1vM_SpUF0","Vessey1985")</f>
        <v>Vessey1985</v>
      </c>
      <c r="B37" s="200" t="s">
        <v>1149</v>
      </c>
      <c r="C37" s="200" t="s">
        <v>727</v>
      </c>
      <c r="D37" s="201">
        <v>1985.0</v>
      </c>
      <c r="E37" s="106"/>
      <c r="F37" s="106"/>
      <c r="G37" s="106"/>
      <c r="H37" s="106"/>
      <c r="I37" s="106"/>
      <c r="J37" s="201">
        <v>1.0</v>
      </c>
      <c r="K37" s="106"/>
      <c r="L37" s="106"/>
      <c r="M37" s="106"/>
      <c r="N37" s="106"/>
      <c r="O37" s="106"/>
      <c r="P37" s="106"/>
      <c r="Q37" s="106"/>
      <c r="R37" s="106"/>
      <c r="S37" s="106"/>
      <c r="T37" s="106"/>
      <c r="U37" s="106"/>
      <c r="V37" s="201" t="s">
        <v>1150</v>
      </c>
      <c r="W37" s="201" t="s">
        <v>1151</v>
      </c>
      <c r="X37" s="201" t="s">
        <v>1152</v>
      </c>
      <c r="Y37" s="106"/>
      <c r="Z37" s="106"/>
      <c r="AA37" s="106"/>
      <c r="AB37" s="201">
        <v>1.0</v>
      </c>
      <c r="AC37" s="201">
        <v>1.0</v>
      </c>
      <c r="AD37" s="106"/>
      <c r="AE37" s="106"/>
      <c r="AF37" s="106"/>
      <c r="AG37" s="201" t="s">
        <v>1153</v>
      </c>
      <c r="AH37" s="115">
        <v>1.0</v>
      </c>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15">
        <v>1.0</v>
      </c>
      <c r="BE37" s="124"/>
      <c r="BF37" s="124"/>
      <c r="BG37" s="124"/>
      <c r="BH37" s="124"/>
      <c r="BI37" s="124"/>
      <c r="BJ37" s="124"/>
      <c r="BK37" s="124"/>
      <c r="BL37" s="124"/>
      <c r="BM37" s="124"/>
      <c r="BN37" s="124"/>
      <c r="BO37" s="124"/>
      <c r="BP37" s="124"/>
      <c r="BQ37" s="124"/>
      <c r="BR37" s="124"/>
      <c r="BS37" s="124"/>
      <c r="BT37" s="124"/>
      <c r="BU37" s="115">
        <v>1.0</v>
      </c>
      <c r="BV37" s="124"/>
      <c r="BW37" s="124"/>
      <c r="BX37" s="124"/>
      <c r="BY37" s="124"/>
      <c r="BZ37" s="124"/>
      <c r="CA37" s="124"/>
    </row>
    <row r="38">
      <c r="A38" s="138" t="str">
        <f>HYPERLINK("https://drive.google.com/open?id=1UPKh9g6W_YTNpHdP9lTJ2ViyYkqxITqp","Weidenbeck1986")</f>
        <v>Weidenbeck1986</v>
      </c>
      <c r="B38" s="188" t="s">
        <v>1205</v>
      </c>
      <c r="C38" s="201" t="s">
        <v>727</v>
      </c>
      <c r="D38" s="201">
        <v>1986.0</v>
      </c>
      <c r="E38" s="106"/>
      <c r="F38" s="106"/>
      <c r="G38" s="106"/>
      <c r="H38" s="106"/>
      <c r="I38" s="106"/>
      <c r="J38" s="201">
        <v>1.0</v>
      </c>
      <c r="K38" s="106"/>
      <c r="L38" s="106"/>
      <c r="M38" s="106"/>
      <c r="N38" s="106"/>
      <c r="O38" s="106"/>
      <c r="P38" s="106"/>
      <c r="Q38" s="106"/>
      <c r="R38" s="106"/>
      <c r="S38" s="106"/>
      <c r="T38" s="106"/>
      <c r="U38" s="201" t="s">
        <v>1206</v>
      </c>
      <c r="V38" s="201" t="s">
        <v>239</v>
      </c>
      <c r="W38" s="201" t="s">
        <v>1207</v>
      </c>
      <c r="X38" s="201" t="s">
        <v>1208</v>
      </c>
      <c r="Y38" s="106"/>
      <c r="Z38" s="201">
        <v>1.0</v>
      </c>
      <c r="AA38" s="106"/>
      <c r="AB38" s="106"/>
      <c r="AC38" s="201">
        <v>1.0</v>
      </c>
      <c r="AD38" s="106"/>
      <c r="AE38" s="106"/>
      <c r="AF38" s="106"/>
      <c r="AG38" s="201" t="s">
        <v>1209</v>
      </c>
      <c r="AH38" s="115">
        <v>1.0</v>
      </c>
      <c r="AI38" s="115"/>
      <c r="AJ38" s="115"/>
      <c r="AK38" s="115"/>
      <c r="AL38" s="115"/>
      <c r="AM38" s="115">
        <v>1.0</v>
      </c>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v>1.0</v>
      </c>
      <c r="BY38" s="115"/>
      <c r="BZ38" s="115"/>
      <c r="CA38" s="115"/>
    </row>
    <row r="39">
      <c r="A39" s="139" t="str">
        <f>HYPERLINK("https://drive.google.com/open?id=1taG4GbpAlVxV5OupUBF889K4Gh75rSgA","Weidenbeck1991")</f>
        <v>Weidenbeck1991</v>
      </c>
      <c r="B39" s="188" t="s">
        <v>1210</v>
      </c>
      <c r="C39" s="201" t="s">
        <v>727</v>
      </c>
      <c r="D39" s="201">
        <v>1991.0</v>
      </c>
      <c r="E39" s="106"/>
      <c r="F39" s="106"/>
      <c r="G39" s="106"/>
      <c r="H39" s="106"/>
      <c r="I39" s="106"/>
      <c r="J39" s="201">
        <v>1.0</v>
      </c>
      <c r="K39" s="106"/>
      <c r="L39" s="106"/>
      <c r="M39" s="106"/>
      <c r="N39" s="106"/>
      <c r="O39" s="106"/>
      <c r="P39" s="106"/>
      <c r="Q39" s="106"/>
      <c r="R39" s="106"/>
      <c r="S39" s="106"/>
      <c r="T39" s="106"/>
      <c r="U39" s="106"/>
      <c r="V39" s="201" t="s">
        <v>1211</v>
      </c>
      <c r="W39" s="201" t="s">
        <v>1207</v>
      </c>
      <c r="X39" s="201" t="s">
        <v>1212</v>
      </c>
      <c r="Y39" s="106"/>
      <c r="Z39" s="201">
        <v>1.0</v>
      </c>
      <c r="AA39" s="106"/>
      <c r="AB39" s="106"/>
      <c r="AC39" s="201">
        <v>1.0</v>
      </c>
      <c r="AD39" s="106"/>
      <c r="AE39" s="106"/>
      <c r="AF39" s="106"/>
      <c r="AG39" s="201" t="s">
        <v>1213</v>
      </c>
      <c r="AH39" s="115">
        <v>1.0</v>
      </c>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15" t="s">
        <v>1240</v>
      </c>
      <c r="BE39" s="124"/>
      <c r="BF39" s="124"/>
      <c r="BG39" s="124"/>
      <c r="BH39" s="124"/>
      <c r="BI39" s="115" t="s">
        <v>1240</v>
      </c>
      <c r="BJ39" s="124"/>
      <c r="BK39" s="124"/>
      <c r="BL39" s="124"/>
      <c r="BM39" s="124"/>
      <c r="BN39" s="124"/>
      <c r="BO39" s="124"/>
      <c r="BP39" s="124"/>
      <c r="BQ39" s="124"/>
      <c r="BR39" s="124"/>
      <c r="BS39" s="124"/>
      <c r="BT39" s="124"/>
      <c r="BU39" s="124"/>
      <c r="BV39" s="124"/>
      <c r="BW39" s="124"/>
      <c r="BX39" s="115">
        <v>1.0</v>
      </c>
      <c r="BY39" s="124"/>
      <c r="BZ39" s="115">
        <v>1.0</v>
      </c>
      <c r="CA39" s="124"/>
    </row>
    <row r="40">
      <c r="A40" s="139" t="str">
        <f>HYPERLINK("https://drive.google.com/open?id=1QaR_VNIg4cEN7qkGqgO7VCHqwEFtgZxZ","Welty1981")</f>
        <v>Welty1981</v>
      </c>
      <c r="B40" s="200" t="s">
        <v>1218</v>
      </c>
      <c r="C40" s="200" t="s">
        <v>1219</v>
      </c>
      <c r="D40" s="201">
        <v>1981.0</v>
      </c>
      <c r="E40" s="106"/>
      <c r="F40" s="106"/>
      <c r="G40" s="106"/>
      <c r="H40" s="201">
        <v>1.0</v>
      </c>
      <c r="I40" s="106"/>
      <c r="J40" s="106"/>
      <c r="K40" s="106"/>
      <c r="L40" s="106"/>
      <c r="M40" s="106"/>
      <c r="N40" s="106"/>
      <c r="O40" s="106"/>
      <c r="P40" s="106"/>
      <c r="Q40" s="106"/>
      <c r="R40" s="106"/>
      <c r="S40" s="106"/>
      <c r="T40" s="106"/>
      <c r="U40" s="106"/>
      <c r="V40" s="106"/>
      <c r="W40" s="201" t="s">
        <v>1220</v>
      </c>
      <c r="X40" s="201" t="s">
        <v>1221</v>
      </c>
      <c r="Y40" s="106"/>
      <c r="Z40" s="201">
        <v>1.0</v>
      </c>
      <c r="AA40" s="106"/>
      <c r="AB40" s="106"/>
      <c r="AC40" s="201">
        <v>1.0</v>
      </c>
      <c r="AD40" s="106"/>
      <c r="AE40" s="106"/>
      <c r="AF40" s="106"/>
      <c r="AG40" s="201" t="s">
        <v>1222</v>
      </c>
      <c r="AH40" s="115" t="s">
        <v>1240</v>
      </c>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row>
    <row r="41">
      <c r="A41" s="139" t="str">
        <f>HYPERLINK("https://drive.google.com/open?id=1CDq5caygS5RK64-BvTDxfbO51qhspKpi","Whatton1992")</f>
        <v>Whatton1992</v>
      </c>
      <c r="B41" s="200" t="s">
        <v>1223</v>
      </c>
      <c r="C41" s="201" t="s">
        <v>1224</v>
      </c>
      <c r="D41" s="201">
        <v>1992.0</v>
      </c>
      <c r="E41" s="106"/>
      <c r="F41" s="106"/>
      <c r="G41" s="106"/>
      <c r="H41" s="201">
        <v>1.0</v>
      </c>
      <c r="I41" s="106"/>
      <c r="J41" s="106"/>
      <c r="K41" s="106"/>
      <c r="L41" s="106"/>
      <c r="M41" s="106"/>
      <c r="N41" s="106"/>
      <c r="O41" s="106"/>
      <c r="P41" s="106"/>
      <c r="Q41" s="106"/>
      <c r="R41" s="106"/>
      <c r="S41" s="106"/>
      <c r="T41" s="106"/>
      <c r="U41" s="201" t="s">
        <v>1225</v>
      </c>
      <c r="V41" s="201" t="s">
        <v>1226</v>
      </c>
      <c r="W41" s="106"/>
      <c r="X41" s="106"/>
      <c r="Y41" s="106"/>
      <c r="Z41" s="201">
        <v>1.0</v>
      </c>
      <c r="AA41" s="106"/>
      <c r="AB41" s="201"/>
      <c r="AC41" s="106"/>
      <c r="AD41" s="201">
        <v>1.0</v>
      </c>
      <c r="AE41" s="201"/>
      <c r="AF41" s="106"/>
      <c r="AG41" s="201" t="s">
        <v>1227</v>
      </c>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row>
    <row r="42">
      <c r="A42" s="106"/>
      <c r="B42" s="207"/>
      <c r="C42" s="106"/>
      <c r="D42" s="106"/>
      <c r="E42" s="142" t="str">
        <f>ROWS(E4:E41)&amp;" ("&amp;ROWS(E4:E41)-sum(E4:E41)&amp;"/"&amp;sum(E4:E41)&amp;")"</f>
        <v>38 (32/6)</v>
      </c>
      <c r="F42" s="106"/>
      <c r="G42" s="106"/>
      <c r="H42" s="106"/>
      <c r="I42" s="106"/>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c r="A43" s="106"/>
      <c r="B43" s="207"/>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row>
    <row r="44">
      <c r="A44" s="106"/>
      <c r="B44" s="207"/>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row>
    <row r="45">
      <c r="A45" s="106"/>
      <c r="B45" s="207"/>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row>
    <row r="46">
      <c r="A46" s="106"/>
      <c r="B46" s="207"/>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c r="A47" s="106"/>
      <c r="B47" s="207"/>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c r="A48" s="106"/>
      <c r="B48" s="207"/>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c r="A49" s="106"/>
      <c r="B49" s="207"/>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c r="A50" s="106"/>
      <c r="B50" s="207"/>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row>
    <row r="51">
      <c r="A51" s="106"/>
      <c r="B51" s="207"/>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row>
    <row r="52">
      <c r="A52" s="106"/>
      <c r="B52" s="207"/>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c r="A53" s="106"/>
      <c r="B53" s="207"/>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row>
    <row r="54">
      <c r="A54" s="106"/>
      <c r="B54" s="207"/>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row>
    <row r="55">
      <c r="A55" s="106"/>
      <c r="B55" s="207"/>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row>
    <row r="56">
      <c r="A56" s="106"/>
      <c r="B56" s="207"/>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c r="A57" s="106"/>
      <c r="B57" s="207"/>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row>
    <row r="58">
      <c r="A58" s="106"/>
      <c r="B58" s="207"/>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24"/>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24"/>
      <c r="BE58" s="124"/>
      <c r="BF58" s="124"/>
      <c r="BG58" s="124"/>
      <c r="BH58" s="124"/>
      <c r="BI58" s="124"/>
      <c r="BJ58" s="124"/>
      <c r="BK58" s="124"/>
      <c r="BL58" s="124"/>
      <c r="BM58" s="124"/>
      <c r="BN58" s="124"/>
      <c r="BO58" s="124"/>
      <c r="BP58" s="124"/>
      <c r="BQ58" s="124"/>
      <c r="BR58" s="124"/>
      <c r="BS58" s="124"/>
      <c r="BT58" s="124"/>
      <c r="BU58" s="124"/>
      <c r="BV58" s="124"/>
      <c r="BW58" s="124"/>
      <c r="BX58" s="124"/>
      <c r="BY58" s="124"/>
      <c r="BZ58" s="124"/>
      <c r="CA58" s="124"/>
    </row>
    <row r="59">
      <c r="A59" s="106"/>
      <c r="B59" s="207"/>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24"/>
      <c r="AI59" s="124"/>
      <c r="AJ59" s="124"/>
      <c r="AK59" s="124"/>
      <c r="AL59" s="124"/>
      <c r="AM59" s="124"/>
      <c r="AN59" s="124"/>
      <c r="AO59" s="124"/>
      <c r="AP59" s="124"/>
      <c r="AQ59" s="124"/>
      <c r="AR59" s="124"/>
      <c r="AS59" s="124"/>
      <c r="AT59" s="124"/>
      <c r="AU59" s="124"/>
      <c r="AV59" s="124"/>
      <c r="AW59" s="124"/>
      <c r="AX59" s="124"/>
      <c r="AY59" s="124"/>
      <c r="AZ59" s="124"/>
      <c r="BA59" s="124"/>
      <c r="BB59" s="124"/>
      <c r="BC59" s="124"/>
      <c r="BD59" s="124"/>
      <c r="BE59" s="124"/>
      <c r="BF59" s="124"/>
      <c r="BG59" s="124"/>
      <c r="BH59" s="124"/>
      <c r="BI59" s="124"/>
      <c r="BJ59" s="124"/>
      <c r="BK59" s="124"/>
      <c r="BL59" s="124"/>
      <c r="BM59" s="124"/>
      <c r="BN59" s="124"/>
      <c r="BO59" s="124"/>
      <c r="BP59" s="124"/>
      <c r="BQ59" s="124"/>
      <c r="BR59" s="124"/>
      <c r="BS59" s="124"/>
      <c r="BT59" s="124"/>
      <c r="BU59" s="124"/>
      <c r="BV59" s="124"/>
      <c r="BW59" s="124"/>
      <c r="BX59" s="124"/>
      <c r="BY59" s="124"/>
      <c r="BZ59" s="124"/>
      <c r="CA59" s="124"/>
    </row>
    <row r="60">
      <c r="A60" s="106"/>
      <c r="B60" s="207"/>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24"/>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24"/>
      <c r="BV60" s="124"/>
      <c r="BW60" s="124"/>
      <c r="BX60" s="124"/>
      <c r="BY60" s="124"/>
      <c r="BZ60" s="124"/>
      <c r="CA60" s="124"/>
    </row>
    <row r="61">
      <c r="A61" s="106"/>
      <c r="B61" s="207"/>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24"/>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24"/>
      <c r="BE61" s="124"/>
      <c r="BF61" s="124"/>
      <c r="BG61" s="124"/>
      <c r="BH61" s="124"/>
      <c r="BI61" s="124"/>
      <c r="BJ61" s="124"/>
      <c r="BK61" s="124"/>
      <c r="BL61" s="124"/>
      <c r="BM61" s="124"/>
      <c r="BN61" s="124"/>
      <c r="BO61" s="124"/>
      <c r="BP61" s="124"/>
      <c r="BQ61" s="124"/>
      <c r="BR61" s="124"/>
      <c r="BS61" s="124"/>
      <c r="BT61" s="124"/>
      <c r="BU61" s="124"/>
      <c r="BV61" s="124"/>
      <c r="BW61" s="124"/>
      <c r="BX61" s="124"/>
      <c r="BY61" s="124"/>
      <c r="BZ61" s="124"/>
      <c r="CA61" s="124"/>
    </row>
    <row r="62">
      <c r="A62" s="106"/>
      <c r="B62" s="207"/>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24"/>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24"/>
      <c r="BE62" s="124"/>
      <c r="BF62" s="124"/>
      <c r="BG62" s="124"/>
      <c r="BH62" s="124"/>
      <c r="BI62" s="124"/>
      <c r="BJ62" s="124"/>
      <c r="BK62" s="124"/>
      <c r="BL62" s="124"/>
      <c r="BM62" s="124"/>
      <c r="BN62" s="124"/>
      <c r="BO62" s="124"/>
      <c r="BP62" s="124"/>
      <c r="BQ62" s="124"/>
      <c r="BR62" s="124"/>
      <c r="BS62" s="124"/>
      <c r="BT62" s="124"/>
      <c r="BU62" s="124"/>
      <c r="BV62" s="124"/>
      <c r="BW62" s="124"/>
      <c r="BX62" s="124"/>
      <c r="BY62" s="124"/>
      <c r="BZ62" s="124"/>
      <c r="CA62" s="124"/>
    </row>
    <row r="63">
      <c r="A63" s="106"/>
      <c r="B63" s="207"/>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row>
    <row r="64">
      <c r="A64" s="106"/>
      <c r="B64" s="207"/>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24"/>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c r="BF64" s="124"/>
      <c r="BG64" s="124"/>
      <c r="BH64" s="124"/>
      <c r="BI64" s="124"/>
      <c r="BJ64" s="124"/>
      <c r="BK64" s="124"/>
      <c r="BL64" s="124"/>
      <c r="BM64" s="124"/>
      <c r="BN64" s="124"/>
      <c r="BO64" s="124"/>
      <c r="BP64" s="124"/>
      <c r="BQ64" s="124"/>
      <c r="BR64" s="124"/>
      <c r="BS64" s="124"/>
      <c r="BT64" s="124"/>
      <c r="BU64" s="124"/>
      <c r="BV64" s="124"/>
      <c r="BW64" s="124"/>
      <c r="BX64" s="124"/>
      <c r="BY64" s="124"/>
      <c r="BZ64" s="124"/>
      <c r="CA64" s="124"/>
    </row>
    <row r="65">
      <c r="A65" s="106"/>
      <c r="B65" s="207"/>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row>
    <row r="66">
      <c r="A66" s="106"/>
      <c r="B66" s="207"/>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c r="A67" s="106"/>
      <c r="B67" s="207"/>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c r="A68" s="106"/>
      <c r="B68" s="207"/>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24"/>
      <c r="AI68" s="124"/>
      <c r="AJ68" s="124"/>
      <c r="AK68" s="124"/>
      <c r="AL68" s="124"/>
      <c r="AM68" s="124"/>
      <c r="AN68" s="124"/>
      <c r="AO68" s="124"/>
      <c r="AP68" s="124"/>
      <c r="AQ68" s="124"/>
      <c r="AR68" s="124"/>
      <c r="AS68" s="124"/>
      <c r="AT68" s="124"/>
      <c r="AU68" s="124"/>
      <c r="AV68" s="124"/>
      <c r="AW68" s="124"/>
      <c r="AX68" s="124"/>
      <c r="AY68" s="124"/>
      <c r="AZ68" s="124"/>
      <c r="BA68" s="124"/>
      <c r="BB68" s="124"/>
      <c r="BC68" s="124"/>
      <c r="BD68" s="124"/>
      <c r="BE68" s="124"/>
      <c r="BF68" s="124"/>
      <c r="BG68" s="124"/>
      <c r="BH68" s="124"/>
      <c r="BI68" s="124"/>
      <c r="BJ68" s="124"/>
      <c r="BK68" s="124"/>
      <c r="BL68" s="124"/>
      <c r="BM68" s="124"/>
      <c r="BN68" s="124"/>
      <c r="BO68" s="124"/>
      <c r="BP68" s="124"/>
      <c r="BQ68" s="124"/>
      <c r="BR68" s="124"/>
      <c r="BS68" s="124"/>
      <c r="BT68" s="124"/>
      <c r="BU68" s="124"/>
      <c r="BV68" s="124"/>
      <c r="BW68" s="124"/>
      <c r="BX68" s="124"/>
      <c r="BY68" s="124"/>
      <c r="BZ68" s="124"/>
      <c r="CA68" s="124"/>
    </row>
    <row r="69">
      <c r="A69" s="106"/>
      <c r="B69" s="207"/>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c r="A70" s="106"/>
      <c r="B70" s="207"/>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c r="A71" s="106"/>
      <c r="B71" s="207"/>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c r="A72" s="106"/>
      <c r="B72" s="207"/>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row>
    <row r="73">
      <c r="A73" s="106"/>
      <c r="B73" s="207"/>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c r="A74" s="106"/>
      <c r="B74" s="207"/>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c r="A75" s="106"/>
      <c r="B75" s="207"/>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c r="A76" s="106"/>
      <c r="B76" s="207"/>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c r="A77" s="106"/>
      <c r="B77" s="207"/>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124"/>
      <c r="BG77" s="124"/>
      <c r="BH77" s="124"/>
      <c r="BI77" s="124"/>
      <c r="BJ77" s="124"/>
      <c r="BK77" s="124"/>
      <c r="BL77" s="124"/>
      <c r="BM77" s="124"/>
      <c r="BN77" s="124"/>
      <c r="BO77" s="124"/>
      <c r="BP77" s="124"/>
      <c r="BQ77" s="124"/>
      <c r="BR77" s="124"/>
      <c r="BS77" s="124"/>
      <c r="BT77" s="124"/>
      <c r="BU77" s="124"/>
      <c r="BV77" s="124"/>
      <c r="BW77" s="124"/>
      <c r="BX77" s="124"/>
      <c r="BY77" s="124"/>
      <c r="BZ77" s="124"/>
      <c r="CA77" s="124"/>
    </row>
    <row r="78">
      <c r="A78" s="106"/>
      <c r="B78" s="207"/>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c r="A79" s="106"/>
      <c r="B79" s="207"/>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24"/>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24"/>
      <c r="BI79" s="124"/>
      <c r="BJ79" s="124"/>
      <c r="BK79" s="124"/>
      <c r="BL79" s="124"/>
      <c r="BM79" s="124"/>
      <c r="BN79" s="124"/>
      <c r="BO79" s="124"/>
      <c r="BP79" s="124"/>
      <c r="BQ79" s="124"/>
      <c r="BR79" s="124"/>
      <c r="BS79" s="124"/>
      <c r="BT79" s="124"/>
      <c r="BU79" s="124"/>
      <c r="BV79" s="124"/>
      <c r="BW79" s="124"/>
      <c r="BX79" s="124"/>
      <c r="BY79" s="124"/>
      <c r="BZ79" s="124"/>
      <c r="CA79" s="124"/>
    </row>
    <row r="80">
      <c r="A80" s="106"/>
      <c r="B80" s="207"/>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c r="A81" s="106"/>
      <c r="B81" s="207"/>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24"/>
      <c r="AI81" s="124"/>
      <c r="AJ81" s="124"/>
      <c r="AK81" s="124"/>
      <c r="AL81" s="124"/>
      <c r="AM81" s="124"/>
      <c r="AN81" s="124"/>
      <c r="AO81" s="124"/>
      <c r="AP81" s="124"/>
      <c r="AQ81" s="124"/>
      <c r="AR81" s="124"/>
      <c r="AS81" s="124"/>
      <c r="AT81" s="124"/>
      <c r="AU81" s="124"/>
      <c r="AV81" s="124"/>
      <c r="AW81" s="124"/>
      <c r="AX81" s="124"/>
      <c r="AY81" s="124"/>
      <c r="AZ81" s="124"/>
      <c r="BA81" s="124"/>
      <c r="BB81" s="124"/>
      <c r="BC81" s="124"/>
      <c r="BD81" s="124"/>
      <c r="BE81" s="124"/>
      <c r="BF81" s="124"/>
      <c r="BG81" s="124"/>
      <c r="BH81" s="124"/>
      <c r="BI81" s="124"/>
      <c r="BJ81" s="124"/>
      <c r="BK81" s="124"/>
      <c r="BL81" s="124"/>
      <c r="BM81" s="124"/>
      <c r="BN81" s="124"/>
      <c r="BO81" s="124"/>
      <c r="BP81" s="124"/>
      <c r="BQ81" s="124"/>
      <c r="BR81" s="124"/>
      <c r="BS81" s="124"/>
      <c r="BT81" s="124"/>
      <c r="BU81" s="124"/>
      <c r="BV81" s="124"/>
      <c r="BW81" s="124"/>
      <c r="BX81" s="124"/>
      <c r="BY81" s="124"/>
      <c r="BZ81" s="124"/>
      <c r="CA81" s="124"/>
    </row>
    <row r="82">
      <c r="A82" s="106"/>
      <c r="B82" s="207"/>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row>
    <row r="83">
      <c r="A83" s="106"/>
      <c r="B83" s="207"/>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c r="AA83" s="106"/>
      <c r="AB83" s="106"/>
      <c r="AC83" s="106"/>
      <c r="AD83" s="106"/>
      <c r="AE83" s="106"/>
      <c r="AF83" s="106"/>
      <c r="AG83" s="106"/>
      <c r="AH83" s="124"/>
      <c r="AI83" s="124"/>
      <c r="AJ83" s="124"/>
      <c r="AK83" s="124"/>
      <c r="AL83" s="124"/>
      <c r="AM83" s="124"/>
      <c r="AN83" s="124"/>
      <c r="AO83" s="124"/>
      <c r="AP83" s="124"/>
      <c r="AQ83" s="124"/>
      <c r="AR83" s="124"/>
      <c r="AS83" s="124"/>
      <c r="AT83" s="124"/>
      <c r="AU83" s="124"/>
      <c r="AV83" s="124"/>
      <c r="AW83" s="124"/>
      <c r="AX83" s="124"/>
      <c r="AY83" s="124"/>
      <c r="AZ83" s="124"/>
      <c r="BA83" s="124"/>
      <c r="BB83" s="124"/>
      <c r="BC83" s="124"/>
      <c r="BD83" s="124"/>
      <c r="BE83" s="124"/>
      <c r="BF83" s="124"/>
      <c r="BG83" s="124"/>
      <c r="BH83" s="124"/>
      <c r="BI83" s="124"/>
      <c r="BJ83" s="124"/>
      <c r="BK83" s="124"/>
      <c r="BL83" s="124"/>
      <c r="BM83" s="124"/>
      <c r="BN83" s="124"/>
      <c r="BO83" s="124"/>
      <c r="BP83" s="124"/>
      <c r="BQ83" s="124"/>
      <c r="BR83" s="124"/>
      <c r="BS83" s="124"/>
      <c r="BT83" s="124"/>
      <c r="BU83" s="124"/>
      <c r="BV83" s="124"/>
      <c r="BW83" s="124"/>
      <c r="BX83" s="124"/>
      <c r="BY83" s="124"/>
      <c r="BZ83" s="124"/>
      <c r="CA83" s="124"/>
    </row>
    <row r="84">
      <c r="A84" s="106"/>
      <c r="B84" s="207"/>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c r="AG84" s="106"/>
      <c r="AH84" s="124"/>
      <c r="AI84" s="124"/>
      <c r="AJ84" s="124"/>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c r="BK84" s="124"/>
      <c r="BL84" s="124"/>
      <c r="BM84" s="124"/>
      <c r="BN84" s="124"/>
      <c r="BO84" s="124"/>
      <c r="BP84" s="124"/>
      <c r="BQ84" s="124"/>
      <c r="BR84" s="124"/>
      <c r="BS84" s="124"/>
      <c r="BT84" s="124"/>
      <c r="BU84" s="124"/>
      <c r="BV84" s="124"/>
      <c r="BW84" s="124"/>
      <c r="BX84" s="124"/>
      <c r="BY84" s="124"/>
      <c r="BZ84" s="124"/>
      <c r="CA84" s="124"/>
    </row>
    <row r="85">
      <c r="A85" s="106"/>
      <c r="B85" s="207"/>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c r="AA85" s="106"/>
      <c r="AB85" s="106"/>
      <c r="AC85" s="106"/>
      <c r="AD85" s="106"/>
      <c r="AE85" s="106"/>
      <c r="AF85" s="106"/>
      <c r="AG85" s="106"/>
      <c r="AH85" s="124"/>
      <c r="AI85" s="124"/>
      <c r="AJ85" s="124"/>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c r="BK85" s="124"/>
      <c r="BL85" s="124"/>
      <c r="BM85" s="124"/>
      <c r="BN85" s="124"/>
      <c r="BO85" s="124"/>
      <c r="BP85" s="124"/>
      <c r="BQ85" s="124"/>
      <c r="BR85" s="124"/>
      <c r="BS85" s="124"/>
      <c r="BT85" s="124"/>
      <c r="BU85" s="124"/>
      <c r="BV85" s="124"/>
      <c r="BW85" s="124"/>
      <c r="BX85" s="124"/>
      <c r="BY85" s="124"/>
      <c r="BZ85" s="124"/>
      <c r="CA85" s="124"/>
    </row>
    <row r="86">
      <c r="A86" s="106"/>
      <c r="B86" s="207"/>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24"/>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c r="BK86" s="124"/>
      <c r="BL86" s="124"/>
      <c r="BM86" s="124"/>
      <c r="BN86" s="124"/>
      <c r="BO86" s="124"/>
      <c r="BP86" s="124"/>
      <c r="BQ86" s="124"/>
      <c r="BR86" s="124"/>
      <c r="BS86" s="124"/>
      <c r="BT86" s="124"/>
      <c r="BU86" s="124"/>
      <c r="BV86" s="124"/>
      <c r="BW86" s="124"/>
      <c r="BX86" s="124"/>
      <c r="BY86" s="124"/>
      <c r="BZ86" s="124"/>
      <c r="CA86" s="124"/>
    </row>
    <row r="87">
      <c r="A87" s="106"/>
      <c r="B87" s="207"/>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row>
    <row r="88">
      <c r="A88" s="106"/>
      <c r="B88" s="207"/>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row>
    <row r="89">
      <c r="A89" s="106"/>
      <c r="B89" s="207"/>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row>
    <row r="90">
      <c r="A90" s="106"/>
      <c r="B90" s="207"/>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c r="AA90" s="106"/>
      <c r="AB90" s="106"/>
      <c r="AC90" s="106"/>
      <c r="AD90" s="106"/>
      <c r="AE90" s="106"/>
      <c r="AF90" s="106"/>
      <c r="AG90" s="106"/>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row>
    <row r="91">
      <c r="A91" s="106"/>
      <c r="B91" s="207"/>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c r="AA91" s="106"/>
      <c r="AB91" s="106"/>
      <c r="AC91" s="106"/>
      <c r="AD91" s="106"/>
      <c r="AE91" s="106"/>
      <c r="AF91" s="106"/>
      <c r="AG91" s="106"/>
      <c r="AH91" s="124"/>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c r="BK91" s="124"/>
      <c r="BL91" s="124"/>
      <c r="BM91" s="124"/>
      <c r="BN91" s="124"/>
      <c r="BO91" s="124"/>
      <c r="BP91" s="124"/>
      <c r="BQ91" s="124"/>
      <c r="BR91" s="124"/>
      <c r="BS91" s="124"/>
      <c r="BT91" s="124"/>
      <c r="BU91" s="124"/>
      <c r="BV91" s="124"/>
      <c r="BW91" s="124"/>
      <c r="BX91" s="124"/>
      <c r="BY91" s="124"/>
      <c r="BZ91" s="124"/>
      <c r="CA91" s="124"/>
    </row>
    <row r="92">
      <c r="A92" s="106"/>
      <c r="B92" s="207"/>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c r="AA92" s="106"/>
      <c r="AB92" s="106"/>
      <c r="AC92" s="106"/>
      <c r="AD92" s="106"/>
      <c r="AE92" s="106"/>
      <c r="AF92" s="106"/>
      <c r="AG92" s="106"/>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row>
    <row r="93">
      <c r="A93" s="106"/>
      <c r="B93" s="207"/>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c r="AA93" s="106"/>
      <c r="AB93" s="106"/>
      <c r="AC93" s="106"/>
      <c r="AD93" s="106"/>
      <c r="AE93" s="106"/>
      <c r="AF93" s="106"/>
      <c r="AG93" s="106"/>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row>
    <row r="94">
      <c r="A94" s="106"/>
      <c r="B94" s="207"/>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c r="AA94" s="106"/>
      <c r="AB94" s="106"/>
      <c r="AC94" s="106"/>
      <c r="AD94" s="106"/>
      <c r="AE94" s="106"/>
      <c r="AF94" s="106"/>
      <c r="AG94" s="106"/>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row>
    <row r="95">
      <c r="A95" s="106"/>
      <c r="B95" s="207"/>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c r="AA95" s="106"/>
      <c r="AB95" s="106"/>
      <c r="AC95" s="106"/>
      <c r="AD95" s="106"/>
      <c r="AE95" s="106"/>
      <c r="AF95" s="106"/>
      <c r="AG95" s="106"/>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24"/>
      <c r="CA95" s="124"/>
    </row>
    <row r="96">
      <c r="A96" s="106"/>
      <c r="B96" s="207"/>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c r="AA96" s="106"/>
      <c r="AB96" s="106"/>
      <c r="AC96" s="106"/>
      <c r="AD96" s="106"/>
      <c r="AE96" s="106"/>
      <c r="AF96" s="106"/>
      <c r="AG96" s="106"/>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row>
    <row r="97">
      <c r="A97" s="106"/>
      <c r="B97" s="207"/>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c r="AA97" s="106"/>
      <c r="AB97" s="106"/>
      <c r="AC97" s="106"/>
      <c r="AD97" s="106"/>
      <c r="AE97" s="106"/>
      <c r="AF97" s="106"/>
      <c r="AG97" s="106"/>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c r="BK97" s="124"/>
      <c r="BL97" s="124"/>
      <c r="BM97" s="124"/>
      <c r="BN97" s="124"/>
      <c r="BO97" s="124"/>
      <c r="BP97" s="124"/>
      <c r="BQ97" s="124"/>
      <c r="BR97" s="124"/>
      <c r="BS97" s="124"/>
      <c r="BT97" s="124"/>
      <c r="BU97" s="124"/>
      <c r="BV97" s="124"/>
      <c r="BW97" s="124"/>
      <c r="BX97" s="124"/>
      <c r="BY97" s="124"/>
      <c r="BZ97" s="124"/>
      <c r="CA97" s="124"/>
    </row>
    <row r="98">
      <c r="A98" s="106"/>
      <c r="B98" s="207"/>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c r="AA98" s="106"/>
      <c r="AB98" s="106"/>
      <c r="AC98" s="106"/>
      <c r="AD98" s="106"/>
      <c r="AE98" s="106"/>
      <c r="AF98" s="106"/>
      <c r="AG98" s="106"/>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c r="BK98" s="124"/>
      <c r="BL98" s="124"/>
      <c r="BM98" s="124"/>
      <c r="BN98" s="124"/>
      <c r="BO98" s="124"/>
      <c r="BP98" s="124"/>
      <c r="BQ98" s="124"/>
      <c r="BR98" s="124"/>
      <c r="BS98" s="124"/>
      <c r="BT98" s="124"/>
      <c r="BU98" s="124"/>
      <c r="BV98" s="124"/>
      <c r="BW98" s="124"/>
      <c r="BX98" s="124"/>
      <c r="BY98" s="124"/>
      <c r="BZ98" s="124"/>
      <c r="CA98" s="124"/>
    </row>
    <row r="99">
      <c r="A99" s="106"/>
      <c r="B99" s="207"/>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c r="AA99" s="106"/>
      <c r="AB99" s="106"/>
      <c r="AC99" s="106"/>
      <c r="AD99" s="106"/>
      <c r="AE99" s="106"/>
      <c r="AF99" s="106"/>
      <c r="AG99" s="106"/>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c r="BK99" s="124"/>
      <c r="BL99" s="124"/>
      <c r="BM99" s="124"/>
      <c r="BN99" s="124"/>
      <c r="BO99" s="124"/>
      <c r="BP99" s="124"/>
      <c r="BQ99" s="124"/>
      <c r="BR99" s="124"/>
      <c r="BS99" s="124"/>
      <c r="BT99" s="124"/>
      <c r="BU99" s="124"/>
      <c r="BV99" s="124"/>
      <c r="BW99" s="124"/>
      <c r="BX99" s="124"/>
      <c r="BY99" s="124"/>
      <c r="BZ99" s="124"/>
      <c r="CA99" s="124"/>
    </row>
    <row r="100">
      <c r="A100" s="106"/>
      <c r="B100" s="207"/>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c r="AA100" s="106"/>
      <c r="AB100" s="106"/>
      <c r="AC100" s="106"/>
      <c r="AD100" s="106"/>
      <c r="AE100" s="106"/>
      <c r="AF100" s="106"/>
      <c r="AG100" s="106"/>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row>
    <row r="101">
      <c r="A101" s="106"/>
      <c r="B101" s="207"/>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c r="AA101" s="106"/>
      <c r="AB101" s="106"/>
      <c r="AC101" s="106"/>
      <c r="AD101" s="106"/>
      <c r="AE101" s="106"/>
      <c r="AF101" s="106"/>
      <c r="AG101" s="106"/>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row>
    <row r="102">
      <c r="A102" s="106"/>
      <c r="B102" s="207"/>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c r="BK102" s="124"/>
      <c r="BL102" s="124"/>
      <c r="BM102" s="124"/>
      <c r="BN102" s="124"/>
      <c r="BO102" s="124"/>
      <c r="BP102" s="124"/>
      <c r="BQ102" s="124"/>
      <c r="BR102" s="124"/>
      <c r="BS102" s="124"/>
      <c r="BT102" s="124"/>
      <c r="BU102" s="124"/>
      <c r="BV102" s="124"/>
      <c r="BW102" s="124"/>
      <c r="BX102" s="124"/>
      <c r="BY102" s="124"/>
      <c r="BZ102" s="124"/>
      <c r="CA102" s="124"/>
    </row>
    <row r="103">
      <c r="A103" s="106"/>
      <c r="B103" s="207"/>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row>
    <row r="104">
      <c r="A104" s="106"/>
      <c r="B104" s="207"/>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c r="AG104" s="106"/>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c r="BK104" s="124"/>
      <c r="BL104" s="124"/>
      <c r="BM104" s="124"/>
      <c r="BN104" s="124"/>
      <c r="BO104" s="124"/>
      <c r="BP104" s="124"/>
      <c r="BQ104" s="124"/>
      <c r="BR104" s="124"/>
      <c r="BS104" s="124"/>
      <c r="BT104" s="124"/>
      <c r="BU104" s="124"/>
      <c r="BV104" s="124"/>
      <c r="BW104" s="124"/>
      <c r="BX104" s="124"/>
      <c r="BY104" s="124"/>
      <c r="BZ104" s="124"/>
      <c r="CA104" s="124"/>
    </row>
    <row r="105">
      <c r="A105" s="106"/>
      <c r="B105" s="207"/>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G105" s="106"/>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row>
    <row r="106">
      <c r="A106" s="106"/>
      <c r="B106" s="207"/>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c r="AB106" s="106"/>
      <c r="AC106" s="106"/>
      <c r="AD106" s="106"/>
      <c r="AE106" s="106"/>
      <c r="AF106" s="106"/>
      <c r="AG106" s="106"/>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row>
    <row r="107">
      <c r="A107" s="106"/>
      <c r="B107" s="207"/>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c r="AA107" s="106"/>
      <c r="AB107" s="106"/>
      <c r="AC107" s="106"/>
      <c r="AD107" s="106"/>
      <c r="AE107" s="106"/>
      <c r="AF107" s="106"/>
      <c r="AG107" s="106"/>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row>
    <row r="108">
      <c r="A108" s="106"/>
      <c r="B108" s="207"/>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c r="AA108" s="106"/>
      <c r="AB108" s="106"/>
      <c r="AC108" s="106"/>
      <c r="AD108" s="106"/>
      <c r="AE108" s="106"/>
      <c r="AF108" s="106"/>
      <c r="AG108" s="106"/>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c r="BK108" s="124"/>
      <c r="BL108" s="124"/>
      <c r="BM108" s="124"/>
      <c r="BN108" s="124"/>
      <c r="BO108" s="124"/>
      <c r="BP108" s="124"/>
      <c r="BQ108" s="124"/>
      <c r="BR108" s="124"/>
      <c r="BS108" s="124"/>
      <c r="BT108" s="124"/>
      <c r="BU108" s="124"/>
      <c r="BV108" s="124"/>
      <c r="BW108" s="124"/>
      <c r="BX108" s="124"/>
      <c r="BY108" s="124"/>
      <c r="BZ108" s="124"/>
      <c r="CA108" s="124"/>
    </row>
    <row r="109">
      <c r="A109" s="106"/>
      <c r="B109" s="207"/>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G109" s="106"/>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4"/>
      <c r="BR109" s="124"/>
      <c r="BS109" s="124"/>
      <c r="BT109" s="124"/>
      <c r="BU109" s="124"/>
      <c r="BV109" s="124"/>
      <c r="BW109" s="124"/>
      <c r="BX109" s="124"/>
      <c r="BY109" s="124"/>
      <c r="BZ109" s="124"/>
      <c r="CA109" s="124"/>
    </row>
    <row r="110">
      <c r="A110" s="106"/>
      <c r="B110" s="207"/>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c r="AA110" s="106"/>
      <c r="AB110" s="106"/>
      <c r="AC110" s="106"/>
      <c r="AD110" s="106"/>
      <c r="AE110" s="106"/>
      <c r="AF110" s="106"/>
      <c r="AG110" s="106"/>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row>
    <row r="111">
      <c r="A111" s="106"/>
      <c r="B111" s="207"/>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c r="AA111" s="106"/>
      <c r="AB111" s="106"/>
      <c r="AC111" s="106"/>
      <c r="AD111" s="106"/>
      <c r="AE111" s="106"/>
      <c r="AF111" s="106"/>
      <c r="AG111" s="106"/>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c r="BK111" s="124"/>
      <c r="BL111" s="124"/>
      <c r="BM111" s="124"/>
      <c r="BN111" s="124"/>
      <c r="BO111" s="124"/>
      <c r="BP111" s="124"/>
      <c r="BQ111" s="124"/>
      <c r="BR111" s="124"/>
      <c r="BS111" s="124"/>
      <c r="BT111" s="124"/>
      <c r="BU111" s="124"/>
      <c r="BV111" s="124"/>
      <c r="BW111" s="124"/>
      <c r="BX111" s="124"/>
      <c r="BY111" s="124"/>
      <c r="BZ111" s="124"/>
      <c r="CA111" s="124"/>
    </row>
    <row r="112">
      <c r="A112" s="106"/>
      <c r="B112" s="207"/>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c r="AA112" s="106"/>
      <c r="AB112" s="106"/>
      <c r="AC112" s="106"/>
      <c r="AD112" s="106"/>
      <c r="AE112" s="106"/>
      <c r="AF112" s="106"/>
      <c r="AG112" s="106"/>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row>
    <row r="113">
      <c r="A113" s="106"/>
      <c r="B113" s="207"/>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c r="AA113" s="106"/>
      <c r="AB113" s="106"/>
      <c r="AC113" s="106"/>
      <c r="AD113" s="106"/>
      <c r="AE113" s="106"/>
      <c r="AF113" s="106"/>
      <c r="AG113" s="106"/>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row>
    <row r="114">
      <c r="A114" s="106"/>
      <c r="B114" s="207"/>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c r="AA114" s="106"/>
      <c r="AB114" s="106"/>
      <c r="AC114" s="106"/>
      <c r="AD114" s="106"/>
      <c r="AE114" s="106"/>
      <c r="AF114" s="106"/>
      <c r="AG114" s="106"/>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c r="BZ114" s="124"/>
      <c r="CA114" s="124"/>
    </row>
    <row r="115">
      <c r="A115" s="106"/>
      <c r="B115" s="207"/>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c r="AA115" s="106"/>
      <c r="AB115" s="106"/>
      <c r="AC115" s="106"/>
      <c r="AD115" s="106"/>
      <c r="AE115" s="106"/>
      <c r="AF115" s="106"/>
      <c r="AG115" s="106"/>
      <c r="AH115" s="124"/>
      <c r="AI115" s="124"/>
      <c r="AJ115" s="124"/>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c r="BK115" s="124"/>
      <c r="BL115" s="124"/>
      <c r="BM115" s="124"/>
      <c r="BN115" s="124"/>
      <c r="BO115" s="124"/>
      <c r="BP115" s="124"/>
      <c r="BQ115" s="124"/>
      <c r="BR115" s="124"/>
      <c r="BS115" s="124"/>
      <c r="BT115" s="124"/>
      <c r="BU115" s="124"/>
      <c r="BV115" s="124"/>
      <c r="BW115" s="124"/>
      <c r="BX115" s="124"/>
      <c r="BY115" s="124"/>
      <c r="BZ115" s="124"/>
      <c r="CA115" s="124"/>
    </row>
    <row r="116">
      <c r="A116" s="106"/>
      <c r="B116" s="207"/>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c r="AA116" s="106"/>
      <c r="AB116" s="106"/>
      <c r="AC116" s="106"/>
      <c r="AD116" s="106"/>
      <c r="AE116" s="106"/>
      <c r="AF116" s="106"/>
      <c r="AG116" s="106"/>
      <c r="AH116" s="124"/>
      <c r="AI116" s="124"/>
      <c r="AJ116" s="124"/>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c r="BK116" s="124"/>
      <c r="BL116" s="124"/>
      <c r="BM116" s="124"/>
      <c r="BN116" s="124"/>
      <c r="BO116" s="124"/>
      <c r="BP116" s="124"/>
      <c r="BQ116" s="124"/>
      <c r="BR116" s="124"/>
      <c r="BS116" s="124"/>
      <c r="BT116" s="124"/>
      <c r="BU116" s="124"/>
      <c r="BV116" s="124"/>
      <c r="BW116" s="124"/>
      <c r="BX116" s="124"/>
      <c r="BY116" s="124"/>
      <c r="BZ116" s="124"/>
      <c r="CA116" s="124"/>
    </row>
    <row r="117">
      <c r="A117" s="106"/>
      <c r="B117" s="207"/>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c r="AA117" s="106"/>
      <c r="AB117" s="106"/>
      <c r="AC117" s="106"/>
      <c r="AD117" s="106"/>
      <c r="AE117" s="106"/>
      <c r="AF117" s="106"/>
      <c r="AG117" s="106"/>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c r="BK117" s="124"/>
      <c r="BL117" s="124"/>
      <c r="BM117" s="124"/>
      <c r="BN117" s="124"/>
      <c r="BO117" s="124"/>
      <c r="BP117" s="124"/>
      <c r="BQ117" s="124"/>
      <c r="BR117" s="124"/>
      <c r="BS117" s="124"/>
      <c r="BT117" s="124"/>
      <c r="BU117" s="124"/>
      <c r="BV117" s="124"/>
      <c r="BW117" s="124"/>
      <c r="BX117" s="124"/>
      <c r="BY117" s="124"/>
      <c r="BZ117" s="124"/>
      <c r="CA117" s="124"/>
    </row>
    <row r="118">
      <c r="A118" s="106"/>
      <c r="B118" s="207"/>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c r="AA118" s="106"/>
      <c r="AB118" s="106"/>
      <c r="AC118" s="106"/>
      <c r="AD118" s="106"/>
      <c r="AE118" s="106"/>
      <c r="AF118" s="106"/>
      <c r="AG118" s="106"/>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row>
    <row r="119">
      <c r="A119" s="106"/>
      <c r="B119" s="207"/>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c r="AA119" s="106"/>
      <c r="AB119" s="106"/>
      <c r="AC119" s="106"/>
      <c r="AD119" s="106"/>
      <c r="AE119" s="106"/>
      <c r="AF119" s="106"/>
      <c r="AG119" s="106"/>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c r="BK119" s="124"/>
      <c r="BL119" s="124"/>
      <c r="BM119" s="124"/>
      <c r="BN119" s="124"/>
      <c r="BO119" s="124"/>
      <c r="BP119" s="124"/>
      <c r="BQ119" s="124"/>
      <c r="BR119" s="124"/>
      <c r="BS119" s="124"/>
      <c r="BT119" s="124"/>
      <c r="BU119" s="124"/>
      <c r="BV119" s="124"/>
      <c r="BW119" s="124"/>
      <c r="BX119" s="124"/>
      <c r="BY119" s="124"/>
      <c r="BZ119" s="124"/>
      <c r="CA119" s="124"/>
    </row>
    <row r="120">
      <c r="A120" s="106"/>
      <c r="B120" s="207"/>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c r="AG120" s="106"/>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row>
    <row r="121">
      <c r="A121" s="106"/>
      <c r="B121" s="207"/>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6"/>
      <c r="AG121" s="106"/>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c r="BS121" s="124"/>
      <c r="BT121" s="124"/>
      <c r="BU121" s="124"/>
      <c r="BV121" s="124"/>
      <c r="BW121" s="124"/>
      <c r="BX121" s="124"/>
      <c r="BY121" s="124"/>
      <c r="BZ121" s="124"/>
      <c r="CA121" s="124"/>
    </row>
    <row r="122">
      <c r="A122" s="106"/>
      <c r="B122" s="207"/>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row>
    <row r="123">
      <c r="A123" s="106"/>
      <c r="B123" s="207"/>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c r="AG123" s="106"/>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row>
    <row r="124">
      <c r="A124" s="106"/>
      <c r="B124" s="207"/>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c r="AG124" s="106"/>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c r="BK124" s="124"/>
      <c r="BL124" s="124"/>
      <c r="BM124" s="124"/>
      <c r="BN124" s="124"/>
      <c r="BO124" s="124"/>
      <c r="BP124" s="124"/>
      <c r="BQ124" s="124"/>
      <c r="BR124" s="124"/>
      <c r="BS124" s="124"/>
      <c r="BT124" s="124"/>
      <c r="BU124" s="124"/>
      <c r="BV124" s="124"/>
      <c r="BW124" s="124"/>
      <c r="BX124" s="124"/>
      <c r="BY124" s="124"/>
      <c r="BZ124" s="124"/>
      <c r="CA124" s="124"/>
    </row>
    <row r="125">
      <c r="A125" s="106"/>
      <c r="B125" s="207"/>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c r="AA125" s="106"/>
      <c r="AB125" s="106"/>
      <c r="AC125" s="106"/>
      <c r="AD125" s="106"/>
      <c r="AE125" s="106"/>
      <c r="AF125" s="106"/>
      <c r="AG125" s="106"/>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row>
    <row r="126">
      <c r="A126" s="106"/>
      <c r="B126" s="207"/>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c r="AA126" s="106"/>
      <c r="AB126" s="106"/>
      <c r="AC126" s="106"/>
      <c r="AD126" s="106"/>
      <c r="AE126" s="106"/>
      <c r="AF126" s="106"/>
      <c r="AG126" s="106"/>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row>
    <row r="127">
      <c r="A127" s="106"/>
      <c r="B127" s="207"/>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c r="AA127" s="106"/>
      <c r="AB127" s="106"/>
      <c r="AC127" s="106"/>
      <c r="AD127" s="106"/>
      <c r="AE127" s="106"/>
      <c r="AF127" s="106"/>
      <c r="AG127" s="106"/>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row>
    <row r="128">
      <c r="A128" s="106"/>
      <c r="B128" s="207"/>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c r="AG128" s="106"/>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row>
    <row r="129">
      <c r="A129" s="106"/>
      <c r="B129" s="207"/>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c r="AG129" s="106"/>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row>
    <row r="130">
      <c r="A130" s="106"/>
      <c r="B130" s="207"/>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row>
    <row r="131">
      <c r="A131" s="106"/>
      <c r="B131" s="207"/>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row>
    <row r="132">
      <c r="A132" s="106"/>
      <c r="B132" s="207"/>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row>
    <row r="133">
      <c r="A133" s="106"/>
      <c r="B133" s="207"/>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c r="AB133" s="106"/>
      <c r="AC133" s="106"/>
      <c r="AD133" s="106"/>
      <c r="AE133" s="106"/>
      <c r="AF133" s="106"/>
      <c r="AG133" s="106"/>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row>
    <row r="134">
      <c r="A134" s="106"/>
      <c r="B134" s="207"/>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c r="AF134" s="106"/>
      <c r="AG134" s="106"/>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row>
    <row r="135">
      <c r="A135" s="106"/>
      <c r="B135" s="207"/>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c r="AB135" s="106"/>
      <c r="AC135" s="106"/>
      <c r="AD135" s="106"/>
      <c r="AE135" s="106"/>
      <c r="AF135" s="106"/>
      <c r="AG135" s="106"/>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c r="BK135" s="124"/>
      <c r="BL135" s="124"/>
      <c r="BM135" s="124"/>
      <c r="BN135" s="124"/>
      <c r="BO135" s="124"/>
      <c r="BP135" s="124"/>
      <c r="BQ135" s="124"/>
      <c r="BR135" s="124"/>
      <c r="BS135" s="124"/>
      <c r="BT135" s="124"/>
      <c r="BU135" s="124"/>
      <c r="BV135" s="124"/>
      <c r="BW135" s="124"/>
      <c r="BX135" s="124"/>
      <c r="BY135" s="124"/>
      <c r="BZ135" s="124"/>
      <c r="CA135" s="124"/>
    </row>
    <row r="136">
      <c r="A136" s="106"/>
      <c r="B136" s="207"/>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c r="AA136" s="106"/>
      <c r="AB136" s="106"/>
      <c r="AC136" s="106"/>
      <c r="AD136" s="106"/>
      <c r="AE136" s="106"/>
      <c r="AF136" s="106"/>
      <c r="AG136" s="106"/>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row>
    <row r="137">
      <c r="A137" s="106"/>
      <c r="B137" s="207"/>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c r="AB137" s="106"/>
      <c r="AC137" s="106"/>
      <c r="AD137" s="106"/>
      <c r="AE137" s="106"/>
      <c r="AF137" s="106"/>
      <c r="AG137" s="106"/>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row>
    <row r="138">
      <c r="A138" s="106"/>
      <c r="B138" s="207"/>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c r="AA138" s="106"/>
      <c r="AB138" s="106"/>
      <c r="AC138" s="106"/>
      <c r="AD138" s="106"/>
      <c r="AE138" s="106"/>
      <c r="AF138" s="106"/>
      <c r="AG138" s="106"/>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row>
    <row r="139">
      <c r="A139" s="106"/>
      <c r="B139" s="207"/>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c r="AF139" s="106"/>
      <c r="AG139" s="106"/>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row>
    <row r="140">
      <c r="A140" s="106"/>
      <c r="B140" s="207"/>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c r="AF140" s="106"/>
      <c r="AG140" s="106"/>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row>
    <row r="141">
      <c r="A141" s="106"/>
      <c r="B141" s="207"/>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c r="AA141" s="106"/>
      <c r="AB141" s="106"/>
      <c r="AC141" s="106"/>
      <c r="AD141" s="106"/>
      <c r="AE141" s="106"/>
      <c r="AF141" s="106"/>
      <c r="AG141" s="106"/>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row>
    <row r="142">
      <c r="A142" s="106"/>
      <c r="B142" s="207"/>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c r="AA142" s="106"/>
      <c r="AB142" s="106"/>
      <c r="AC142" s="106"/>
      <c r="AD142" s="106"/>
      <c r="AE142" s="106"/>
      <c r="AF142" s="106"/>
      <c r="AG142" s="106"/>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c r="BK142" s="124"/>
      <c r="BL142" s="124"/>
      <c r="BM142" s="124"/>
      <c r="BN142" s="124"/>
      <c r="BO142" s="124"/>
      <c r="BP142" s="124"/>
      <c r="BQ142" s="124"/>
      <c r="BR142" s="124"/>
      <c r="BS142" s="124"/>
      <c r="BT142" s="124"/>
      <c r="BU142" s="124"/>
      <c r="BV142" s="124"/>
      <c r="BW142" s="124"/>
      <c r="BX142" s="124"/>
      <c r="BY142" s="124"/>
      <c r="BZ142" s="124"/>
      <c r="CA142" s="124"/>
    </row>
    <row r="143">
      <c r="A143" s="106"/>
      <c r="B143" s="207"/>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c r="AA143" s="106"/>
      <c r="AB143" s="106"/>
      <c r="AC143" s="106"/>
      <c r="AD143" s="106"/>
      <c r="AE143" s="106"/>
      <c r="AF143" s="106"/>
      <c r="AG143" s="106"/>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row>
    <row r="144">
      <c r="A144" s="106"/>
      <c r="B144" s="207"/>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c r="AA144" s="106"/>
      <c r="AB144" s="106"/>
      <c r="AC144" s="106"/>
      <c r="AD144" s="106"/>
      <c r="AE144" s="106"/>
      <c r="AF144" s="106"/>
      <c r="AG144" s="106"/>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c r="BQ144" s="124"/>
      <c r="BR144" s="124"/>
      <c r="BS144" s="124"/>
      <c r="BT144" s="124"/>
      <c r="BU144" s="124"/>
      <c r="BV144" s="124"/>
      <c r="BW144" s="124"/>
      <c r="BX144" s="124"/>
      <c r="BY144" s="124"/>
      <c r="BZ144" s="124"/>
      <c r="CA144" s="124"/>
    </row>
    <row r="145">
      <c r="A145" s="106"/>
      <c r="B145" s="207"/>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c r="AA145" s="106"/>
      <c r="AB145" s="106"/>
      <c r="AC145" s="106"/>
      <c r="AD145" s="106"/>
      <c r="AE145" s="106"/>
      <c r="AF145" s="106"/>
      <c r="AG145" s="106"/>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row>
    <row r="146">
      <c r="A146" s="106"/>
      <c r="B146" s="207"/>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c r="AA146" s="106"/>
      <c r="AB146" s="106"/>
      <c r="AC146" s="106"/>
      <c r="AD146" s="106"/>
      <c r="AE146" s="106"/>
      <c r="AF146" s="106"/>
      <c r="AG146" s="106"/>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row>
    <row r="147">
      <c r="A147" s="106"/>
      <c r="B147" s="207"/>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c r="AA147" s="106"/>
      <c r="AB147" s="106"/>
      <c r="AC147" s="106"/>
      <c r="AD147" s="106"/>
      <c r="AE147" s="106"/>
      <c r="AF147" s="106"/>
      <c r="AG147" s="106"/>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c r="BK147" s="124"/>
      <c r="BL147" s="124"/>
      <c r="BM147" s="124"/>
      <c r="BN147" s="124"/>
      <c r="BO147" s="124"/>
      <c r="BP147" s="124"/>
      <c r="BQ147" s="124"/>
      <c r="BR147" s="124"/>
      <c r="BS147" s="124"/>
      <c r="BT147" s="124"/>
      <c r="BU147" s="124"/>
      <c r="BV147" s="124"/>
      <c r="BW147" s="124"/>
      <c r="BX147" s="124"/>
      <c r="BY147" s="124"/>
      <c r="BZ147" s="124"/>
      <c r="CA147" s="124"/>
    </row>
    <row r="148">
      <c r="A148" s="106"/>
      <c r="B148" s="207"/>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c r="AG148" s="106"/>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row>
    <row r="149">
      <c r="A149" s="106"/>
      <c r="B149" s="207"/>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c r="AA149" s="106"/>
      <c r="AB149" s="106"/>
      <c r="AC149" s="106"/>
      <c r="AD149" s="106"/>
      <c r="AE149" s="106"/>
      <c r="AF149" s="106"/>
      <c r="AG149" s="106"/>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row>
    <row r="150">
      <c r="A150" s="106"/>
      <c r="B150" s="207"/>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c r="AG150" s="106"/>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c r="BK150" s="124"/>
      <c r="BL150" s="124"/>
      <c r="BM150" s="124"/>
      <c r="BN150" s="124"/>
      <c r="BO150" s="124"/>
      <c r="BP150" s="124"/>
      <c r="BQ150" s="124"/>
      <c r="BR150" s="124"/>
      <c r="BS150" s="124"/>
      <c r="BT150" s="124"/>
      <c r="BU150" s="124"/>
      <c r="BV150" s="124"/>
      <c r="BW150" s="124"/>
      <c r="BX150" s="124"/>
      <c r="BY150" s="124"/>
      <c r="BZ150" s="124"/>
      <c r="CA150" s="124"/>
    </row>
    <row r="151">
      <c r="A151" s="106"/>
      <c r="B151" s="207"/>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c r="AF151" s="106"/>
      <c r="AG151" s="106"/>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row>
    <row r="152">
      <c r="A152" s="106"/>
      <c r="B152" s="207"/>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c r="AG152" s="106"/>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c r="BK152" s="124"/>
      <c r="BL152" s="124"/>
      <c r="BM152" s="124"/>
      <c r="BN152" s="124"/>
      <c r="BO152" s="124"/>
      <c r="BP152" s="124"/>
      <c r="BQ152" s="124"/>
      <c r="BR152" s="124"/>
      <c r="BS152" s="124"/>
      <c r="BT152" s="124"/>
      <c r="BU152" s="124"/>
      <c r="BV152" s="124"/>
      <c r="BW152" s="124"/>
      <c r="BX152" s="124"/>
      <c r="BY152" s="124"/>
      <c r="BZ152" s="124"/>
      <c r="CA152" s="124"/>
    </row>
    <row r="153">
      <c r="A153" s="106"/>
      <c r="B153" s="207"/>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c r="AF153" s="106"/>
      <c r="AG153" s="106"/>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row>
    <row r="154">
      <c r="A154" s="106"/>
      <c r="B154" s="207"/>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6"/>
      <c r="AF154" s="106"/>
      <c r="AG154" s="106"/>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row>
    <row r="155">
      <c r="A155" s="106"/>
      <c r="B155" s="207"/>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c r="AA155" s="106"/>
      <c r="AB155" s="106"/>
      <c r="AC155" s="106"/>
      <c r="AD155" s="106"/>
      <c r="AE155" s="106"/>
      <c r="AF155" s="106"/>
      <c r="AG155" s="106"/>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row>
    <row r="156">
      <c r="A156" s="106"/>
      <c r="B156" s="207"/>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c r="AA156" s="106"/>
      <c r="AB156" s="106"/>
      <c r="AC156" s="106"/>
      <c r="AD156" s="106"/>
      <c r="AE156" s="106"/>
      <c r="AF156" s="106"/>
      <c r="AG156" s="106"/>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row>
    <row r="157">
      <c r="A157" s="106"/>
      <c r="B157" s="207"/>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c r="AG157" s="106"/>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row>
    <row r="158">
      <c r="A158" s="106"/>
      <c r="B158" s="207"/>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c r="AA158" s="106"/>
      <c r="AB158" s="106"/>
      <c r="AC158" s="106"/>
      <c r="AD158" s="106"/>
      <c r="AE158" s="106"/>
      <c r="AF158" s="106"/>
      <c r="AG158" s="106"/>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row>
    <row r="159">
      <c r="A159" s="106"/>
      <c r="B159" s="207"/>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c r="AA159" s="106"/>
      <c r="AB159" s="106"/>
      <c r="AC159" s="106"/>
      <c r="AD159" s="106"/>
      <c r="AE159" s="106"/>
      <c r="AF159" s="106"/>
      <c r="AG159" s="106"/>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row>
    <row r="160">
      <c r="A160" s="106"/>
      <c r="B160" s="207"/>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6"/>
      <c r="AF160" s="106"/>
      <c r="AG160" s="106"/>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c r="BK160" s="124"/>
      <c r="BL160" s="124"/>
      <c r="BM160" s="124"/>
      <c r="BN160" s="124"/>
      <c r="BO160" s="124"/>
      <c r="BP160" s="124"/>
      <c r="BQ160" s="124"/>
      <c r="BR160" s="124"/>
      <c r="BS160" s="124"/>
      <c r="BT160" s="124"/>
      <c r="BU160" s="124"/>
      <c r="BV160" s="124"/>
      <c r="BW160" s="124"/>
      <c r="BX160" s="124"/>
      <c r="BY160" s="124"/>
      <c r="BZ160" s="124"/>
      <c r="CA160" s="124"/>
    </row>
    <row r="161">
      <c r="A161" s="106"/>
      <c r="B161" s="207"/>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c r="BK161" s="124"/>
      <c r="BL161" s="124"/>
      <c r="BM161" s="124"/>
      <c r="BN161" s="124"/>
      <c r="BO161" s="124"/>
      <c r="BP161" s="124"/>
      <c r="BQ161" s="124"/>
      <c r="BR161" s="124"/>
      <c r="BS161" s="124"/>
      <c r="BT161" s="124"/>
      <c r="BU161" s="124"/>
      <c r="BV161" s="124"/>
      <c r="BW161" s="124"/>
      <c r="BX161" s="124"/>
      <c r="BY161" s="124"/>
      <c r="BZ161" s="124"/>
      <c r="CA161" s="124"/>
    </row>
    <row r="162">
      <c r="A162" s="106"/>
      <c r="B162" s="207"/>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4"/>
      <c r="BV162" s="124"/>
      <c r="BW162" s="124"/>
      <c r="BX162" s="124"/>
      <c r="BY162" s="124"/>
      <c r="BZ162" s="124"/>
      <c r="CA162" s="124"/>
    </row>
    <row r="163">
      <c r="A163" s="106"/>
      <c r="B163" s="207"/>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c r="AA163" s="106"/>
      <c r="AB163" s="106"/>
      <c r="AC163" s="106"/>
      <c r="AD163" s="106"/>
      <c r="AE163" s="106"/>
      <c r="AF163" s="106"/>
      <c r="AG163" s="106"/>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c r="BK163" s="124"/>
      <c r="BL163" s="124"/>
      <c r="BM163" s="124"/>
      <c r="BN163" s="124"/>
      <c r="BO163" s="124"/>
      <c r="BP163" s="124"/>
      <c r="BQ163" s="124"/>
      <c r="BR163" s="124"/>
      <c r="BS163" s="124"/>
      <c r="BT163" s="124"/>
      <c r="BU163" s="124"/>
      <c r="BV163" s="124"/>
      <c r="BW163" s="124"/>
      <c r="BX163" s="124"/>
      <c r="BY163" s="124"/>
      <c r="BZ163" s="124"/>
      <c r="CA163" s="124"/>
    </row>
    <row r="164">
      <c r="A164" s="106"/>
      <c r="B164" s="207"/>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c r="AA164" s="106"/>
      <c r="AB164" s="106"/>
      <c r="AC164" s="106"/>
      <c r="AD164" s="106"/>
      <c r="AE164" s="106"/>
      <c r="AF164" s="106"/>
      <c r="AG164" s="106"/>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row>
    <row r="165">
      <c r="A165" s="106"/>
      <c r="B165" s="207"/>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c r="AA165" s="106"/>
      <c r="AB165" s="106"/>
      <c r="AC165" s="106"/>
      <c r="AD165" s="106"/>
      <c r="AE165" s="106"/>
      <c r="AF165" s="106"/>
      <c r="AG165" s="106"/>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row>
    <row r="166">
      <c r="A166" s="106"/>
      <c r="B166" s="207"/>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c r="AA166" s="106"/>
      <c r="AB166" s="106"/>
      <c r="AC166" s="106"/>
      <c r="AD166" s="106"/>
      <c r="AE166" s="106"/>
      <c r="AF166" s="106"/>
      <c r="AG166" s="106"/>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c r="BK166" s="124"/>
      <c r="BL166" s="124"/>
      <c r="BM166" s="124"/>
      <c r="BN166" s="124"/>
      <c r="BO166" s="124"/>
      <c r="BP166" s="124"/>
      <c r="BQ166" s="124"/>
      <c r="BR166" s="124"/>
      <c r="BS166" s="124"/>
      <c r="BT166" s="124"/>
      <c r="BU166" s="124"/>
      <c r="BV166" s="124"/>
      <c r="BW166" s="124"/>
      <c r="BX166" s="124"/>
      <c r="BY166" s="124"/>
      <c r="BZ166" s="124"/>
      <c r="CA166" s="124"/>
    </row>
    <row r="167">
      <c r="A167" s="106"/>
      <c r="B167" s="207"/>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c r="AA167" s="106"/>
      <c r="AB167" s="106"/>
      <c r="AC167" s="106"/>
      <c r="AD167" s="106"/>
      <c r="AE167" s="106"/>
      <c r="AF167" s="106"/>
      <c r="AG167" s="106"/>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c r="BK167" s="124"/>
      <c r="BL167" s="124"/>
      <c r="BM167" s="124"/>
      <c r="BN167" s="124"/>
      <c r="BO167" s="124"/>
      <c r="BP167" s="124"/>
      <c r="BQ167" s="124"/>
      <c r="BR167" s="124"/>
      <c r="BS167" s="124"/>
      <c r="BT167" s="124"/>
      <c r="BU167" s="124"/>
      <c r="BV167" s="124"/>
      <c r="BW167" s="124"/>
      <c r="BX167" s="124"/>
      <c r="BY167" s="124"/>
      <c r="BZ167" s="124"/>
      <c r="CA167" s="124"/>
    </row>
    <row r="168">
      <c r="A168" s="106"/>
      <c r="B168" s="207"/>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c r="AA168" s="106"/>
      <c r="AB168" s="106"/>
      <c r="AC168" s="106"/>
      <c r="AD168" s="106"/>
      <c r="AE168" s="106"/>
      <c r="AF168" s="106"/>
      <c r="AG168" s="106"/>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row>
    <row r="169">
      <c r="A169" s="106"/>
      <c r="B169" s="207"/>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c r="AA169" s="106"/>
      <c r="AB169" s="106"/>
      <c r="AC169" s="106"/>
      <c r="AD169" s="106"/>
      <c r="AE169" s="106"/>
      <c r="AF169" s="106"/>
      <c r="AG169" s="106"/>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c r="BK169" s="124"/>
      <c r="BL169" s="124"/>
      <c r="BM169" s="124"/>
      <c r="BN169" s="124"/>
      <c r="BO169" s="124"/>
      <c r="BP169" s="124"/>
      <c r="BQ169" s="124"/>
      <c r="BR169" s="124"/>
      <c r="BS169" s="124"/>
      <c r="BT169" s="124"/>
      <c r="BU169" s="124"/>
      <c r="BV169" s="124"/>
      <c r="BW169" s="124"/>
      <c r="BX169" s="124"/>
      <c r="BY169" s="124"/>
      <c r="BZ169" s="124"/>
      <c r="CA169" s="124"/>
    </row>
    <row r="170">
      <c r="A170" s="106"/>
      <c r="B170" s="207"/>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c r="AA170" s="106"/>
      <c r="AB170" s="106"/>
      <c r="AC170" s="106"/>
      <c r="AD170" s="106"/>
      <c r="AE170" s="106"/>
      <c r="AF170" s="106"/>
      <c r="AG170" s="106"/>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row>
    <row r="171">
      <c r="A171" s="106"/>
      <c r="B171" s="207"/>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c r="AA171" s="106"/>
      <c r="AB171" s="106"/>
      <c r="AC171" s="106"/>
      <c r="AD171" s="106"/>
      <c r="AE171" s="106"/>
      <c r="AF171" s="106"/>
      <c r="AG171" s="106"/>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c r="BK171" s="124"/>
      <c r="BL171" s="124"/>
      <c r="BM171" s="124"/>
      <c r="BN171" s="124"/>
      <c r="BO171" s="124"/>
      <c r="BP171" s="124"/>
      <c r="BQ171" s="124"/>
      <c r="BR171" s="124"/>
      <c r="BS171" s="124"/>
      <c r="BT171" s="124"/>
      <c r="BU171" s="124"/>
      <c r="BV171" s="124"/>
      <c r="BW171" s="124"/>
      <c r="BX171" s="124"/>
      <c r="BY171" s="124"/>
      <c r="BZ171" s="124"/>
      <c r="CA171" s="124"/>
    </row>
    <row r="172">
      <c r="A172" s="106"/>
      <c r="B172" s="207"/>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c r="AA172" s="106"/>
      <c r="AB172" s="106"/>
      <c r="AC172" s="106"/>
      <c r="AD172" s="106"/>
      <c r="AE172" s="106"/>
      <c r="AF172" s="106"/>
      <c r="AG172" s="106"/>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c r="BK172" s="124"/>
      <c r="BL172" s="124"/>
      <c r="BM172" s="124"/>
      <c r="BN172" s="124"/>
      <c r="BO172" s="124"/>
      <c r="BP172" s="124"/>
      <c r="BQ172" s="124"/>
      <c r="BR172" s="124"/>
      <c r="BS172" s="124"/>
      <c r="BT172" s="124"/>
      <c r="BU172" s="124"/>
      <c r="BV172" s="124"/>
      <c r="BW172" s="124"/>
      <c r="BX172" s="124"/>
      <c r="BY172" s="124"/>
      <c r="BZ172" s="124"/>
      <c r="CA172" s="124"/>
    </row>
    <row r="173">
      <c r="A173" s="106"/>
      <c r="B173" s="207"/>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c r="AA173" s="106"/>
      <c r="AB173" s="106"/>
      <c r="AC173" s="106"/>
      <c r="AD173" s="106"/>
      <c r="AE173" s="106"/>
      <c r="AF173" s="106"/>
      <c r="AG173" s="106"/>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c r="BK173" s="124"/>
      <c r="BL173" s="124"/>
      <c r="BM173" s="124"/>
      <c r="BN173" s="124"/>
      <c r="BO173" s="124"/>
      <c r="BP173" s="124"/>
      <c r="BQ173" s="124"/>
      <c r="BR173" s="124"/>
      <c r="BS173" s="124"/>
      <c r="BT173" s="124"/>
      <c r="BU173" s="124"/>
      <c r="BV173" s="124"/>
      <c r="BW173" s="124"/>
      <c r="BX173" s="124"/>
      <c r="BY173" s="124"/>
      <c r="BZ173" s="124"/>
      <c r="CA173" s="124"/>
    </row>
    <row r="174">
      <c r="A174" s="106"/>
      <c r="B174" s="207"/>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c r="AA174" s="106"/>
      <c r="AB174" s="106"/>
      <c r="AC174" s="106"/>
      <c r="AD174" s="106"/>
      <c r="AE174" s="106"/>
      <c r="AF174" s="106"/>
      <c r="AG174" s="106"/>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c r="BK174" s="124"/>
      <c r="BL174" s="124"/>
      <c r="BM174" s="124"/>
      <c r="BN174" s="124"/>
      <c r="BO174" s="124"/>
      <c r="BP174" s="124"/>
      <c r="BQ174" s="124"/>
      <c r="BR174" s="124"/>
      <c r="BS174" s="124"/>
      <c r="BT174" s="124"/>
      <c r="BU174" s="124"/>
      <c r="BV174" s="124"/>
      <c r="BW174" s="124"/>
      <c r="BX174" s="124"/>
      <c r="BY174" s="124"/>
      <c r="BZ174" s="124"/>
      <c r="CA174" s="124"/>
    </row>
    <row r="175">
      <c r="A175" s="106"/>
      <c r="B175" s="207"/>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c r="AA175" s="106"/>
      <c r="AB175" s="106"/>
      <c r="AC175" s="106"/>
      <c r="AD175" s="106"/>
      <c r="AE175" s="106"/>
      <c r="AF175" s="106"/>
      <c r="AG175" s="106"/>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row>
    <row r="176">
      <c r="A176" s="106"/>
      <c r="B176" s="207"/>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6"/>
      <c r="AF176" s="106"/>
      <c r="AG176" s="106"/>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row>
    <row r="177">
      <c r="A177" s="106"/>
      <c r="B177" s="207"/>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c r="AF177" s="106"/>
      <c r="AG177" s="106"/>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c r="BK177" s="124"/>
      <c r="BL177" s="124"/>
      <c r="BM177" s="124"/>
      <c r="BN177" s="124"/>
      <c r="BO177" s="124"/>
      <c r="BP177" s="124"/>
      <c r="BQ177" s="124"/>
      <c r="BR177" s="124"/>
      <c r="BS177" s="124"/>
      <c r="BT177" s="124"/>
      <c r="BU177" s="124"/>
      <c r="BV177" s="124"/>
      <c r="BW177" s="124"/>
      <c r="BX177" s="124"/>
      <c r="BY177" s="124"/>
      <c r="BZ177" s="124"/>
      <c r="CA177" s="124"/>
    </row>
    <row r="178">
      <c r="A178" s="106"/>
      <c r="B178" s="207"/>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c r="AA178" s="106"/>
      <c r="AB178" s="106"/>
      <c r="AC178" s="106"/>
      <c r="AD178" s="106"/>
      <c r="AE178" s="106"/>
      <c r="AF178" s="106"/>
      <c r="AG178" s="106"/>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row>
    <row r="179">
      <c r="A179" s="106"/>
      <c r="B179" s="207"/>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c r="AG179" s="106"/>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c r="BK179" s="124"/>
      <c r="BL179" s="124"/>
      <c r="BM179" s="124"/>
      <c r="BN179" s="124"/>
      <c r="BO179" s="124"/>
      <c r="BP179" s="124"/>
      <c r="BQ179" s="124"/>
      <c r="BR179" s="124"/>
      <c r="BS179" s="124"/>
      <c r="BT179" s="124"/>
      <c r="BU179" s="124"/>
      <c r="BV179" s="124"/>
      <c r="BW179" s="124"/>
      <c r="BX179" s="124"/>
      <c r="BY179" s="124"/>
      <c r="BZ179" s="124"/>
      <c r="CA179" s="124"/>
    </row>
    <row r="180">
      <c r="A180" s="106"/>
      <c r="B180" s="207"/>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6"/>
      <c r="AF180" s="106"/>
      <c r="AG180" s="106"/>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row>
    <row r="181">
      <c r="A181" s="106"/>
      <c r="B181" s="207"/>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c r="AA181" s="106"/>
      <c r="AB181" s="106"/>
      <c r="AC181" s="106"/>
      <c r="AD181" s="106"/>
      <c r="AE181" s="106"/>
      <c r="AF181" s="106"/>
      <c r="AG181" s="106"/>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row>
    <row r="182">
      <c r="A182" s="106"/>
      <c r="B182" s="207"/>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c r="AA182" s="106"/>
      <c r="AB182" s="106"/>
      <c r="AC182" s="106"/>
      <c r="AD182" s="106"/>
      <c r="AE182" s="106"/>
      <c r="AF182" s="106"/>
      <c r="AG182" s="106"/>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row>
    <row r="183">
      <c r="A183" s="106"/>
      <c r="B183" s="207"/>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c r="AA183" s="106"/>
      <c r="AB183" s="106"/>
      <c r="AC183" s="106"/>
      <c r="AD183" s="106"/>
      <c r="AE183" s="106"/>
      <c r="AF183" s="106"/>
      <c r="AG183" s="106"/>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row>
    <row r="184">
      <c r="A184" s="106"/>
      <c r="B184" s="207"/>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c r="AA184" s="106"/>
      <c r="AB184" s="106"/>
      <c r="AC184" s="106"/>
      <c r="AD184" s="106"/>
      <c r="AE184" s="106"/>
      <c r="AF184" s="106"/>
      <c r="AG184" s="106"/>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row>
    <row r="185">
      <c r="A185" s="106"/>
      <c r="B185" s="207"/>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c r="AA185" s="106"/>
      <c r="AB185" s="106"/>
      <c r="AC185" s="106"/>
      <c r="AD185" s="106"/>
      <c r="AE185" s="106"/>
      <c r="AF185" s="106"/>
      <c r="AG185" s="106"/>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c r="BK185" s="124"/>
      <c r="BL185" s="124"/>
      <c r="BM185" s="124"/>
      <c r="BN185" s="124"/>
      <c r="BO185" s="124"/>
      <c r="BP185" s="124"/>
      <c r="BQ185" s="124"/>
      <c r="BR185" s="124"/>
      <c r="BS185" s="124"/>
      <c r="BT185" s="124"/>
      <c r="BU185" s="124"/>
      <c r="BV185" s="124"/>
      <c r="BW185" s="124"/>
      <c r="BX185" s="124"/>
      <c r="BY185" s="124"/>
      <c r="BZ185" s="124"/>
      <c r="CA185" s="124"/>
    </row>
    <row r="186">
      <c r="A186" s="106"/>
      <c r="B186" s="207"/>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c r="AA186" s="106"/>
      <c r="AB186" s="106"/>
      <c r="AC186" s="106"/>
      <c r="AD186" s="106"/>
      <c r="AE186" s="106"/>
      <c r="AF186" s="106"/>
      <c r="AG186" s="106"/>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row>
    <row r="187">
      <c r="A187" s="106"/>
      <c r="B187" s="207"/>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c r="AG187" s="106"/>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row>
    <row r="188">
      <c r="A188" s="106"/>
      <c r="B188" s="207"/>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c r="AG188" s="106"/>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c r="BK188" s="124"/>
      <c r="BL188" s="124"/>
      <c r="BM188" s="124"/>
      <c r="BN188" s="124"/>
      <c r="BO188" s="124"/>
      <c r="BP188" s="124"/>
      <c r="BQ188" s="124"/>
      <c r="BR188" s="124"/>
      <c r="BS188" s="124"/>
      <c r="BT188" s="124"/>
      <c r="BU188" s="124"/>
      <c r="BV188" s="124"/>
      <c r="BW188" s="124"/>
      <c r="BX188" s="124"/>
      <c r="BY188" s="124"/>
      <c r="BZ188" s="124"/>
      <c r="CA188" s="124"/>
    </row>
    <row r="189">
      <c r="A189" s="106"/>
      <c r="B189" s="207"/>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c r="AA189" s="106"/>
      <c r="AB189" s="106"/>
      <c r="AC189" s="106"/>
      <c r="AD189" s="106"/>
      <c r="AE189" s="106"/>
      <c r="AF189" s="106"/>
      <c r="AG189" s="106"/>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c r="BK189" s="124"/>
      <c r="BL189" s="124"/>
      <c r="BM189" s="124"/>
      <c r="BN189" s="124"/>
      <c r="BO189" s="124"/>
      <c r="BP189" s="124"/>
      <c r="BQ189" s="124"/>
      <c r="BR189" s="124"/>
      <c r="BS189" s="124"/>
      <c r="BT189" s="124"/>
      <c r="BU189" s="124"/>
      <c r="BV189" s="124"/>
      <c r="BW189" s="124"/>
      <c r="BX189" s="124"/>
      <c r="BY189" s="124"/>
      <c r="BZ189" s="124"/>
      <c r="CA189" s="124"/>
    </row>
    <row r="190">
      <c r="A190" s="106"/>
      <c r="B190" s="207"/>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c r="AG190" s="106"/>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row>
    <row r="191">
      <c r="A191" s="106"/>
      <c r="B191" s="207"/>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row>
    <row r="192">
      <c r="A192" s="106"/>
      <c r="B192" s="207"/>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c r="AA192" s="106"/>
      <c r="AB192" s="106"/>
      <c r="AC192" s="106"/>
      <c r="AD192" s="106"/>
      <c r="AE192" s="106"/>
      <c r="AF192" s="106"/>
      <c r="AG192" s="106"/>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row>
    <row r="193">
      <c r="A193" s="106"/>
      <c r="B193" s="207"/>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c r="AA193" s="106"/>
      <c r="AB193" s="106"/>
      <c r="AC193" s="106"/>
      <c r="AD193" s="106"/>
      <c r="AE193" s="106"/>
      <c r="AF193" s="106"/>
      <c r="AG193" s="106"/>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row>
    <row r="194">
      <c r="A194" s="106"/>
      <c r="B194" s="207"/>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c r="AA194" s="106"/>
      <c r="AB194" s="106"/>
      <c r="AC194" s="106"/>
      <c r="AD194" s="106"/>
      <c r="AE194" s="106"/>
      <c r="AF194" s="106"/>
      <c r="AG194" s="106"/>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row>
    <row r="195">
      <c r="A195" s="106"/>
      <c r="B195" s="207"/>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c r="AA195" s="106"/>
      <c r="AB195" s="106"/>
      <c r="AC195" s="106"/>
      <c r="AD195" s="106"/>
      <c r="AE195" s="106"/>
      <c r="AF195" s="106"/>
      <c r="AG195" s="106"/>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c r="BZ195" s="124"/>
      <c r="CA195" s="124"/>
    </row>
    <row r="196">
      <c r="A196" s="106"/>
      <c r="B196" s="207"/>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c r="AA196" s="106"/>
      <c r="AB196" s="106"/>
      <c r="AC196" s="106"/>
      <c r="AD196" s="106"/>
      <c r="AE196" s="106"/>
      <c r="AF196" s="106"/>
      <c r="AG196" s="106"/>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row>
    <row r="197">
      <c r="A197" s="106"/>
      <c r="B197" s="207"/>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c r="AA197" s="106"/>
      <c r="AB197" s="106"/>
      <c r="AC197" s="106"/>
      <c r="AD197" s="106"/>
      <c r="AE197" s="106"/>
      <c r="AF197" s="106"/>
      <c r="AG197" s="106"/>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124"/>
      <c r="BO197" s="124"/>
      <c r="BP197" s="124"/>
      <c r="BQ197" s="124"/>
      <c r="BR197" s="124"/>
      <c r="BS197" s="124"/>
      <c r="BT197" s="124"/>
      <c r="BU197" s="124"/>
      <c r="BV197" s="124"/>
      <c r="BW197" s="124"/>
      <c r="BX197" s="124"/>
      <c r="BY197" s="124"/>
      <c r="BZ197" s="124"/>
      <c r="CA197" s="124"/>
    </row>
    <row r="198">
      <c r="A198" s="106"/>
      <c r="B198" s="207"/>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c r="AA198" s="106"/>
      <c r="AB198" s="106"/>
      <c r="AC198" s="106"/>
      <c r="AD198" s="106"/>
      <c r="AE198" s="106"/>
      <c r="AF198" s="106"/>
      <c r="AG198" s="106"/>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row>
    <row r="199">
      <c r="A199" s="106"/>
      <c r="B199" s="207"/>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c r="AA199" s="106"/>
      <c r="AB199" s="106"/>
      <c r="AC199" s="106"/>
      <c r="AD199" s="106"/>
      <c r="AE199" s="106"/>
      <c r="AF199" s="106"/>
      <c r="AG199" s="106"/>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row>
    <row r="200">
      <c r="A200" s="106"/>
      <c r="B200" s="207"/>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c r="AA200" s="106"/>
      <c r="AB200" s="106"/>
      <c r="AC200" s="106"/>
      <c r="AD200" s="106"/>
      <c r="AE200" s="106"/>
      <c r="AF200" s="106"/>
      <c r="AG200" s="106"/>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row>
    <row r="201">
      <c r="A201" s="106"/>
      <c r="B201" s="207"/>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c r="AA201" s="106"/>
      <c r="AB201" s="106"/>
      <c r="AC201" s="106"/>
      <c r="AD201" s="106"/>
      <c r="AE201" s="106"/>
      <c r="AF201" s="106"/>
      <c r="AG201" s="106"/>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row>
    <row r="202">
      <c r="A202" s="106"/>
      <c r="B202" s="207"/>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c r="AA202" s="106"/>
      <c r="AB202" s="106"/>
      <c r="AC202" s="106"/>
      <c r="AD202" s="106"/>
      <c r="AE202" s="106"/>
      <c r="AF202" s="106"/>
      <c r="AG202" s="106"/>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row>
    <row r="203">
      <c r="A203" s="106"/>
      <c r="B203" s="207"/>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c r="AA203" s="106"/>
      <c r="AB203" s="106"/>
      <c r="AC203" s="106"/>
      <c r="AD203" s="106"/>
      <c r="AE203" s="106"/>
      <c r="AF203" s="106"/>
      <c r="AG203" s="106"/>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row>
    <row r="204">
      <c r="A204" s="106"/>
      <c r="B204" s="207"/>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c r="AA204" s="106"/>
      <c r="AB204" s="106"/>
      <c r="AC204" s="106"/>
      <c r="AD204" s="106"/>
      <c r="AE204" s="106"/>
      <c r="AF204" s="106"/>
      <c r="AG204" s="106"/>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row>
    <row r="205">
      <c r="A205" s="106"/>
      <c r="B205" s="207"/>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c r="AA205" s="106"/>
      <c r="AB205" s="106"/>
      <c r="AC205" s="106"/>
      <c r="AD205" s="106"/>
      <c r="AE205" s="106"/>
      <c r="AF205" s="106"/>
      <c r="AG205" s="106"/>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row>
    <row r="206">
      <c r="A206" s="106"/>
      <c r="B206" s="207"/>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c r="AA206" s="106"/>
      <c r="AB206" s="106"/>
      <c r="AC206" s="106"/>
      <c r="AD206" s="106"/>
      <c r="AE206" s="106"/>
      <c r="AF206" s="106"/>
      <c r="AG206" s="106"/>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row>
    <row r="207">
      <c r="A207" s="106"/>
      <c r="B207" s="207"/>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c r="AA207" s="106"/>
      <c r="AB207" s="106"/>
      <c r="AC207" s="106"/>
      <c r="AD207" s="106"/>
      <c r="AE207" s="106"/>
      <c r="AF207" s="106"/>
      <c r="AG207" s="106"/>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row>
    <row r="208">
      <c r="A208" s="106"/>
      <c r="B208" s="207"/>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c r="AA208" s="106"/>
      <c r="AB208" s="106"/>
      <c r="AC208" s="106"/>
      <c r="AD208" s="106"/>
      <c r="AE208" s="106"/>
      <c r="AF208" s="106"/>
      <c r="AG208" s="106"/>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row>
    <row r="209">
      <c r="A209" s="106"/>
      <c r="B209" s="207"/>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c r="AA209" s="106"/>
      <c r="AB209" s="106"/>
      <c r="AC209" s="106"/>
      <c r="AD209" s="106"/>
      <c r="AE209" s="106"/>
      <c r="AF209" s="106"/>
      <c r="AG209" s="106"/>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row>
    <row r="210">
      <c r="A210" s="106"/>
      <c r="B210" s="207"/>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6"/>
      <c r="AF210" s="106"/>
      <c r="AG210" s="106"/>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row>
    <row r="211">
      <c r="A211" s="106"/>
      <c r="B211" s="207"/>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c r="AA211" s="106"/>
      <c r="AB211" s="106"/>
      <c r="AC211" s="106"/>
      <c r="AD211" s="106"/>
      <c r="AE211" s="106"/>
      <c r="AF211" s="106"/>
      <c r="AG211" s="106"/>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row>
    <row r="212">
      <c r="A212" s="106"/>
      <c r="B212" s="207"/>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c r="AF212" s="106"/>
      <c r="AG212" s="106"/>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row>
    <row r="213">
      <c r="A213" s="106"/>
      <c r="B213" s="207"/>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c r="AA213" s="106"/>
      <c r="AB213" s="106"/>
      <c r="AC213" s="106"/>
      <c r="AD213" s="106"/>
      <c r="AE213" s="106"/>
      <c r="AF213" s="106"/>
      <c r="AG213" s="106"/>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row>
    <row r="214">
      <c r="A214" s="106"/>
      <c r="B214" s="207"/>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c r="AA214" s="106"/>
      <c r="AB214" s="106"/>
      <c r="AC214" s="106"/>
      <c r="AD214" s="106"/>
      <c r="AE214" s="106"/>
      <c r="AF214" s="106"/>
      <c r="AG214" s="106"/>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row>
    <row r="215">
      <c r="A215" s="106"/>
      <c r="B215" s="207"/>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c r="AA215" s="106"/>
      <c r="AB215" s="106"/>
      <c r="AC215" s="106"/>
      <c r="AD215" s="106"/>
      <c r="AE215" s="106"/>
      <c r="AF215" s="106"/>
      <c r="AG215" s="106"/>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row>
    <row r="216">
      <c r="A216" s="106"/>
      <c r="B216" s="207"/>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c r="AA216" s="106"/>
      <c r="AB216" s="106"/>
      <c r="AC216" s="106"/>
      <c r="AD216" s="106"/>
      <c r="AE216" s="106"/>
      <c r="AF216" s="106"/>
      <c r="AG216" s="106"/>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row>
    <row r="217">
      <c r="A217" s="106"/>
      <c r="B217" s="207"/>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c r="AA217" s="106"/>
      <c r="AB217" s="106"/>
      <c r="AC217" s="106"/>
      <c r="AD217" s="106"/>
      <c r="AE217" s="106"/>
      <c r="AF217" s="106"/>
      <c r="AG217" s="106"/>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row>
    <row r="218">
      <c r="A218" s="106"/>
      <c r="B218" s="207"/>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c r="AA218" s="106"/>
      <c r="AB218" s="106"/>
      <c r="AC218" s="106"/>
      <c r="AD218" s="106"/>
      <c r="AE218" s="106"/>
      <c r="AF218" s="106"/>
      <c r="AG218" s="106"/>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124"/>
      <c r="BO218" s="124"/>
      <c r="BP218" s="124"/>
      <c r="BQ218" s="124"/>
      <c r="BR218" s="124"/>
      <c r="BS218" s="124"/>
      <c r="BT218" s="124"/>
      <c r="BU218" s="124"/>
      <c r="BV218" s="124"/>
      <c r="BW218" s="124"/>
      <c r="BX218" s="124"/>
      <c r="BY218" s="124"/>
      <c r="BZ218" s="124"/>
      <c r="CA218" s="124"/>
    </row>
    <row r="219">
      <c r="A219" s="106"/>
      <c r="B219" s="207"/>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c r="AA219" s="106"/>
      <c r="AB219" s="106"/>
      <c r="AC219" s="106"/>
      <c r="AD219" s="106"/>
      <c r="AE219" s="106"/>
      <c r="AF219" s="106"/>
      <c r="AG219" s="106"/>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124"/>
      <c r="BO219" s="124"/>
      <c r="BP219" s="124"/>
      <c r="BQ219" s="124"/>
      <c r="BR219" s="124"/>
      <c r="BS219" s="124"/>
      <c r="BT219" s="124"/>
      <c r="BU219" s="124"/>
      <c r="BV219" s="124"/>
      <c r="BW219" s="124"/>
      <c r="BX219" s="124"/>
      <c r="BY219" s="124"/>
      <c r="BZ219" s="124"/>
      <c r="CA219" s="124"/>
    </row>
    <row r="220">
      <c r="A220" s="106"/>
      <c r="B220" s="207"/>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c r="AA220" s="106"/>
      <c r="AB220" s="106"/>
      <c r="AC220" s="106"/>
      <c r="AD220" s="106"/>
      <c r="AE220" s="106"/>
      <c r="AF220" s="106"/>
      <c r="AG220" s="106"/>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row>
    <row r="221">
      <c r="A221" s="106"/>
      <c r="B221" s="207"/>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c r="AA221" s="106"/>
      <c r="AB221" s="106"/>
      <c r="AC221" s="106"/>
      <c r="AD221" s="106"/>
      <c r="AE221" s="106"/>
      <c r="AF221" s="106"/>
      <c r="AG221" s="106"/>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row>
    <row r="222">
      <c r="A222" s="106"/>
      <c r="B222" s="207"/>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c r="AA222" s="106"/>
      <c r="AB222" s="106"/>
      <c r="AC222" s="106"/>
      <c r="AD222" s="106"/>
      <c r="AE222" s="106"/>
      <c r="AF222" s="106"/>
      <c r="AG222" s="106"/>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row>
    <row r="223">
      <c r="A223" s="106"/>
      <c r="B223" s="207"/>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c r="AA223" s="106"/>
      <c r="AB223" s="106"/>
      <c r="AC223" s="106"/>
      <c r="AD223" s="106"/>
      <c r="AE223" s="106"/>
      <c r="AF223" s="106"/>
      <c r="AG223" s="106"/>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row>
    <row r="224">
      <c r="A224" s="106"/>
      <c r="B224" s="207"/>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c r="AA224" s="106"/>
      <c r="AB224" s="106"/>
      <c r="AC224" s="106"/>
      <c r="AD224" s="106"/>
      <c r="AE224" s="106"/>
      <c r="AF224" s="106"/>
      <c r="AG224" s="106"/>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row>
    <row r="225">
      <c r="A225" s="106"/>
      <c r="B225" s="207"/>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c r="AA225" s="106"/>
      <c r="AB225" s="106"/>
      <c r="AC225" s="106"/>
      <c r="AD225" s="106"/>
      <c r="AE225" s="106"/>
      <c r="AF225" s="106"/>
      <c r="AG225" s="106"/>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row>
    <row r="226">
      <c r="A226" s="106"/>
      <c r="B226" s="207"/>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c r="AA226" s="106"/>
      <c r="AB226" s="106"/>
      <c r="AC226" s="106"/>
      <c r="AD226" s="106"/>
      <c r="AE226" s="106"/>
      <c r="AF226" s="106"/>
      <c r="AG226" s="106"/>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124"/>
      <c r="BO226" s="124"/>
      <c r="BP226" s="124"/>
      <c r="BQ226" s="124"/>
      <c r="BR226" s="124"/>
      <c r="BS226" s="124"/>
      <c r="BT226" s="124"/>
      <c r="BU226" s="124"/>
      <c r="BV226" s="124"/>
      <c r="BW226" s="124"/>
      <c r="BX226" s="124"/>
      <c r="BY226" s="124"/>
      <c r="BZ226" s="124"/>
      <c r="CA226" s="124"/>
    </row>
    <row r="227">
      <c r="A227" s="106"/>
      <c r="B227" s="207"/>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c r="AA227" s="106"/>
      <c r="AB227" s="106"/>
      <c r="AC227" s="106"/>
      <c r="AD227" s="106"/>
      <c r="AE227" s="106"/>
      <c r="AF227" s="106"/>
      <c r="AG227" s="106"/>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row>
    <row r="228">
      <c r="A228" s="106"/>
      <c r="B228" s="207"/>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c r="AA228" s="106"/>
      <c r="AB228" s="106"/>
      <c r="AC228" s="106"/>
      <c r="AD228" s="106"/>
      <c r="AE228" s="106"/>
      <c r="AF228" s="106"/>
      <c r="AG228" s="106"/>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c r="BK228" s="124"/>
      <c r="BL228" s="124"/>
      <c r="BM228" s="124"/>
      <c r="BN228" s="124"/>
      <c r="BO228" s="124"/>
      <c r="BP228" s="124"/>
      <c r="BQ228" s="124"/>
      <c r="BR228" s="124"/>
      <c r="BS228" s="124"/>
      <c r="BT228" s="124"/>
      <c r="BU228" s="124"/>
      <c r="BV228" s="124"/>
      <c r="BW228" s="124"/>
      <c r="BX228" s="124"/>
      <c r="BY228" s="124"/>
      <c r="BZ228" s="124"/>
      <c r="CA228" s="124"/>
    </row>
    <row r="229">
      <c r="A229" s="106"/>
      <c r="B229" s="207"/>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c r="AA229" s="106"/>
      <c r="AB229" s="106"/>
      <c r="AC229" s="106"/>
      <c r="AD229" s="106"/>
      <c r="AE229" s="106"/>
      <c r="AF229" s="106"/>
      <c r="AG229" s="106"/>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124"/>
      <c r="BO229" s="124"/>
      <c r="BP229" s="124"/>
      <c r="BQ229" s="124"/>
      <c r="BR229" s="124"/>
      <c r="BS229" s="124"/>
      <c r="BT229" s="124"/>
      <c r="BU229" s="124"/>
      <c r="BV229" s="124"/>
      <c r="BW229" s="124"/>
      <c r="BX229" s="124"/>
      <c r="BY229" s="124"/>
      <c r="BZ229" s="124"/>
      <c r="CA229" s="124"/>
    </row>
    <row r="230">
      <c r="A230" s="106"/>
      <c r="B230" s="207"/>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c r="AA230" s="106"/>
      <c r="AB230" s="106"/>
      <c r="AC230" s="106"/>
      <c r="AD230" s="106"/>
      <c r="AE230" s="106"/>
      <c r="AF230" s="106"/>
      <c r="AG230" s="106"/>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c r="BK230" s="124"/>
      <c r="BL230" s="124"/>
      <c r="BM230" s="124"/>
      <c r="BN230" s="124"/>
      <c r="BO230" s="124"/>
      <c r="BP230" s="124"/>
      <c r="BQ230" s="124"/>
      <c r="BR230" s="124"/>
      <c r="BS230" s="124"/>
      <c r="BT230" s="124"/>
      <c r="BU230" s="124"/>
      <c r="BV230" s="124"/>
      <c r="BW230" s="124"/>
      <c r="BX230" s="124"/>
      <c r="BY230" s="124"/>
      <c r="BZ230" s="124"/>
      <c r="CA230" s="124"/>
    </row>
    <row r="231">
      <c r="A231" s="106"/>
      <c r="B231" s="207"/>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c r="AA231" s="106"/>
      <c r="AB231" s="106"/>
      <c r="AC231" s="106"/>
      <c r="AD231" s="106"/>
      <c r="AE231" s="106"/>
      <c r="AF231" s="106"/>
      <c r="AG231" s="106"/>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c r="BK231" s="124"/>
      <c r="BL231" s="124"/>
      <c r="BM231" s="124"/>
      <c r="BN231" s="124"/>
      <c r="BO231" s="124"/>
      <c r="BP231" s="124"/>
      <c r="BQ231" s="124"/>
      <c r="BR231" s="124"/>
      <c r="BS231" s="124"/>
      <c r="BT231" s="124"/>
      <c r="BU231" s="124"/>
      <c r="BV231" s="124"/>
      <c r="BW231" s="124"/>
      <c r="BX231" s="124"/>
      <c r="BY231" s="124"/>
      <c r="BZ231" s="124"/>
      <c r="CA231" s="124"/>
    </row>
    <row r="232">
      <c r="A232" s="106"/>
      <c r="B232" s="207"/>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c r="AA232" s="106"/>
      <c r="AB232" s="106"/>
      <c r="AC232" s="106"/>
      <c r="AD232" s="106"/>
      <c r="AE232" s="106"/>
      <c r="AF232" s="106"/>
      <c r="AG232" s="106"/>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c r="BK232" s="124"/>
      <c r="BL232" s="124"/>
      <c r="BM232" s="124"/>
      <c r="BN232" s="124"/>
      <c r="BO232" s="124"/>
      <c r="BP232" s="124"/>
      <c r="BQ232" s="124"/>
      <c r="BR232" s="124"/>
      <c r="BS232" s="124"/>
      <c r="BT232" s="124"/>
      <c r="BU232" s="124"/>
      <c r="BV232" s="124"/>
      <c r="BW232" s="124"/>
      <c r="BX232" s="124"/>
      <c r="BY232" s="124"/>
      <c r="BZ232" s="124"/>
      <c r="CA232" s="124"/>
    </row>
    <row r="233">
      <c r="A233" s="106"/>
      <c r="B233" s="207"/>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c r="AA233" s="106"/>
      <c r="AB233" s="106"/>
      <c r="AC233" s="106"/>
      <c r="AD233" s="106"/>
      <c r="AE233" s="106"/>
      <c r="AF233" s="106"/>
      <c r="AG233" s="106"/>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row>
    <row r="234">
      <c r="A234" s="106"/>
      <c r="B234" s="207"/>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c r="AA234" s="106"/>
      <c r="AB234" s="106"/>
      <c r="AC234" s="106"/>
      <c r="AD234" s="106"/>
      <c r="AE234" s="106"/>
      <c r="AF234" s="106"/>
      <c r="AG234" s="106"/>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124"/>
      <c r="BO234" s="124"/>
      <c r="BP234" s="124"/>
      <c r="BQ234" s="124"/>
      <c r="BR234" s="124"/>
      <c r="BS234" s="124"/>
      <c r="BT234" s="124"/>
      <c r="BU234" s="124"/>
      <c r="BV234" s="124"/>
      <c r="BW234" s="124"/>
      <c r="BX234" s="124"/>
      <c r="BY234" s="124"/>
      <c r="BZ234" s="124"/>
      <c r="CA234" s="124"/>
    </row>
    <row r="235">
      <c r="A235" s="106"/>
      <c r="B235" s="207"/>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c r="AA235" s="106"/>
      <c r="AB235" s="106"/>
      <c r="AC235" s="106"/>
      <c r="AD235" s="106"/>
      <c r="AE235" s="106"/>
      <c r="AF235" s="106"/>
      <c r="AG235" s="106"/>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c r="BK235" s="124"/>
      <c r="BL235" s="124"/>
      <c r="BM235" s="124"/>
      <c r="BN235" s="124"/>
      <c r="BO235" s="124"/>
      <c r="BP235" s="124"/>
      <c r="BQ235" s="124"/>
      <c r="BR235" s="124"/>
      <c r="BS235" s="124"/>
      <c r="BT235" s="124"/>
      <c r="BU235" s="124"/>
      <c r="BV235" s="124"/>
      <c r="BW235" s="124"/>
      <c r="BX235" s="124"/>
      <c r="BY235" s="124"/>
      <c r="BZ235" s="124"/>
      <c r="CA235" s="124"/>
    </row>
    <row r="236">
      <c r="A236" s="106"/>
      <c r="B236" s="207"/>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c r="AA236" s="106"/>
      <c r="AB236" s="106"/>
      <c r="AC236" s="106"/>
      <c r="AD236" s="106"/>
      <c r="AE236" s="106"/>
      <c r="AF236" s="106"/>
      <c r="AG236" s="106"/>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c r="BK236" s="124"/>
      <c r="BL236" s="124"/>
      <c r="BM236" s="124"/>
      <c r="BN236" s="124"/>
      <c r="BO236" s="124"/>
      <c r="BP236" s="124"/>
      <c r="BQ236" s="124"/>
      <c r="BR236" s="124"/>
      <c r="BS236" s="124"/>
      <c r="BT236" s="124"/>
      <c r="BU236" s="124"/>
      <c r="BV236" s="124"/>
      <c r="BW236" s="124"/>
      <c r="BX236" s="124"/>
      <c r="BY236" s="124"/>
      <c r="BZ236" s="124"/>
      <c r="CA236" s="124"/>
    </row>
    <row r="237">
      <c r="A237" s="106"/>
      <c r="B237" s="207"/>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c r="AA237" s="106"/>
      <c r="AB237" s="106"/>
      <c r="AC237" s="106"/>
      <c r="AD237" s="106"/>
      <c r="AE237" s="106"/>
      <c r="AF237" s="106"/>
      <c r="AG237" s="106"/>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124"/>
      <c r="BO237" s="124"/>
      <c r="BP237" s="124"/>
      <c r="BQ237" s="124"/>
      <c r="BR237" s="124"/>
      <c r="BS237" s="124"/>
      <c r="BT237" s="124"/>
      <c r="BU237" s="124"/>
      <c r="BV237" s="124"/>
      <c r="BW237" s="124"/>
      <c r="BX237" s="124"/>
      <c r="BY237" s="124"/>
      <c r="BZ237" s="124"/>
      <c r="CA237" s="124"/>
    </row>
    <row r="238">
      <c r="A238" s="106"/>
      <c r="B238" s="207"/>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c r="AA238" s="106"/>
      <c r="AB238" s="106"/>
      <c r="AC238" s="106"/>
      <c r="AD238" s="106"/>
      <c r="AE238" s="106"/>
      <c r="AF238" s="106"/>
      <c r="AG238" s="106"/>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c r="BK238" s="124"/>
      <c r="BL238" s="124"/>
      <c r="BM238" s="124"/>
      <c r="BN238" s="124"/>
      <c r="BO238" s="124"/>
      <c r="BP238" s="124"/>
      <c r="BQ238" s="124"/>
      <c r="BR238" s="124"/>
      <c r="BS238" s="124"/>
      <c r="BT238" s="124"/>
      <c r="BU238" s="124"/>
      <c r="BV238" s="124"/>
      <c r="BW238" s="124"/>
      <c r="BX238" s="124"/>
      <c r="BY238" s="124"/>
      <c r="BZ238" s="124"/>
      <c r="CA238" s="124"/>
    </row>
    <row r="239">
      <c r="A239" s="106"/>
      <c r="B239" s="207"/>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c r="AA239" s="106"/>
      <c r="AB239" s="106"/>
      <c r="AC239" s="106"/>
      <c r="AD239" s="106"/>
      <c r="AE239" s="106"/>
      <c r="AF239" s="106"/>
      <c r="AG239" s="106"/>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row>
    <row r="240">
      <c r="A240" s="106"/>
      <c r="B240" s="207"/>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c r="AA240" s="106"/>
      <c r="AB240" s="106"/>
      <c r="AC240" s="106"/>
      <c r="AD240" s="106"/>
      <c r="AE240" s="106"/>
      <c r="AF240" s="106"/>
      <c r="AG240" s="106"/>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124"/>
      <c r="BO240" s="124"/>
      <c r="BP240" s="124"/>
      <c r="BQ240" s="124"/>
      <c r="BR240" s="124"/>
      <c r="BS240" s="124"/>
      <c r="BT240" s="124"/>
      <c r="BU240" s="124"/>
      <c r="BV240" s="124"/>
      <c r="BW240" s="124"/>
      <c r="BX240" s="124"/>
      <c r="BY240" s="124"/>
      <c r="BZ240" s="124"/>
      <c r="CA240" s="124"/>
    </row>
    <row r="241">
      <c r="A241" s="106"/>
      <c r="B241" s="207"/>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c r="AA241" s="106"/>
      <c r="AB241" s="106"/>
      <c r="AC241" s="106"/>
      <c r="AD241" s="106"/>
      <c r="AE241" s="106"/>
      <c r="AF241" s="106"/>
      <c r="AG241" s="106"/>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124"/>
      <c r="BO241" s="124"/>
      <c r="BP241" s="124"/>
      <c r="BQ241" s="124"/>
      <c r="BR241" s="124"/>
      <c r="BS241" s="124"/>
      <c r="BT241" s="124"/>
      <c r="BU241" s="124"/>
      <c r="BV241" s="124"/>
      <c r="BW241" s="124"/>
      <c r="BX241" s="124"/>
      <c r="BY241" s="124"/>
      <c r="BZ241" s="124"/>
      <c r="CA241" s="124"/>
    </row>
    <row r="242">
      <c r="A242" s="106"/>
      <c r="B242" s="207"/>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c r="AA242" s="106"/>
      <c r="AB242" s="106"/>
      <c r="AC242" s="106"/>
      <c r="AD242" s="106"/>
      <c r="AE242" s="106"/>
      <c r="AF242" s="106"/>
      <c r="AG242" s="106"/>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c r="BK242" s="124"/>
      <c r="BL242" s="124"/>
      <c r="BM242" s="124"/>
      <c r="BN242" s="124"/>
      <c r="BO242" s="124"/>
      <c r="BP242" s="124"/>
      <c r="BQ242" s="124"/>
      <c r="BR242" s="124"/>
      <c r="BS242" s="124"/>
      <c r="BT242" s="124"/>
      <c r="BU242" s="124"/>
      <c r="BV242" s="124"/>
      <c r="BW242" s="124"/>
      <c r="BX242" s="124"/>
      <c r="BY242" s="124"/>
      <c r="BZ242" s="124"/>
      <c r="CA242" s="124"/>
    </row>
    <row r="243">
      <c r="A243" s="106"/>
      <c r="B243" s="207"/>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c r="AA243" s="106"/>
      <c r="AB243" s="106"/>
      <c r="AC243" s="106"/>
      <c r="AD243" s="106"/>
      <c r="AE243" s="106"/>
      <c r="AF243" s="106"/>
      <c r="AG243" s="106"/>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124"/>
      <c r="BO243" s="124"/>
      <c r="BP243" s="124"/>
      <c r="BQ243" s="124"/>
      <c r="BR243" s="124"/>
      <c r="BS243" s="124"/>
      <c r="BT243" s="124"/>
      <c r="BU243" s="124"/>
      <c r="BV243" s="124"/>
      <c r="BW243" s="124"/>
      <c r="BX243" s="124"/>
      <c r="BY243" s="124"/>
      <c r="BZ243" s="124"/>
      <c r="CA243" s="124"/>
    </row>
    <row r="244">
      <c r="A244" s="106"/>
      <c r="B244" s="207"/>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c r="AA244" s="106"/>
      <c r="AB244" s="106"/>
      <c r="AC244" s="106"/>
      <c r="AD244" s="106"/>
      <c r="AE244" s="106"/>
      <c r="AF244" s="106"/>
      <c r="AG244" s="106"/>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124"/>
      <c r="BO244" s="124"/>
      <c r="BP244" s="124"/>
      <c r="BQ244" s="124"/>
      <c r="BR244" s="124"/>
      <c r="BS244" s="124"/>
      <c r="BT244" s="124"/>
      <c r="BU244" s="124"/>
      <c r="BV244" s="124"/>
      <c r="BW244" s="124"/>
      <c r="BX244" s="124"/>
      <c r="BY244" s="124"/>
      <c r="BZ244" s="124"/>
      <c r="CA244" s="124"/>
    </row>
    <row r="245">
      <c r="A245" s="106"/>
      <c r="B245" s="207"/>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c r="AA245" s="106"/>
      <c r="AB245" s="106"/>
      <c r="AC245" s="106"/>
      <c r="AD245" s="106"/>
      <c r="AE245" s="106"/>
      <c r="AF245" s="106"/>
      <c r="AG245" s="106"/>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row>
    <row r="246">
      <c r="A246" s="106"/>
      <c r="B246" s="207"/>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c r="AA246" s="106"/>
      <c r="AB246" s="106"/>
      <c r="AC246" s="106"/>
      <c r="AD246" s="106"/>
      <c r="AE246" s="106"/>
      <c r="AF246" s="106"/>
      <c r="AG246" s="106"/>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row>
    <row r="247">
      <c r="A247" s="106"/>
      <c r="B247" s="207"/>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c r="AA247" s="106"/>
      <c r="AB247" s="106"/>
      <c r="AC247" s="106"/>
      <c r="AD247" s="106"/>
      <c r="AE247" s="106"/>
      <c r="AF247" s="106"/>
      <c r="AG247" s="106"/>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124"/>
      <c r="BO247" s="124"/>
      <c r="BP247" s="124"/>
      <c r="BQ247" s="124"/>
      <c r="BR247" s="124"/>
      <c r="BS247" s="124"/>
      <c r="BT247" s="124"/>
      <c r="BU247" s="124"/>
      <c r="BV247" s="124"/>
      <c r="BW247" s="124"/>
      <c r="BX247" s="124"/>
      <c r="BY247" s="124"/>
      <c r="BZ247" s="124"/>
      <c r="CA247" s="124"/>
    </row>
    <row r="248">
      <c r="A248" s="106"/>
      <c r="B248" s="207"/>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c r="AA248" s="106"/>
      <c r="AB248" s="106"/>
      <c r="AC248" s="106"/>
      <c r="AD248" s="106"/>
      <c r="AE248" s="106"/>
      <c r="AF248" s="106"/>
      <c r="AG248" s="106"/>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c r="BK248" s="124"/>
      <c r="BL248" s="124"/>
      <c r="BM248" s="124"/>
      <c r="BN248" s="124"/>
      <c r="BO248" s="124"/>
      <c r="BP248" s="124"/>
      <c r="BQ248" s="124"/>
      <c r="BR248" s="124"/>
      <c r="BS248" s="124"/>
      <c r="BT248" s="124"/>
      <c r="BU248" s="124"/>
      <c r="BV248" s="124"/>
      <c r="BW248" s="124"/>
      <c r="BX248" s="124"/>
      <c r="BY248" s="124"/>
      <c r="BZ248" s="124"/>
      <c r="CA248" s="124"/>
    </row>
    <row r="249">
      <c r="A249" s="106"/>
      <c r="B249" s="207"/>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c r="AA249" s="106"/>
      <c r="AB249" s="106"/>
      <c r="AC249" s="106"/>
      <c r="AD249" s="106"/>
      <c r="AE249" s="106"/>
      <c r="AF249" s="106"/>
      <c r="AG249" s="106"/>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c r="BK249" s="124"/>
      <c r="BL249" s="124"/>
      <c r="BM249" s="124"/>
      <c r="BN249" s="124"/>
      <c r="BO249" s="124"/>
      <c r="BP249" s="124"/>
      <c r="BQ249" s="124"/>
      <c r="BR249" s="124"/>
      <c r="BS249" s="124"/>
      <c r="BT249" s="124"/>
      <c r="BU249" s="124"/>
      <c r="BV249" s="124"/>
      <c r="BW249" s="124"/>
      <c r="BX249" s="124"/>
      <c r="BY249" s="124"/>
      <c r="BZ249" s="124"/>
      <c r="CA249" s="124"/>
    </row>
    <row r="250">
      <c r="A250" s="106"/>
      <c r="B250" s="207"/>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c r="AA250" s="106"/>
      <c r="AB250" s="106"/>
      <c r="AC250" s="106"/>
      <c r="AD250" s="106"/>
      <c r="AE250" s="106"/>
      <c r="AF250" s="106"/>
      <c r="AG250" s="106"/>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c r="BK250" s="124"/>
      <c r="BL250" s="124"/>
      <c r="BM250" s="124"/>
      <c r="BN250" s="124"/>
      <c r="BO250" s="124"/>
      <c r="BP250" s="124"/>
      <c r="BQ250" s="124"/>
      <c r="BR250" s="124"/>
      <c r="BS250" s="124"/>
      <c r="BT250" s="124"/>
      <c r="BU250" s="124"/>
      <c r="BV250" s="124"/>
      <c r="BW250" s="124"/>
      <c r="BX250" s="124"/>
      <c r="BY250" s="124"/>
      <c r="BZ250" s="124"/>
      <c r="CA250" s="124"/>
    </row>
    <row r="251">
      <c r="A251" s="106"/>
      <c r="B251" s="207"/>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row>
    <row r="252">
      <c r="A252" s="106"/>
      <c r="B252" s="207"/>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c r="AA252" s="106"/>
      <c r="AB252" s="106"/>
      <c r="AC252" s="106"/>
      <c r="AD252" s="106"/>
      <c r="AE252" s="106"/>
      <c r="AF252" s="106"/>
      <c r="AG252" s="106"/>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c r="BK252" s="124"/>
      <c r="BL252" s="124"/>
      <c r="BM252" s="124"/>
      <c r="BN252" s="124"/>
      <c r="BO252" s="124"/>
      <c r="BP252" s="124"/>
      <c r="BQ252" s="124"/>
      <c r="BR252" s="124"/>
      <c r="BS252" s="124"/>
      <c r="BT252" s="124"/>
      <c r="BU252" s="124"/>
      <c r="BV252" s="124"/>
      <c r="BW252" s="124"/>
      <c r="BX252" s="124"/>
      <c r="BY252" s="124"/>
      <c r="BZ252" s="124"/>
      <c r="CA252" s="124"/>
    </row>
    <row r="253">
      <c r="A253" s="106"/>
      <c r="B253" s="207"/>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c r="AA253" s="106"/>
      <c r="AB253" s="106"/>
      <c r="AC253" s="106"/>
      <c r="AD253" s="106"/>
      <c r="AE253" s="106"/>
      <c r="AF253" s="106"/>
      <c r="AG253" s="106"/>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c r="BK253" s="124"/>
      <c r="BL253" s="124"/>
      <c r="BM253" s="124"/>
      <c r="BN253" s="124"/>
      <c r="BO253" s="124"/>
      <c r="BP253" s="124"/>
      <c r="BQ253" s="124"/>
      <c r="BR253" s="124"/>
      <c r="BS253" s="124"/>
      <c r="BT253" s="124"/>
      <c r="BU253" s="124"/>
      <c r="BV253" s="124"/>
      <c r="BW253" s="124"/>
      <c r="BX253" s="124"/>
      <c r="BY253" s="124"/>
      <c r="BZ253" s="124"/>
      <c r="CA253" s="124"/>
    </row>
    <row r="254">
      <c r="A254" s="106"/>
      <c r="B254" s="207"/>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c r="AA254" s="106"/>
      <c r="AB254" s="106"/>
      <c r="AC254" s="106"/>
      <c r="AD254" s="106"/>
      <c r="AE254" s="106"/>
      <c r="AF254" s="106"/>
      <c r="AG254" s="106"/>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c r="BK254" s="124"/>
      <c r="BL254" s="124"/>
      <c r="BM254" s="124"/>
      <c r="BN254" s="124"/>
      <c r="BO254" s="124"/>
      <c r="BP254" s="124"/>
      <c r="BQ254" s="124"/>
      <c r="BR254" s="124"/>
      <c r="BS254" s="124"/>
      <c r="BT254" s="124"/>
      <c r="BU254" s="124"/>
      <c r="BV254" s="124"/>
      <c r="BW254" s="124"/>
      <c r="BX254" s="124"/>
      <c r="BY254" s="124"/>
      <c r="BZ254" s="124"/>
      <c r="CA254" s="124"/>
    </row>
    <row r="255">
      <c r="A255" s="106"/>
      <c r="B255" s="207"/>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c r="AA255" s="106"/>
      <c r="AB255" s="106"/>
      <c r="AC255" s="106"/>
      <c r="AD255" s="106"/>
      <c r="AE255" s="106"/>
      <c r="AF255" s="106"/>
      <c r="AG255" s="106"/>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c r="BK255" s="124"/>
      <c r="BL255" s="124"/>
      <c r="BM255" s="124"/>
      <c r="BN255" s="124"/>
      <c r="BO255" s="124"/>
      <c r="BP255" s="124"/>
      <c r="BQ255" s="124"/>
      <c r="BR255" s="124"/>
      <c r="BS255" s="124"/>
      <c r="BT255" s="124"/>
      <c r="BU255" s="124"/>
      <c r="BV255" s="124"/>
      <c r="BW255" s="124"/>
      <c r="BX255" s="124"/>
      <c r="BY255" s="124"/>
      <c r="BZ255" s="124"/>
      <c r="CA255" s="124"/>
    </row>
    <row r="256">
      <c r="A256" s="106"/>
      <c r="B256" s="207"/>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6"/>
      <c r="AF256" s="106"/>
      <c r="AG256" s="106"/>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124"/>
      <c r="BO256" s="124"/>
      <c r="BP256" s="124"/>
      <c r="BQ256" s="124"/>
      <c r="BR256" s="124"/>
      <c r="BS256" s="124"/>
      <c r="BT256" s="124"/>
      <c r="BU256" s="124"/>
      <c r="BV256" s="124"/>
      <c r="BW256" s="124"/>
      <c r="BX256" s="124"/>
      <c r="BY256" s="124"/>
      <c r="BZ256" s="124"/>
      <c r="CA256" s="124"/>
    </row>
    <row r="257">
      <c r="A257" s="106"/>
      <c r="B257" s="207"/>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c r="AA257" s="106"/>
      <c r="AB257" s="106"/>
      <c r="AC257" s="106"/>
      <c r="AD257" s="106"/>
      <c r="AE257" s="106"/>
      <c r="AF257" s="106"/>
      <c r="AG257" s="106"/>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124"/>
      <c r="BO257" s="124"/>
      <c r="BP257" s="124"/>
      <c r="BQ257" s="124"/>
      <c r="BR257" s="124"/>
      <c r="BS257" s="124"/>
      <c r="BT257" s="124"/>
      <c r="BU257" s="124"/>
      <c r="BV257" s="124"/>
      <c r="BW257" s="124"/>
      <c r="BX257" s="124"/>
      <c r="BY257" s="124"/>
      <c r="BZ257" s="124"/>
      <c r="CA257" s="124"/>
    </row>
    <row r="258">
      <c r="A258" s="106"/>
      <c r="B258" s="207"/>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6"/>
      <c r="AF258" s="106"/>
      <c r="AG258" s="106"/>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row>
    <row r="259">
      <c r="A259" s="106"/>
      <c r="B259" s="207"/>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c r="AA259" s="106"/>
      <c r="AB259" s="106"/>
      <c r="AC259" s="106"/>
      <c r="AD259" s="106"/>
      <c r="AE259" s="106"/>
      <c r="AF259" s="106"/>
      <c r="AG259" s="106"/>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c r="BK259" s="124"/>
      <c r="BL259" s="124"/>
      <c r="BM259" s="124"/>
      <c r="BN259" s="124"/>
      <c r="BO259" s="124"/>
      <c r="BP259" s="124"/>
      <c r="BQ259" s="124"/>
      <c r="BR259" s="124"/>
      <c r="BS259" s="124"/>
      <c r="BT259" s="124"/>
      <c r="BU259" s="124"/>
      <c r="BV259" s="124"/>
      <c r="BW259" s="124"/>
      <c r="BX259" s="124"/>
      <c r="BY259" s="124"/>
      <c r="BZ259" s="124"/>
      <c r="CA259" s="124"/>
    </row>
    <row r="260">
      <c r="A260" s="106"/>
      <c r="B260" s="207"/>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c r="AA260" s="106"/>
      <c r="AB260" s="106"/>
      <c r="AC260" s="106"/>
      <c r="AD260" s="106"/>
      <c r="AE260" s="106"/>
      <c r="AF260" s="106"/>
      <c r="AG260" s="106"/>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c r="BK260" s="124"/>
      <c r="BL260" s="124"/>
      <c r="BM260" s="124"/>
      <c r="BN260" s="124"/>
      <c r="BO260" s="124"/>
      <c r="BP260" s="124"/>
      <c r="BQ260" s="124"/>
      <c r="BR260" s="124"/>
      <c r="BS260" s="124"/>
      <c r="BT260" s="124"/>
      <c r="BU260" s="124"/>
      <c r="BV260" s="124"/>
      <c r="BW260" s="124"/>
      <c r="BX260" s="124"/>
      <c r="BY260" s="124"/>
      <c r="BZ260" s="124"/>
      <c r="CA260" s="124"/>
    </row>
    <row r="261">
      <c r="A261" s="106"/>
      <c r="B261" s="207"/>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c r="AA261" s="106"/>
      <c r="AB261" s="106"/>
      <c r="AC261" s="106"/>
      <c r="AD261" s="106"/>
      <c r="AE261" s="106"/>
      <c r="AF261" s="106"/>
      <c r="AG261" s="106"/>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row>
    <row r="262">
      <c r="A262" s="106"/>
      <c r="B262" s="207"/>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c r="AA262" s="106"/>
      <c r="AB262" s="106"/>
      <c r="AC262" s="106"/>
      <c r="AD262" s="106"/>
      <c r="AE262" s="106"/>
      <c r="AF262" s="106"/>
      <c r="AG262" s="106"/>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c r="BK262" s="124"/>
      <c r="BL262" s="124"/>
      <c r="BM262" s="124"/>
      <c r="BN262" s="124"/>
      <c r="BO262" s="124"/>
      <c r="BP262" s="124"/>
      <c r="BQ262" s="124"/>
      <c r="BR262" s="124"/>
      <c r="BS262" s="124"/>
      <c r="BT262" s="124"/>
      <c r="BU262" s="124"/>
      <c r="BV262" s="124"/>
      <c r="BW262" s="124"/>
      <c r="BX262" s="124"/>
      <c r="BY262" s="124"/>
      <c r="BZ262" s="124"/>
      <c r="CA262" s="124"/>
    </row>
    <row r="263">
      <c r="A263" s="106"/>
      <c r="B263" s="207"/>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c r="AA263" s="106"/>
      <c r="AB263" s="106"/>
      <c r="AC263" s="106"/>
      <c r="AD263" s="106"/>
      <c r="AE263" s="106"/>
      <c r="AF263" s="106"/>
      <c r="AG263" s="106"/>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124"/>
      <c r="BO263" s="124"/>
      <c r="BP263" s="124"/>
      <c r="BQ263" s="124"/>
      <c r="BR263" s="124"/>
      <c r="BS263" s="124"/>
      <c r="BT263" s="124"/>
      <c r="BU263" s="124"/>
      <c r="BV263" s="124"/>
      <c r="BW263" s="124"/>
      <c r="BX263" s="124"/>
      <c r="BY263" s="124"/>
      <c r="BZ263" s="124"/>
      <c r="CA263" s="124"/>
    </row>
    <row r="264">
      <c r="A264" s="106"/>
      <c r="B264" s="207"/>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c r="AA264" s="106"/>
      <c r="AB264" s="106"/>
      <c r="AC264" s="106"/>
      <c r="AD264" s="106"/>
      <c r="AE264" s="106"/>
      <c r="AF264" s="106"/>
      <c r="AG264" s="106"/>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row>
    <row r="265">
      <c r="A265" s="106"/>
      <c r="B265" s="207"/>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c r="AA265" s="106"/>
      <c r="AB265" s="106"/>
      <c r="AC265" s="106"/>
      <c r="AD265" s="106"/>
      <c r="AE265" s="106"/>
      <c r="AF265" s="106"/>
      <c r="AG265" s="106"/>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124"/>
      <c r="BO265" s="124"/>
      <c r="BP265" s="124"/>
      <c r="BQ265" s="124"/>
      <c r="BR265" s="124"/>
      <c r="BS265" s="124"/>
      <c r="BT265" s="124"/>
      <c r="BU265" s="124"/>
      <c r="BV265" s="124"/>
      <c r="BW265" s="124"/>
      <c r="BX265" s="124"/>
      <c r="BY265" s="124"/>
      <c r="BZ265" s="124"/>
      <c r="CA265" s="124"/>
    </row>
    <row r="266">
      <c r="A266" s="106"/>
      <c r="B266" s="207"/>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c r="AA266" s="106"/>
      <c r="AB266" s="106"/>
      <c r="AC266" s="106"/>
      <c r="AD266" s="106"/>
      <c r="AE266" s="106"/>
      <c r="AF266" s="106"/>
      <c r="AG266" s="106"/>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124"/>
      <c r="BO266" s="124"/>
      <c r="BP266" s="124"/>
      <c r="BQ266" s="124"/>
      <c r="BR266" s="124"/>
      <c r="BS266" s="124"/>
      <c r="BT266" s="124"/>
      <c r="BU266" s="124"/>
      <c r="BV266" s="124"/>
      <c r="BW266" s="124"/>
      <c r="BX266" s="124"/>
      <c r="BY266" s="124"/>
      <c r="BZ266" s="124"/>
      <c r="CA266" s="124"/>
    </row>
    <row r="267">
      <c r="A267" s="106"/>
      <c r="B267" s="207"/>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c r="AA267" s="106"/>
      <c r="AB267" s="106"/>
      <c r="AC267" s="106"/>
      <c r="AD267" s="106"/>
      <c r="AE267" s="106"/>
      <c r="AF267" s="106"/>
      <c r="AG267" s="106"/>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124"/>
      <c r="BO267" s="124"/>
      <c r="BP267" s="124"/>
      <c r="BQ267" s="124"/>
      <c r="BR267" s="124"/>
      <c r="BS267" s="124"/>
      <c r="BT267" s="124"/>
      <c r="BU267" s="124"/>
      <c r="BV267" s="124"/>
      <c r="BW267" s="124"/>
      <c r="BX267" s="124"/>
      <c r="BY267" s="124"/>
      <c r="BZ267" s="124"/>
      <c r="CA267" s="124"/>
    </row>
    <row r="268">
      <c r="A268" s="106"/>
      <c r="B268" s="207"/>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c r="AA268" s="106"/>
      <c r="AB268" s="106"/>
      <c r="AC268" s="106"/>
      <c r="AD268" s="106"/>
      <c r="AE268" s="106"/>
      <c r="AF268" s="106"/>
      <c r="AG268" s="106"/>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c r="BK268" s="124"/>
      <c r="BL268" s="124"/>
      <c r="BM268" s="124"/>
      <c r="BN268" s="124"/>
      <c r="BO268" s="124"/>
      <c r="BP268" s="124"/>
      <c r="BQ268" s="124"/>
      <c r="BR268" s="124"/>
      <c r="BS268" s="124"/>
      <c r="BT268" s="124"/>
      <c r="BU268" s="124"/>
      <c r="BV268" s="124"/>
      <c r="BW268" s="124"/>
      <c r="BX268" s="124"/>
      <c r="BY268" s="124"/>
      <c r="BZ268" s="124"/>
      <c r="CA268" s="124"/>
    </row>
    <row r="269">
      <c r="A269" s="106"/>
      <c r="B269" s="207"/>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c r="AA269" s="106"/>
      <c r="AB269" s="106"/>
      <c r="AC269" s="106"/>
      <c r="AD269" s="106"/>
      <c r="AE269" s="106"/>
      <c r="AF269" s="106"/>
      <c r="AG269" s="106"/>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c r="BK269" s="124"/>
      <c r="BL269" s="124"/>
      <c r="BM269" s="124"/>
      <c r="BN269" s="124"/>
      <c r="BO269" s="124"/>
      <c r="BP269" s="124"/>
      <c r="BQ269" s="124"/>
      <c r="BR269" s="124"/>
      <c r="BS269" s="124"/>
      <c r="BT269" s="124"/>
      <c r="BU269" s="124"/>
      <c r="BV269" s="124"/>
      <c r="BW269" s="124"/>
      <c r="BX269" s="124"/>
      <c r="BY269" s="124"/>
      <c r="BZ269" s="124"/>
      <c r="CA269" s="124"/>
    </row>
    <row r="270">
      <c r="A270" s="106"/>
      <c r="B270" s="207"/>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c r="AA270" s="106"/>
      <c r="AB270" s="106"/>
      <c r="AC270" s="106"/>
      <c r="AD270" s="106"/>
      <c r="AE270" s="106"/>
      <c r="AF270" s="106"/>
      <c r="AG270" s="106"/>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c r="BK270" s="124"/>
      <c r="BL270" s="124"/>
      <c r="BM270" s="124"/>
      <c r="BN270" s="124"/>
      <c r="BO270" s="124"/>
      <c r="BP270" s="124"/>
      <c r="BQ270" s="124"/>
      <c r="BR270" s="124"/>
      <c r="BS270" s="124"/>
      <c r="BT270" s="124"/>
      <c r="BU270" s="124"/>
      <c r="BV270" s="124"/>
      <c r="BW270" s="124"/>
      <c r="BX270" s="124"/>
      <c r="BY270" s="124"/>
      <c r="BZ270" s="124"/>
      <c r="CA270" s="124"/>
    </row>
    <row r="271">
      <c r="A271" s="106"/>
      <c r="B271" s="207"/>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c r="AA271" s="106"/>
      <c r="AB271" s="106"/>
      <c r="AC271" s="106"/>
      <c r="AD271" s="106"/>
      <c r="AE271" s="106"/>
      <c r="AF271" s="106"/>
      <c r="AG271" s="106"/>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row>
    <row r="272">
      <c r="A272" s="106"/>
      <c r="B272" s="207"/>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c r="AA272" s="106"/>
      <c r="AB272" s="106"/>
      <c r="AC272" s="106"/>
      <c r="AD272" s="106"/>
      <c r="AE272" s="106"/>
      <c r="AF272" s="106"/>
      <c r="AG272" s="106"/>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c r="BX272" s="124"/>
      <c r="BY272" s="124"/>
      <c r="BZ272" s="124"/>
      <c r="CA272" s="124"/>
    </row>
    <row r="273">
      <c r="A273" s="106"/>
      <c r="B273" s="207"/>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c r="AA273" s="106"/>
      <c r="AB273" s="106"/>
      <c r="AC273" s="106"/>
      <c r="AD273" s="106"/>
      <c r="AE273" s="106"/>
      <c r="AF273" s="106"/>
      <c r="AG273" s="106"/>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row>
    <row r="274">
      <c r="A274" s="106"/>
      <c r="B274" s="207"/>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6"/>
      <c r="AF274" s="106"/>
      <c r="AG274" s="106"/>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c r="BK274" s="124"/>
      <c r="BL274" s="124"/>
      <c r="BM274" s="124"/>
      <c r="BN274" s="124"/>
      <c r="BO274" s="124"/>
      <c r="BP274" s="124"/>
      <c r="BQ274" s="124"/>
      <c r="BR274" s="124"/>
      <c r="BS274" s="124"/>
      <c r="BT274" s="124"/>
      <c r="BU274" s="124"/>
      <c r="BV274" s="124"/>
      <c r="BW274" s="124"/>
      <c r="BX274" s="124"/>
      <c r="BY274" s="124"/>
      <c r="BZ274" s="124"/>
      <c r="CA274" s="124"/>
    </row>
    <row r="275">
      <c r="A275" s="106"/>
      <c r="B275" s="207"/>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c r="AA275" s="106"/>
      <c r="AB275" s="106"/>
      <c r="AC275" s="106"/>
      <c r="AD275" s="106"/>
      <c r="AE275" s="106"/>
      <c r="AF275" s="106"/>
      <c r="AG275" s="106"/>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c r="BK275" s="124"/>
      <c r="BL275" s="124"/>
      <c r="BM275" s="124"/>
      <c r="BN275" s="124"/>
      <c r="BO275" s="124"/>
      <c r="BP275" s="124"/>
      <c r="BQ275" s="124"/>
      <c r="BR275" s="124"/>
      <c r="BS275" s="124"/>
      <c r="BT275" s="124"/>
      <c r="BU275" s="124"/>
      <c r="BV275" s="124"/>
      <c r="BW275" s="124"/>
      <c r="BX275" s="124"/>
      <c r="BY275" s="124"/>
      <c r="BZ275" s="124"/>
      <c r="CA275" s="124"/>
    </row>
    <row r="276">
      <c r="A276" s="106"/>
      <c r="B276" s="207"/>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6"/>
      <c r="AF276" s="106"/>
      <c r="AG276" s="106"/>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c r="BK276" s="124"/>
      <c r="BL276" s="124"/>
      <c r="BM276" s="124"/>
      <c r="BN276" s="124"/>
      <c r="BO276" s="124"/>
      <c r="BP276" s="124"/>
      <c r="BQ276" s="124"/>
      <c r="BR276" s="124"/>
      <c r="BS276" s="124"/>
      <c r="BT276" s="124"/>
      <c r="BU276" s="124"/>
      <c r="BV276" s="124"/>
      <c r="BW276" s="124"/>
      <c r="BX276" s="124"/>
      <c r="BY276" s="124"/>
      <c r="BZ276" s="124"/>
      <c r="CA276" s="124"/>
    </row>
    <row r="277">
      <c r="A277" s="106"/>
      <c r="B277" s="207"/>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6"/>
      <c r="AF277" s="106"/>
      <c r="AG277" s="106"/>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row>
    <row r="278">
      <c r="A278" s="106"/>
      <c r="B278" s="207"/>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6"/>
      <c r="AF278" s="106"/>
      <c r="AG278" s="106"/>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c r="BK278" s="124"/>
      <c r="BL278" s="124"/>
      <c r="BM278" s="124"/>
      <c r="BN278" s="124"/>
      <c r="BO278" s="124"/>
      <c r="BP278" s="124"/>
      <c r="BQ278" s="124"/>
      <c r="BR278" s="124"/>
      <c r="BS278" s="124"/>
      <c r="BT278" s="124"/>
      <c r="BU278" s="124"/>
      <c r="BV278" s="124"/>
      <c r="BW278" s="124"/>
      <c r="BX278" s="124"/>
      <c r="BY278" s="124"/>
      <c r="BZ278" s="124"/>
      <c r="CA278" s="124"/>
    </row>
    <row r="279">
      <c r="A279" s="106"/>
      <c r="B279" s="207"/>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c r="AA279" s="106"/>
      <c r="AB279" s="106"/>
      <c r="AC279" s="106"/>
      <c r="AD279" s="106"/>
      <c r="AE279" s="106"/>
      <c r="AF279" s="106"/>
      <c r="AG279" s="106"/>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124"/>
      <c r="BO279" s="124"/>
      <c r="BP279" s="124"/>
      <c r="BQ279" s="124"/>
      <c r="BR279" s="124"/>
      <c r="BS279" s="124"/>
      <c r="BT279" s="124"/>
      <c r="BU279" s="124"/>
      <c r="BV279" s="124"/>
      <c r="BW279" s="124"/>
      <c r="BX279" s="124"/>
      <c r="BY279" s="124"/>
      <c r="BZ279" s="124"/>
      <c r="CA279" s="124"/>
    </row>
    <row r="280">
      <c r="A280" s="106"/>
      <c r="B280" s="207"/>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c r="AA280" s="106"/>
      <c r="AB280" s="106"/>
      <c r="AC280" s="106"/>
      <c r="AD280" s="106"/>
      <c r="AE280" s="106"/>
      <c r="AF280" s="106"/>
      <c r="AG280" s="106"/>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c r="BK280" s="124"/>
      <c r="BL280" s="124"/>
      <c r="BM280" s="124"/>
      <c r="BN280" s="124"/>
      <c r="BO280" s="124"/>
      <c r="BP280" s="124"/>
      <c r="BQ280" s="124"/>
      <c r="BR280" s="124"/>
      <c r="BS280" s="124"/>
      <c r="BT280" s="124"/>
      <c r="BU280" s="124"/>
      <c r="BV280" s="124"/>
      <c r="BW280" s="124"/>
      <c r="BX280" s="124"/>
      <c r="BY280" s="124"/>
      <c r="BZ280" s="124"/>
      <c r="CA280" s="124"/>
    </row>
    <row r="281">
      <c r="A281" s="106"/>
      <c r="B281" s="207"/>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c r="AA281" s="106"/>
      <c r="AB281" s="106"/>
      <c r="AC281" s="106"/>
      <c r="AD281" s="106"/>
      <c r="AE281" s="106"/>
      <c r="AF281" s="106"/>
      <c r="AG281" s="106"/>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4"/>
      <c r="BV281" s="124"/>
      <c r="BW281" s="124"/>
      <c r="BX281" s="124"/>
      <c r="BY281" s="124"/>
      <c r="BZ281" s="124"/>
      <c r="CA281" s="124"/>
    </row>
    <row r="282">
      <c r="A282" s="106"/>
      <c r="B282" s="207"/>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c r="AA282" s="106"/>
      <c r="AB282" s="106"/>
      <c r="AC282" s="106"/>
      <c r="AD282" s="106"/>
      <c r="AE282" s="106"/>
      <c r="AF282" s="106"/>
      <c r="AG282" s="106"/>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124"/>
      <c r="BO282" s="124"/>
      <c r="BP282" s="124"/>
      <c r="BQ282" s="124"/>
      <c r="BR282" s="124"/>
      <c r="BS282" s="124"/>
      <c r="BT282" s="124"/>
      <c r="BU282" s="124"/>
      <c r="BV282" s="124"/>
      <c r="BW282" s="124"/>
      <c r="BX282" s="124"/>
      <c r="BY282" s="124"/>
      <c r="BZ282" s="124"/>
      <c r="CA282" s="124"/>
    </row>
    <row r="283">
      <c r="A283" s="106"/>
      <c r="B283" s="207"/>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c r="AA283" s="106"/>
      <c r="AB283" s="106"/>
      <c r="AC283" s="106"/>
      <c r="AD283" s="106"/>
      <c r="AE283" s="106"/>
      <c r="AF283" s="106"/>
      <c r="AG283" s="106"/>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4"/>
      <c r="BR283" s="124"/>
      <c r="BS283" s="124"/>
      <c r="BT283" s="124"/>
      <c r="BU283" s="124"/>
      <c r="BV283" s="124"/>
      <c r="BW283" s="124"/>
      <c r="BX283" s="124"/>
      <c r="BY283" s="124"/>
      <c r="BZ283" s="124"/>
      <c r="CA283" s="124"/>
    </row>
    <row r="284">
      <c r="A284" s="106"/>
      <c r="B284" s="207"/>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c r="AA284" s="106"/>
      <c r="AB284" s="106"/>
      <c r="AC284" s="106"/>
      <c r="AD284" s="106"/>
      <c r="AE284" s="106"/>
      <c r="AF284" s="106"/>
      <c r="AG284" s="106"/>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row>
    <row r="285">
      <c r="A285" s="106"/>
      <c r="B285" s="207"/>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c r="AA285" s="106"/>
      <c r="AB285" s="106"/>
      <c r="AC285" s="106"/>
      <c r="AD285" s="106"/>
      <c r="AE285" s="106"/>
      <c r="AF285" s="106"/>
      <c r="AG285" s="106"/>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row>
    <row r="286">
      <c r="A286" s="106"/>
      <c r="B286" s="207"/>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c r="AA286" s="106"/>
      <c r="AB286" s="106"/>
      <c r="AC286" s="106"/>
      <c r="AD286" s="106"/>
      <c r="AE286" s="106"/>
      <c r="AF286" s="106"/>
      <c r="AG286" s="106"/>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row>
    <row r="287">
      <c r="A287" s="106"/>
      <c r="B287" s="207"/>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c r="AA287" s="106"/>
      <c r="AB287" s="106"/>
      <c r="AC287" s="106"/>
      <c r="AD287" s="106"/>
      <c r="AE287" s="106"/>
      <c r="AF287" s="106"/>
      <c r="AG287" s="106"/>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c r="BK287" s="124"/>
      <c r="BL287" s="124"/>
      <c r="BM287" s="124"/>
      <c r="BN287" s="124"/>
      <c r="BO287" s="124"/>
      <c r="BP287" s="124"/>
      <c r="BQ287" s="124"/>
      <c r="BR287" s="124"/>
      <c r="BS287" s="124"/>
      <c r="BT287" s="124"/>
      <c r="BU287" s="124"/>
      <c r="BV287" s="124"/>
      <c r="BW287" s="124"/>
      <c r="BX287" s="124"/>
      <c r="BY287" s="124"/>
      <c r="BZ287" s="124"/>
      <c r="CA287" s="124"/>
    </row>
    <row r="288">
      <c r="A288" s="106"/>
      <c r="B288" s="207"/>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c r="AA288" s="106"/>
      <c r="AB288" s="106"/>
      <c r="AC288" s="106"/>
      <c r="AD288" s="106"/>
      <c r="AE288" s="106"/>
      <c r="AF288" s="106"/>
      <c r="AG288" s="106"/>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row>
    <row r="289">
      <c r="A289" s="106"/>
      <c r="B289" s="207"/>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c r="AA289" s="106"/>
      <c r="AB289" s="106"/>
      <c r="AC289" s="106"/>
      <c r="AD289" s="106"/>
      <c r="AE289" s="106"/>
      <c r="AF289" s="106"/>
      <c r="AG289" s="106"/>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row>
    <row r="290">
      <c r="A290" s="106"/>
      <c r="B290" s="207"/>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c r="AA290" s="106"/>
      <c r="AB290" s="106"/>
      <c r="AC290" s="106"/>
      <c r="AD290" s="106"/>
      <c r="AE290" s="106"/>
      <c r="AF290" s="106"/>
      <c r="AG290" s="106"/>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row>
    <row r="291">
      <c r="A291" s="106"/>
      <c r="B291" s="207"/>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c r="AA291" s="106"/>
      <c r="AB291" s="106"/>
      <c r="AC291" s="106"/>
      <c r="AD291" s="106"/>
      <c r="AE291" s="106"/>
      <c r="AF291" s="106"/>
      <c r="AG291" s="106"/>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row>
    <row r="292">
      <c r="A292" s="106"/>
      <c r="B292" s="207"/>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c r="AA292" s="106"/>
      <c r="AB292" s="106"/>
      <c r="AC292" s="106"/>
      <c r="AD292" s="106"/>
      <c r="AE292" s="106"/>
      <c r="AF292" s="106"/>
      <c r="AG292" s="106"/>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c r="BK292" s="124"/>
      <c r="BL292" s="124"/>
      <c r="BM292" s="124"/>
      <c r="BN292" s="124"/>
      <c r="BO292" s="124"/>
      <c r="BP292" s="124"/>
      <c r="BQ292" s="124"/>
      <c r="BR292" s="124"/>
      <c r="BS292" s="124"/>
      <c r="BT292" s="124"/>
      <c r="BU292" s="124"/>
      <c r="BV292" s="124"/>
      <c r="BW292" s="124"/>
      <c r="BX292" s="124"/>
      <c r="BY292" s="124"/>
      <c r="BZ292" s="124"/>
      <c r="CA292" s="124"/>
    </row>
    <row r="293">
      <c r="A293" s="106"/>
      <c r="B293" s="207"/>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c r="AA293" s="106"/>
      <c r="AB293" s="106"/>
      <c r="AC293" s="106"/>
      <c r="AD293" s="106"/>
      <c r="AE293" s="106"/>
      <c r="AF293" s="106"/>
      <c r="AG293" s="106"/>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124"/>
      <c r="BO293" s="124"/>
      <c r="BP293" s="124"/>
      <c r="BQ293" s="124"/>
      <c r="BR293" s="124"/>
      <c r="BS293" s="124"/>
      <c r="BT293" s="124"/>
      <c r="BU293" s="124"/>
      <c r="BV293" s="124"/>
      <c r="BW293" s="124"/>
      <c r="BX293" s="124"/>
      <c r="BY293" s="124"/>
      <c r="BZ293" s="124"/>
      <c r="CA293" s="124"/>
    </row>
    <row r="294">
      <c r="A294" s="106"/>
      <c r="B294" s="207"/>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c r="AA294" s="106"/>
      <c r="AB294" s="106"/>
      <c r="AC294" s="106"/>
      <c r="AD294" s="106"/>
      <c r="AE294" s="106"/>
      <c r="AF294" s="106"/>
      <c r="AG294" s="106"/>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124"/>
      <c r="BO294" s="124"/>
      <c r="BP294" s="124"/>
      <c r="BQ294" s="124"/>
      <c r="BR294" s="124"/>
      <c r="BS294" s="124"/>
      <c r="BT294" s="124"/>
      <c r="BU294" s="124"/>
      <c r="BV294" s="124"/>
      <c r="BW294" s="124"/>
      <c r="BX294" s="124"/>
      <c r="BY294" s="124"/>
      <c r="BZ294" s="124"/>
      <c r="CA294" s="124"/>
    </row>
    <row r="295">
      <c r="A295" s="106"/>
      <c r="B295" s="207"/>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c r="AA295" s="106"/>
      <c r="AB295" s="106"/>
      <c r="AC295" s="106"/>
      <c r="AD295" s="106"/>
      <c r="AE295" s="106"/>
      <c r="AF295" s="106"/>
      <c r="AG295" s="106"/>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row>
    <row r="296">
      <c r="A296" s="106"/>
      <c r="B296" s="207"/>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c r="AA296" s="106"/>
      <c r="AB296" s="106"/>
      <c r="AC296" s="106"/>
      <c r="AD296" s="106"/>
      <c r="AE296" s="106"/>
      <c r="AF296" s="106"/>
      <c r="AG296" s="106"/>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row>
    <row r="297">
      <c r="A297" s="106"/>
      <c r="B297" s="207"/>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c r="AA297" s="106"/>
      <c r="AB297" s="106"/>
      <c r="AC297" s="106"/>
      <c r="AD297" s="106"/>
      <c r="AE297" s="106"/>
      <c r="AF297" s="106"/>
      <c r="AG297" s="106"/>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row>
    <row r="298">
      <c r="A298" s="106"/>
      <c r="B298" s="207"/>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c r="AA298" s="106"/>
      <c r="AB298" s="106"/>
      <c r="AC298" s="106"/>
      <c r="AD298" s="106"/>
      <c r="AE298" s="106"/>
      <c r="AF298" s="106"/>
      <c r="AG298" s="106"/>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c r="BK298" s="124"/>
      <c r="BL298" s="124"/>
      <c r="BM298" s="124"/>
      <c r="BN298" s="124"/>
      <c r="BO298" s="124"/>
      <c r="BP298" s="124"/>
      <c r="BQ298" s="124"/>
      <c r="BR298" s="124"/>
      <c r="BS298" s="124"/>
      <c r="BT298" s="124"/>
      <c r="BU298" s="124"/>
      <c r="BV298" s="124"/>
      <c r="BW298" s="124"/>
      <c r="BX298" s="124"/>
      <c r="BY298" s="124"/>
      <c r="BZ298" s="124"/>
      <c r="CA298" s="124"/>
    </row>
    <row r="299">
      <c r="A299" s="106"/>
      <c r="B299" s="207"/>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c r="AA299" s="106"/>
      <c r="AB299" s="106"/>
      <c r="AC299" s="106"/>
      <c r="AD299" s="106"/>
      <c r="AE299" s="106"/>
      <c r="AF299" s="106"/>
      <c r="AG299" s="106"/>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c r="BK299" s="124"/>
      <c r="BL299" s="124"/>
      <c r="BM299" s="124"/>
      <c r="BN299" s="124"/>
      <c r="BO299" s="124"/>
      <c r="BP299" s="124"/>
      <c r="BQ299" s="124"/>
      <c r="BR299" s="124"/>
      <c r="BS299" s="124"/>
      <c r="BT299" s="124"/>
      <c r="BU299" s="124"/>
      <c r="BV299" s="124"/>
      <c r="BW299" s="124"/>
      <c r="BX299" s="124"/>
      <c r="BY299" s="124"/>
      <c r="BZ299" s="124"/>
      <c r="CA299" s="124"/>
    </row>
    <row r="300">
      <c r="A300" s="106"/>
      <c r="B300" s="207"/>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6"/>
      <c r="AF300" s="106"/>
      <c r="AG300" s="106"/>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row>
    <row r="301">
      <c r="A301" s="106"/>
      <c r="B301" s="207"/>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c r="AA301" s="106"/>
      <c r="AB301" s="106"/>
      <c r="AC301" s="106"/>
      <c r="AD301" s="106"/>
      <c r="AE301" s="106"/>
      <c r="AF301" s="106"/>
      <c r="AG301" s="106"/>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row>
    <row r="302">
      <c r="A302" s="106"/>
      <c r="B302" s="207"/>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c r="AA302" s="106"/>
      <c r="AB302" s="106"/>
      <c r="AC302" s="106"/>
      <c r="AD302" s="106"/>
      <c r="AE302" s="106"/>
      <c r="AF302" s="106"/>
      <c r="AG302" s="106"/>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row>
    <row r="303">
      <c r="A303" s="106"/>
      <c r="B303" s="207"/>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c r="AA303" s="106"/>
      <c r="AB303" s="106"/>
      <c r="AC303" s="106"/>
      <c r="AD303" s="106"/>
      <c r="AE303" s="106"/>
      <c r="AF303" s="106"/>
      <c r="AG303" s="106"/>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row>
    <row r="304">
      <c r="A304" s="106"/>
      <c r="B304" s="207"/>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c r="AA304" s="106"/>
      <c r="AB304" s="106"/>
      <c r="AC304" s="106"/>
      <c r="AD304" s="106"/>
      <c r="AE304" s="106"/>
      <c r="AF304" s="106"/>
      <c r="AG304" s="106"/>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row>
    <row r="305">
      <c r="A305" s="106"/>
      <c r="B305" s="207"/>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c r="AA305" s="106"/>
      <c r="AB305" s="106"/>
      <c r="AC305" s="106"/>
      <c r="AD305" s="106"/>
      <c r="AE305" s="106"/>
      <c r="AF305" s="106"/>
      <c r="AG305" s="106"/>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row>
    <row r="306">
      <c r="A306" s="106"/>
      <c r="B306" s="207"/>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c r="AA306" s="106"/>
      <c r="AB306" s="106"/>
      <c r="AC306" s="106"/>
      <c r="AD306" s="106"/>
      <c r="AE306" s="106"/>
      <c r="AF306" s="106"/>
      <c r="AG306" s="106"/>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row>
    <row r="307">
      <c r="A307" s="106"/>
      <c r="B307" s="207"/>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c r="AA307" s="106"/>
      <c r="AB307" s="106"/>
      <c r="AC307" s="106"/>
      <c r="AD307" s="106"/>
      <c r="AE307" s="106"/>
      <c r="AF307" s="106"/>
      <c r="AG307" s="106"/>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row>
    <row r="308">
      <c r="A308" s="106"/>
      <c r="B308" s="207"/>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c r="AA308" s="106"/>
      <c r="AB308" s="106"/>
      <c r="AC308" s="106"/>
      <c r="AD308" s="106"/>
      <c r="AE308" s="106"/>
      <c r="AF308" s="106"/>
      <c r="AG308" s="106"/>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row>
    <row r="309">
      <c r="A309" s="106"/>
      <c r="B309" s="207"/>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c r="AA309" s="106"/>
      <c r="AB309" s="106"/>
      <c r="AC309" s="106"/>
      <c r="AD309" s="106"/>
      <c r="AE309" s="106"/>
      <c r="AF309" s="106"/>
      <c r="AG309" s="106"/>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row>
    <row r="310">
      <c r="A310" s="106"/>
      <c r="B310" s="207"/>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c r="AA310" s="106"/>
      <c r="AB310" s="106"/>
      <c r="AC310" s="106"/>
      <c r="AD310" s="106"/>
      <c r="AE310" s="106"/>
      <c r="AF310" s="106"/>
      <c r="AG310" s="106"/>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124"/>
      <c r="BO310" s="124"/>
      <c r="BP310" s="124"/>
      <c r="BQ310" s="124"/>
      <c r="BR310" s="124"/>
      <c r="BS310" s="124"/>
      <c r="BT310" s="124"/>
      <c r="BU310" s="124"/>
      <c r="BV310" s="124"/>
      <c r="BW310" s="124"/>
      <c r="BX310" s="124"/>
      <c r="BY310" s="124"/>
      <c r="BZ310" s="124"/>
      <c r="CA310" s="124"/>
    </row>
    <row r="311">
      <c r="A311" s="106"/>
      <c r="B311" s="207"/>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c r="BK311" s="124"/>
      <c r="BL311" s="124"/>
      <c r="BM311" s="124"/>
      <c r="BN311" s="124"/>
      <c r="BO311" s="124"/>
      <c r="BP311" s="124"/>
      <c r="BQ311" s="124"/>
      <c r="BR311" s="124"/>
      <c r="BS311" s="124"/>
      <c r="BT311" s="124"/>
      <c r="BU311" s="124"/>
      <c r="BV311" s="124"/>
      <c r="BW311" s="124"/>
      <c r="BX311" s="124"/>
      <c r="BY311" s="124"/>
      <c r="BZ311" s="124"/>
      <c r="CA311" s="124"/>
    </row>
    <row r="312">
      <c r="A312" s="106"/>
      <c r="B312" s="207"/>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c r="AA312" s="106"/>
      <c r="AB312" s="106"/>
      <c r="AC312" s="106"/>
      <c r="AD312" s="106"/>
      <c r="AE312" s="106"/>
      <c r="AF312" s="106"/>
      <c r="AG312" s="106"/>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124"/>
      <c r="BO312" s="124"/>
      <c r="BP312" s="124"/>
      <c r="BQ312" s="124"/>
      <c r="BR312" s="124"/>
      <c r="BS312" s="124"/>
      <c r="BT312" s="124"/>
      <c r="BU312" s="124"/>
      <c r="BV312" s="124"/>
      <c r="BW312" s="124"/>
      <c r="BX312" s="124"/>
      <c r="BY312" s="124"/>
      <c r="BZ312" s="124"/>
      <c r="CA312" s="124"/>
    </row>
    <row r="313">
      <c r="A313" s="106"/>
      <c r="B313" s="207"/>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c r="AA313" s="106"/>
      <c r="AB313" s="106"/>
      <c r="AC313" s="106"/>
      <c r="AD313" s="106"/>
      <c r="AE313" s="106"/>
      <c r="AF313" s="106"/>
      <c r="AG313" s="106"/>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124"/>
      <c r="BO313" s="124"/>
      <c r="BP313" s="124"/>
      <c r="BQ313" s="124"/>
      <c r="BR313" s="124"/>
      <c r="BS313" s="124"/>
      <c r="BT313" s="124"/>
      <c r="BU313" s="124"/>
      <c r="BV313" s="124"/>
      <c r="BW313" s="124"/>
      <c r="BX313" s="124"/>
      <c r="BY313" s="124"/>
      <c r="BZ313" s="124"/>
      <c r="CA313" s="124"/>
    </row>
    <row r="314">
      <c r="A314" s="106"/>
      <c r="B314" s="207"/>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c r="AA314" s="106"/>
      <c r="AB314" s="106"/>
      <c r="AC314" s="106"/>
      <c r="AD314" s="106"/>
      <c r="AE314" s="106"/>
      <c r="AF314" s="106"/>
      <c r="AG314" s="106"/>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row>
    <row r="315">
      <c r="A315" s="106"/>
      <c r="B315" s="207"/>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c r="AA315" s="106"/>
      <c r="AB315" s="106"/>
      <c r="AC315" s="106"/>
      <c r="AD315" s="106"/>
      <c r="AE315" s="106"/>
      <c r="AF315" s="106"/>
      <c r="AG315" s="106"/>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row>
    <row r="316">
      <c r="A316" s="106"/>
      <c r="B316" s="207"/>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c r="AA316" s="106"/>
      <c r="AB316" s="106"/>
      <c r="AC316" s="106"/>
      <c r="AD316" s="106"/>
      <c r="AE316" s="106"/>
      <c r="AF316" s="106"/>
      <c r="AG316" s="106"/>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124"/>
      <c r="BO316" s="124"/>
      <c r="BP316" s="124"/>
      <c r="BQ316" s="124"/>
      <c r="BR316" s="124"/>
      <c r="BS316" s="124"/>
      <c r="BT316" s="124"/>
      <c r="BU316" s="124"/>
      <c r="BV316" s="124"/>
      <c r="BW316" s="124"/>
      <c r="BX316" s="124"/>
      <c r="BY316" s="124"/>
      <c r="BZ316" s="124"/>
      <c r="CA316" s="124"/>
    </row>
    <row r="317">
      <c r="A317" s="106"/>
      <c r="B317" s="207"/>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c r="AA317" s="106"/>
      <c r="AB317" s="106"/>
      <c r="AC317" s="106"/>
      <c r="AD317" s="106"/>
      <c r="AE317" s="106"/>
      <c r="AF317" s="106"/>
      <c r="AG317" s="106"/>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124"/>
      <c r="BO317" s="124"/>
      <c r="BP317" s="124"/>
      <c r="BQ317" s="124"/>
      <c r="BR317" s="124"/>
      <c r="BS317" s="124"/>
      <c r="BT317" s="124"/>
      <c r="BU317" s="124"/>
      <c r="BV317" s="124"/>
      <c r="BW317" s="124"/>
      <c r="BX317" s="124"/>
      <c r="BY317" s="124"/>
      <c r="BZ317" s="124"/>
      <c r="CA317" s="124"/>
    </row>
    <row r="318">
      <c r="A318" s="106"/>
      <c r="B318" s="207"/>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c r="AA318" s="106"/>
      <c r="AB318" s="106"/>
      <c r="AC318" s="106"/>
      <c r="AD318" s="106"/>
      <c r="AE318" s="106"/>
      <c r="AF318" s="106"/>
      <c r="AG318" s="106"/>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c r="BK318" s="124"/>
      <c r="BL318" s="124"/>
      <c r="BM318" s="124"/>
      <c r="BN318" s="124"/>
      <c r="BO318" s="124"/>
      <c r="BP318" s="124"/>
      <c r="BQ318" s="124"/>
      <c r="BR318" s="124"/>
      <c r="BS318" s="124"/>
      <c r="BT318" s="124"/>
      <c r="BU318" s="124"/>
      <c r="BV318" s="124"/>
      <c r="BW318" s="124"/>
      <c r="BX318" s="124"/>
      <c r="BY318" s="124"/>
      <c r="BZ318" s="124"/>
      <c r="CA318" s="124"/>
    </row>
    <row r="319">
      <c r="A319" s="106"/>
      <c r="B319" s="207"/>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c r="AA319" s="106"/>
      <c r="AB319" s="106"/>
      <c r="AC319" s="106"/>
      <c r="AD319" s="106"/>
      <c r="AE319" s="106"/>
      <c r="AF319" s="106"/>
      <c r="AG319" s="106"/>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124"/>
      <c r="BO319" s="124"/>
      <c r="BP319" s="124"/>
      <c r="BQ319" s="124"/>
      <c r="BR319" s="124"/>
      <c r="BS319" s="124"/>
      <c r="BT319" s="124"/>
      <c r="BU319" s="124"/>
      <c r="BV319" s="124"/>
      <c r="BW319" s="124"/>
      <c r="BX319" s="124"/>
      <c r="BY319" s="124"/>
      <c r="BZ319" s="124"/>
      <c r="CA319" s="124"/>
    </row>
    <row r="320">
      <c r="A320" s="106"/>
      <c r="B320" s="207"/>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c r="AA320" s="106"/>
      <c r="AB320" s="106"/>
      <c r="AC320" s="106"/>
      <c r="AD320" s="106"/>
      <c r="AE320" s="106"/>
      <c r="AF320" s="106"/>
      <c r="AG320" s="106"/>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row>
    <row r="321">
      <c r="A321" s="106"/>
      <c r="B321" s="207"/>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c r="AA321" s="106"/>
      <c r="AB321" s="106"/>
      <c r="AC321" s="106"/>
      <c r="AD321" s="106"/>
      <c r="AE321" s="106"/>
      <c r="AF321" s="106"/>
      <c r="AG321" s="106"/>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c r="BZ321" s="124"/>
      <c r="CA321" s="124"/>
    </row>
    <row r="322">
      <c r="A322" s="106"/>
      <c r="B322" s="207"/>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c r="AA322" s="106"/>
      <c r="AB322" s="106"/>
      <c r="AC322" s="106"/>
      <c r="AD322" s="106"/>
      <c r="AE322" s="106"/>
      <c r="AF322" s="106"/>
      <c r="AG322" s="106"/>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124"/>
      <c r="BO322" s="124"/>
      <c r="BP322" s="124"/>
      <c r="BQ322" s="124"/>
      <c r="BR322" s="124"/>
      <c r="BS322" s="124"/>
      <c r="BT322" s="124"/>
      <c r="BU322" s="124"/>
      <c r="BV322" s="124"/>
      <c r="BW322" s="124"/>
      <c r="BX322" s="124"/>
      <c r="BY322" s="124"/>
      <c r="BZ322" s="124"/>
      <c r="CA322" s="124"/>
    </row>
    <row r="323">
      <c r="A323" s="106"/>
      <c r="B323" s="207"/>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c r="AA323" s="106"/>
      <c r="AB323" s="106"/>
      <c r="AC323" s="106"/>
      <c r="AD323" s="106"/>
      <c r="AE323" s="106"/>
      <c r="AF323" s="106"/>
      <c r="AG323" s="106"/>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4"/>
      <c r="BR323" s="124"/>
      <c r="BS323" s="124"/>
      <c r="BT323" s="124"/>
      <c r="BU323" s="124"/>
      <c r="BV323" s="124"/>
      <c r="BW323" s="124"/>
      <c r="BX323" s="124"/>
      <c r="BY323" s="124"/>
      <c r="BZ323" s="124"/>
      <c r="CA323" s="124"/>
    </row>
    <row r="324">
      <c r="A324" s="106"/>
      <c r="B324" s="207"/>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c r="AA324" s="106"/>
      <c r="AB324" s="106"/>
      <c r="AC324" s="106"/>
      <c r="AD324" s="106"/>
      <c r="AE324" s="106"/>
      <c r="AF324" s="106"/>
      <c r="AG324" s="106"/>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124"/>
      <c r="BO324" s="124"/>
      <c r="BP324" s="124"/>
      <c r="BQ324" s="124"/>
      <c r="BR324" s="124"/>
      <c r="BS324" s="124"/>
      <c r="BT324" s="124"/>
      <c r="BU324" s="124"/>
      <c r="BV324" s="124"/>
      <c r="BW324" s="124"/>
      <c r="BX324" s="124"/>
      <c r="BY324" s="124"/>
      <c r="BZ324" s="124"/>
      <c r="CA324" s="124"/>
    </row>
    <row r="325">
      <c r="A325" s="106"/>
      <c r="B325" s="207"/>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c r="AA325" s="106"/>
      <c r="AB325" s="106"/>
      <c r="AC325" s="106"/>
      <c r="AD325" s="106"/>
      <c r="AE325" s="106"/>
      <c r="AF325" s="106"/>
      <c r="AG325" s="106"/>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c r="BK325" s="124"/>
      <c r="BL325" s="124"/>
      <c r="BM325" s="124"/>
      <c r="BN325" s="124"/>
      <c r="BO325" s="124"/>
      <c r="BP325" s="124"/>
      <c r="BQ325" s="124"/>
      <c r="BR325" s="124"/>
      <c r="BS325" s="124"/>
      <c r="BT325" s="124"/>
      <c r="BU325" s="124"/>
      <c r="BV325" s="124"/>
      <c r="BW325" s="124"/>
      <c r="BX325" s="124"/>
      <c r="BY325" s="124"/>
      <c r="BZ325" s="124"/>
      <c r="CA325" s="124"/>
    </row>
    <row r="326">
      <c r="A326" s="106"/>
      <c r="B326" s="207"/>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c r="AA326" s="106"/>
      <c r="AB326" s="106"/>
      <c r="AC326" s="106"/>
      <c r="AD326" s="106"/>
      <c r="AE326" s="106"/>
      <c r="AF326" s="106"/>
      <c r="AG326" s="106"/>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row>
    <row r="327">
      <c r="A327" s="106"/>
      <c r="B327" s="207"/>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c r="AA327" s="106"/>
      <c r="AB327" s="106"/>
      <c r="AC327" s="106"/>
      <c r="AD327" s="106"/>
      <c r="AE327" s="106"/>
      <c r="AF327" s="106"/>
      <c r="AG327" s="106"/>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c r="BK327" s="124"/>
      <c r="BL327" s="124"/>
      <c r="BM327" s="124"/>
      <c r="BN327" s="124"/>
      <c r="BO327" s="124"/>
      <c r="BP327" s="124"/>
      <c r="BQ327" s="124"/>
      <c r="BR327" s="124"/>
      <c r="BS327" s="124"/>
      <c r="BT327" s="124"/>
      <c r="BU327" s="124"/>
      <c r="BV327" s="124"/>
      <c r="BW327" s="124"/>
      <c r="BX327" s="124"/>
      <c r="BY327" s="124"/>
      <c r="BZ327" s="124"/>
      <c r="CA327" s="124"/>
    </row>
    <row r="328">
      <c r="A328" s="106"/>
      <c r="B328" s="207"/>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c r="AA328" s="106"/>
      <c r="AB328" s="106"/>
      <c r="AC328" s="106"/>
      <c r="AD328" s="106"/>
      <c r="AE328" s="106"/>
      <c r="AF328" s="106"/>
      <c r="AG328" s="106"/>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124"/>
      <c r="BO328" s="124"/>
      <c r="BP328" s="124"/>
      <c r="BQ328" s="124"/>
      <c r="BR328" s="124"/>
      <c r="BS328" s="124"/>
      <c r="BT328" s="124"/>
      <c r="BU328" s="124"/>
      <c r="BV328" s="124"/>
      <c r="BW328" s="124"/>
      <c r="BX328" s="124"/>
      <c r="BY328" s="124"/>
      <c r="BZ328" s="124"/>
      <c r="CA328" s="124"/>
    </row>
    <row r="329">
      <c r="A329" s="106"/>
      <c r="B329" s="207"/>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c r="AA329" s="106"/>
      <c r="AB329" s="106"/>
      <c r="AC329" s="106"/>
      <c r="AD329" s="106"/>
      <c r="AE329" s="106"/>
      <c r="AF329" s="106"/>
      <c r="AG329" s="106"/>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row>
    <row r="330">
      <c r="A330" s="106"/>
      <c r="B330" s="207"/>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c r="AA330" s="106"/>
      <c r="AB330" s="106"/>
      <c r="AC330" s="106"/>
      <c r="AD330" s="106"/>
      <c r="AE330" s="106"/>
      <c r="AF330" s="106"/>
      <c r="AG330" s="106"/>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124"/>
      <c r="BO330" s="124"/>
      <c r="BP330" s="124"/>
      <c r="BQ330" s="124"/>
      <c r="BR330" s="124"/>
      <c r="BS330" s="124"/>
      <c r="BT330" s="124"/>
      <c r="BU330" s="124"/>
      <c r="BV330" s="124"/>
      <c r="BW330" s="124"/>
      <c r="BX330" s="124"/>
      <c r="BY330" s="124"/>
      <c r="BZ330" s="124"/>
      <c r="CA330" s="124"/>
    </row>
    <row r="331">
      <c r="A331" s="106"/>
      <c r="B331" s="207"/>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c r="AA331" s="106"/>
      <c r="AB331" s="106"/>
      <c r="AC331" s="106"/>
      <c r="AD331" s="106"/>
      <c r="AE331" s="106"/>
      <c r="AF331" s="106"/>
      <c r="AG331" s="106"/>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c r="BK331" s="124"/>
      <c r="BL331" s="124"/>
      <c r="BM331" s="124"/>
      <c r="BN331" s="124"/>
      <c r="BO331" s="124"/>
      <c r="BP331" s="124"/>
      <c r="BQ331" s="124"/>
      <c r="BR331" s="124"/>
      <c r="BS331" s="124"/>
      <c r="BT331" s="124"/>
      <c r="BU331" s="124"/>
      <c r="BV331" s="124"/>
      <c r="BW331" s="124"/>
      <c r="BX331" s="124"/>
      <c r="BY331" s="124"/>
      <c r="BZ331" s="124"/>
      <c r="CA331" s="124"/>
    </row>
    <row r="332">
      <c r="A332" s="106"/>
      <c r="B332" s="207"/>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c r="AA332" s="106"/>
      <c r="AB332" s="106"/>
      <c r="AC332" s="106"/>
      <c r="AD332" s="106"/>
      <c r="AE332" s="106"/>
      <c r="AF332" s="106"/>
      <c r="AG332" s="106"/>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row>
    <row r="333">
      <c r="A333" s="106"/>
      <c r="B333" s="207"/>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c r="AA333" s="106"/>
      <c r="AB333" s="106"/>
      <c r="AC333" s="106"/>
      <c r="AD333" s="106"/>
      <c r="AE333" s="106"/>
      <c r="AF333" s="106"/>
      <c r="AG333" s="106"/>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c r="BK333" s="124"/>
      <c r="BL333" s="124"/>
      <c r="BM333" s="124"/>
      <c r="BN333" s="124"/>
      <c r="BO333" s="124"/>
      <c r="BP333" s="124"/>
      <c r="BQ333" s="124"/>
      <c r="BR333" s="124"/>
      <c r="BS333" s="124"/>
      <c r="BT333" s="124"/>
      <c r="BU333" s="124"/>
      <c r="BV333" s="124"/>
      <c r="BW333" s="124"/>
      <c r="BX333" s="124"/>
      <c r="BY333" s="124"/>
      <c r="BZ333" s="124"/>
      <c r="CA333" s="124"/>
    </row>
    <row r="334">
      <c r="A334" s="106"/>
      <c r="B334" s="207"/>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c r="AA334" s="106"/>
      <c r="AB334" s="106"/>
      <c r="AC334" s="106"/>
      <c r="AD334" s="106"/>
      <c r="AE334" s="106"/>
      <c r="AF334" s="106"/>
      <c r="AG334" s="106"/>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c r="BK334" s="124"/>
      <c r="BL334" s="124"/>
      <c r="BM334" s="124"/>
      <c r="BN334" s="124"/>
      <c r="BO334" s="124"/>
      <c r="BP334" s="124"/>
      <c r="BQ334" s="124"/>
      <c r="BR334" s="124"/>
      <c r="BS334" s="124"/>
      <c r="BT334" s="124"/>
      <c r="BU334" s="124"/>
      <c r="BV334" s="124"/>
      <c r="BW334" s="124"/>
      <c r="BX334" s="124"/>
      <c r="BY334" s="124"/>
      <c r="BZ334" s="124"/>
      <c r="CA334" s="124"/>
    </row>
    <row r="335">
      <c r="A335" s="106"/>
      <c r="B335" s="207"/>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c r="AA335" s="106"/>
      <c r="AB335" s="106"/>
      <c r="AC335" s="106"/>
      <c r="AD335" s="106"/>
      <c r="AE335" s="106"/>
      <c r="AF335" s="106"/>
      <c r="AG335" s="106"/>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c r="BK335" s="124"/>
      <c r="BL335" s="124"/>
      <c r="BM335" s="124"/>
      <c r="BN335" s="124"/>
      <c r="BO335" s="124"/>
      <c r="BP335" s="124"/>
      <c r="BQ335" s="124"/>
      <c r="BR335" s="124"/>
      <c r="BS335" s="124"/>
      <c r="BT335" s="124"/>
      <c r="BU335" s="124"/>
      <c r="BV335" s="124"/>
      <c r="BW335" s="124"/>
      <c r="BX335" s="124"/>
      <c r="BY335" s="124"/>
      <c r="BZ335" s="124"/>
      <c r="CA335" s="124"/>
    </row>
    <row r="336">
      <c r="A336" s="106"/>
      <c r="B336" s="207"/>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c r="AA336" s="106"/>
      <c r="AB336" s="106"/>
      <c r="AC336" s="106"/>
      <c r="AD336" s="106"/>
      <c r="AE336" s="106"/>
      <c r="AF336" s="106"/>
      <c r="AG336" s="106"/>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c r="BK336" s="124"/>
      <c r="BL336" s="124"/>
      <c r="BM336" s="124"/>
      <c r="BN336" s="124"/>
      <c r="BO336" s="124"/>
      <c r="BP336" s="124"/>
      <c r="BQ336" s="124"/>
      <c r="BR336" s="124"/>
      <c r="BS336" s="124"/>
      <c r="BT336" s="124"/>
      <c r="BU336" s="124"/>
      <c r="BV336" s="124"/>
      <c r="BW336" s="124"/>
      <c r="BX336" s="124"/>
      <c r="BY336" s="124"/>
      <c r="BZ336" s="124"/>
      <c r="CA336" s="124"/>
    </row>
    <row r="337">
      <c r="A337" s="106"/>
      <c r="B337" s="207"/>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c r="AA337" s="106"/>
      <c r="AB337" s="106"/>
      <c r="AC337" s="106"/>
      <c r="AD337" s="106"/>
      <c r="AE337" s="106"/>
      <c r="AF337" s="106"/>
      <c r="AG337" s="106"/>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c r="BK337" s="124"/>
      <c r="BL337" s="124"/>
      <c r="BM337" s="124"/>
      <c r="BN337" s="124"/>
      <c r="BO337" s="124"/>
      <c r="BP337" s="124"/>
      <c r="BQ337" s="124"/>
      <c r="BR337" s="124"/>
      <c r="BS337" s="124"/>
      <c r="BT337" s="124"/>
      <c r="BU337" s="124"/>
      <c r="BV337" s="124"/>
      <c r="BW337" s="124"/>
      <c r="BX337" s="124"/>
      <c r="BY337" s="124"/>
      <c r="BZ337" s="124"/>
      <c r="CA337" s="124"/>
    </row>
    <row r="338">
      <c r="A338" s="106"/>
      <c r="B338" s="207"/>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c r="AA338" s="106"/>
      <c r="AB338" s="106"/>
      <c r="AC338" s="106"/>
      <c r="AD338" s="106"/>
      <c r="AE338" s="106"/>
      <c r="AF338" s="106"/>
      <c r="AG338" s="106"/>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row>
    <row r="339">
      <c r="A339" s="106"/>
      <c r="B339" s="207"/>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c r="AA339" s="106"/>
      <c r="AB339" s="106"/>
      <c r="AC339" s="106"/>
      <c r="AD339" s="106"/>
      <c r="AE339" s="106"/>
      <c r="AF339" s="106"/>
      <c r="AG339" s="106"/>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c r="BK339" s="124"/>
      <c r="BL339" s="124"/>
      <c r="BM339" s="124"/>
      <c r="BN339" s="124"/>
      <c r="BO339" s="124"/>
      <c r="BP339" s="124"/>
      <c r="BQ339" s="124"/>
      <c r="BR339" s="124"/>
      <c r="BS339" s="124"/>
      <c r="BT339" s="124"/>
      <c r="BU339" s="124"/>
      <c r="BV339" s="124"/>
      <c r="BW339" s="124"/>
      <c r="BX339" s="124"/>
      <c r="BY339" s="124"/>
      <c r="BZ339" s="124"/>
      <c r="CA339" s="124"/>
    </row>
    <row r="340">
      <c r="A340" s="106"/>
      <c r="B340" s="207"/>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6"/>
      <c r="AF340" s="106"/>
      <c r="AG340" s="106"/>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c r="BK340" s="124"/>
      <c r="BL340" s="124"/>
      <c r="BM340" s="124"/>
      <c r="BN340" s="124"/>
      <c r="BO340" s="124"/>
      <c r="BP340" s="124"/>
      <c r="BQ340" s="124"/>
      <c r="BR340" s="124"/>
      <c r="BS340" s="124"/>
      <c r="BT340" s="124"/>
      <c r="BU340" s="124"/>
      <c r="BV340" s="124"/>
      <c r="BW340" s="124"/>
      <c r="BX340" s="124"/>
      <c r="BY340" s="124"/>
      <c r="BZ340" s="124"/>
      <c r="CA340" s="124"/>
    </row>
    <row r="341">
      <c r="A341" s="106"/>
      <c r="B341" s="207"/>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c r="AA341" s="106"/>
      <c r="AB341" s="106"/>
      <c r="AC341" s="106"/>
      <c r="AD341" s="106"/>
      <c r="AE341" s="106"/>
      <c r="AF341" s="106"/>
      <c r="AG341" s="106"/>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c r="BK341" s="124"/>
      <c r="BL341" s="124"/>
      <c r="BM341" s="124"/>
      <c r="BN341" s="124"/>
      <c r="BO341" s="124"/>
      <c r="BP341" s="124"/>
      <c r="BQ341" s="124"/>
      <c r="BR341" s="124"/>
      <c r="BS341" s="124"/>
      <c r="BT341" s="124"/>
      <c r="BU341" s="124"/>
      <c r="BV341" s="124"/>
      <c r="BW341" s="124"/>
      <c r="BX341" s="124"/>
      <c r="BY341" s="124"/>
      <c r="BZ341" s="124"/>
      <c r="CA341" s="124"/>
    </row>
    <row r="342">
      <c r="A342" s="106"/>
      <c r="B342" s="207"/>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c r="AA342" s="106"/>
      <c r="AB342" s="106"/>
      <c r="AC342" s="106"/>
      <c r="AD342" s="106"/>
      <c r="AE342" s="106"/>
      <c r="AF342" s="106"/>
      <c r="AG342" s="106"/>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c r="BK342" s="124"/>
      <c r="BL342" s="124"/>
      <c r="BM342" s="124"/>
      <c r="BN342" s="124"/>
      <c r="BO342" s="124"/>
      <c r="BP342" s="124"/>
      <c r="BQ342" s="124"/>
      <c r="BR342" s="124"/>
      <c r="BS342" s="124"/>
      <c r="BT342" s="124"/>
      <c r="BU342" s="124"/>
      <c r="BV342" s="124"/>
      <c r="BW342" s="124"/>
      <c r="BX342" s="124"/>
      <c r="BY342" s="124"/>
      <c r="BZ342" s="124"/>
      <c r="CA342" s="124"/>
    </row>
    <row r="343">
      <c r="A343" s="106"/>
      <c r="B343" s="207"/>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c r="AA343" s="106"/>
      <c r="AB343" s="106"/>
      <c r="AC343" s="106"/>
      <c r="AD343" s="106"/>
      <c r="AE343" s="106"/>
      <c r="AF343" s="106"/>
      <c r="AG343" s="106"/>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c r="BK343" s="124"/>
      <c r="BL343" s="124"/>
      <c r="BM343" s="124"/>
      <c r="BN343" s="124"/>
      <c r="BO343" s="124"/>
      <c r="BP343" s="124"/>
      <c r="BQ343" s="124"/>
      <c r="BR343" s="124"/>
      <c r="BS343" s="124"/>
      <c r="BT343" s="124"/>
      <c r="BU343" s="124"/>
      <c r="BV343" s="124"/>
      <c r="BW343" s="124"/>
      <c r="BX343" s="124"/>
      <c r="BY343" s="124"/>
      <c r="BZ343" s="124"/>
      <c r="CA343" s="124"/>
    </row>
    <row r="344">
      <c r="A344" s="106"/>
      <c r="B344" s="207"/>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c r="AA344" s="106"/>
      <c r="AB344" s="106"/>
      <c r="AC344" s="106"/>
      <c r="AD344" s="106"/>
      <c r="AE344" s="106"/>
      <c r="AF344" s="106"/>
      <c r="AG344" s="106"/>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c r="BK344" s="124"/>
      <c r="BL344" s="124"/>
      <c r="BM344" s="124"/>
      <c r="BN344" s="124"/>
      <c r="BO344" s="124"/>
      <c r="BP344" s="124"/>
      <c r="BQ344" s="124"/>
      <c r="BR344" s="124"/>
      <c r="BS344" s="124"/>
      <c r="BT344" s="124"/>
      <c r="BU344" s="124"/>
      <c r="BV344" s="124"/>
      <c r="BW344" s="124"/>
      <c r="BX344" s="124"/>
      <c r="BY344" s="124"/>
      <c r="BZ344" s="124"/>
      <c r="CA344" s="124"/>
    </row>
    <row r="345">
      <c r="A345" s="106"/>
      <c r="B345" s="207"/>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c r="AA345" s="106"/>
      <c r="AB345" s="106"/>
      <c r="AC345" s="106"/>
      <c r="AD345" s="106"/>
      <c r="AE345" s="106"/>
      <c r="AF345" s="106"/>
      <c r="AG345" s="106"/>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row>
    <row r="346">
      <c r="A346" s="106"/>
      <c r="B346" s="207"/>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c r="AA346" s="106"/>
      <c r="AB346" s="106"/>
      <c r="AC346" s="106"/>
      <c r="AD346" s="106"/>
      <c r="AE346" s="106"/>
      <c r="AF346" s="106"/>
      <c r="AG346" s="106"/>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c r="BK346" s="124"/>
      <c r="BL346" s="124"/>
      <c r="BM346" s="124"/>
      <c r="BN346" s="124"/>
      <c r="BO346" s="124"/>
      <c r="BP346" s="124"/>
      <c r="BQ346" s="124"/>
      <c r="BR346" s="124"/>
      <c r="BS346" s="124"/>
      <c r="BT346" s="124"/>
      <c r="BU346" s="124"/>
      <c r="BV346" s="124"/>
      <c r="BW346" s="124"/>
      <c r="BX346" s="124"/>
      <c r="BY346" s="124"/>
      <c r="BZ346" s="124"/>
      <c r="CA346" s="124"/>
    </row>
    <row r="347">
      <c r="A347" s="106"/>
      <c r="B347" s="207"/>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c r="AA347" s="106"/>
      <c r="AB347" s="106"/>
      <c r="AC347" s="106"/>
      <c r="AD347" s="106"/>
      <c r="AE347" s="106"/>
      <c r="AF347" s="106"/>
      <c r="AG347" s="106"/>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c r="BK347" s="124"/>
      <c r="BL347" s="124"/>
      <c r="BM347" s="124"/>
      <c r="BN347" s="124"/>
      <c r="BO347" s="124"/>
      <c r="BP347" s="124"/>
      <c r="BQ347" s="124"/>
      <c r="BR347" s="124"/>
      <c r="BS347" s="124"/>
      <c r="BT347" s="124"/>
      <c r="BU347" s="124"/>
      <c r="BV347" s="124"/>
      <c r="BW347" s="124"/>
      <c r="BX347" s="124"/>
      <c r="BY347" s="124"/>
      <c r="BZ347" s="124"/>
      <c r="CA347" s="124"/>
    </row>
    <row r="348">
      <c r="A348" s="106"/>
      <c r="B348" s="207"/>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c r="AA348" s="106"/>
      <c r="AB348" s="106"/>
      <c r="AC348" s="106"/>
      <c r="AD348" s="106"/>
      <c r="AE348" s="106"/>
      <c r="AF348" s="106"/>
      <c r="AG348" s="106"/>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c r="BK348" s="124"/>
      <c r="BL348" s="124"/>
      <c r="BM348" s="124"/>
      <c r="BN348" s="124"/>
      <c r="BO348" s="124"/>
      <c r="BP348" s="124"/>
      <c r="BQ348" s="124"/>
      <c r="BR348" s="124"/>
      <c r="BS348" s="124"/>
      <c r="BT348" s="124"/>
      <c r="BU348" s="124"/>
      <c r="BV348" s="124"/>
      <c r="BW348" s="124"/>
      <c r="BX348" s="124"/>
      <c r="BY348" s="124"/>
      <c r="BZ348" s="124"/>
      <c r="CA348" s="124"/>
    </row>
    <row r="349">
      <c r="A349" s="106"/>
      <c r="B349" s="207"/>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c r="AA349" s="106"/>
      <c r="AB349" s="106"/>
      <c r="AC349" s="106"/>
      <c r="AD349" s="106"/>
      <c r="AE349" s="106"/>
      <c r="AF349" s="106"/>
      <c r="AG349" s="106"/>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c r="BK349" s="124"/>
      <c r="BL349" s="124"/>
      <c r="BM349" s="124"/>
      <c r="BN349" s="124"/>
      <c r="BO349" s="124"/>
      <c r="BP349" s="124"/>
      <c r="BQ349" s="124"/>
      <c r="BR349" s="124"/>
      <c r="BS349" s="124"/>
      <c r="BT349" s="124"/>
      <c r="BU349" s="124"/>
      <c r="BV349" s="124"/>
      <c r="BW349" s="124"/>
      <c r="BX349" s="124"/>
      <c r="BY349" s="124"/>
      <c r="BZ349" s="124"/>
      <c r="CA349" s="124"/>
    </row>
    <row r="350">
      <c r="A350" s="106"/>
      <c r="B350" s="207"/>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c r="AA350" s="106"/>
      <c r="AB350" s="106"/>
      <c r="AC350" s="106"/>
      <c r="AD350" s="106"/>
      <c r="AE350" s="106"/>
      <c r="AF350" s="106"/>
      <c r="AG350" s="106"/>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c r="BK350" s="124"/>
      <c r="BL350" s="124"/>
      <c r="BM350" s="124"/>
      <c r="BN350" s="124"/>
      <c r="BO350" s="124"/>
      <c r="BP350" s="124"/>
      <c r="BQ350" s="124"/>
      <c r="BR350" s="124"/>
      <c r="BS350" s="124"/>
      <c r="BT350" s="124"/>
      <c r="BU350" s="124"/>
      <c r="BV350" s="124"/>
      <c r="BW350" s="124"/>
      <c r="BX350" s="124"/>
      <c r="BY350" s="124"/>
      <c r="BZ350" s="124"/>
      <c r="CA350" s="124"/>
    </row>
    <row r="351">
      <c r="A351" s="106"/>
      <c r="B351" s="207"/>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c r="AA351" s="106"/>
      <c r="AB351" s="106"/>
      <c r="AC351" s="106"/>
      <c r="AD351" s="106"/>
      <c r="AE351" s="106"/>
      <c r="AF351" s="106"/>
      <c r="AG351" s="106"/>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c r="BK351" s="124"/>
      <c r="BL351" s="124"/>
      <c r="BM351" s="124"/>
      <c r="BN351" s="124"/>
      <c r="BO351" s="124"/>
      <c r="BP351" s="124"/>
      <c r="BQ351" s="124"/>
      <c r="BR351" s="124"/>
      <c r="BS351" s="124"/>
      <c r="BT351" s="124"/>
      <c r="BU351" s="124"/>
      <c r="BV351" s="124"/>
      <c r="BW351" s="124"/>
      <c r="BX351" s="124"/>
      <c r="BY351" s="124"/>
      <c r="BZ351" s="124"/>
      <c r="CA351" s="124"/>
    </row>
    <row r="352">
      <c r="A352" s="106"/>
      <c r="B352" s="207"/>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6"/>
      <c r="AF352" s="106"/>
      <c r="AG352" s="106"/>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c r="BK352" s="124"/>
      <c r="BL352" s="124"/>
      <c r="BM352" s="124"/>
      <c r="BN352" s="124"/>
      <c r="BO352" s="124"/>
      <c r="BP352" s="124"/>
      <c r="BQ352" s="124"/>
      <c r="BR352" s="124"/>
      <c r="BS352" s="124"/>
      <c r="BT352" s="124"/>
      <c r="BU352" s="124"/>
      <c r="BV352" s="124"/>
      <c r="BW352" s="124"/>
      <c r="BX352" s="124"/>
      <c r="BY352" s="124"/>
      <c r="BZ352" s="124"/>
      <c r="CA352" s="124"/>
    </row>
    <row r="353">
      <c r="A353" s="106"/>
      <c r="B353" s="207"/>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c r="AA353" s="106"/>
      <c r="AB353" s="106"/>
      <c r="AC353" s="106"/>
      <c r="AD353" s="106"/>
      <c r="AE353" s="106"/>
      <c r="AF353" s="106"/>
      <c r="AG353" s="106"/>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c r="BK353" s="124"/>
      <c r="BL353" s="124"/>
      <c r="BM353" s="124"/>
      <c r="BN353" s="124"/>
      <c r="BO353" s="124"/>
      <c r="BP353" s="124"/>
      <c r="BQ353" s="124"/>
      <c r="BR353" s="124"/>
      <c r="BS353" s="124"/>
      <c r="BT353" s="124"/>
      <c r="BU353" s="124"/>
      <c r="BV353" s="124"/>
      <c r="BW353" s="124"/>
      <c r="BX353" s="124"/>
      <c r="BY353" s="124"/>
      <c r="BZ353" s="124"/>
      <c r="CA353" s="124"/>
    </row>
    <row r="354">
      <c r="A354" s="106"/>
      <c r="B354" s="207"/>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c r="AA354" s="106"/>
      <c r="AB354" s="106"/>
      <c r="AC354" s="106"/>
      <c r="AD354" s="106"/>
      <c r="AE354" s="106"/>
      <c r="AF354" s="106"/>
      <c r="AG354" s="106"/>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row>
    <row r="355">
      <c r="A355" s="106"/>
      <c r="B355" s="207"/>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c r="AA355" s="106"/>
      <c r="AB355" s="106"/>
      <c r="AC355" s="106"/>
      <c r="AD355" s="106"/>
      <c r="AE355" s="106"/>
      <c r="AF355" s="106"/>
      <c r="AG355" s="106"/>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c r="BK355" s="124"/>
      <c r="BL355" s="124"/>
      <c r="BM355" s="124"/>
      <c r="BN355" s="124"/>
      <c r="BO355" s="124"/>
      <c r="BP355" s="124"/>
      <c r="BQ355" s="124"/>
      <c r="BR355" s="124"/>
      <c r="BS355" s="124"/>
      <c r="BT355" s="124"/>
      <c r="BU355" s="124"/>
      <c r="BV355" s="124"/>
      <c r="BW355" s="124"/>
      <c r="BX355" s="124"/>
      <c r="BY355" s="124"/>
      <c r="BZ355" s="124"/>
      <c r="CA355" s="124"/>
    </row>
    <row r="356">
      <c r="A356" s="106"/>
      <c r="B356" s="207"/>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c r="AA356" s="106"/>
      <c r="AB356" s="106"/>
      <c r="AC356" s="106"/>
      <c r="AD356" s="106"/>
      <c r="AE356" s="106"/>
      <c r="AF356" s="106"/>
      <c r="AG356" s="106"/>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row>
    <row r="357">
      <c r="A357" s="106"/>
      <c r="B357" s="207"/>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c r="AA357" s="106"/>
      <c r="AB357" s="106"/>
      <c r="AC357" s="106"/>
      <c r="AD357" s="106"/>
      <c r="AE357" s="106"/>
      <c r="AF357" s="106"/>
      <c r="AG357" s="106"/>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c r="BK357" s="124"/>
      <c r="BL357" s="124"/>
      <c r="BM357" s="124"/>
      <c r="BN357" s="124"/>
      <c r="BO357" s="124"/>
      <c r="BP357" s="124"/>
      <c r="BQ357" s="124"/>
      <c r="BR357" s="124"/>
      <c r="BS357" s="124"/>
      <c r="BT357" s="124"/>
      <c r="BU357" s="124"/>
      <c r="BV357" s="124"/>
      <c r="BW357" s="124"/>
      <c r="BX357" s="124"/>
      <c r="BY357" s="124"/>
      <c r="BZ357" s="124"/>
      <c r="CA357" s="124"/>
    </row>
    <row r="358">
      <c r="A358" s="106"/>
      <c r="B358" s="207"/>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c r="AA358" s="106"/>
      <c r="AB358" s="106"/>
      <c r="AC358" s="106"/>
      <c r="AD358" s="106"/>
      <c r="AE358" s="106"/>
      <c r="AF358" s="106"/>
      <c r="AG358" s="106"/>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c r="BK358" s="124"/>
      <c r="BL358" s="124"/>
      <c r="BM358" s="124"/>
      <c r="BN358" s="124"/>
      <c r="BO358" s="124"/>
      <c r="BP358" s="124"/>
      <c r="BQ358" s="124"/>
      <c r="BR358" s="124"/>
      <c r="BS358" s="124"/>
      <c r="BT358" s="124"/>
      <c r="BU358" s="124"/>
      <c r="BV358" s="124"/>
      <c r="BW358" s="124"/>
      <c r="BX358" s="124"/>
      <c r="BY358" s="124"/>
      <c r="BZ358" s="124"/>
      <c r="CA358" s="124"/>
    </row>
    <row r="359">
      <c r="A359" s="106"/>
      <c r="B359" s="207"/>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c r="AA359" s="106"/>
      <c r="AB359" s="106"/>
      <c r="AC359" s="106"/>
      <c r="AD359" s="106"/>
      <c r="AE359" s="106"/>
      <c r="AF359" s="106"/>
      <c r="AG359" s="106"/>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c r="BK359" s="124"/>
      <c r="BL359" s="124"/>
      <c r="BM359" s="124"/>
      <c r="BN359" s="124"/>
      <c r="BO359" s="124"/>
      <c r="BP359" s="124"/>
      <c r="BQ359" s="124"/>
      <c r="BR359" s="124"/>
      <c r="BS359" s="124"/>
      <c r="BT359" s="124"/>
      <c r="BU359" s="124"/>
      <c r="BV359" s="124"/>
      <c r="BW359" s="124"/>
      <c r="BX359" s="124"/>
      <c r="BY359" s="124"/>
      <c r="BZ359" s="124"/>
      <c r="CA359" s="124"/>
    </row>
    <row r="360">
      <c r="A360" s="106"/>
      <c r="B360" s="207"/>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c r="AA360" s="106"/>
      <c r="AB360" s="106"/>
      <c r="AC360" s="106"/>
      <c r="AD360" s="106"/>
      <c r="AE360" s="106"/>
      <c r="AF360" s="106"/>
      <c r="AG360" s="106"/>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row>
    <row r="361">
      <c r="A361" s="106"/>
      <c r="B361" s="207"/>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c r="AA361" s="106"/>
      <c r="AB361" s="106"/>
      <c r="AC361" s="106"/>
      <c r="AD361" s="106"/>
      <c r="AE361" s="106"/>
      <c r="AF361" s="106"/>
      <c r="AG361" s="106"/>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c r="BK361" s="124"/>
      <c r="BL361" s="124"/>
      <c r="BM361" s="124"/>
      <c r="BN361" s="124"/>
      <c r="BO361" s="124"/>
      <c r="BP361" s="124"/>
      <c r="BQ361" s="124"/>
      <c r="BR361" s="124"/>
      <c r="BS361" s="124"/>
      <c r="BT361" s="124"/>
      <c r="BU361" s="124"/>
      <c r="BV361" s="124"/>
      <c r="BW361" s="124"/>
      <c r="BX361" s="124"/>
      <c r="BY361" s="124"/>
      <c r="BZ361" s="124"/>
      <c r="CA361" s="124"/>
    </row>
    <row r="362">
      <c r="A362" s="106"/>
      <c r="B362" s="207"/>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c r="AA362" s="106"/>
      <c r="AB362" s="106"/>
      <c r="AC362" s="106"/>
      <c r="AD362" s="106"/>
      <c r="AE362" s="106"/>
      <c r="AF362" s="106"/>
      <c r="AG362" s="106"/>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row>
    <row r="363">
      <c r="A363" s="106"/>
      <c r="B363" s="207"/>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c r="AA363" s="106"/>
      <c r="AB363" s="106"/>
      <c r="AC363" s="106"/>
      <c r="AD363" s="106"/>
      <c r="AE363" s="106"/>
      <c r="AF363" s="106"/>
      <c r="AG363" s="106"/>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c r="BK363" s="124"/>
      <c r="BL363" s="124"/>
      <c r="BM363" s="124"/>
      <c r="BN363" s="124"/>
      <c r="BO363" s="124"/>
      <c r="BP363" s="124"/>
      <c r="BQ363" s="124"/>
      <c r="BR363" s="124"/>
      <c r="BS363" s="124"/>
      <c r="BT363" s="124"/>
      <c r="BU363" s="124"/>
      <c r="BV363" s="124"/>
      <c r="BW363" s="124"/>
      <c r="BX363" s="124"/>
      <c r="BY363" s="124"/>
      <c r="BZ363" s="124"/>
      <c r="CA363" s="124"/>
    </row>
    <row r="364">
      <c r="A364" s="106"/>
      <c r="B364" s="207"/>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c r="AA364" s="106"/>
      <c r="AB364" s="106"/>
      <c r="AC364" s="106"/>
      <c r="AD364" s="106"/>
      <c r="AE364" s="106"/>
      <c r="AF364" s="106"/>
      <c r="AG364" s="106"/>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124"/>
      <c r="BY364" s="124"/>
      <c r="BZ364" s="124"/>
      <c r="CA364" s="124"/>
    </row>
    <row r="365">
      <c r="A365" s="106"/>
      <c r="B365" s="207"/>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c r="AA365" s="106"/>
      <c r="AB365" s="106"/>
      <c r="AC365" s="106"/>
      <c r="AD365" s="106"/>
      <c r="AE365" s="106"/>
      <c r="AF365" s="106"/>
      <c r="AG365" s="106"/>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c r="BK365" s="124"/>
      <c r="BL365" s="124"/>
      <c r="BM365" s="124"/>
      <c r="BN365" s="124"/>
      <c r="BO365" s="124"/>
      <c r="BP365" s="124"/>
      <c r="BQ365" s="124"/>
      <c r="BR365" s="124"/>
      <c r="BS365" s="124"/>
      <c r="BT365" s="124"/>
      <c r="BU365" s="124"/>
      <c r="BV365" s="124"/>
      <c r="BW365" s="124"/>
      <c r="BX365" s="124"/>
      <c r="BY365" s="124"/>
      <c r="BZ365" s="124"/>
      <c r="CA365" s="124"/>
    </row>
    <row r="366">
      <c r="A366" s="106"/>
      <c r="B366" s="207"/>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c r="AA366" s="106"/>
      <c r="AB366" s="106"/>
      <c r="AC366" s="106"/>
      <c r="AD366" s="106"/>
      <c r="AE366" s="106"/>
      <c r="AF366" s="106"/>
      <c r="AG366" s="106"/>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row>
    <row r="367">
      <c r="A367" s="106"/>
      <c r="B367" s="207"/>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c r="AA367" s="106"/>
      <c r="AB367" s="106"/>
      <c r="AC367" s="106"/>
      <c r="AD367" s="106"/>
      <c r="AE367" s="106"/>
      <c r="AF367" s="106"/>
      <c r="AG367" s="106"/>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c r="BK367" s="124"/>
      <c r="BL367" s="124"/>
      <c r="BM367" s="124"/>
      <c r="BN367" s="124"/>
      <c r="BO367" s="124"/>
      <c r="BP367" s="124"/>
      <c r="BQ367" s="124"/>
      <c r="BR367" s="124"/>
      <c r="BS367" s="124"/>
      <c r="BT367" s="124"/>
      <c r="BU367" s="124"/>
      <c r="BV367" s="124"/>
      <c r="BW367" s="124"/>
      <c r="BX367" s="124"/>
      <c r="BY367" s="124"/>
      <c r="BZ367" s="124"/>
      <c r="CA367" s="124"/>
    </row>
    <row r="368">
      <c r="A368" s="106"/>
      <c r="B368" s="207"/>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c r="AA368" s="106"/>
      <c r="AB368" s="106"/>
      <c r="AC368" s="106"/>
      <c r="AD368" s="106"/>
      <c r="AE368" s="106"/>
      <c r="AF368" s="106"/>
      <c r="AG368" s="106"/>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row>
    <row r="369">
      <c r="A369" s="106"/>
      <c r="B369" s="207"/>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c r="AA369" s="106"/>
      <c r="AB369" s="106"/>
      <c r="AC369" s="106"/>
      <c r="AD369" s="106"/>
      <c r="AE369" s="106"/>
      <c r="AF369" s="106"/>
      <c r="AG369" s="106"/>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row>
    <row r="370">
      <c r="A370" s="106"/>
      <c r="B370" s="207"/>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c r="AA370" s="106"/>
      <c r="AB370" s="106"/>
      <c r="AC370" s="106"/>
      <c r="AD370" s="106"/>
      <c r="AE370" s="106"/>
      <c r="AF370" s="106"/>
      <c r="AG370" s="106"/>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c r="BK370" s="124"/>
      <c r="BL370" s="124"/>
      <c r="BM370" s="124"/>
      <c r="BN370" s="124"/>
      <c r="BO370" s="124"/>
      <c r="BP370" s="124"/>
      <c r="BQ370" s="124"/>
      <c r="BR370" s="124"/>
      <c r="BS370" s="124"/>
      <c r="BT370" s="124"/>
      <c r="BU370" s="124"/>
      <c r="BV370" s="124"/>
      <c r="BW370" s="124"/>
      <c r="BX370" s="124"/>
      <c r="BY370" s="124"/>
      <c r="BZ370" s="124"/>
      <c r="CA370" s="124"/>
    </row>
    <row r="371">
      <c r="A371" s="106"/>
      <c r="B371" s="207"/>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c r="AA371" s="106"/>
      <c r="AB371" s="106"/>
      <c r="AC371" s="106"/>
      <c r="AD371" s="106"/>
      <c r="AE371" s="106"/>
      <c r="AF371" s="106"/>
      <c r="AG371" s="106"/>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c r="BK371" s="124"/>
      <c r="BL371" s="124"/>
      <c r="BM371" s="124"/>
      <c r="BN371" s="124"/>
      <c r="BO371" s="124"/>
      <c r="BP371" s="124"/>
      <c r="BQ371" s="124"/>
      <c r="BR371" s="124"/>
      <c r="BS371" s="124"/>
      <c r="BT371" s="124"/>
      <c r="BU371" s="124"/>
      <c r="BV371" s="124"/>
      <c r="BW371" s="124"/>
      <c r="BX371" s="124"/>
      <c r="BY371" s="124"/>
      <c r="BZ371" s="124"/>
      <c r="CA371" s="124"/>
    </row>
    <row r="372">
      <c r="A372" s="106"/>
      <c r="B372" s="207"/>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c r="AA372" s="106"/>
      <c r="AB372" s="106"/>
      <c r="AC372" s="106"/>
      <c r="AD372" s="106"/>
      <c r="AE372" s="106"/>
      <c r="AF372" s="106"/>
      <c r="AG372" s="106"/>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row>
    <row r="373">
      <c r="A373" s="106"/>
      <c r="B373" s="207"/>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c r="AA373" s="106"/>
      <c r="AB373" s="106"/>
      <c r="AC373" s="106"/>
      <c r="AD373" s="106"/>
      <c r="AE373" s="106"/>
      <c r="AF373" s="106"/>
      <c r="AG373" s="106"/>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c r="BK373" s="124"/>
      <c r="BL373" s="124"/>
      <c r="BM373" s="124"/>
      <c r="BN373" s="124"/>
      <c r="BO373" s="124"/>
      <c r="BP373" s="124"/>
      <c r="BQ373" s="124"/>
      <c r="BR373" s="124"/>
      <c r="BS373" s="124"/>
      <c r="BT373" s="124"/>
      <c r="BU373" s="124"/>
      <c r="BV373" s="124"/>
      <c r="BW373" s="124"/>
      <c r="BX373" s="124"/>
      <c r="BY373" s="124"/>
      <c r="BZ373" s="124"/>
      <c r="CA373" s="124"/>
    </row>
    <row r="374">
      <c r="A374" s="106"/>
      <c r="B374" s="207"/>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c r="AA374" s="106"/>
      <c r="AB374" s="106"/>
      <c r="AC374" s="106"/>
      <c r="AD374" s="106"/>
      <c r="AE374" s="106"/>
      <c r="AF374" s="106"/>
      <c r="AG374" s="106"/>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row>
    <row r="375">
      <c r="A375" s="106"/>
      <c r="B375" s="207"/>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c r="AG375" s="106"/>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c r="BK375" s="124"/>
      <c r="BL375" s="124"/>
      <c r="BM375" s="124"/>
      <c r="BN375" s="124"/>
      <c r="BO375" s="124"/>
      <c r="BP375" s="124"/>
      <c r="BQ375" s="124"/>
      <c r="BR375" s="124"/>
      <c r="BS375" s="124"/>
      <c r="BT375" s="124"/>
      <c r="BU375" s="124"/>
      <c r="BV375" s="124"/>
      <c r="BW375" s="124"/>
      <c r="BX375" s="124"/>
      <c r="BY375" s="124"/>
      <c r="BZ375" s="124"/>
      <c r="CA375" s="124"/>
    </row>
    <row r="376">
      <c r="A376" s="106"/>
      <c r="B376" s="207"/>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c r="AA376" s="106"/>
      <c r="AB376" s="106"/>
      <c r="AC376" s="106"/>
      <c r="AD376" s="106"/>
      <c r="AE376" s="106"/>
      <c r="AF376" s="106"/>
      <c r="AG376" s="106"/>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c r="BK376" s="124"/>
      <c r="BL376" s="124"/>
      <c r="BM376" s="124"/>
      <c r="BN376" s="124"/>
      <c r="BO376" s="124"/>
      <c r="BP376" s="124"/>
      <c r="BQ376" s="124"/>
      <c r="BR376" s="124"/>
      <c r="BS376" s="124"/>
      <c r="BT376" s="124"/>
      <c r="BU376" s="124"/>
      <c r="BV376" s="124"/>
      <c r="BW376" s="124"/>
      <c r="BX376" s="124"/>
      <c r="BY376" s="124"/>
      <c r="BZ376" s="124"/>
      <c r="CA376" s="124"/>
    </row>
    <row r="377">
      <c r="A377" s="106"/>
      <c r="B377" s="207"/>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c r="AG377" s="106"/>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c r="BK377" s="124"/>
      <c r="BL377" s="124"/>
      <c r="BM377" s="124"/>
      <c r="BN377" s="124"/>
      <c r="BO377" s="124"/>
      <c r="BP377" s="124"/>
      <c r="BQ377" s="124"/>
      <c r="BR377" s="124"/>
      <c r="BS377" s="124"/>
      <c r="BT377" s="124"/>
      <c r="BU377" s="124"/>
      <c r="BV377" s="124"/>
      <c r="BW377" s="124"/>
      <c r="BX377" s="124"/>
      <c r="BY377" s="124"/>
      <c r="BZ377" s="124"/>
      <c r="CA377" s="124"/>
    </row>
    <row r="378">
      <c r="A378" s="106"/>
      <c r="B378" s="207"/>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c r="AG378" s="106"/>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row>
    <row r="379">
      <c r="A379" s="106"/>
      <c r="B379" s="207"/>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c r="AG379" s="106"/>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c r="BK379" s="124"/>
      <c r="BL379" s="124"/>
      <c r="BM379" s="124"/>
      <c r="BN379" s="124"/>
      <c r="BO379" s="124"/>
      <c r="BP379" s="124"/>
      <c r="BQ379" s="124"/>
      <c r="BR379" s="124"/>
      <c r="BS379" s="124"/>
      <c r="BT379" s="124"/>
      <c r="BU379" s="124"/>
      <c r="BV379" s="124"/>
      <c r="BW379" s="124"/>
      <c r="BX379" s="124"/>
      <c r="BY379" s="124"/>
      <c r="BZ379" s="124"/>
      <c r="CA379" s="124"/>
    </row>
    <row r="380">
      <c r="A380" s="106"/>
      <c r="B380" s="207"/>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c r="AG380" s="106"/>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c r="BK380" s="124"/>
      <c r="BL380" s="124"/>
      <c r="BM380" s="124"/>
      <c r="BN380" s="124"/>
      <c r="BO380" s="124"/>
      <c r="BP380" s="124"/>
      <c r="BQ380" s="124"/>
      <c r="BR380" s="124"/>
      <c r="BS380" s="124"/>
      <c r="BT380" s="124"/>
      <c r="BU380" s="124"/>
      <c r="BV380" s="124"/>
      <c r="BW380" s="124"/>
      <c r="BX380" s="124"/>
      <c r="BY380" s="124"/>
      <c r="BZ380" s="124"/>
      <c r="CA380" s="124"/>
    </row>
    <row r="381">
      <c r="A381" s="106"/>
      <c r="B381" s="207"/>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c r="AG381" s="106"/>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c r="BK381" s="124"/>
      <c r="BL381" s="124"/>
      <c r="BM381" s="124"/>
      <c r="BN381" s="124"/>
      <c r="BO381" s="124"/>
      <c r="BP381" s="124"/>
      <c r="BQ381" s="124"/>
      <c r="BR381" s="124"/>
      <c r="BS381" s="124"/>
      <c r="BT381" s="124"/>
      <c r="BU381" s="124"/>
      <c r="BV381" s="124"/>
      <c r="BW381" s="124"/>
      <c r="BX381" s="124"/>
      <c r="BY381" s="124"/>
      <c r="BZ381" s="124"/>
      <c r="CA381" s="124"/>
    </row>
    <row r="382">
      <c r="A382" s="106"/>
      <c r="B382" s="207"/>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c r="AG382" s="106"/>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row>
    <row r="383">
      <c r="A383" s="106"/>
      <c r="B383" s="207"/>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c r="AA383" s="106"/>
      <c r="AB383" s="106"/>
      <c r="AC383" s="106"/>
      <c r="AD383" s="106"/>
      <c r="AE383" s="106"/>
      <c r="AF383" s="106"/>
      <c r="AG383" s="106"/>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c r="BK383" s="124"/>
      <c r="BL383" s="124"/>
      <c r="BM383" s="124"/>
      <c r="BN383" s="124"/>
      <c r="BO383" s="124"/>
      <c r="BP383" s="124"/>
      <c r="BQ383" s="124"/>
      <c r="BR383" s="124"/>
      <c r="BS383" s="124"/>
      <c r="BT383" s="124"/>
      <c r="BU383" s="124"/>
      <c r="BV383" s="124"/>
      <c r="BW383" s="124"/>
      <c r="BX383" s="124"/>
      <c r="BY383" s="124"/>
      <c r="BZ383" s="124"/>
      <c r="CA383" s="124"/>
    </row>
    <row r="384">
      <c r="A384" s="106"/>
      <c r="B384" s="207"/>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c r="AG384" s="106"/>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row>
    <row r="385">
      <c r="A385" s="106"/>
      <c r="B385" s="207"/>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c r="AA385" s="106"/>
      <c r="AB385" s="106"/>
      <c r="AC385" s="106"/>
      <c r="AD385" s="106"/>
      <c r="AE385" s="106"/>
      <c r="AF385" s="106"/>
      <c r="AG385" s="106"/>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c r="BK385" s="124"/>
      <c r="BL385" s="124"/>
      <c r="BM385" s="124"/>
      <c r="BN385" s="124"/>
      <c r="BO385" s="124"/>
      <c r="BP385" s="124"/>
      <c r="BQ385" s="124"/>
      <c r="BR385" s="124"/>
      <c r="BS385" s="124"/>
      <c r="BT385" s="124"/>
      <c r="BU385" s="124"/>
      <c r="BV385" s="124"/>
      <c r="BW385" s="124"/>
      <c r="BX385" s="124"/>
      <c r="BY385" s="124"/>
      <c r="BZ385" s="124"/>
      <c r="CA385" s="124"/>
    </row>
    <row r="386">
      <c r="A386" s="106"/>
      <c r="B386" s="207"/>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c r="AA386" s="106"/>
      <c r="AB386" s="106"/>
      <c r="AC386" s="106"/>
      <c r="AD386" s="106"/>
      <c r="AE386" s="106"/>
      <c r="AF386" s="106"/>
      <c r="AG386" s="106"/>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c r="BK386" s="124"/>
      <c r="BL386" s="124"/>
      <c r="BM386" s="124"/>
      <c r="BN386" s="124"/>
      <c r="BO386" s="124"/>
      <c r="BP386" s="124"/>
      <c r="BQ386" s="124"/>
      <c r="BR386" s="124"/>
      <c r="BS386" s="124"/>
      <c r="BT386" s="124"/>
      <c r="BU386" s="124"/>
      <c r="BV386" s="124"/>
      <c r="BW386" s="124"/>
      <c r="BX386" s="124"/>
      <c r="BY386" s="124"/>
      <c r="BZ386" s="124"/>
      <c r="CA386" s="124"/>
    </row>
    <row r="387">
      <c r="A387" s="106"/>
      <c r="B387" s="207"/>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c r="AA387" s="106"/>
      <c r="AB387" s="106"/>
      <c r="AC387" s="106"/>
      <c r="AD387" s="106"/>
      <c r="AE387" s="106"/>
      <c r="AF387" s="106"/>
      <c r="AG387" s="106"/>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c r="BK387" s="124"/>
      <c r="BL387" s="124"/>
      <c r="BM387" s="124"/>
      <c r="BN387" s="124"/>
      <c r="BO387" s="124"/>
      <c r="BP387" s="124"/>
      <c r="BQ387" s="124"/>
      <c r="BR387" s="124"/>
      <c r="BS387" s="124"/>
      <c r="BT387" s="124"/>
      <c r="BU387" s="124"/>
      <c r="BV387" s="124"/>
      <c r="BW387" s="124"/>
      <c r="BX387" s="124"/>
      <c r="BY387" s="124"/>
      <c r="BZ387" s="124"/>
      <c r="CA387" s="124"/>
    </row>
    <row r="388">
      <c r="A388" s="106"/>
      <c r="B388" s="207"/>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c r="AA388" s="106"/>
      <c r="AB388" s="106"/>
      <c r="AC388" s="106"/>
      <c r="AD388" s="106"/>
      <c r="AE388" s="106"/>
      <c r="AF388" s="106"/>
      <c r="AG388" s="106"/>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c r="BK388" s="124"/>
      <c r="BL388" s="124"/>
      <c r="BM388" s="124"/>
      <c r="BN388" s="124"/>
      <c r="BO388" s="124"/>
      <c r="BP388" s="124"/>
      <c r="BQ388" s="124"/>
      <c r="BR388" s="124"/>
      <c r="BS388" s="124"/>
      <c r="BT388" s="124"/>
      <c r="BU388" s="124"/>
      <c r="BV388" s="124"/>
      <c r="BW388" s="124"/>
      <c r="BX388" s="124"/>
      <c r="BY388" s="124"/>
      <c r="BZ388" s="124"/>
      <c r="CA388" s="124"/>
    </row>
    <row r="389">
      <c r="A389" s="106"/>
      <c r="B389" s="207"/>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c r="AA389" s="106"/>
      <c r="AB389" s="106"/>
      <c r="AC389" s="106"/>
      <c r="AD389" s="106"/>
      <c r="AE389" s="106"/>
      <c r="AF389" s="106"/>
      <c r="AG389" s="106"/>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c r="BK389" s="124"/>
      <c r="BL389" s="124"/>
      <c r="BM389" s="124"/>
      <c r="BN389" s="124"/>
      <c r="BO389" s="124"/>
      <c r="BP389" s="124"/>
      <c r="BQ389" s="124"/>
      <c r="BR389" s="124"/>
      <c r="BS389" s="124"/>
      <c r="BT389" s="124"/>
      <c r="BU389" s="124"/>
      <c r="BV389" s="124"/>
      <c r="BW389" s="124"/>
      <c r="BX389" s="124"/>
      <c r="BY389" s="124"/>
      <c r="BZ389" s="124"/>
      <c r="CA389" s="124"/>
    </row>
    <row r="390">
      <c r="A390" s="106"/>
      <c r="B390" s="207"/>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c r="AA390" s="106"/>
      <c r="AB390" s="106"/>
      <c r="AC390" s="106"/>
      <c r="AD390" s="106"/>
      <c r="AE390" s="106"/>
      <c r="AF390" s="106"/>
      <c r="AG390" s="106"/>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row>
    <row r="391">
      <c r="A391" s="106"/>
      <c r="B391" s="207"/>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c r="AA391" s="106"/>
      <c r="AB391" s="106"/>
      <c r="AC391" s="106"/>
      <c r="AD391" s="106"/>
      <c r="AE391" s="106"/>
      <c r="AF391" s="106"/>
      <c r="AG391" s="106"/>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c r="BK391" s="124"/>
      <c r="BL391" s="124"/>
      <c r="BM391" s="124"/>
      <c r="BN391" s="124"/>
      <c r="BO391" s="124"/>
      <c r="BP391" s="124"/>
      <c r="BQ391" s="124"/>
      <c r="BR391" s="124"/>
      <c r="BS391" s="124"/>
      <c r="BT391" s="124"/>
      <c r="BU391" s="124"/>
      <c r="BV391" s="124"/>
      <c r="BW391" s="124"/>
      <c r="BX391" s="124"/>
      <c r="BY391" s="124"/>
      <c r="BZ391" s="124"/>
      <c r="CA391" s="124"/>
    </row>
    <row r="392">
      <c r="A392" s="106"/>
      <c r="B392" s="207"/>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c r="AA392" s="106"/>
      <c r="AB392" s="106"/>
      <c r="AC392" s="106"/>
      <c r="AD392" s="106"/>
      <c r="AE392" s="106"/>
      <c r="AF392" s="106"/>
      <c r="AG392" s="106"/>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c r="BK392" s="124"/>
      <c r="BL392" s="124"/>
      <c r="BM392" s="124"/>
      <c r="BN392" s="124"/>
      <c r="BO392" s="124"/>
      <c r="BP392" s="124"/>
      <c r="BQ392" s="124"/>
      <c r="BR392" s="124"/>
      <c r="BS392" s="124"/>
      <c r="BT392" s="124"/>
      <c r="BU392" s="124"/>
      <c r="BV392" s="124"/>
      <c r="BW392" s="124"/>
      <c r="BX392" s="124"/>
      <c r="BY392" s="124"/>
      <c r="BZ392" s="124"/>
      <c r="CA392" s="124"/>
    </row>
    <row r="393">
      <c r="A393" s="106"/>
      <c r="B393" s="207"/>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c r="AA393" s="106"/>
      <c r="AB393" s="106"/>
      <c r="AC393" s="106"/>
      <c r="AD393" s="106"/>
      <c r="AE393" s="106"/>
      <c r="AF393" s="106"/>
      <c r="AG393" s="106"/>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row>
    <row r="394">
      <c r="A394" s="106"/>
      <c r="B394" s="207"/>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c r="AA394" s="106"/>
      <c r="AB394" s="106"/>
      <c r="AC394" s="106"/>
      <c r="AD394" s="106"/>
      <c r="AE394" s="106"/>
      <c r="AF394" s="106"/>
      <c r="AG394" s="106"/>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row>
    <row r="395">
      <c r="A395" s="106"/>
      <c r="B395" s="207"/>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c r="AA395" s="106"/>
      <c r="AB395" s="106"/>
      <c r="AC395" s="106"/>
      <c r="AD395" s="106"/>
      <c r="AE395" s="106"/>
      <c r="AF395" s="106"/>
      <c r="AG395" s="106"/>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c r="BK395" s="124"/>
      <c r="BL395" s="124"/>
      <c r="BM395" s="124"/>
      <c r="BN395" s="124"/>
      <c r="BO395" s="124"/>
      <c r="BP395" s="124"/>
      <c r="BQ395" s="124"/>
      <c r="BR395" s="124"/>
      <c r="BS395" s="124"/>
      <c r="BT395" s="124"/>
      <c r="BU395" s="124"/>
      <c r="BV395" s="124"/>
      <c r="BW395" s="124"/>
      <c r="BX395" s="124"/>
      <c r="BY395" s="124"/>
      <c r="BZ395" s="124"/>
      <c r="CA395" s="124"/>
    </row>
    <row r="396">
      <c r="A396" s="106"/>
      <c r="B396" s="207"/>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c r="AA396" s="106"/>
      <c r="AB396" s="106"/>
      <c r="AC396" s="106"/>
      <c r="AD396" s="106"/>
      <c r="AE396" s="106"/>
      <c r="AF396" s="106"/>
      <c r="AG396" s="106"/>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row>
    <row r="397">
      <c r="A397" s="106"/>
      <c r="B397" s="207"/>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c r="AA397" s="106"/>
      <c r="AB397" s="106"/>
      <c r="AC397" s="106"/>
      <c r="AD397" s="106"/>
      <c r="AE397" s="106"/>
      <c r="AF397" s="106"/>
      <c r="AG397" s="106"/>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row>
    <row r="398">
      <c r="A398" s="106"/>
      <c r="B398" s="207"/>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c r="AA398" s="106"/>
      <c r="AB398" s="106"/>
      <c r="AC398" s="106"/>
      <c r="AD398" s="106"/>
      <c r="AE398" s="106"/>
      <c r="AF398" s="106"/>
      <c r="AG398" s="106"/>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row>
    <row r="399">
      <c r="A399" s="106"/>
      <c r="B399" s="207"/>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c r="AA399" s="106"/>
      <c r="AB399" s="106"/>
      <c r="AC399" s="106"/>
      <c r="AD399" s="106"/>
      <c r="AE399" s="106"/>
      <c r="AF399" s="106"/>
      <c r="AG399" s="106"/>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c r="BK399" s="124"/>
      <c r="BL399" s="124"/>
      <c r="BM399" s="124"/>
      <c r="BN399" s="124"/>
      <c r="BO399" s="124"/>
      <c r="BP399" s="124"/>
      <c r="BQ399" s="124"/>
      <c r="BR399" s="124"/>
      <c r="BS399" s="124"/>
      <c r="BT399" s="124"/>
      <c r="BU399" s="124"/>
      <c r="BV399" s="124"/>
      <c r="BW399" s="124"/>
      <c r="BX399" s="124"/>
      <c r="BY399" s="124"/>
      <c r="BZ399" s="124"/>
      <c r="CA399" s="124"/>
    </row>
    <row r="400">
      <c r="A400" s="106"/>
      <c r="B400" s="207"/>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c r="AA400" s="106"/>
      <c r="AB400" s="106"/>
      <c r="AC400" s="106"/>
      <c r="AD400" s="106"/>
      <c r="AE400" s="106"/>
      <c r="AF400" s="106"/>
      <c r="AG400" s="106"/>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row>
    <row r="401">
      <c r="A401" s="106"/>
      <c r="B401" s="207"/>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c r="AA401" s="106"/>
      <c r="AB401" s="106"/>
      <c r="AC401" s="106"/>
      <c r="AD401" s="106"/>
      <c r="AE401" s="106"/>
      <c r="AF401" s="106"/>
      <c r="AG401" s="106"/>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row>
    <row r="402">
      <c r="A402" s="106"/>
      <c r="B402" s="207"/>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c r="AA402" s="106"/>
      <c r="AB402" s="106"/>
      <c r="AC402" s="106"/>
      <c r="AD402" s="106"/>
      <c r="AE402" s="106"/>
      <c r="AF402" s="106"/>
      <c r="AG402" s="106"/>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row>
    <row r="403">
      <c r="A403" s="106"/>
      <c r="B403" s="207"/>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c r="AA403" s="106"/>
      <c r="AB403" s="106"/>
      <c r="AC403" s="106"/>
      <c r="AD403" s="106"/>
      <c r="AE403" s="106"/>
      <c r="AF403" s="106"/>
      <c r="AG403" s="106"/>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c r="BK403" s="124"/>
      <c r="BL403" s="124"/>
      <c r="BM403" s="124"/>
      <c r="BN403" s="124"/>
      <c r="BO403" s="124"/>
      <c r="BP403" s="124"/>
      <c r="BQ403" s="124"/>
      <c r="BR403" s="124"/>
      <c r="BS403" s="124"/>
      <c r="BT403" s="124"/>
      <c r="BU403" s="124"/>
      <c r="BV403" s="124"/>
      <c r="BW403" s="124"/>
      <c r="BX403" s="124"/>
      <c r="BY403" s="124"/>
      <c r="BZ403" s="124"/>
      <c r="CA403" s="124"/>
    </row>
    <row r="404">
      <c r="A404" s="106"/>
      <c r="B404" s="207"/>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c r="AA404" s="106"/>
      <c r="AB404" s="106"/>
      <c r="AC404" s="106"/>
      <c r="AD404" s="106"/>
      <c r="AE404" s="106"/>
      <c r="AF404" s="106"/>
      <c r="AG404" s="106"/>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row>
    <row r="405">
      <c r="A405" s="106"/>
      <c r="B405" s="207"/>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c r="AA405" s="106"/>
      <c r="AB405" s="106"/>
      <c r="AC405" s="106"/>
      <c r="AD405" s="106"/>
      <c r="AE405" s="106"/>
      <c r="AF405" s="106"/>
      <c r="AG405" s="106"/>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row>
    <row r="406">
      <c r="A406" s="106"/>
      <c r="B406" s="207"/>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c r="AA406" s="106"/>
      <c r="AB406" s="106"/>
      <c r="AC406" s="106"/>
      <c r="AD406" s="106"/>
      <c r="AE406" s="106"/>
      <c r="AF406" s="106"/>
      <c r="AG406" s="106"/>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row>
    <row r="407">
      <c r="A407" s="106"/>
      <c r="B407" s="207"/>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c r="AA407" s="106"/>
      <c r="AB407" s="106"/>
      <c r="AC407" s="106"/>
      <c r="AD407" s="106"/>
      <c r="AE407" s="106"/>
      <c r="AF407" s="106"/>
      <c r="AG407" s="106"/>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row>
    <row r="408">
      <c r="A408" s="106"/>
      <c r="B408" s="207"/>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c r="AA408" s="106"/>
      <c r="AB408" s="106"/>
      <c r="AC408" s="106"/>
      <c r="AD408" s="106"/>
      <c r="AE408" s="106"/>
      <c r="AF408" s="106"/>
      <c r="AG408" s="106"/>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24"/>
      <c r="BP408" s="124"/>
      <c r="BQ408" s="124"/>
      <c r="BR408" s="124"/>
      <c r="BS408" s="124"/>
      <c r="BT408" s="124"/>
      <c r="BU408" s="124"/>
      <c r="BV408" s="124"/>
      <c r="BW408" s="124"/>
      <c r="BX408" s="124"/>
      <c r="BY408" s="124"/>
      <c r="BZ408" s="124"/>
      <c r="CA408" s="124"/>
    </row>
    <row r="409">
      <c r="A409" s="106"/>
      <c r="B409" s="207"/>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c r="AA409" s="106"/>
      <c r="AB409" s="106"/>
      <c r="AC409" s="106"/>
      <c r="AD409" s="106"/>
      <c r="AE409" s="106"/>
      <c r="AF409" s="106"/>
      <c r="AG409" s="106"/>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row>
    <row r="410">
      <c r="A410" s="106"/>
      <c r="B410" s="207"/>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c r="AA410" s="106"/>
      <c r="AB410" s="106"/>
      <c r="AC410" s="106"/>
      <c r="AD410" s="106"/>
      <c r="AE410" s="106"/>
      <c r="AF410" s="106"/>
      <c r="AG410" s="106"/>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row>
    <row r="411">
      <c r="A411" s="106"/>
      <c r="B411" s="207"/>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c r="AA411" s="106"/>
      <c r="AB411" s="106"/>
      <c r="AC411" s="106"/>
      <c r="AD411" s="106"/>
      <c r="AE411" s="106"/>
      <c r="AF411" s="106"/>
      <c r="AG411" s="106"/>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c r="BK411" s="124"/>
      <c r="BL411" s="124"/>
      <c r="BM411" s="124"/>
      <c r="BN411" s="124"/>
      <c r="BO411" s="124"/>
      <c r="BP411" s="124"/>
      <c r="BQ411" s="124"/>
      <c r="BR411" s="124"/>
      <c r="BS411" s="124"/>
      <c r="BT411" s="124"/>
      <c r="BU411" s="124"/>
      <c r="BV411" s="124"/>
      <c r="BW411" s="124"/>
      <c r="BX411" s="124"/>
      <c r="BY411" s="124"/>
      <c r="BZ411" s="124"/>
      <c r="CA411" s="124"/>
    </row>
    <row r="412">
      <c r="A412" s="106"/>
      <c r="B412" s="207"/>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c r="AA412" s="106"/>
      <c r="AB412" s="106"/>
      <c r="AC412" s="106"/>
      <c r="AD412" s="106"/>
      <c r="AE412" s="106"/>
      <c r="AF412" s="106"/>
      <c r="AG412" s="106"/>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row>
    <row r="413">
      <c r="A413" s="106"/>
      <c r="B413" s="207"/>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c r="AA413" s="106"/>
      <c r="AB413" s="106"/>
      <c r="AC413" s="106"/>
      <c r="AD413" s="106"/>
      <c r="AE413" s="106"/>
      <c r="AF413" s="106"/>
      <c r="AG413" s="106"/>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c r="BK413" s="124"/>
      <c r="BL413" s="124"/>
      <c r="BM413" s="124"/>
      <c r="BN413" s="124"/>
      <c r="BO413" s="124"/>
      <c r="BP413" s="124"/>
      <c r="BQ413" s="124"/>
      <c r="BR413" s="124"/>
      <c r="BS413" s="124"/>
      <c r="BT413" s="124"/>
      <c r="BU413" s="124"/>
      <c r="BV413" s="124"/>
      <c r="BW413" s="124"/>
      <c r="BX413" s="124"/>
      <c r="BY413" s="124"/>
      <c r="BZ413" s="124"/>
      <c r="CA413" s="124"/>
    </row>
    <row r="414">
      <c r="A414" s="106"/>
      <c r="B414" s="207"/>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c r="AA414" s="106"/>
      <c r="AB414" s="106"/>
      <c r="AC414" s="106"/>
      <c r="AD414" s="106"/>
      <c r="AE414" s="106"/>
      <c r="AF414" s="106"/>
      <c r="AG414" s="106"/>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c r="BK414" s="124"/>
      <c r="BL414" s="124"/>
      <c r="BM414" s="124"/>
      <c r="BN414" s="124"/>
      <c r="BO414" s="124"/>
      <c r="BP414" s="124"/>
      <c r="BQ414" s="124"/>
      <c r="BR414" s="124"/>
      <c r="BS414" s="124"/>
      <c r="BT414" s="124"/>
      <c r="BU414" s="124"/>
      <c r="BV414" s="124"/>
      <c r="BW414" s="124"/>
      <c r="BX414" s="124"/>
      <c r="BY414" s="124"/>
      <c r="BZ414" s="124"/>
      <c r="CA414" s="124"/>
    </row>
    <row r="415">
      <c r="A415" s="106"/>
      <c r="B415" s="207"/>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c r="AA415" s="106"/>
      <c r="AB415" s="106"/>
      <c r="AC415" s="106"/>
      <c r="AD415" s="106"/>
      <c r="AE415" s="106"/>
      <c r="AF415" s="106"/>
      <c r="AG415" s="106"/>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row>
    <row r="416">
      <c r="A416" s="106"/>
      <c r="B416" s="207"/>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c r="AA416" s="106"/>
      <c r="AB416" s="106"/>
      <c r="AC416" s="106"/>
      <c r="AD416" s="106"/>
      <c r="AE416" s="106"/>
      <c r="AF416" s="106"/>
      <c r="AG416" s="106"/>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c r="BK416" s="124"/>
      <c r="BL416" s="124"/>
      <c r="BM416" s="124"/>
      <c r="BN416" s="124"/>
      <c r="BO416" s="124"/>
      <c r="BP416" s="124"/>
      <c r="BQ416" s="124"/>
      <c r="BR416" s="124"/>
      <c r="BS416" s="124"/>
      <c r="BT416" s="124"/>
      <c r="BU416" s="124"/>
      <c r="BV416" s="124"/>
      <c r="BW416" s="124"/>
      <c r="BX416" s="124"/>
      <c r="BY416" s="124"/>
      <c r="BZ416" s="124"/>
      <c r="CA416" s="124"/>
    </row>
    <row r="417">
      <c r="A417" s="106"/>
      <c r="B417" s="207"/>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c r="AA417" s="106"/>
      <c r="AB417" s="106"/>
      <c r="AC417" s="106"/>
      <c r="AD417" s="106"/>
      <c r="AE417" s="106"/>
      <c r="AF417" s="106"/>
      <c r="AG417" s="106"/>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4"/>
      <c r="BR417" s="124"/>
      <c r="BS417" s="124"/>
      <c r="BT417" s="124"/>
      <c r="BU417" s="124"/>
      <c r="BV417" s="124"/>
      <c r="BW417" s="124"/>
      <c r="BX417" s="124"/>
      <c r="BY417" s="124"/>
      <c r="BZ417" s="124"/>
      <c r="CA417" s="124"/>
    </row>
    <row r="418">
      <c r="A418" s="106"/>
      <c r="B418" s="207"/>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c r="AA418" s="106"/>
      <c r="AB418" s="106"/>
      <c r="AC418" s="106"/>
      <c r="AD418" s="106"/>
      <c r="AE418" s="106"/>
      <c r="AF418" s="106"/>
      <c r="AG418" s="106"/>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c r="BK418" s="124"/>
      <c r="BL418" s="124"/>
      <c r="BM418" s="124"/>
      <c r="BN418" s="124"/>
      <c r="BO418" s="124"/>
      <c r="BP418" s="124"/>
      <c r="BQ418" s="124"/>
      <c r="BR418" s="124"/>
      <c r="BS418" s="124"/>
      <c r="BT418" s="124"/>
      <c r="BU418" s="124"/>
      <c r="BV418" s="124"/>
      <c r="BW418" s="124"/>
      <c r="BX418" s="124"/>
      <c r="BY418" s="124"/>
      <c r="BZ418" s="124"/>
      <c r="CA418" s="124"/>
    </row>
    <row r="419">
      <c r="A419" s="106"/>
      <c r="B419" s="207"/>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c r="AA419" s="106"/>
      <c r="AB419" s="106"/>
      <c r="AC419" s="106"/>
      <c r="AD419" s="106"/>
      <c r="AE419" s="106"/>
      <c r="AF419" s="106"/>
      <c r="AG419" s="106"/>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c r="BK419" s="124"/>
      <c r="BL419" s="124"/>
      <c r="BM419" s="124"/>
      <c r="BN419" s="124"/>
      <c r="BO419" s="124"/>
      <c r="BP419" s="124"/>
      <c r="BQ419" s="124"/>
      <c r="BR419" s="124"/>
      <c r="BS419" s="124"/>
      <c r="BT419" s="124"/>
      <c r="BU419" s="124"/>
      <c r="BV419" s="124"/>
      <c r="BW419" s="124"/>
      <c r="BX419" s="124"/>
      <c r="BY419" s="124"/>
      <c r="BZ419" s="124"/>
      <c r="CA419" s="124"/>
    </row>
    <row r="420">
      <c r="A420" s="106"/>
      <c r="B420" s="207"/>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c r="AA420" s="106"/>
      <c r="AB420" s="106"/>
      <c r="AC420" s="106"/>
      <c r="AD420" s="106"/>
      <c r="AE420" s="106"/>
      <c r="AF420" s="106"/>
      <c r="AG420" s="106"/>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row>
    <row r="421">
      <c r="A421" s="106"/>
      <c r="B421" s="207"/>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c r="AA421" s="106"/>
      <c r="AB421" s="106"/>
      <c r="AC421" s="106"/>
      <c r="AD421" s="106"/>
      <c r="AE421" s="106"/>
      <c r="AF421" s="106"/>
      <c r="AG421" s="106"/>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row>
    <row r="422">
      <c r="A422" s="106"/>
      <c r="B422" s="207"/>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c r="BK422" s="124"/>
      <c r="BL422" s="124"/>
      <c r="BM422" s="124"/>
      <c r="BN422" s="124"/>
      <c r="BO422" s="124"/>
      <c r="BP422" s="124"/>
      <c r="BQ422" s="124"/>
      <c r="BR422" s="124"/>
      <c r="BS422" s="124"/>
      <c r="BT422" s="124"/>
      <c r="BU422" s="124"/>
      <c r="BV422" s="124"/>
      <c r="BW422" s="124"/>
      <c r="BX422" s="124"/>
      <c r="BY422" s="124"/>
      <c r="BZ422" s="124"/>
      <c r="CA422" s="124"/>
    </row>
    <row r="423">
      <c r="A423" s="106"/>
      <c r="B423" s="207"/>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4"/>
      <c r="BV423" s="124"/>
      <c r="BW423" s="124"/>
      <c r="BX423" s="124"/>
      <c r="BY423" s="124"/>
      <c r="BZ423" s="124"/>
      <c r="CA423" s="124"/>
    </row>
    <row r="424">
      <c r="A424" s="106"/>
      <c r="B424" s="207"/>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c r="BK424" s="124"/>
      <c r="BL424" s="124"/>
      <c r="BM424" s="124"/>
      <c r="BN424" s="124"/>
      <c r="BO424" s="124"/>
      <c r="BP424" s="124"/>
      <c r="BQ424" s="124"/>
      <c r="BR424" s="124"/>
      <c r="BS424" s="124"/>
      <c r="BT424" s="124"/>
      <c r="BU424" s="124"/>
      <c r="BV424" s="124"/>
      <c r="BW424" s="124"/>
      <c r="BX424" s="124"/>
      <c r="BY424" s="124"/>
      <c r="BZ424" s="124"/>
      <c r="CA424" s="124"/>
    </row>
    <row r="425">
      <c r="A425" s="106"/>
      <c r="B425" s="207"/>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c r="BK425" s="124"/>
      <c r="BL425" s="124"/>
      <c r="BM425" s="124"/>
      <c r="BN425" s="124"/>
      <c r="BO425" s="124"/>
      <c r="BP425" s="124"/>
      <c r="BQ425" s="124"/>
      <c r="BR425" s="124"/>
      <c r="BS425" s="124"/>
      <c r="BT425" s="124"/>
      <c r="BU425" s="124"/>
      <c r="BV425" s="124"/>
      <c r="BW425" s="124"/>
      <c r="BX425" s="124"/>
      <c r="BY425" s="124"/>
      <c r="BZ425" s="124"/>
      <c r="CA425" s="124"/>
    </row>
    <row r="426">
      <c r="A426" s="106"/>
      <c r="B426" s="207"/>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c r="BK426" s="124"/>
      <c r="BL426" s="124"/>
      <c r="BM426" s="124"/>
      <c r="BN426" s="124"/>
      <c r="BO426" s="124"/>
      <c r="BP426" s="124"/>
      <c r="BQ426" s="124"/>
      <c r="BR426" s="124"/>
      <c r="BS426" s="124"/>
      <c r="BT426" s="124"/>
      <c r="BU426" s="124"/>
      <c r="BV426" s="124"/>
      <c r="BW426" s="124"/>
      <c r="BX426" s="124"/>
      <c r="BY426" s="124"/>
      <c r="BZ426" s="124"/>
      <c r="CA426" s="124"/>
    </row>
    <row r="427">
      <c r="A427" s="106"/>
      <c r="B427" s="207"/>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row>
    <row r="428">
      <c r="A428" s="106"/>
      <c r="B428" s="207"/>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c r="BK428" s="124"/>
      <c r="BL428" s="124"/>
      <c r="BM428" s="124"/>
      <c r="BN428" s="124"/>
      <c r="BO428" s="124"/>
      <c r="BP428" s="124"/>
      <c r="BQ428" s="124"/>
      <c r="BR428" s="124"/>
      <c r="BS428" s="124"/>
      <c r="BT428" s="124"/>
      <c r="BU428" s="124"/>
      <c r="BV428" s="124"/>
      <c r="BW428" s="124"/>
      <c r="BX428" s="124"/>
      <c r="BY428" s="124"/>
      <c r="BZ428" s="124"/>
      <c r="CA428" s="124"/>
    </row>
    <row r="429">
      <c r="A429" s="106"/>
      <c r="B429" s="207"/>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c r="BK429" s="124"/>
      <c r="BL429" s="124"/>
      <c r="BM429" s="124"/>
      <c r="BN429" s="124"/>
      <c r="BO429" s="124"/>
      <c r="BP429" s="124"/>
      <c r="BQ429" s="124"/>
      <c r="BR429" s="124"/>
      <c r="BS429" s="124"/>
      <c r="BT429" s="124"/>
      <c r="BU429" s="124"/>
      <c r="BV429" s="124"/>
      <c r="BW429" s="124"/>
      <c r="BX429" s="124"/>
      <c r="BY429" s="124"/>
      <c r="BZ429" s="124"/>
      <c r="CA429" s="124"/>
    </row>
    <row r="430">
      <c r="A430" s="106"/>
      <c r="B430" s="207"/>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c r="BK430" s="124"/>
      <c r="BL430" s="124"/>
      <c r="BM430" s="124"/>
      <c r="BN430" s="124"/>
      <c r="BO430" s="124"/>
      <c r="BP430" s="124"/>
      <c r="BQ430" s="124"/>
      <c r="BR430" s="124"/>
      <c r="BS430" s="124"/>
      <c r="BT430" s="124"/>
      <c r="BU430" s="124"/>
      <c r="BV430" s="124"/>
      <c r="BW430" s="124"/>
      <c r="BX430" s="124"/>
      <c r="BY430" s="124"/>
      <c r="BZ430" s="124"/>
      <c r="CA430" s="124"/>
    </row>
    <row r="431">
      <c r="A431" s="106"/>
      <c r="B431" s="207"/>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4"/>
      <c r="BR431" s="124"/>
      <c r="BS431" s="124"/>
      <c r="BT431" s="124"/>
      <c r="BU431" s="124"/>
      <c r="BV431" s="124"/>
      <c r="BW431" s="124"/>
      <c r="BX431" s="124"/>
      <c r="BY431" s="124"/>
      <c r="BZ431" s="124"/>
      <c r="CA431" s="124"/>
    </row>
    <row r="432">
      <c r="A432" s="106"/>
      <c r="B432" s="207"/>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c r="BK432" s="124"/>
      <c r="BL432" s="124"/>
      <c r="BM432" s="124"/>
      <c r="BN432" s="124"/>
      <c r="BO432" s="124"/>
      <c r="BP432" s="124"/>
      <c r="BQ432" s="124"/>
      <c r="BR432" s="124"/>
      <c r="BS432" s="124"/>
      <c r="BT432" s="124"/>
      <c r="BU432" s="124"/>
      <c r="BV432" s="124"/>
      <c r="BW432" s="124"/>
      <c r="BX432" s="124"/>
      <c r="BY432" s="124"/>
      <c r="BZ432" s="124"/>
      <c r="CA432" s="124"/>
    </row>
    <row r="433">
      <c r="A433" s="106"/>
      <c r="B433" s="207"/>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c r="BK433" s="124"/>
      <c r="BL433" s="124"/>
      <c r="BM433" s="124"/>
      <c r="BN433" s="124"/>
      <c r="BO433" s="124"/>
      <c r="BP433" s="124"/>
      <c r="BQ433" s="124"/>
      <c r="BR433" s="124"/>
      <c r="BS433" s="124"/>
      <c r="BT433" s="124"/>
      <c r="BU433" s="124"/>
      <c r="BV433" s="124"/>
      <c r="BW433" s="124"/>
      <c r="BX433" s="124"/>
      <c r="BY433" s="124"/>
      <c r="BZ433" s="124"/>
      <c r="CA433" s="124"/>
    </row>
    <row r="434">
      <c r="A434" s="106"/>
      <c r="B434" s="207"/>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c r="BK434" s="124"/>
      <c r="BL434" s="124"/>
      <c r="BM434" s="124"/>
      <c r="BN434" s="124"/>
      <c r="BO434" s="124"/>
      <c r="BP434" s="124"/>
      <c r="BQ434" s="124"/>
      <c r="BR434" s="124"/>
      <c r="BS434" s="124"/>
      <c r="BT434" s="124"/>
      <c r="BU434" s="124"/>
      <c r="BV434" s="124"/>
      <c r="BW434" s="124"/>
      <c r="BX434" s="124"/>
      <c r="BY434" s="124"/>
      <c r="BZ434" s="124"/>
      <c r="CA434" s="124"/>
    </row>
    <row r="435">
      <c r="A435" s="106"/>
      <c r="B435" s="207"/>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row>
    <row r="436">
      <c r="A436" s="106"/>
      <c r="B436" s="207"/>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c r="BK436" s="124"/>
      <c r="BL436" s="124"/>
      <c r="BM436" s="124"/>
      <c r="BN436" s="124"/>
      <c r="BO436" s="124"/>
      <c r="BP436" s="124"/>
      <c r="BQ436" s="124"/>
      <c r="BR436" s="124"/>
      <c r="BS436" s="124"/>
      <c r="BT436" s="124"/>
      <c r="BU436" s="124"/>
      <c r="BV436" s="124"/>
      <c r="BW436" s="124"/>
      <c r="BX436" s="124"/>
      <c r="BY436" s="124"/>
      <c r="BZ436" s="124"/>
      <c r="CA436" s="124"/>
    </row>
    <row r="437">
      <c r="A437" s="106"/>
      <c r="B437" s="207"/>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c r="BK437" s="124"/>
      <c r="BL437" s="124"/>
      <c r="BM437" s="124"/>
      <c r="BN437" s="124"/>
      <c r="BO437" s="124"/>
      <c r="BP437" s="124"/>
      <c r="BQ437" s="124"/>
      <c r="BR437" s="124"/>
      <c r="BS437" s="124"/>
      <c r="BT437" s="124"/>
      <c r="BU437" s="124"/>
      <c r="BV437" s="124"/>
      <c r="BW437" s="124"/>
      <c r="BX437" s="124"/>
      <c r="BY437" s="124"/>
      <c r="BZ437" s="124"/>
      <c r="CA437" s="124"/>
    </row>
    <row r="438">
      <c r="A438" s="106"/>
      <c r="B438" s="207"/>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c r="BK438" s="124"/>
      <c r="BL438" s="124"/>
      <c r="BM438" s="124"/>
      <c r="BN438" s="124"/>
      <c r="BO438" s="124"/>
      <c r="BP438" s="124"/>
      <c r="BQ438" s="124"/>
      <c r="BR438" s="124"/>
      <c r="BS438" s="124"/>
      <c r="BT438" s="124"/>
      <c r="BU438" s="124"/>
      <c r="BV438" s="124"/>
      <c r="BW438" s="124"/>
      <c r="BX438" s="124"/>
      <c r="BY438" s="124"/>
      <c r="BZ438" s="124"/>
      <c r="CA438" s="124"/>
    </row>
    <row r="439">
      <c r="A439" s="106"/>
      <c r="B439" s="207"/>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c r="BK439" s="124"/>
      <c r="BL439" s="124"/>
      <c r="BM439" s="124"/>
      <c r="BN439" s="124"/>
      <c r="BO439" s="124"/>
      <c r="BP439" s="124"/>
      <c r="BQ439" s="124"/>
      <c r="BR439" s="124"/>
      <c r="BS439" s="124"/>
      <c r="BT439" s="124"/>
      <c r="BU439" s="124"/>
      <c r="BV439" s="124"/>
      <c r="BW439" s="124"/>
      <c r="BX439" s="124"/>
      <c r="BY439" s="124"/>
      <c r="BZ439" s="124"/>
      <c r="CA439" s="124"/>
    </row>
    <row r="440">
      <c r="A440" s="106"/>
      <c r="B440" s="207"/>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c r="BK440" s="124"/>
      <c r="BL440" s="124"/>
      <c r="BM440" s="124"/>
      <c r="BN440" s="124"/>
      <c r="BO440" s="124"/>
      <c r="BP440" s="124"/>
      <c r="BQ440" s="124"/>
      <c r="BR440" s="124"/>
      <c r="BS440" s="124"/>
      <c r="BT440" s="124"/>
      <c r="BU440" s="124"/>
      <c r="BV440" s="124"/>
      <c r="BW440" s="124"/>
      <c r="BX440" s="124"/>
      <c r="BY440" s="124"/>
      <c r="BZ440" s="124"/>
      <c r="CA440" s="124"/>
    </row>
    <row r="441">
      <c r="A441" s="106"/>
      <c r="B441" s="207"/>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c r="AA441" s="106"/>
      <c r="AB441" s="106"/>
      <c r="AC441" s="106"/>
      <c r="AD441" s="106"/>
      <c r="AE441" s="106"/>
      <c r="AF441" s="106"/>
      <c r="AG441" s="106"/>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row>
    <row r="442">
      <c r="A442" s="106"/>
      <c r="B442" s="207"/>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c r="AA442" s="106"/>
      <c r="AB442" s="106"/>
      <c r="AC442" s="106"/>
      <c r="AD442" s="106"/>
      <c r="AE442" s="106"/>
      <c r="AF442" s="106"/>
      <c r="AG442" s="106"/>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c r="BK442" s="124"/>
      <c r="BL442" s="124"/>
      <c r="BM442" s="124"/>
      <c r="BN442" s="124"/>
      <c r="BO442" s="124"/>
      <c r="BP442" s="124"/>
      <c r="BQ442" s="124"/>
      <c r="BR442" s="124"/>
      <c r="BS442" s="124"/>
      <c r="BT442" s="124"/>
      <c r="BU442" s="124"/>
      <c r="BV442" s="124"/>
      <c r="BW442" s="124"/>
      <c r="BX442" s="124"/>
      <c r="BY442" s="124"/>
      <c r="BZ442" s="124"/>
      <c r="CA442" s="124"/>
    </row>
    <row r="443">
      <c r="A443" s="106"/>
      <c r="B443" s="207"/>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c r="AA443" s="106"/>
      <c r="AB443" s="106"/>
      <c r="AC443" s="106"/>
      <c r="AD443" s="106"/>
      <c r="AE443" s="106"/>
      <c r="AF443" s="106"/>
      <c r="AG443" s="106"/>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c r="BK443" s="124"/>
      <c r="BL443" s="124"/>
      <c r="BM443" s="124"/>
      <c r="BN443" s="124"/>
      <c r="BO443" s="124"/>
      <c r="BP443" s="124"/>
      <c r="BQ443" s="124"/>
      <c r="BR443" s="124"/>
      <c r="BS443" s="124"/>
      <c r="BT443" s="124"/>
      <c r="BU443" s="124"/>
      <c r="BV443" s="124"/>
      <c r="BW443" s="124"/>
      <c r="BX443" s="124"/>
      <c r="BY443" s="124"/>
      <c r="BZ443" s="124"/>
      <c r="CA443" s="124"/>
    </row>
    <row r="444">
      <c r="A444" s="106"/>
      <c r="B444" s="207"/>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c r="AA444" s="106"/>
      <c r="AB444" s="106"/>
      <c r="AC444" s="106"/>
      <c r="AD444" s="106"/>
      <c r="AE444" s="106"/>
      <c r="AF444" s="106"/>
      <c r="AG444" s="106"/>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c r="BK444" s="124"/>
      <c r="BL444" s="124"/>
      <c r="BM444" s="124"/>
      <c r="BN444" s="124"/>
      <c r="BO444" s="124"/>
      <c r="BP444" s="124"/>
      <c r="BQ444" s="124"/>
      <c r="BR444" s="124"/>
      <c r="BS444" s="124"/>
      <c r="BT444" s="124"/>
      <c r="BU444" s="124"/>
      <c r="BV444" s="124"/>
      <c r="BW444" s="124"/>
      <c r="BX444" s="124"/>
      <c r="BY444" s="124"/>
      <c r="BZ444" s="124"/>
      <c r="CA444" s="124"/>
    </row>
    <row r="445">
      <c r="A445" s="106"/>
      <c r="B445" s="207"/>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c r="AA445" s="106"/>
      <c r="AB445" s="106"/>
      <c r="AC445" s="106"/>
      <c r="AD445" s="106"/>
      <c r="AE445" s="106"/>
      <c r="AF445" s="106"/>
      <c r="AG445" s="106"/>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c r="BK445" s="124"/>
      <c r="BL445" s="124"/>
      <c r="BM445" s="124"/>
      <c r="BN445" s="124"/>
      <c r="BO445" s="124"/>
      <c r="BP445" s="124"/>
      <c r="BQ445" s="124"/>
      <c r="BR445" s="124"/>
      <c r="BS445" s="124"/>
      <c r="BT445" s="124"/>
      <c r="BU445" s="124"/>
      <c r="BV445" s="124"/>
      <c r="BW445" s="124"/>
      <c r="BX445" s="124"/>
      <c r="BY445" s="124"/>
      <c r="BZ445" s="124"/>
      <c r="CA445" s="124"/>
    </row>
    <row r="446">
      <c r="A446" s="106"/>
      <c r="B446" s="207"/>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c r="AA446" s="106"/>
      <c r="AB446" s="106"/>
      <c r="AC446" s="106"/>
      <c r="AD446" s="106"/>
      <c r="AE446" s="106"/>
      <c r="AF446" s="106"/>
      <c r="AG446" s="106"/>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c r="BK446" s="124"/>
      <c r="BL446" s="124"/>
      <c r="BM446" s="124"/>
      <c r="BN446" s="124"/>
      <c r="BO446" s="124"/>
      <c r="BP446" s="124"/>
      <c r="BQ446" s="124"/>
      <c r="BR446" s="124"/>
      <c r="BS446" s="124"/>
      <c r="BT446" s="124"/>
      <c r="BU446" s="124"/>
      <c r="BV446" s="124"/>
      <c r="BW446" s="124"/>
      <c r="BX446" s="124"/>
      <c r="BY446" s="124"/>
      <c r="BZ446" s="124"/>
      <c r="CA446" s="124"/>
    </row>
    <row r="447">
      <c r="A447" s="106"/>
      <c r="B447" s="207"/>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c r="AA447" s="106"/>
      <c r="AB447" s="106"/>
      <c r="AC447" s="106"/>
      <c r="AD447" s="106"/>
      <c r="AE447" s="106"/>
      <c r="AF447" s="106"/>
      <c r="AG447" s="106"/>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row>
    <row r="448">
      <c r="A448" s="106"/>
      <c r="B448" s="207"/>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c r="AA448" s="106"/>
      <c r="AB448" s="106"/>
      <c r="AC448" s="106"/>
      <c r="AD448" s="106"/>
      <c r="AE448" s="106"/>
      <c r="AF448" s="106"/>
      <c r="AG448" s="106"/>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c r="BK448" s="124"/>
      <c r="BL448" s="124"/>
      <c r="BM448" s="124"/>
      <c r="BN448" s="124"/>
      <c r="BO448" s="124"/>
      <c r="BP448" s="124"/>
      <c r="BQ448" s="124"/>
      <c r="BR448" s="124"/>
      <c r="BS448" s="124"/>
      <c r="BT448" s="124"/>
      <c r="BU448" s="124"/>
      <c r="BV448" s="124"/>
      <c r="BW448" s="124"/>
      <c r="BX448" s="124"/>
      <c r="BY448" s="124"/>
      <c r="BZ448" s="124"/>
      <c r="CA448" s="124"/>
    </row>
    <row r="449">
      <c r="A449" s="106"/>
      <c r="B449" s="207"/>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c r="AA449" s="106"/>
      <c r="AB449" s="106"/>
      <c r="AC449" s="106"/>
      <c r="AD449" s="106"/>
      <c r="AE449" s="106"/>
      <c r="AF449" s="106"/>
      <c r="AG449" s="106"/>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c r="BK449" s="124"/>
      <c r="BL449" s="124"/>
      <c r="BM449" s="124"/>
      <c r="BN449" s="124"/>
      <c r="BO449" s="124"/>
      <c r="BP449" s="124"/>
      <c r="BQ449" s="124"/>
      <c r="BR449" s="124"/>
      <c r="BS449" s="124"/>
      <c r="BT449" s="124"/>
      <c r="BU449" s="124"/>
      <c r="BV449" s="124"/>
      <c r="BW449" s="124"/>
      <c r="BX449" s="124"/>
      <c r="BY449" s="124"/>
      <c r="BZ449" s="124"/>
      <c r="CA449" s="124"/>
    </row>
    <row r="450">
      <c r="A450" s="106"/>
      <c r="B450" s="207"/>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c r="AA450" s="106"/>
      <c r="AB450" s="106"/>
      <c r="AC450" s="106"/>
      <c r="AD450" s="106"/>
      <c r="AE450" s="106"/>
      <c r="AF450" s="106"/>
      <c r="AG450" s="106"/>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c r="BK450" s="124"/>
      <c r="BL450" s="124"/>
      <c r="BM450" s="124"/>
      <c r="BN450" s="124"/>
      <c r="BO450" s="124"/>
      <c r="BP450" s="124"/>
      <c r="BQ450" s="124"/>
      <c r="BR450" s="124"/>
      <c r="BS450" s="124"/>
      <c r="BT450" s="124"/>
      <c r="BU450" s="124"/>
      <c r="BV450" s="124"/>
      <c r="BW450" s="124"/>
      <c r="BX450" s="124"/>
      <c r="BY450" s="124"/>
      <c r="BZ450" s="124"/>
      <c r="CA450" s="124"/>
    </row>
    <row r="451">
      <c r="A451" s="106"/>
      <c r="B451" s="207"/>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c r="AA451" s="106"/>
      <c r="AB451" s="106"/>
      <c r="AC451" s="106"/>
      <c r="AD451" s="106"/>
      <c r="AE451" s="106"/>
      <c r="AF451" s="106"/>
      <c r="AG451" s="106"/>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c r="BK451" s="124"/>
      <c r="BL451" s="124"/>
      <c r="BM451" s="124"/>
      <c r="BN451" s="124"/>
      <c r="BO451" s="124"/>
      <c r="BP451" s="124"/>
      <c r="BQ451" s="124"/>
      <c r="BR451" s="124"/>
      <c r="BS451" s="124"/>
      <c r="BT451" s="124"/>
      <c r="BU451" s="124"/>
      <c r="BV451" s="124"/>
      <c r="BW451" s="124"/>
      <c r="BX451" s="124"/>
      <c r="BY451" s="124"/>
      <c r="BZ451" s="124"/>
      <c r="CA451" s="124"/>
    </row>
    <row r="452">
      <c r="A452" s="106"/>
      <c r="B452" s="207"/>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c r="AA452" s="106"/>
      <c r="AB452" s="106"/>
      <c r="AC452" s="106"/>
      <c r="AD452" s="106"/>
      <c r="AE452" s="106"/>
      <c r="AF452" s="106"/>
      <c r="AG452" s="106"/>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c r="BK452" s="124"/>
      <c r="BL452" s="124"/>
      <c r="BM452" s="124"/>
      <c r="BN452" s="124"/>
      <c r="BO452" s="124"/>
      <c r="BP452" s="124"/>
      <c r="BQ452" s="124"/>
      <c r="BR452" s="124"/>
      <c r="BS452" s="124"/>
      <c r="BT452" s="124"/>
      <c r="BU452" s="124"/>
      <c r="BV452" s="124"/>
      <c r="BW452" s="124"/>
      <c r="BX452" s="124"/>
      <c r="BY452" s="124"/>
      <c r="BZ452" s="124"/>
      <c r="CA452" s="124"/>
    </row>
    <row r="453">
      <c r="A453" s="106"/>
      <c r="B453" s="207"/>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c r="AA453" s="106"/>
      <c r="AB453" s="106"/>
      <c r="AC453" s="106"/>
      <c r="AD453" s="106"/>
      <c r="AE453" s="106"/>
      <c r="AF453" s="106"/>
      <c r="AG453" s="106"/>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row>
    <row r="454">
      <c r="A454" s="106"/>
      <c r="B454" s="207"/>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c r="AA454" s="106"/>
      <c r="AB454" s="106"/>
      <c r="AC454" s="106"/>
      <c r="AD454" s="106"/>
      <c r="AE454" s="106"/>
      <c r="AF454" s="106"/>
      <c r="AG454" s="106"/>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c r="BK454" s="124"/>
      <c r="BL454" s="124"/>
      <c r="BM454" s="124"/>
      <c r="BN454" s="124"/>
      <c r="BO454" s="124"/>
      <c r="BP454" s="124"/>
      <c r="BQ454" s="124"/>
      <c r="BR454" s="124"/>
      <c r="BS454" s="124"/>
      <c r="BT454" s="124"/>
      <c r="BU454" s="124"/>
      <c r="BV454" s="124"/>
      <c r="BW454" s="124"/>
      <c r="BX454" s="124"/>
      <c r="BY454" s="124"/>
      <c r="BZ454" s="124"/>
      <c r="CA454" s="124"/>
    </row>
    <row r="455">
      <c r="A455" s="106"/>
      <c r="B455" s="207"/>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c r="AA455" s="106"/>
      <c r="AB455" s="106"/>
      <c r="AC455" s="106"/>
      <c r="AD455" s="106"/>
      <c r="AE455" s="106"/>
      <c r="AF455" s="106"/>
      <c r="AG455" s="106"/>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c r="BK455" s="124"/>
      <c r="BL455" s="124"/>
      <c r="BM455" s="124"/>
      <c r="BN455" s="124"/>
      <c r="BO455" s="124"/>
      <c r="BP455" s="124"/>
      <c r="BQ455" s="124"/>
      <c r="BR455" s="124"/>
      <c r="BS455" s="124"/>
      <c r="BT455" s="124"/>
      <c r="BU455" s="124"/>
      <c r="BV455" s="124"/>
      <c r="BW455" s="124"/>
      <c r="BX455" s="124"/>
      <c r="BY455" s="124"/>
      <c r="BZ455" s="124"/>
      <c r="CA455" s="124"/>
    </row>
    <row r="456">
      <c r="A456" s="106"/>
      <c r="B456" s="207"/>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c r="AA456" s="106"/>
      <c r="AB456" s="106"/>
      <c r="AC456" s="106"/>
      <c r="AD456" s="106"/>
      <c r="AE456" s="106"/>
      <c r="AF456" s="106"/>
      <c r="AG456" s="106"/>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c r="BK456" s="124"/>
      <c r="BL456" s="124"/>
      <c r="BM456" s="124"/>
      <c r="BN456" s="124"/>
      <c r="BO456" s="124"/>
      <c r="BP456" s="124"/>
      <c r="BQ456" s="124"/>
      <c r="BR456" s="124"/>
      <c r="BS456" s="124"/>
      <c r="BT456" s="124"/>
      <c r="BU456" s="124"/>
      <c r="BV456" s="124"/>
      <c r="BW456" s="124"/>
      <c r="BX456" s="124"/>
      <c r="BY456" s="124"/>
      <c r="BZ456" s="124"/>
      <c r="CA456" s="124"/>
    </row>
    <row r="457">
      <c r="A457" s="106"/>
      <c r="B457" s="207"/>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c r="AA457" s="106"/>
      <c r="AB457" s="106"/>
      <c r="AC457" s="106"/>
      <c r="AD457" s="106"/>
      <c r="AE457" s="106"/>
      <c r="AF457" s="106"/>
      <c r="AG457" s="106"/>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c r="BK457" s="124"/>
      <c r="BL457" s="124"/>
      <c r="BM457" s="124"/>
      <c r="BN457" s="124"/>
      <c r="BO457" s="124"/>
      <c r="BP457" s="124"/>
      <c r="BQ457" s="124"/>
      <c r="BR457" s="124"/>
      <c r="BS457" s="124"/>
      <c r="BT457" s="124"/>
      <c r="BU457" s="124"/>
      <c r="BV457" s="124"/>
      <c r="BW457" s="124"/>
      <c r="BX457" s="124"/>
      <c r="BY457" s="124"/>
      <c r="BZ457" s="124"/>
      <c r="CA457" s="124"/>
    </row>
    <row r="458">
      <c r="A458" s="106"/>
      <c r="B458" s="207"/>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c r="AA458" s="106"/>
      <c r="AB458" s="106"/>
      <c r="AC458" s="106"/>
      <c r="AD458" s="106"/>
      <c r="AE458" s="106"/>
      <c r="AF458" s="106"/>
      <c r="AG458" s="106"/>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c r="BK458" s="124"/>
      <c r="BL458" s="124"/>
      <c r="BM458" s="124"/>
      <c r="BN458" s="124"/>
      <c r="BO458" s="124"/>
      <c r="BP458" s="124"/>
      <c r="BQ458" s="124"/>
      <c r="BR458" s="124"/>
      <c r="BS458" s="124"/>
      <c r="BT458" s="124"/>
      <c r="BU458" s="124"/>
      <c r="BV458" s="124"/>
      <c r="BW458" s="124"/>
      <c r="BX458" s="124"/>
      <c r="BY458" s="124"/>
      <c r="BZ458" s="124"/>
      <c r="CA458" s="124"/>
    </row>
    <row r="459">
      <c r="A459" s="106"/>
      <c r="B459" s="207"/>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c r="AA459" s="106"/>
      <c r="AB459" s="106"/>
      <c r="AC459" s="106"/>
      <c r="AD459" s="106"/>
      <c r="AE459" s="106"/>
      <c r="AF459" s="106"/>
      <c r="AG459" s="106"/>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row>
    <row r="460">
      <c r="A460" s="106"/>
      <c r="B460" s="207"/>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c r="AA460" s="106"/>
      <c r="AB460" s="106"/>
      <c r="AC460" s="106"/>
      <c r="AD460" s="106"/>
      <c r="AE460" s="106"/>
      <c r="AF460" s="106"/>
      <c r="AG460" s="106"/>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c r="BK460" s="124"/>
      <c r="BL460" s="124"/>
      <c r="BM460" s="124"/>
      <c r="BN460" s="124"/>
      <c r="BO460" s="124"/>
      <c r="BP460" s="124"/>
      <c r="BQ460" s="124"/>
      <c r="BR460" s="124"/>
      <c r="BS460" s="124"/>
      <c r="BT460" s="124"/>
      <c r="BU460" s="124"/>
      <c r="BV460" s="124"/>
      <c r="BW460" s="124"/>
      <c r="BX460" s="124"/>
      <c r="BY460" s="124"/>
      <c r="BZ460" s="124"/>
      <c r="CA460" s="124"/>
    </row>
    <row r="461">
      <c r="A461" s="106"/>
      <c r="B461" s="207"/>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c r="AA461" s="106"/>
      <c r="AB461" s="106"/>
      <c r="AC461" s="106"/>
      <c r="AD461" s="106"/>
      <c r="AE461" s="106"/>
      <c r="AF461" s="106"/>
      <c r="AG461" s="106"/>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c r="BK461" s="124"/>
      <c r="BL461" s="124"/>
      <c r="BM461" s="124"/>
      <c r="BN461" s="124"/>
      <c r="BO461" s="124"/>
      <c r="BP461" s="124"/>
      <c r="BQ461" s="124"/>
      <c r="BR461" s="124"/>
      <c r="BS461" s="124"/>
      <c r="BT461" s="124"/>
      <c r="BU461" s="124"/>
      <c r="BV461" s="124"/>
      <c r="BW461" s="124"/>
      <c r="BX461" s="124"/>
      <c r="BY461" s="124"/>
      <c r="BZ461" s="124"/>
      <c r="CA461" s="124"/>
    </row>
    <row r="462">
      <c r="A462" s="106"/>
      <c r="B462" s="207"/>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c r="AA462" s="106"/>
      <c r="AB462" s="106"/>
      <c r="AC462" s="106"/>
      <c r="AD462" s="106"/>
      <c r="AE462" s="106"/>
      <c r="AF462" s="106"/>
      <c r="AG462" s="106"/>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c r="BK462" s="124"/>
      <c r="BL462" s="124"/>
      <c r="BM462" s="124"/>
      <c r="BN462" s="124"/>
      <c r="BO462" s="124"/>
      <c r="BP462" s="124"/>
      <c r="BQ462" s="124"/>
      <c r="BR462" s="124"/>
      <c r="BS462" s="124"/>
      <c r="BT462" s="124"/>
      <c r="BU462" s="124"/>
      <c r="BV462" s="124"/>
      <c r="BW462" s="124"/>
      <c r="BX462" s="124"/>
      <c r="BY462" s="124"/>
      <c r="BZ462" s="124"/>
      <c r="CA462" s="124"/>
    </row>
    <row r="463">
      <c r="A463" s="106"/>
      <c r="B463" s="207"/>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c r="AA463" s="106"/>
      <c r="AB463" s="106"/>
      <c r="AC463" s="106"/>
      <c r="AD463" s="106"/>
      <c r="AE463" s="106"/>
      <c r="AF463" s="106"/>
      <c r="AG463" s="106"/>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c r="BK463" s="124"/>
      <c r="BL463" s="124"/>
      <c r="BM463" s="124"/>
      <c r="BN463" s="124"/>
      <c r="BO463" s="124"/>
      <c r="BP463" s="124"/>
      <c r="BQ463" s="124"/>
      <c r="BR463" s="124"/>
      <c r="BS463" s="124"/>
      <c r="BT463" s="124"/>
      <c r="BU463" s="124"/>
      <c r="BV463" s="124"/>
      <c r="BW463" s="124"/>
      <c r="BX463" s="124"/>
      <c r="BY463" s="124"/>
      <c r="BZ463" s="124"/>
      <c r="CA463" s="124"/>
    </row>
    <row r="464">
      <c r="A464" s="106"/>
      <c r="B464" s="207"/>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c r="AA464" s="106"/>
      <c r="AB464" s="106"/>
      <c r="AC464" s="106"/>
      <c r="AD464" s="106"/>
      <c r="AE464" s="106"/>
      <c r="AF464" s="106"/>
      <c r="AG464" s="106"/>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c r="BK464" s="124"/>
      <c r="BL464" s="124"/>
      <c r="BM464" s="124"/>
      <c r="BN464" s="124"/>
      <c r="BO464" s="124"/>
      <c r="BP464" s="124"/>
      <c r="BQ464" s="124"/>
      <c r="BR464" s="124"/>
      <c r="BS464" s="124"/>
      <c r="BT464" s="124"/>
      <c r="BU464" s="124"/>
      <c r="BV464" s="124"/>
      <c r="BW464" s="124"/>
      <c r="BX464" s="124"/>
      <c r="BY464" s="124"/>
      <c r="BZ464" s="124"/>
      <c r="CA464" s="124"/>
    </row>
    <row r="465">
      <c r="A465" s="106"/>
      <c r="B465" s="207"/>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c r="AA465" s="106"/>
      <c r="AB465" s="106"/>
      <c r="AC465" s="106"/>
      <c r="AD465" s="106"/>
      <c r="AE465" s="106"/>
      <c r="AF465" s="106"/>
      <c r="AG465" s="106"/>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row>
    <row r="466">
      <c r="A466" s="106"/>
      <c r="B466" s="207"/>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c r="AA466" s="106"/>
      <c r="AB466" s="106"/>
      <c r="AC466" s="106"/>
      <c r="AD466" s="106"/>
      <c r="AE466" s="106"/>
      <c r="AF466" s="106"/>
      <c r="AG466" s="106"/>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c r="BK466" s="124"/>
      <c r="BL466" s="124"/>
      <c r="BM466" s="124"/>
      <c r="BN466" s="124"/>
      <c r="BO466" s="124"/>
      <c r="BP466" s="124"/>
      <c r="BQ466" s="124"/>
      <c r="BR466" s="124"/>
      <c r="BS466" s="124"/>
      <c r="BT466" s="124"/>
      <c r="BU466" s="124"/>
      <c r="BV466" s="124"/>
      <c r="BW466" s="124"/>
      <c r="BX466" s="124"/>
      <c r="BY466" s="124"/>
      <c r="BZ466" s="124"/>
      <c r="CA466" s="124"/>
    </row>
    <row r="467">
      <c r="A467" s="106"/>
      <c r="B467" s="207"/>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c r="AA467" s="106"/>
      <c r="AB467" s="106"/>
      <c r="AC467" s="106"/>
      <c r="AD467" s="106"/>
      <c r="AE467" s="106"/>
      <c r="AF467" s="106"/>
      <c r="AG467" s="106"/>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c r="BK467" s="124"/>
      <c r="BL467" s="124"/>
      <c r="BM467" s="124"/>
      <c r="BN467" s="124"/>
      <c r="BO467" s="124"/>
      <c r="BP467" s="124"/>
      <c r="BQ467" s="124"/>
      <c r="BR467" s="124"/>
      <c r="BS467" s="124"/>
      <c r="BT467" s="124"/>
      <c r="BU467" s="124"/>
      <c r="BV467" s="124"/>
      <c r="BW467" s="124"/>
      <c r="BX467" s="124"/>
      <c r="BY467" s="124"/>
      <c r="BZ467" s="124"/>
      <c r="CA467" s="124"/>
    </row>
    <row r="468">
      <c r="A468" s="106"/>
      <c r="B468" s="207"/>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c r="AA468" s="106"/>
      <c r="AB468" s="106"/>
      <c r="AC468" s="106"/>
      <c r="AD468" s="106"/>
      <c r="AE468" s="106"/>
      <c r="AF468" s="106"/>
      <c r="AG468" s="106"/>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c r="BK468" s="124"/>
      <c r="BL468" s="124"/>
      <c r="BM468" s="124"/>
      <c r="BN468" s="124"/>
      <c r="BO468" s="124"/>
      <c r="BP468" s="124"/>
      <c r="BQ468" s="124"/>
      <c r="BR468" s="124"/>
      <c r="BS468" s="124"/>
      <c r="BT468" s="124"/>
      <c r="BU468" s="124"/>
      <c r="BV468" s="124"/>
      <c r="BW468" s="124"/>
      <c r="BX468" s="124"/>
      <c r="BY468" s="124"/>
      <c r="BZ468" s="124"/>
      <c r="CA468" s="124"/>
    </row>
    <row r="469">
      <c r="A469" s="106"/>
      <c r="B469" s="207"/>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c r="AA469" s="106"/>
      <c r="AB469" s="106"/>
      <c r="AC469" s="106"/>
      <c r="AD469" s="106"/>
      <c r="AE469" s="106"/>
      <c r="AF469" s="106"/>
      <c r="AG469" s="106"/>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4"/>
      <c r="BS469" s="124"/>
      <c r="BT469" s="124"/>
      <c r="BU469" s="124"/>
      <c r="BV469" s="124"/>
      <c r="BW469" s="124"/>
      <c r="BX469" s="124"/>
      <c r="BY469" s="124"/>
      <c r="BZ469" s="124"/>
      <c r="CA469" s="124"/>
    </row>
    <row r="470">
      <c r="A470" s="106"/>
      <c r="B470" s="207"/>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c r="AA470" s="106"/>
      <c r="AB470" s="106"/>
      <c r="AC470" s="106"/>
      <c r="AD470" s="106"/>
      <c r="AE470" s="106"/>
      <c r="AF470" s="106"/>
      <c r="AG470" s="106"/>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c r="BK470" s="124"/>
      <c r="BL470" s="124"/>
      <c r="BM470" s="124"/>
      <c r="BN470" s="124"/>
      <c r="BO470" s="124"/>
      <c r="BP470" s="124"/>
      <c r="BQ470" s="124"/>
      <c r="BR470" s="124"/>
      <c r="BS470" s="124"/>
      <c r="BT470" s="124"/>
      <c r="BU470" s="124"/>
      <c r="BV470" s="124"/>
      <c r="BW470" s="124"/>
      <c r="BX470" s="124"/>
      <c r="BY470" s="124"/>
      <c r="BZ470" s="124"/>
      <c r="CA470" s="124"/>
    </row>
    <row r="471">
      <c r="A471" s="106"/>
      <c r="B471" s="207"/>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c r="AA471" s="106"/>
      <c r="AB471" s="106"/>
      <c r="AC471" s="106"/>
      <c r="AD471" s="106"/>
      <c r="AE471" s="106"/>
      <c r="AF471" s="106"/>
      <c r="AG471" s="106"/>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row>
    <row r="472">
      <c r="A472" s="106"/>
      <c r="B472" s="207"/>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c r="AA472" s="106"/>
      <c r="AB472" s="106"/>
      <c r="AC472" s="106"/>
      <c r="AD472" s="106"/>
      <c r="AE472" s="106"/>
      <c r="AF472" s="106"/>
      <c r="AG472" s="106"/>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c r="BK472" s="124"/>
      <c r="BL472" s="124"/>
      <c r="BM472" s="124"/>
      <c r="BN472" s="124"/>
      <c r="BO472" s="124"/>
      <c r="BP472" s="124"/>
      <c r="BQ472" s="124"/>
      <c r="BR472" s="124"/>
      <c r="BS472" s="124"/>
      <c r="BT472" s="124"/>
      <c r="BU472" s="124"/>
      <c r="BV472" s="124"/>
      <c r="BW472" s="124"/>
      <c r="BX472" s="124"/>
      <c r="BY472" s="124"/>
      <c r="BZ472" s="124"/>
      <c r="CA472" s="124"/>
    </row>
    <row r="473">
      <c r="A473" s="106"/>
      <c r="B473" s="207"/>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c r="AA473" s="106"/>
      <c r="AB473" s="106"/>
      <c r="AC473" s="106"/>
      <c r="AD473" s="106"/>
      <c r="AE473" s="106"/>
      <c r="AF473" s="106"/>
      <c r="AG473" s="106"/>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4"/>
      <c r="BR473" s="124"/>
      <c r="BS473" s="124"/>
      <c r="BT473" s="124"/>
      <c r="BU473" s="124"/>
      <c r="BV473" s="124"/>
      <c r="BW473" s="124"/>
      <c r="BX473" s="124"/>
      <c r="BY473" s="124"/>
      <c r="BZ473" s="124"/>
      <c r="CA473" s="124"/>
    </row>
    <row r="474">
      <c r="A474" s="106"/>
      <c r="B474" s="207"/>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c r="AA474" s="106"/>
      <c r="AB474" s="106"/>
      <c r="AC474" s="106"/>
      <c r="AD474" s="106"/>
      <c r="AE474" s="106"/>
      <c r="AF474" s="106"/>
      <c r="AG474" s="106"/>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c r="BK474" s="124"/>
      <c r="BL474" s="124"/>
      <c r="BM474" s="124"/>
      <c r="BN474" s="124"/>
      <c r="BO474" s="124"/>
      <c r="BP474" s="124"/>
      <c r="BQ474" s="124"/>
      <c r="BR474" s="124"/>
      <c r="BS474" s="124"/>
      <c r="BT474" s="124"/>
      <c r="BU474" s="124"/>
      <c r="BV474" s="124"/>
      <c r="BW474" s="124"/>
      <c r="BX474" s="124"/>
      <c r="BY474" s="124"/>
      <c r="BZ474" s="124"/>
      <c r="CA474" s="124"/>
    </row>
    <row r="475">
      <c r="A475" s="106"/>
      <c r="B475" s="207"/>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c r="AA475" s="106"/>
      <c r="AB475" s="106"/>
      <c r="AC475" s="106"/>
      <c r="AD475" s="106"/>
      <c r="AE475" s="106"/>
      <c r="AF475" s="106"/>
      <c r="AG475" s="106"/>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c r="BK475" s="124"/>
      <c r="BL475" s="124"/>
      <c r="BM475" s="124"/>
      <c r="BN475" s="124"/>
      <c r="BO475" s="124"/>
      <c r="BP475" s="124"/>
      <c r="BQ475" s="124"/>
      <c r="BR475" s="124"/>
      <c r="BS475" s="124"/>
      <c r="BT475" s="124"/>
      <c r="BU475" s="124"/>
      <c r="BV475" s="124"/>
      <c r="BW475" s="124"/>
      <c r="BX475" s="124"/>
      <c r="BY475" s="124"/>
      <c r="BZ475" s="124"/>
      <c r="CA475" s="124"/>
    </row>
    <row r="476">
      <c r="A476" s="106"/>
      <c r="B476" s="207"/>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c r="AA476" s="106"/>
      <c r="AB476" s="106"/>
      <c r="AC476" s="106"/>
      <c r="AD476" s="106"/>
      <c r="AE476" s="106"/>
      <c r="AF476" s="106"/>
      <c r="AG476" s="106"/>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c r="BK476" s="124"/>
      <c r="BL476" s="124"/>
      <c r="BM476" s="124"/>
      <c r="BN476" s="124"/>
      <c r="BO476" s="124"/>
      <c r="BP476" s="124"/>
      <c r="BQ476" s="124"/>
      <c r="BR476" s="124"/>
      <c r="BS476" s="124"/>
      <c r="BT476" s="124"/>
      <c r="BU476" s="124"/>
      <c r="BV476" s="124"/>
      <c r="BW476" s="124"/>
      <c r="BX476" s="124"/>
      <c r="BY476" s="124"/>
      <c r="BZ476" s="124"/>
      <c r="CA476" s="124"/>
    </row>
    <row r="477">
      <c r="A477" s="106"/>
      <c r="B477" s="207"/>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c r="AA477" s="106"/>
      <c r="AB477" s="106"/>
      <c r="AC477" s="106"/>
      <c r="AD477" s="106"/>
      <c r="AE477" s="106"/>
      <c r="AF477" s="106"/>
      <c r="AG477" s="106"/>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row>
    <row r="478">
      <c r="A478" s="106"/>
      <c r="B478" s="207"/>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c r="AA478" s="106"/>
      <c r="AB478" s="106"/>
      <c r="AC478" s="106"/>
      <c r="AD478" s="106"/>
      <c r="AE478" s="106"/>
      <c r="AF478" s="106"/>
      <c r="AG478" s="106"/>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c r="BK478" s="124"/>
      <c r="BL478" s="124"/>
      <c r="BM478" s="124"/>
      <c r="BN478" s="124"/>
      <c r="BO478" s="124"/>
      <c r="BP478" s="124"/>
      <c r="BQ478" s="124"/>
      <c r="BR478" s="124"/>
      <c r="BS478" s="124"/>
      <c r="BT478" s="124"/>
      <c r="BU478" s="124"/>
      <c r="BV478" s="124"/>
      <c r="BW478" s="124"/>
      <c r="BX478" s="124"/>
      <c r="BY478" s="124"/>
      <c r="BZ478" s="124"/>
      <c r="CA478" s="124"/>
    </row>
    <row r="479">
      <c r="A479" s="106"/>
      <c r="B479" s="207"/>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c r="AA479" s="106"/>
      <c r="AB479" s="106"/>
      <c r="AC479" s="106"/>
      <c r="AD479" s="106"/>
      <c r="AE479" s="106"/>
      <c r="AF479" s="106"/>
      <c r="AG479" s="106"/>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c r="BK479" s="124"/>
      <c r="BL479" s="124"/>
      <c r="BM479" s="124"/>
      <c r="BN479" s="124"/>
      <c r="BO479" s="124"/>
      <c r="BP479" s="124"/>
      <c r="BQ479" s="124"/>
      <c r="BR479" s="124"/>
      <c r="BS479" s="124"/>
      <c r="BT479" s="124"/>
      <c r="BU479" s="124"/>
      <c r="BV479" s="124"/>
      <c r="BW479" s="124"/>
      <c r="BX479" s="124"/>
      <c r="BY479" s="124"/>
      <c r="BZ479" s="124"/>
      <c r="CA479" s="124"/>
    </row>
    <row r="480">
      <c r="A480" s="106"/>
      <c r="B480" s="207"/>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c r="AA480" s="106"/>
      <c r="AB480" s="106"/>
      <c r="AC480" s="106"/>
      <c r="AD480" s="106"/>
      <c r="AE480" s="106"/>
      <c r="AF480" s="106"/>
      <c r="AG480" s="106"/>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c r="BK480" s="124"/>
      <c r="BL480" s="124"/>
      <c r="BM480" s="124"/>
      <c r="BN480" s="124"/>
      <c r="BO480" s="124"/>
      <c r="BP480" s="124"/>
      <c r="BQ480" s="124"/>
      <c r="BR480" s="124"/>
      <c r="BS480" s="124"/>
      <c r="BT480" s="124"/>
      <c r="BU480" s="124"/>
      <c r="BV480" s="124"/>
      <c r="BW480" s="124"/>
      <c r="BX480" s="124"/>
      <c r="BY480" s="124"/>
      <c r="BZ480" s="124"/>
      <c r="CA480" s="124"/>
    </row>
    <row r="481">
      <c r="A481" s="106"/>
      <c r="B481" s="207"/>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c r="AA481" s="106"/>
      <c r="AB481" s="106"/>
      <c r="AC481" s="106"/>
      <c r="AD481" s="106"/>
      <c r="AE481" s="106"/>
      <c r="AF481" s="106"/>
      <c r="AG481" s="106"/>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c r="BK481" s="124"/>
      <c r="BL481" s="124"/>
      <c r="BM481" s="124"/>
      <c r="BN481" s="124"/>
      <c r="BO481" s="124"/>
      <c r="BP481" s="124"/>
      <c r="BQ481" s="124"/>
      <c r="BR481" s="124"/>
      <c r="BS481" s="124"/>
      <c r="BT481" s="124"/>
      <c r="BU481" s="124"/>
      <c r="BV481" s="124"/>
      <c r="BW481" s="124"/>
      <c r="BX481" s="124"/>
      <c r="BY481" s="124"/>
      <c r="BZ481" s="124"/>
      <c r="CA481" s="124"/>
    </row>
    <row r="482">
      <c r="A482" s="106"/>
      <c r="B482" s="207"/>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c r="AA482" s="106"/>
      <c r="AB482" s="106"/>
      <c r="AC482" s="106"/>
      <c r="AD482" s="106"/>
      <c r="AE482" s="106"/>
      <c r="AF482" s="106"/>
      <c r="AG482" s="106"/>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c r="BK482" s="124"/>
      <c r="BL482" s="124"/>
      <c r="BM482" s="124"/>
      <c r="BN482" s="124"/>
      <c r="BO482" s="124"/>
      <c r="BP482" s="124"/>
      <c r="BQ482" s="124"/>
      <c r="BR482" s="124"/>
      <c r="BS482" s="124"/>
      <c r="BT482" s="124"/>
      <c r="BU482" s="124"/>
      <c r="BV482" s="124"/>
      <c r="BW482" s="124"/>
      <c r="BX482" s="124"/>
      <c r="BY482" s="124"/>
      <c r="BZ482" s="124"/>
      <c r="CA482" s="124"/>
    </row>
    <row r="483">
      <c r="A483" s="106"/>
      <c r="B483" s="207"/>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c r="AA483" s="106"/>
      <c r="AB483" s="106"/>
      <c r="AC483" s="106"/>
      <c r="AD483" s="106"/>
      <c r="AE483" s="106"/>
      <c r="AF483" s="106"/>
      <c r="AG483" s="106"/>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row>
    <row r="484">
      <c r="A484" s="106"/>
      <c r="B484" s="207"/>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c r="AA484" s="106"/>
      <c r="AB484" s="106"/>
      <c r="AC484" s="106"/>
      <c r="AD484" s="106"/>
      <c r="AE484" s="106"/>
      <c r="AF484" s="106"/>
      <c r="AG484" s="106"/>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c r="BK484" s="124"/>
      <c r="BL484" s="124"/>
      <c r="BM484" s="124"/>
      <c r="BN484" s="124"/>
      <c r="BO484" s="124"/>
      <c r="BP484" s="124"/>
      <c r="BQ484" s="124"/>
      <c r="BR484" s="124"/>
      <c r="BS484" s="124"/>
      <c r="BT484" s="124"/>
      <c r="BU484" s="124"/>
      <c r="BV484" s="124"/>
      <c r="BW484" s="124"/>
      <c r="BX484" s="124"/>
      <c r="BY484" s="124"/>
      <c r="BZ484" s="124"/>
      <c r="CA484" s="124"/>
    </row>
    <row r="485">
      <c r="A485" s="106"/>
      <c r="B485" s="207"/>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c r="AA485" s="106"/>
      <c r="AB485" s="106"/>
      <c r="AC485" s="106"/>
      <c r="AD485" s="106"/>
      <c r="AE485" s="106"/>
      <c r="AF485" s="106"/>
      <c r="AG485" s="106"/>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c r="BK485" s="124"/>
      <c r="BL485" s="124"/>
      <c r="BM485" s="124"/>
      <c r="BN485" s="124"/>
      <c r="BO485" s="124"/>
      <c r="BP485" s="124"/>
      <c r="BQ485" s="124"/>
      <c r="BR485" s="124"/>
      <c r="BS485" s="124"/>
      <c r="BT485" s="124"/>
      <c r="BU485" s="124"/>
      <c r="BV485" s="124"/>
      <c r="BW485" s="124"/>
      <c r="BX485" s="124"/>
      <c r="BY485" s="124"/>
      <c r="BZ485" s="124"/>
      <c r="CA485" s="124"/>
    </row>
    <row r="486">
      <c r="A486" s="106"/>
      <c r="B486" s="207"/>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c r="AA486" s="106"/>
      <c r="AB486" s="106"/>
      <c r="AC486" s="106"/>
      <c r="AD486" s="106"/>
      <c r="AE486" s="106"/>
      <c r="AF486" s="106"/>
      <c r="AG486" s="106"/>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c r="BK486" s="124"/>
      <c r="BL486" s="124"/>
      <c r="BM486" s="124"/>
      <c r="BN486" s="124"/>
      <c r="BO486" s="124"/>
      <c r="BP486" s="124"/>
      <c r="BQ486" s="124"/>
      <c r="BR486" s="124"/>
      <c r="BS486" s="124"/>
      <c r="BT486" s="124"/>
      <c r="BU486" s="124"/>
      <c r="BV486" s="124"/>
      <c r="BW486" s="124"/>
      <c r="BX486" s="124"/>
      <c r="BY486" s="124"/>
      <c r="BZ486" s="124"/>
      <c r="CA486" s="124"/>
    </row>
    <row r="487">
      <c r="A487" s="106"/>
      <c r="B487" s="207"/>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c r="AA487" s="106"/>
      <c r="AB487" s="106"/>
      <c r="AC487" s="106"/>
      <c r="AD487" s="106"/>
      <c r="AE487" s="106"/>
      <c r="AF487" s="106"/>
      <c r="AG487" s="106"/>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c r="BK487" s="124"/>
      <c r="BL487" s="124"/>
      <c r="BM487" s="124"/>
      <c r="BN487" s="124"/>
      <c r="BO487" s="124"/>
      <c r="BP487" s="124"/>
      <c r="BQ487" s="124"/>
      <c r="BR487" s="124"/>
      <c r="BS487" s="124"/>
      <c r="BT487" s="124"/>
      <c r="BU487" s="124"/>
      <c r="BV487" s="124"/>
      <c r="BW487" s="124"/>
      <c r="BX487" s="124"/>
      <c r="BY487" s="124"/>
      <c r="BZ487" s="124"/>
      <c r="CA487" s="124"/>
    </row>
    <row r="488">
      <c r="A488" s="106"/>
      <c r="B488" s="207"/>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c r="AA488" s="106"/>
      <c r="AB488" s="106"/>
      <c r="AC488" s="106"/>
      <c r="AD488" s="106"/>
      <c r="AE488" s="106"/>
      <c r="AF488" s="106"/>
      <c r="AG488" s="106"/>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c r="BK488" s="124"/>
      <c r="BL488" s="124"/>
      <c r="BM488" s="124"/>
      <c r="BN488" s="124"/>
      <c r="BO488" s="124"/>
      <c r="BP488" s="124"/>
      <c r="BQ488" s="124"/>
      <c r="BR488" s="124"/>
      <c r="BS488" s="124"/>
      <c r="BT488" s="124"/>
      <c r="BU488" s="124"/>
      <c r="BV488" s="124"/>
      <c r="BW488" s="124"/>
      <c r="BX488" s="124"/>
      <c r="BY488" s="124"/>
      <c r="BZ488" s="124"/>
      <c r="CA488" s="124"/>
    </row>
    <row r="489">
      <c r="A489" s="106"/>
      <c r="B489" s="207"/>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c r="AA489" s="106"/>
      <c r="AB489" s="106"/>
      <c r="AC489" s="106"/>
      <c r="AD489" s="106"/>
      <c r="AE489" s="106"/>
      <c r="AF489" s="106"/>
      <c r="AG489" s="106"/>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row>
    <row r="490">
      <c r="A490" s="106"/>
      <c r="B490" s="207"/>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c r="AA490" s="106"/>
      <c r="AB490" s="106"/>
      <c r="AC490" s="106"/>
      <c r="AD490" s="106"/>
      <c r="AE490" s="106"/>
      <c r="AF490" s="106"/>
      <c r="AG490" s="106"/>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c r="BK490" s="124"/>
      <c r="BL490" s="124"/>
      <c r="BM490" s="124"/>
      <c r="BN490" s="124"/>
      <c r="BO490" s="124"/>
      <c r="BP490" s="124"/>
      <c r="BQ490" s="124"/>
      <c r="BR490" s="124"/>
      <c r="BS490" s="124"/>
      <c r="BT490" s="124"/>
      <c r="BU490" s="124"/>
      <c r="BV490" s="124"/>
      <c r="BW490" s="124"/>
      <c r="BX490" s="124"/>
      <c r="BY490" s="124"/>
      <c r="BZ490" s="124"/>
      <c r="CA490" s="124"/>
    </row>
    <row r="491">
      <c r="A491" s="106"/>
      <c r="B491" s="207"/>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c r="AA491" s="106"/>
      <c r="AB491" s="106"/>
      <c r="AC491" s="106"/>
      <c r="AD491" s="106"/>
      <c r="AE491" s="106"/>
      <c r="AF491" s="106"/>
      <c r="AG491" s="106"/>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c r="BK491" s="124"/>
      <c r="BL491" s="124"/>
      <c r="BM491" s="124"/>
      <c r="BN491" s="124"/>
      <c r="BO491" s="124"/>
      <c r="BP491" s="124"/>
      <c r="BQ491" s="124"/>
      <c r="BR491" s="124"/>
      <c r="BS491" s="124"/>
      <c r="BT491" s="124"/>
      <c r="BU491" s="124"/>
      <c r="BV491" s="124"/>
      <c r="BW491" s="124"/>
      <c r="BX491" s="124"/>
      <c r="BY491" s="124"/>
      <c r="BZ491" s="124"/>
      <c r="CA491" s="124"/>
    </row>
    <row r="492">
      <c r="A492" s="106"/>
      <c r="B492" s="207"/>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c r="AA492" s="106"/>
      <c r="AB492" s="106"/>
      <c r="AC492" s="106"/>
      <c r="AD492" s="106"/>
      <c r="AE492" s="106"/>
      <c r="AF492" s="106"/>
      <c r="AG492" s="106"/>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c r="BK492" s="124"/>
      <c r="BL492" s="124"/>
      <c r="BM492" s="124"/>
      <c r="BN492" s="124"/>
      <c r="BO492" s="124"/>
      <c r="BP492" s="124"/>
      <c r="BQ492" s="124"/>
      <c r="BR492" s="124"/>
      <c r="BS492" s="124"/>
      <c r="BT492" s="124"/>
      <c r="BU492" s="124"/>
      <c r="BV492" s="124"/>
      <c r="BW492" s="124"/>
      <c r="BX492" s="124"/>
      <c r="BY492" s="124"/>
      <c r="BZ492" s="124"/>
      <c r="CA492" s="124"/>
    </row>
    <row r="493">
      <c r="A493" s="106"/>
      <c r="B493" s="207"/>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c r="AA493" s="106"/>
      <c r="AB493" s="106"/>
      <c r="AC493" s="106"/>
      <c r="AD493" s="106"/>
      <c r="AE493" s="106"/>
      <c r="AF493" s="106"/>
      <c r="AG493" s="106"/>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c r="BK493" s="124"/>
      <c r="BL493" s="124"/>
      <c r="BM493" s="124"/>
      <c r="BN493" s="124"/>
      <c r="BO493" s="124"/>
      <c r="BP493" s="124"/>
      <c r="BQ493" s="124"/>
      <c r="BR493" s="124"/>
      <c r="BS493" s="124"/>
      <c r="BT493" s="124"/>
      <c r="BU493" s="124"/>
      <c r="BV493" s="124"/>
      <c r="BW493" s="124"/>
      <c r="BX493" s="124"/>
      <c r="BY493" s="124"/>
      <c r="BZ493" s="124"/>
      <c r="CA493" s="124"/>
    </row>
    <row r="494">
      <c r="A494" s="106"/>
      <c r="B494" s="207"/>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c r="AA494" s="106"/>
      <c r="AB494" s="106"/>
      <c r="AC494" s="106"/>
      <c r="AD494" s="106"/>
      <c r="AE494" s="106"/>
      <c r="AF494" s="106"/>
      <c r="AG494" s="106"/>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c r="BK494" s="124"/>
      <c r="BL494" s="124"/>
      <c r="BM494" s="124"/>
      <c r="BN494" s="124"/>
      <c r="BO494" s="124"/>
      <c r="BP494" s="124"/>
      <c r="BQ494" s="124"/>
      <c r="BR494" s="124"/>
      <c r="BS494" s="124"/>
      <c r="BT494" s="124"/>
      <c r="BU494" s="124"/>
      <c r="BV494" s="124"/>
      <c r="BW494" s="124"/>
      <c r="BX494" s="124"/>
      <c r="BY494" s="124"/>
      <c r="BZ494" s="124"/>
      <c r="CA494" s="124"/>
    </row>
    <row r="495">
      <c r="A495" s="106"/>
      <c r="B495" s="207"/>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c r="AA495" s="106"/>
      <c r="AB495" s="106"/>
      <c r="AC495" s="106"/>
      <c r="AD495" s="106"/>
      <c r="AE495" s="106"/>
      <c r="AF495" s="106"/>
      <c r="AG495" s="106"/>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row>
    <row r="496">
      <c r="A496" s="106"/>
      <c r="B496" s="207"/>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c r="AA496" s="106"/>
      <c r="AB496" s="106"/>
      <c r="AC496" s="106"/>
      <c r="AD496" s="106"/>
      <c r="AE496" s="106"/>
      <c r="AF496" s="106"/>
      <c r="AG496" s="106"/>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c r="BK496" s="124"/>
      <c r="BL496" s="124"/>
      <c r="BM496" s="124"/>
      <c r="BN496" s="124"/>
      <c r="BO496" s="124"/>
      <c r="BP496" s="124"/>
      <c r="BQ496" s="124"/>
      <c r="BR496" s="124"/>
      <c r="BS496" s="124"/>
      <c r="BT496" s="124"/>
      <c r="BU496" s="124"/>
      <c r="BV496" s="124"/>
      <c r="BW496" s="124"/>
      <c r="BX496" s="124"/>
      <c r="BY496" s="124"/>
      <c r="BZ496" s="124"/>
      <c r="CA496" s="124"/>
    </row>
    <row r="497">
      <c r="A497" s="106"/>
      <c r="B497" s="207"/>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c r="AA497" s="106"/>
      <c r="AB497" s="106"/>
      <c r="AC497" s="106"/>
      <c r="AD497" s="106"/>
      <c r="AE497" s="106"/>
      <c r="AF497" s="106"/>
      <c r="AG497" s="106"/>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c r="BK497" s="124"/>
      <c r="BL497" s="124"/>
      <c r="BM497" s="124"/>
      <c r="BN497" s="124"/>
      <c r="BO497" s="124"/>
      <c r="BP497" s="124"/>
      <c r="BQ497" s="124"/>
      <c r="BR497" s="124"/>
      <c r="BS497" s="124"/>
      <c r="BT497" s="124"/>
      <c r="BU497" s="124"/>
      <c r="BV497" s="124"/>
      <c r="BW497" s="124"/>
      <c r="BX497" s="124"/>
      <c r="BY497" s="124"/>
      <c r="BZ497" s="124"/>
      <c r="CA497" s="124"/>
    </row>
    <row r="498">
      <c r="A498" s="106"/>
      <c r="B498" s="207"/>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c r="AA498" s="106"/>
      <c r="AB498" s="106"/>
      <c r="AC498" s="106"/>
      <c r="AD498" s="106"/>
      <c r="AE498" s="106"/>
      <c r="AF498" s="106"/>
      <c r="AG498" s="106"/>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c r="BK498" s="124"/>
      <c r="BL498" s="124"/>
      <c r="BM498" s="124"/>
      <c r="BN498" s="124"/>
      <c r="BO498" s="124"/>
      <c r="BP498" s="124"/>
      <c r="BQ498" s="124"/>
      <c r="BR498" s="124"/>
      <c r="BS498" s="124"/>
      <c r="BT498" s="124"/>
      <c r="BU498" s="124"/>
      <c r="BV498" s="124"/>
      <c r="BW498" s="124"/>
      <c r="BX498" s="124"/>
      <c r="BY498" s="124"/>
      <c r="BZ498" s="124"/>
      <c r="CA498" s="124"/>
    </row>
    <row r="499">
      <c r="A499" s="106"/>
      <c r="B499" s="207"/>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c r="AA499" s="106"/>
      <c r="AB499" s="106"/>
      <c r="AC499" s="106"/>
      <c r="AD499" s="106"/>
      <c r="AE499" s="106"/>
      <c r="AF499" s="106"/>
      <c r="AG499" s="106"/>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c r="BK499" s="124"/>
      <c r="BL499" s="124"/>
      <c r="BM499" s="124"/>
      <c r="BN499" s="124"/>
      <c r="BO499" s="124"/>
      <c r="BP499" s="124"/>
      <c r="BQ499" s="124"/>
      <c r="BR499" s="124"/>
      <c r="BS499" s="124"/>
      <c r="BT499" s="124"/>
      <c r="BU499" s="124"/>
      <c r="BV499" s="124"/>
      <c r="BW499" s="124"/>
      <c r="BX499" s="124"/>
      <c r="BY499" s="124"/>
      <c r="BZ499" s="124"/>
      <c r="CA499" s="124"/>
    </row>
    <row r="500">
      <c r="A500" s="106"/>
      <c r="B500" s="207"/>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c r="AA500" s="106"/>
      <c r="AB500" s="106"/>
      <c r="AC500" s="106"/>
      <c r="AD500" s="106"/>
      <c r="AE500" s="106"/>
      <c r="AF500" s="106"/>
      <c r="AG500" s="106"/>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c r="BK500" s="124"/>
      <c r="BL500" s="124"/>
      <c r="BM500" s="124"/>
      <c r="BN500" s="124"/>
      <c r="BO500" s="124"/>
      <c r="BP500" s="124"/>
      <c r="BQ500" s="124"/>
      <c r="BR500" s="124"/>
      <c r="BS500" s="124"/>
      <c r="BT500" s="124"/>
      <c r="BU500" s="124"/>
      <c r="BV500" s="124"/>
      <c r="BW500" s="124"/>
      <c r="BX500" s="124"/>
      <c r="BY500" s="124"/>
      <c r="BZ500" s="124"/>
      <c r="CA500" s="124"/>
    </row>
    <row r="501">
      <c r="A501" s="106"/>
      <c r="B501" s="207"/>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c r="AA501" s="106"/>
      <c r="AB501" s="106"/>
      <c r="AC501" s="106"/>
      <c r="AD501" s="106"/>
      <c r="AE501" s="106"/>
      <c r="AF501" s="106"/>
      <c r="AG501" s="106"/>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row>
    <row r="502">
      <c r="A502" s="106"/>
      <c r="B502" s="207"/>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c r="AA502" s="106"/>
      <c r="AB502" s="106"/>
      <c r="AC502" s="106"/>
      <c r="AD502" s="106"/>
      <c r="AE502" s="106"/>
      <c r="AF502" s="106"/>
      <c r="AG502" s="106"/>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c r="BK502" s="124"/>
      <c r="BL502" s="124"/>
      <c r="BM502" s="124"/>
      <c r="BN502" s="124"/>
      <c r="BO502" s="124"/>
      <c r="BP502" s="124"/>
      <c r="BQ502" s="124"/>
      <c r="BR502" s="124"/>
      <c r="BS502" s="124"/>
      <c r="BT502" s="124"/>
      <c r="BU502" s="124"/>
      <c r="BV502" s="124"/>
      <c r="BW502" s="124"/>
      <c r="BX502" s="124"/>
      <c r="BY502" s="124"/>
      <c r="BZ502" s="124"/>
      <c r="CA502" s="124"/>
    </row>
    <row r="503">
      <c r="A503" s="106"/>
      <c r="B503" s="207"/>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c r="AA503" s="106"/>
      <c r="AB503" s="106"/>
      <c r="AC503" s="106"/>
      <c r="AD503" s="106"/>
      <c r="AE503" s="106"/>
      <c r="AF503" s="106"/>
      <c r="AG503" s="106"/>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4"/>
      <c r="BR503" s="124"/>
      <c r="BS503" s="124"/>
      <c r="BT503" s="124"/>
      <c r="BU503" s="124"/>
      <c r="BV503" s="124"/>
      <c r="BW503" s="124"/>
      <c r="BX503" s="124"/>
      <c r="BY503" s="124"/>
      <c r="BZ503" s="124"/>
      <c r="CA503" s="124"/>
    </row>
    <row r="504">
      <c r="A504" s="106"/>
      <c r="B504" s="207"/>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c r="AA504" s="106"/>
      <c r="AB504" s="106"/>
      <c r="AC504" s="106"/>
      <c r="AD504" s="106"/>
      <c r="AE504" s="106"/>
      <c r="AF504" s="106"/>
      <c r="AG504" s="106"/>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c r="BK504" s="124"/>
      <c r="BL504" s="124"/>
      <c r="BM504" s="124"/>
      <c r="BN504" s="124"/>
      <c r="BO504" s="124"/>
      <c r="BP504" s="124"/>
      <c r="BQ504" s="124"/>
      <c r="BR504" s="124"/>
      <c r="BS504" s="124"/>
      <c r="BT504" s="124"/>
      <c r="BU504" s="124"/>
      <c r="BV504" s="124"/>
      <c r="BW504" s="124"/>
      <c r="BX504" s="124"/>
      <c r="BY504" s="124"/>
      <c r="BZ504" s="124"/>
      <c r="CA504" s="124"/>
    </row>
    <row r="505">
      <c r="A505" s="106"/>
      <c r="B505" s="207"/>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c r="AA505" s="106"/>
      <c r="AB505" s="106"/>
      <c r="AC505" s="106"/>
      <c r="AD505" s="106"/>
      <c r="AE505" s="106"/>
      <c r="AF505" s="106"/>
      <c r="AG505" s="106"/>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c r="BK505" s="124"/>
      <c r="BL505" s="124"/>
      <c r="BM505" s="124"/>
      <c r="BN505" s="124"/>
      <c r="BO505" s="124"/>
      <c r="BP505" s="124"/>
      <c r="BQ505" s="124"/>
      <c r="BR505" s="124"/>
      <c r="BS505" s="124"/>
      <c r="BT505" s="124"/>
      <c r="BU505" s="124"/>
      <c r="BV505" s="124"/>
      <c r="BW505" s="124"/>
      <c r="BX505" s="124"/>
      <c r="BY505" s="124"/>
      <c r="BZ505" s="124"/>
      <c r="CA505" s="124"/>
    </row>
    <row r="506">
      <c r="A506" s="106"/>
      <c r="B506" s="207"/>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c r="AA506" s="106"/>
      <c r="AB506" s="106"/>
      <c r="AC506" s="106"/>
      <c r="AD506" s="106"/>
      <c r="AE506" s="106"/>
      <c r="AF506" s="106"/>
      <c r="AG506" s="106"/>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c r="BK506" s="124"/>
      <c r="BL506" s="124"/>
      <c r="BM506" s="124"/>
      <c r="BN506" s="124"/>
      <c r="BO506" s="124"/>
      <c r="BP506" s="124"/>
      <c r="BQ506" s="124"/>
      <c r="BR506" s="124"/>
      <c r="BS506" s="124"/>
      <c r="BT506" s="124"/>
      <c r="BU506" s="124"/>
      <c r="BV506" s="124"/>
      <c r="BW506" s="124"/>
      <c r="BX506" s="124"/>
      <c r="BY506" s="124"/>
      <c r="BZ506" s="124"/>
      <c r="CA506" s="124"/>
    </row>
    <row r="507">
      <c r="A507" s="106"/>
      <c r="B507" s="207"/>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c r="AA507" s="106"/>
      <c r="AB507" s="106"/>
      <c r="AC507" s="106"/>
      <c r="AD507" s="106"/>
      <c r="AE507" s="106"/>
      <c r="AF507" s="106"/>
      <c r="AG507" s="106"/>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row>
    <row r="508">
      <c r="A508" s="106"/>
      <c r="B508" s="207"/>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c r="AA508" s="106"/>
      <c r="AB508" s="106"/>
      <c r="AC508" s="106"/>
      <c r="AD508" s="106"/>
      <c r="AE508" s="106"/>
      <c r="AF508" s="106"/>
      <c r="AG508" s="106"/>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c r="BK508" s="124"/>
      <c r="BL508" s="124"/>
      <c r="BM508" s="124"/>
      <c r="BN508" s="124"/>
      <c r="BO508" s="124"/>
      <c r="BP508" s="124"/>
      <c r="BQ508" s="124"/>
      <c r="BR508" s="124"/>
      <c r="BS508" s="124"/>
      <c r="BT508" s="124"/>
      <c r="BU508" s="124"/>
      <c r="BV508" s="124"/>
      <c r="BW508" s="124"/>
      <c r="BX508" s="124"/>
      <c r="BY508" s="124"/>
      <c r="BZ508" s="124"/>
      <c r="CA508" s="124"/>
    </row>
    <row r="509">
      <c r="A509" s="106"/>
      <c r="B509" s="207"/>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c r="AA509" s="106"/>
      <c r="AB509" s="106"/>
      <c r="AC509" s="106"/>
      <c r="AD509" s="106"/>
      <c r="AE509" s="106"/>
      <c r="AF509" s="106"/>
      <c r="AG509" s="106"/>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c r="BK509" s="124"/>
      <c r="BL509" s="124"/>
      <c r="BM509" s="124"/>
      <c r="BN509" s="124"/>
      <c r="BO509" s="124"/>
      <c r="BP509" s="124"/>
      <c r="BQ509" s="124"/>
      <c r="BR509" s="124"/>
      <c r="BS509" s="124"/>
      <c r="BT509" s="124"/>
      <c r="BU509" s="124"/>
      <c r="BV509" s="124"/>
      <c r="BW509" s="124"/>
      <c r="BX509" s="124"/>
      <c r="BY509" s="124"/>
      <c r="BZ509" s="124"/>
      <c r="CA509" s="124"/>
    </row>
    <row r="510">
      <c r="A510" s="106"/>
      <c r="B510" s="207"/>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c r="AA510" s="106"/>
      <c r="AB510" s="106"/>
      <c r="AC510" s="106"/>
      <c r="AD510" s="106"/>
      <c r="AE510" s="106"/>
      <c r="AF510" s="106"/>
      <c r="AG510" s="106"/>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c r="BK510" s="124"/>
      <c r="BL510" s="124"/>
      <c r="BM510" s="124"/>
      <c r="BN510" s="124"/>
      <c r="BO510" s="124"/>
      <c r="BP510" s="124"/>
      <c r="BQ510" s="124"/>
      <c r="BR510" s="124"/>
      <c r="BS510" s="124"/>
      <c r="BT510" s="124"/>
      <c r="BU510" s="124"/>
      <c r="BV510" s="124"/>
      <c r="BW510" s="124"/>
      <c r="BX510" s="124"/>
      <c r="BY510" s="124"/>
      <c r="BZ510" s="124"/>
      <c r="CA510" s="124"/>
    </row>
    <row r="511">
      <c r="A511" s="106"/>
      <c r="B511" s="207"/>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c r="AA511" s="106"/>
      <c r="AB511" s="106"/>
      <c r="AC511" s="106"/>
      <c r="AD511" s="106"/>
      <c r="AE511" s="106"/>
      <c r="AF511" s="106"/>
      <c r="AG511" s="106"/>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c r="BK511" s="124"/>
      <c r="BL511" s="124"/>
      <c r="BM511" s="124"/>
      <c r="BN511" s="124"/>
      <c r="BO511" s="124"/>
      <c r="BP511" s="124"/>
      <c r="BQ511" s="124"/>
      <c r="BR511" s="124"/>
      <c r="BS511" s="124"/>
      <c r="BT511" s="124"/>
      <c r="BU511" s="124"/>
      <c r="BV511" s="124"/>
      <c r="BW511" s="124"/>
      <c r="BX511" s="124"/>
      <c r="BY511" s="124"/>
      <c r="BZ511" s="124"/>
      <c r="CA511" s="124"/>
    </row>
    <row r="512">
      <c r="A512" s="106"/>
      <c r="B512" s="207"/>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c r="AA512" s="106"/>
      <c r="AB512" s="106"/>
      <c r="AC512" s="106"/>
      <c r="AD512" s="106"/>
      <c r="AE512" s="106"/>
      <c r="AF512" s="106"/>
      <c r="AG512" s="106"/>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c r="BK512" s="124"/>
      <c r="BL512" s="124"/>
      <c r="BM512" s="124"/>
      <c r="BN512" s="124"/>
      <c r="BO512" s="124"/>
      <c r="BP512" s="124"/>
      <c r="BQ512" s="124"/>
      <c r="BR512" s="124"/>
      <c r="BS512" s="124"/>
      <c r="BT512" s="124"/>
      <c r="BU512" s="124"/>
      <c r="BV512" s="124"/>
      <c r="BW512" s="124"/>
      <c r="BX512" s="124"/>
      <c r="BY512" s="124"/>
      <c r="BZ512" s="124"/>
      <c r="CA512" s="124"/>
    </row>
    <row r="513">
      <c r="A513" s="106"/>
      <c r="B513" s="207"/>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c r="AA513" s="106"/>
      <c r="AB513" s="106"/>
      <c r="AC513" s="106"/>
      <c r="AD513" s="106"/>
      <c r="AE513" s="106"/>
      <c r="AF513" s="106"/>
      <c r="AG513" s="106"/>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c r="BK513" s="124"/>
      <c r="BL513" s="124"/>
      <c r="BM513" s="124"/>
      <c r="BN513" s="124"/>
      <c r="BO513" s="124"/>
      <c r="BP513" s="124"/>
      <c r="BQ513" s="124"/>
      <c r="BR513" s="124"/>
      <c r="BS513" s="124"/>
      <c r="BT513" s="124"/>
      <c r="BU513" s="124"/>
      <c r="BV513" s="124"/>
      <c r="BW513" s="124"/>
      <c r="BX513" s="124"/>
      <c r="BY513" s="124"/>
      <c r="BZ513" s="124"/>
      <c r="CA513" s="124"/>
    </row>
    <row r="514">
      <c r="A514" s="106"/>
      <c r="B514" s="207"/>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c r="AA514" s="106"/>
      <c r="AB514" s="106"/>
      <c r="AC514" s="106"/>
      <c r="AD514" s="106"/>
      <c r="AE514" s="106"/>
      <c r="AF514" s="106"/>
      <c r="AG514" s="106"/>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c r="BK514" s="124"/>
      <c r="BL514" s="124"/>
      <c r="BM514" s="124"/>
      <c r="BN514" s="124"/>
      <c r="BO514" s="124"/>
      <c r="BP514" s="124"/>
      <c r="BQ514" s="124"/>
      <c r="BR514" s="124"/>
      <c r="BS514" s="124"/>
      <c r="BT514" s="124"/>
      <c r="BU514" s="124"/>
      <c r="BV514" s="124"/>
      <c r="BW514" s="124"/>
      <c r="BX514" s="124"/>
      <c r="BY514" s="124"/>
      <c r="BZ514" s="124"/>
      <c r="CA514" s="124"/>
    </row>
    <row r="515">
      <c r="A515" s="106"/>
      <c r="B515" s="207"/>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c r="AA515" s="106"/>
      <c r="AB515" s="106"/>
      <c r="AC515" s="106"/>
      <c r="AD515" s="106"/>
      <c r="AE515" s="106"/>
      <c r="AF515" s="106"/>
      <c r="AG515" s="106"/>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c r="BK515" s="124"/>
      <c r="BL515" s="124"/>
      <c r="BM515" s="124"/>
      <c r="BN515" s="124"/>
      <c r="BO515" s="124"/>
      <c r="BP515" s="124"/>
      <c r="BQ515" s="124"/>
      <c r="BR515" s="124"/>
      <c r="BS515" s="124"/>
      <c r="BT515" s="124"/>
      <c r="BU515" s="124"/>
      <c r="BV515" s="124"/>
      <c r="BW515" s="124"/>
      <c r="BX515" s="124"/>
      <c r="BY515" s="124"/>
      <c r="BZ515" s="124"/>
      <c r="CA515" s="124"/>
    </row>
    <row r="516">
      <c r="A516" s="106"/>
      <c r="B516" s="207"/>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c r="AA516" s="106"/>
      <c r="AB516" s="106"/>
      <c r="AC516" s="106"/>
      <c r="AD516" s="106"/>
      <c r="AE516" s="106"/>
      <c r="AF516" s="106"/>
      <c r="AG516" s="106"/>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c r="BK516" s="124"/>
      <c r="BL516" s="124"/>
      <c r="BM516" s="124"/>
      <c r="BN516" s="124"/>
      <c r="BO516" s="124"/>
      <c r="BP516" s="124"/>
      <c r="BQ516" s="124"/>
      <c r="BR516" s="124"/>
      <c r="BS516" s="124"/>
      <c r="BT516" s="124"/>
      <c r="BU516" s="124"/>
      <c r="BV516" s="124"/>
      <c r="BW516" s="124"/>
      <c r="BX516" s="124"/>
      <c r="BY516" s="124"/>
      <c r="BZ516" s="124"/>
      <c r="CA516" s="124"/>
    </row>
    <row r="517">
      <c r="A517" s="106"/>
      <c r="B517" s="207"/>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c r="AA517" s="106"/>
      <c r="AB517" s="106"/>
      <c r="AC517" s="106"/>
      <c r="AD517" s="106"/>
      <c r="AE517" s="106"/>
      <c r="AF517" s="106"/>
      <c r="AG517" s="106"/>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c r="BK517" s="124"/>
      <c r="BL517" s="124"/>
      <c r="BM517" s="124"/>
      <c r="BN517" s="124"/>
      <c r="BO517" s="124"/>
      <c r="BP517" s="124"/>
      <c r="BQ517" s="124"/>
      <c r="BR517" s="124"/>
      <c r="BS517" s="124"/>
      <c r="BT517" s="124"/>
      <c r="BU517" s="124"/>
      <c r="BV517" s="124"/>
      <c r="BW517" s="124"/>
      <c r="BX517" s="124"/>
      <c r="BY517" s="124"/>
      <c r="BZ517" s="124"/>
      <c r="CA517" s="124"/>
    </row>
    <row r="518">
      <c r="A518" s="106"/>
      <c r="B518" s="207"/>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c r="AA518" s="106"/>
      <c r="AB518" s="106"/>
      <c r="AC518" s="106"/>
      <c r="AD518" s="106"/>
      <c r="AE518" s="106"/>
      <c r="AF518" s="106"/>
      <c r="AG518" s="106"/>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c r="BK518" s="124"/>
      <c r="BL518" s="124"/>
      <c r="BM518" s="124"/>
      <c r="BN518" s="124"/>
      <c r="BO518" s="124"/>
      <c r="BP518" s="124"/>
      <c r="BQ518" s="124"/>
      <c r="BR518" s="124"/>
      <c r="BS518" s="124"/>
      <c r="BT518" s="124"/>
      <c r="BU518" s="124"/>
      <c r="BV518" s="124"/>
      <c r="BW518" s="124"/>
      <c r="BX518" s="124"/>
      <c r="BY518" s="124"/>
      <c r="BZ518" s="124"/>
      <c r="CA518" s="124"/>
    </row>
    <row r="519">
      <c r="A519" s="106"/>
      <c r="B519" s="207"/>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c r="AA519" s="106"/>
      <c r="AB519" s="106"/>
      <c r="AC519" s="106"/>
      <c r="AD519" s="106"/>
      <c r="AE519" s="106"/>
      <c r="AF519" s="106"/>
      <c r="AG519" s="106"/>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c r="BK519" s="124"/>
      <c r="BL519" s="124"/>
      <c r="BM519" s="124"/>
      <c r="BN519" s="124"/>
      <c r="BO519" s="124"/>
      <c r="BP519" s="124"/>
      <c r="BQ519" s="124"/>
      <c r="BR519" s="124"/>
      <c r="BS519" s="124"/>
      <c r="BT519" s="124"/>
      <c r="BU519" s="124"/>
      <c r="BV519" s="124"/>
      <c r="BW519" s="124"/>
      <c r="BX519" s="124"/>
      <c r="BY519" s="124"/>
      <c r="BZ519" s="124"/>
      <c r="CA519" s="124"/>
    </row>
    <row r="520">
      <c r="A520" s="106"/>
      <c r="B520" s="207"/>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c r="AA520" s="106"/>
      <c r="AB520" s="106"/>
      <c r="AC520" s="106"/>
      <c r="AD520" s="106"/>
      <c r="AE520" s="106"/>
      <c r="AF520" s="106"/>
      <c r="AG520" s="106"/>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c r="BK520" s="124"/>
      <c r="BL520" s="124"/>
      <c r="BM520" s="124"/>
      <c r="BN520" s="124"/>
      <c r="BO520" s="124"/>
      <c r="BP520" s="124"/>
      <c r="BQ520" s="124"/>
      <c r="BR520" s="124"/>
      <c r="BS520" s="124"/>
      <c r="BT520" s="124"/>
      <c r="BU520" s="124"/>
      <c r="BV520" s="124"/>
      <c r="BW520" s="124"/>
      <c r="BX520" s="124"/>
      <c r="BY520" s="124"/>
      <c r="BZ520" s="124"/>
      <c r="CA520" s="124"/>
    </row>
    <row r="521">
      <c r="A521" s="106"/>
      <c r="B521" s="207"/>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c r="AA521" s="106"/>
      <c r="AB521" s="106"/>
      <c r="AC521" s="106"/>
      <c r="AD521" s="106"/>
      <c r="AE521" s="106"/>
      <c r="AF521" s="106"/>
      <c r="AG521" s="106"/>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c r="BK521" s="124"/>
      <c r="BL521" s="124"/>
      <c r="BM521" s="124"/>
      <c r="BN521" s="124"/>
      <c r="BO521" s="124"/>
      <c r="BP521" s="124"/>
      <c r="BQ521" s="124"/>
      <c r="BR521" s="124"/>
      <c r="BS521" s="124"/>
      <c r="BT521" s="124"/>
      <c r="BU521" s="124"/>
      <c r="BV521" s="124"/>
      <c r="BW521" s="124"/>
      <c r="BX521" s="124"/>
      <c r="BY521" s="124"/>
      <c r="BZ521" s="124"/>
      <c r="CA521" s="124"/>
    </row>
    <row r="522">
      <c r="A522" s="106"/>
      <c r="B522" s="207"/>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c r="AA522" s="106"/>
      <c r="AB522" s="106"/>
      <c r="AC522" s="106"/>
      <c r="AD522" s="106"/>
      <c r="AE522" s="106"/>
      <c r="AF522" s="106"/>
      <c r="AG522" s="106"/>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c r="BK522" s="124"/>
      <c r="BL522" s="124"/>
      <c r="BM522" s="124"/>
      <c r="BN522" s="124"/>
      <c r="BO522" s="124"/>
      <c r="BP522" s="124"/>
      <c r="BQ522" s="124"/>
      <c r="BR522" s="124"/>
      <c r="BS522" s="124"/>
      <c r="BT522" s="124"/>
      <c r="BU522" s="124"/>
      <c r="BV522" s="124"/>
      <c r="BW522" s="124"/>
      <c r="BX522" s="124"/>
      <c r="BY522" s="124"/>
      <c r="BZ522" s="124"/>
      <c r="CA522" s="124"/>
    </row>
    <row r="523">
      <c r="A523" s="106"/>
      <c r="B523" s="207"/>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c r="AA523" s="106"/>
      <c r="AB523" s="106"/>
      <c r="AC523" s="106"/>
      <c r="AD523" s="106"/>
      <c r="AE523" s="106"/>
      <c r="AF523" s="106"/>
      <c r="AG523" s="106"/>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c r="BK523" s="124"/>
      <c r="BL523" s="124"/>
      <c r="BM523" s="124"/>
      <c r="BN523" s="124"/>
      <c r="BO523" s="124"/>
      <c r="BP523" s="124"/>
      <c r="BQ523" s="124"/>
      <c r="BR523" s="124"/>
      <c r="BS523" s="124"/>
      <c r="BT523" s="124"/>
      <c r="BU523" s="124"/>
      <c r="BV523" s="124"/>
      <c r="BW523" s="124"/>
      <c r="BX523" s="124"/>
      <c r="BY523" s="124"/>
      <c r="BZ523" s="124"/>
      <c r="CA523" s="124"/>
    </row>
    <row r="524">
      <c r="A524" s="106"/>
      <c r="B524" s="207"/>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c r="AA524" s="106"/>
      <c r="AB524" s="106"/>
      <c r="AC524" s="106"/>
      <c r="AD524" s="106"/>
      <c r="AE524" s="106"/>
      <c r="AF524" s="106"/>
      <c r="AG524" s="106"/>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c r="BK524" s="124"/>
      <c r="BL524" s="124"/>
      <c r="BM524" s="124"/>
      <c r="BN524" s="124"/>
      <c r="BO524" s="124"/>
      <c r="BP524" s="124"/>
      <c r="BQ524" s="124"/>
      <c r="BR524" s="124"/>
      <c r="BS524" s="124"/>
      <c r="BT524" s="124"/>
      <c r="BU524" s="124"/>
      <c r="BV524" s="124"/>
      <c r="BW524" s="124"/>
      <c r="BX524" s="124"/>
      <c r="BY524" s="124"/>
      <c r="BZ524" s="124"/>
      <c r="CA524" s="124"/>
    </row>
    <row r="525">
      <c r="A525" s="106"/>
      <c r="B525" s="207"/>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c r="AA525" s="106"/>
      <c r="AB525" s="106"/>
      <c r="AC525" s="106"/>
      <c r="AD525" s="106"/>
      <c r="AE525" s="106"/>
      <c r="AF525" s="106"/>
      <c r="AG525" s="106"/>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c r="BK525" s="124"/>
      <c r="BL525" s="124"/>
      <c r="BM525" s="124"/>
      <c r="BN525" s="124"/>
      <c r="BO525" s="124"/>
      <c r="BP525" s="124"/>
      <c r="BQ525" s="124"/>
      <c r="BR525" s="124"/>
      <c r="BS525" s="124"/>
      <c r="BT525" s="124"/>
      <c r="BU525" s="124"/>
      <c r="BV525" s="124"/>
      <c r="BW525" s="124"/>
      <c r="BX525" s="124"/>
      <c r="BY525" s="124"/>
      <c r="BZ525" s="124"/>
      <c r="CA525" s="124"/>
    </row>
    <row r="526">
      <c r="A526" s="106"/>
      <c r="B526" s="207"/>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c r="AA526" s="106"/>
      <c r="AB526" s="106"/>
      <c r="AC526" s="106"/>
      <c r="AD526" s="106"/>
      <c r="AE526" s="106"/>
      <c r="AF526" s="106"/>
      <c r="AG526" s="106"/>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c r="BK526" s="124"/>
      <c r="BL526" s="124"/>
      <c r="BM526" s="124"/>
      <c r="BN526" s="124"/>
      <c r="BO526" s="124"/>
      <c r="BP526" s="124"/>
      <c r="BQ526" s="124"/>
      <c r="BR526" s="124"/>
      <c r="BS526" s="124"/>
      <c r="BT526" s="124"/>
      <c r="BU526" s="124"/>
      <c r="BV526" s="124"/>
      <c r="BW526" s="124"/>
      <c r="BX526" s="124"/>
      <c r="BY526" s="124"/>
      <c r="BZ526" s="124"/>
      <c r="CA526" s="124"/>
    </row>
    <row r="527">
      <c r="A527" s="106"/>
      <c r="B527" s="207"/>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c r="AA527" s="106"/>
      <c r="AB527" s="106"/>
      <c r="AC527" s="106"/>
      <c r="AD527" s="106"/>
      <c r="AE527" s="106"/>
      <c r="AF527" s="106"/>
      <c r="AG527" s="106"/>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c r="BK527" s="124"/>
      <c r="BL527" s="124"/>
      <c r="BM527" s="124"/>
      <c r="BN527" s="124"/>
      <c r="BO527" s="124"/>
      <c r="BP527" s="124"/>
      <c r="BQ527" s="124"/>
      <c r="BR527" s="124"/>
      <c r="BS527" s="124"/>
      <c r="BT527" s="124"/>
      <c r="BU527" s="124"/>
      <c r="BV527" s="124"/>
      <c r="BW527" s="124"/>
      <c r="BX527" s="124"/>
      <c r="BY527" s="124"/>
      <c r="BZ527" s="124"/>
      <c r="CA527" s="124"/>
    </row>
    <row r="528">
      <c r="A528" s="106"/>
      <c r="B528" s="207"/>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c r="AA528" s="106"/>
      <c r="AB528" s="106"/>
      <c r="AC528" s="106"/>
      <c r="AD528" s="106"/>
      <c r="AE528" s="106"/>
      <c r="AF528" s="106"/>
      <c r="AG528" s="106"/>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c r="BK528" s="124"/>
      <c r="BL528" s="124"/>
      <c r="BM528" s="124"/>
      <c r="BN528" s="124"/>
      <c r="BO528" s="124"/>
      <c r="BP528" s="124"/>
      <c r="BQ528" s="124"/>
      <c r="BR528" s="124"/>
      <c r="BS528" s="124"/>
      <c r="BT528" s="124"/>
      <c r="BU528" s="124"/>
      <c r="BV528" s="124"/>
      <c r="BW528" s="124"/>
      <c r="BX528" s="124"/>
      <c r="BY528" s="124"/>
      <c r="BZ528" s="124"/>
      <c r="CA528" s="124"/>
    </row>
    <row r="529">
      <c r="A529" s="106"/>
      <c r="B529" s="207"/>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c r="AA529" s="106"/>
      <c r="AB529" s="106"/>
      <c r="AC529" s="106"/>
      <c r="AD529" s="106"/>
      <c r="AE529" s="106"/>
      <c r="AF529" s="106"/>
      <c r="AG529" s="106"/>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c r="BK529" s="124"/>
      <c r="BL529" s="124"/>
      <c r="BM529" s="124"/>
      <c r="BN529" s="124"/>
      <c r="BO529" s="124"/>
      <c r="BP529" s="124"/>
      <c r="BQ529" s="124"/>
      <c r="BR529" s="124"/>
      <c r="BS529" s="124"/>
      <c r="BT529" s="124"/>
      <c r="BU529" s="124"/>
      <c r="BV529" s="124"/>
      <c r="BW529" s="124"/>
      <c r="BX529" s="124"/>
      <c r="BY529" s="124"/>
      <c r="BZ529" s="124"/>
      <c r="CA529" s="124"/>
    </row>
    <row r="530">
      <c r="A530" s="106"/>
      <c r="B530" s="207"/>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c r="AA530" s="106"/>
      <c r="AB530" s="106"/>
      <c r="AC530" s="106"/>
      <c r="AD530" s="106"/>
      <c r="AE530" s="106"/>
      <c r="AF530" s="106"/>
      <c r="AG530" s="106"/>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c r="BK530" s="124"/>
      <c r="BL530" s="124"/>
      <c r="BM530" s="124"/>
      <c r="BN530" s="124"/>
      <c r="BO530" s="124"/>
      <c r="BP530" s="124"/>
      <c r="BQ530" s="124"/>
      <c r="BR530" s="124"/>
      <c r="BS530" s="124"/>
      <c r="BT530" s="124"/>
      <c r="BU530" s="124"/>
      <c r="BV530" s="124"/>
      <c r="BW530" s="124"/>
      <c r="BX530" s="124"/>
      <c r="BY530" s="124"/>
      <c r="BZ530" s="124"/>
      <c r="CA530" s="124"/>
    </row>
    <row r="531">
      <c r="A531" s="106"/>
      <c r="B531" s="207"/>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c r="AA531" s="106"/>
      <c r="AB531" s="106"/>
      <c r="AC531" s="106"/>
      <c r="AD531" s="106"/>
      <c r="AE531" s="106"/>
      <c r="AF531" s="106"/>
      <c r="AG531" s="106"/>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c r="BK531" s="124"/>
      <c r="BL531" s="124"/>
      <c r="BM531" s="124"/>
      <c r="BN531" s="124"/>
      <c r="BO531" s="124"/>
      <c r="BP531" s="124"/>
      <c r="BQ531" s="124"/>
      <c r="BR531" s="124"/>
      <c r="BS531" s="124"/>
      <c r="BT531" s="124"/>
      <c r="BU531" s="124"/>
      <c r="BV531" s="124"/>
      <c r="BW531" s="124"/>
      <c r="BX531" s="124"/>
      <c r="BY531" s="124"/>
      <c r="BZ531" s="124"/>
      <c r="CA531" s="124"/>
    </row>
    <row r="532">
      <c r="A532" s="106"/>
      <c r="B532" s="207"/>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c r="AA532" s="106"/>
      <c r="AB532" s="106"/>
      <c r="AC532" s="106"/>
      <c r="AD532" s="106"/>
      <c r="AE532" s="106"/>
      <c r="AF532" s="106"/>
      <c r="AG532" s="106"/>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c r="BK532" s="124"/>
      <c r="BL532" s="124"/>
      <c r="BM532" s="124"/>
      <c r="BN532" s="124"/>
      <c r="BO532" s="124"/>
      <c r="BP532" s="124"/>
      <c r="BQ532" s="124"/>
      <c r="BR532" s="124"/>
      <c r="BS532" s="124"/>
      <c r="BT532" s="124"/>
      <c r="BU532" s="124"/>
      <c r="BV532" s="124"/>
      <c r="BW532" s="124"/>
      <c r="BX532" s="124"/>
      <c r="BY532" s="124"/>
      <c r="BZ532" s="124"/>
      <c r="CA532" s="124"/>
    </row>
    <row r="533">
      <c r="A533" s="106"/>
      <c r="B533" s="207"/>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c r="AA533" s="106"/>
      <c r="AB533" s="106"/>
      <c r="AC533" s="106"/>
      <c r="AD533" s="106"/>
      <c r="AE533" s="106"/>
      <c r="AF533" s="106"/>
      <c r="AG533" s="106"/>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c r="BK533" s="124"/>
      <c r="BL533" s="124"/>
      <c r="BM533" s="124"/>
      <c r="BN533" s="124"/>
      <c r="BO533" s="124"/>
      <c r="BP533" s="124"/>
      <c r="BQ533" s="124"/>
      <c r="BR533" s="124"/>
      <c r="BS533" s="124"/>
      <c r="BT533" s="124"/>
      <c r="BU533" s="124"/>
      <c r="BV533" s="124"/>
      <c r="BW533" s="124"/>
      <c r="BX533" s="124"/>
      <c r="BY533" s="124"/>
      <c r="BZ533" s="124"/>
      <c r="CA533" s="124"/>
    </row>
    <row r="534">
      <c r="A534" s="106"/>
      <c r="B534" s="207"/>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c r="AA534" s="106"/>
      <c r="AB534" s="106"/>
      <c r="AC534" s="106"/>
      <c r="AD534" s="106"/>
      <c r="AE534" s="106"/>
      <c r="AF534" s="106"/>
      <c r="AG534" s="106"/>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c r="BK534" s="124"/>
      <c r="BL534" s="124"/>
      <c r="BM534" s="124"/>
      <c r="BN534" s="124"/>
      <c r="BO534" s="124"/>
      <c r="BP534" s="124"/>
      <c r="BQ534" s="124"/>
      <c r="BR534" s="124"/>
      <c r="BS534" s="124"/>
      <c r="BT534" s="124"/>
      <c r="BU534" s="124"/>
      <c r="BV534" s="124"/>
      <c r="BW534" s="124"/>
      <c r="BX534" s="124"/>
      <c r="BY534" s="124"/>
      <c r="BZ534" s="124"/>
      <c r="CA534" s="124"/>
    </row>
    <row r="535">
      <c r="A535" s="106"/>
      <c r="B535" s="207"/>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c r="AA535" s="106"/>
      <c r="AB535" s="106"/>
      <c r="AC535" s="106"/>
      <c r="AD535" s="106"/>
      <c r="AE535" s="106"/>
      <c r="AF535" s="106"/>
      <c r="AG535" s="106"/>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c r="BK535" s="124"/>
      <c r="BL535" s="124"/>
      <c r="BM535" s="124"/>
      <c r="BN535" s="124"/>
      <c r="BO535" s="124"/>
      <c r="BP535" s="124"/>
      <c r="BQ535" s="124"/>
      <c r="BR535" s="124"/>
      <c r="BS535" s="124"/>
      <c r="BT535" s="124"/>
      <c r="BU535" s="124"/>
      <c r="BV535" s="124"/>
      <c r="BW535" s="124"/>
      <c r="BX535" s="124"/>
      <c r="BY535" s="124"/>
      <c r="BZ535" s="124"/>
      <c r="CA535" s="124"/>
    </row>
    <row r="536">
      <c r="A536" s="106"/>
      <c r="B536" s="207"/>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c r="AA536" s="106"/>
      <c r="AB536" s="106"/>
      <c r="AC536" s="106"/>
      <c r="AD536" s="106"/>
      <c r="AE536" s="106"/>
      <c r="AF536" s="106"/>
      <c r="AG536" s="106"/>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c r="BK536" s="124"/>
      <c r="BL536" s="124"/>
      <c r="BM536" s="124"/>
      <c r="BN536" s="124"/>
      <c r="BO536" s="124"/>
      <c r="BP536" s="124"/>
      <c r="BQ536" s="124"/>
      <c r="BR536" s="124"/>
      <c r="BS536" s="124"/>
      <c r="BT536" s="124"/>
      <c r="BU536" s="124"/>
      <c r="BV536" s="124"/>
      <c r="BW536" s="124"/>
      <c r="BX536" s="124"/>
      <c r="BY536" s="124"/>
      <c r="BZ536" s="124"/>
      <c r="CA536" s="124"/>
    </row>
    <row r="537">
      <c r="A537" s="106"/>
      <c r="B537" s="207"/>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c r="AA537" s="106"/>
      <c r="AB537" s="106"/>
      <c r="AC537" s="106"/>
      <c r="AD537" s="106"/>
      <c r="AE537" s="106"/>
      <c r="AF537" s="106"/>
      <c r="AG537" s="106"/>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c r="BK537" s="124"/>
      <c r="BL537" s="124"/>
      <c r="BM537" s="124"/>
      <c r="BN537" s="124"/>
      <c r="BO537" s="124"/>
      <c r="BP537" s="124"/>
      <c r="BQ537" s="124"/>
      <c r="BR537" s="124"/>
      <c r="BS537" s="124"/>
      <c r="BT537" s="124"/>
      <c r="BU537" s="124"/>
      <c r="BV537" s="124"/>
      <c r="BW537" s="124"/>
      <c r="BX537" s="124"/>
      <c r="BY537" s="124"/>
      <c r="BZ537" s="124"/>
      <c r="CA537" s="124"/>
    </row>
    <row r="538">
      <c r="A538" s="106"/>
      <c r="B538" s="207"/>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c r="AA538" s="106"/>
      <c r="AB538" s="106"/>
      <c r="AC538" s="106"/>
      <c r="AD538" s="106"/>
      <c r="AE538" s="106"/>
      <c r="AF538" s="106"/>
      <c r="AG538" s="106"/>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c r="BK538" s="124"/>
      <c r="BL538" s="124"/>
      <c r="BM538" s="124"/>
      <c r="BN538" s="124"/>
      <c r="BO538" s="124"/>
      <c r="BP538" s="124"/>
      <c r="BQ538" s="124"/>
      <c r="BR538" s="124"/>
      <c r="BS538" s="124"/>
      <c r="BT538" s="124"/>
      <c r="BU538" s="124"/>
      <c r="BV538" s="124"/>
      <c r="BW538" s="124"/>
      <c r="BX538" s="124"/>
      <c r="BY538" s="124"/>
      <c r="BZ538" s="124"/>
      <c r="CA538" s="124"/>
    </row>
    <row r="539">
      <c r="A539" s="106"/>
      <c r="B539" s="207"/>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c r="AA539" s="106"/>
      <c r="AB539" s="106"/>
      <c r="AC539" s="106"/>
      <c r="AD539" s="106"/>
      <c r="AE539" s="106"/>
      <c r="AF539" s="106"/>
      <c r="AG539" s="106"/>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c r="BK539" s="124"/>
      <c r="BL539" s="124"/>
      <c r="BM539" s="124"/>
      <c r="BN539" s="124"/>
      <c r="BO539" s="124"/>
      <c r="BP539" s="124"/>
      <c r="BQ539" s="124"/>
      <c r="BR539" s="124"/>
      <c r="BS539" s="124"/>
      <c r="BT539" s="124"/>
      <c r="BU539" s="124"/>
      <c r="BV539" s="124"/>
      <c r="BW539" s="124"/>
      <c r="BX539" s="124"/>
      <c r="BY539" s="124"/>
      <c r="BZ539" s="124"/>
      <c r="CA539" s="124"/>
    </row>
    <row r="540">
      <c r="A540" s="106"/>
      <c r="B540" s="207"/>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c r="AA540" s="106"/>
      <c r="AB540" s="106"/>
      <c r="AC540" s="106"/>
      <c r="AD540" s="106"/>
      <c r="AE540" s="106"/>
      <c r="AF540" s="106"/>
      <c r="AG540" s="106"/>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c r="BK540" s="124"/>
      <c r="BL540" s="124"/>
      <c r="BM540" s="124"/>
      <c r="BN540" s="124"/>
      <c r="BO540" s="124"/>
      <c r="BP540" s="124"/>
      <c r="BQ540" s="124"/>
      <c r="BR540" s="124"/>
      <c r="BS540" s="124"/>
      <c r="BT540" s="124"/>
      <c r="BU540" s="124"/>
      <c r="BV540" s="124"/>
      <c r="BW540" s="124"/>
      <c r="BX540" s="124"/>
      <c r="BY540" s="124"/>
      <c r="BZ540" s="124"/>
      <c r="CA540" s="124"/>
    </row>
    <row r="541">
      <c r="A541" s="106"/>
      <c r="B541" s="207"/>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c r="AA541" s="106"/>
      <c r="AB541" s="106"/>
      <c r="AC541" s="106"/>
      <c r="AD541" s="106"/>
      <c r="AE541" s="106"/>
      <c r="AF541" s="106"/>
      <c r="AG541" s="106"/>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c r="BK541" s="124"/>
      <c r="BL541" s="124"/>
      <c r="BM541" s="124"/>
      <c r="BN541" s="124"/>
      <c r="BO541" s="124"/>
      <c r="BP541" s="124"/>
      <c r="BQ541" s="124"/>
      <c r="BR541" s="124"/>
      <c r="BS541" s="124"/>
      <c r="BT541" s="124"/>
      <c r="BU541" s="124"/>
      <c r="BV541" s="124"/>
      <c r="BW541" s="124"/>
      <c r="BX541" s="124"/>
      <c r="BY541" s="124"/>
      <c r="BZ541" s="124"/>
      <c r="CA541" s="124"/>
    </row>
    <row r="542">
      <c r="A542" s="106"/>
      <c r="B542" s="207"/>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c r="AA542" s="106"/>
      <c r="AB542" s="106"/>
      <c r="AC542" s="106"/>
      <c r="AD542" s="106"/>
      <c r="AE542" s="106"/>
      <c r="AF542" s="106"/>
      <c r="AG542" s="106"/>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row>
    <row r="543">
      <c r="A543" s="106"/>
      <c r="B543" s="207"/>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c r="AA543" s="106"/>
      <c r="AB543" s="106"/>
      <c r="AC543" s="106"/>
      <c r="AD543" s="106"/>
      <c r="AE543" s="106"/>
      <c r="AF543" s="106"/>
      <c r="AG543" s="106"/>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c r="BK543" s="124"/>
      <c r="BL543" s="124"/>
      <c r="BM543" s="124"/>
      <c r="BN543" s="124"/>
      <c r="BO543" s="124"/>
      <c r="BP543" s="124"/>
      <c r="BQ543" s="124"/>
      <c r="BR543" s="124"/>
      <c r="BS543" s="124"/>
      <c r="BT543" s="124"/>
      <c r="BU543" s="124"/>
      <c r="BV543" s="124"/>
      <c r="BW543" s="124"/>
      <c r="BX543" s="124"/>
      <c r="BY543" s="124"/>
      <c r="BZ543" s="124"/>
      <c r="CA543" s="124"/>
    </row>
    <row r="544">
      <c r="A544" s="106"/>
      <c r="B544" s="207"/>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c r="AA544" s="106"/>
      <c r="AB544" s="106"/>
      <c r="AC544" s="106"/>
      <c r="AD544" s="106"/>
      <c r="AE544" s="106"/>
      <c r="AF544" s="106"/>
      <c r="AG544" s="106"/>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c r="BK544" s="124"/>
      <c r="BL544" s="124"/>
      <c r="BM544" s="124"/>
      <c r="BN544" s="124"/>
      <c r="BO544" s="124"/>
      <c r="BP544" s="124"/>
      <c r="BQ544" s="124"/>
      <c r="BR544" s="124"/>
      <c r="BS544" s="124"/>
      <c r="BT544" s="124"/>
      <c r="BU544" s="124"/>
      <c r="BV544" s="124"/>
      <c r="BW544" s="124"/>
      <c r="BX544" s="124"/>
      <c r="BY544" s="124"/>
      <c r="BZ544" s="124"/>
      <c r="CA544" s="124"/>
    </row>
    <row r="545">
      <c r="A545" s="106"/>
      <c r="B545" s="207"/>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c r="AA545" s="106"/>
      <c r="AB545" s="106"/>
      <c r="AC545" s="106"/>
      <c r="AD545" s="106"/>
      <c r="AE545" s="106"/>
      <c r="AF545" s="106"/>
      <c r="AG545" s="106"/>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c r="BK545" s="124"/>
      <c r="BL545" s="124"/>
      <c r="BM545" s="124"/>
      <c r="BN545" s="124"/>
      <c r="BO545" s="124"/>
      <c r="BP545" s="124"/>
      <c r="BQ545" s="124"/>
      <c r="BR545" s="124"/>
      <c r="BS545" s="124"/>
      <c r="BT545" s="124"/>
      <c r="BU545" s="124"/>
      <c r="BV545" s="124"/>
      <c r="BW545" s="124"/>
      <c r="BX545" s="124"/>
      <c r="BY545" s="124"/>
      <c r="BZ545" s="124"/>
      <c r="CA545" s="124"/>
    </row>
    <row r="546">
      <c r="A546" s="106"/>
      <c r="B546" s="207"/>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c r="AA546" s="106"/>
      <c r="AB546" s="106"/>
      <c r="AC546" s="106"/>
      <c r="AD546" s="106"/>
      <c r="AE546" s="106"/>
      <c r="AF546" s="106"/>
      <c r="AG546" s="106"/>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c r="BK546" s="124"/>
      <c r="BL546" s="124"/>
      <c r="BM546" s="124"/>
      <c r="BN546" s="124"/>
      <c r="BO546" s="124"/>
      <c r="BP546" s="124"/>
      <c r="BQ546" s="124"/>
      <c r="BR546" s="124"/>
      <c r="BS546" s="124"/>
      <c r="BT546" s="124"/>
      <c r="BU546" s="124"/>
      <c r="BV546" s="124"/>
      <c r="BW546" s="124"/>
      <c r="BX546" s="124"/>
      <c r="BY546" s="124"/>
      <c r="BZ546" s="124"/>
      <c r="CA546" s="124"/>
    </row>
    <row r="547">
      <c r="A547" s="106"/>
      <c r="B547" s="207"/>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c r="AA547" s="106"/>
      <c r="AB547" s="106"/>
      <c r="AC547" s="106"/>
      <c r="AD547" s="106"/>
      <c r="AE547" s="106"/>
      <c r="AF547" s="106"/>
      <c r="AG547" s="106"/>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c r="BK547" s="124"/>
      <c r="BL547" s="124"/>
      <c r="BM547" s="124"/>
      <c r="BN547" s="124"/>
      <c r="BO547" s="124"/>
      <c r="BP547" s="124"/>
      <c r="BQ547" s="124"/>
      <c r="BR547" s="124"/>
      <c r="BS547" s="124"/>
      <c r="BT547" s="124"/>
      <c r="BU547" s="124"/>
      <c r="BV547" s="124"/>
      <c r="BW547" s="124"/>
      <c r="BX547" s="124"/>
      <c r="BY547" s="124"/>
      <c r="BZ547" s="124"/>
      <c r="CA547" s="124"/>
    </row>
    <row r="548">
      <c r="A548" s="106"/>
      <c r="B548" s="207"/>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c r="AA548" s="106"/>
      <c r="AB548" s="106"/>
      <c r="AC548" s="106"/>
      <c r="AD548" s="106"/>
      <c r="AE548" s="106"/>
      <c r="AF548" s="106"/>
      <c r="AG548" s="106"/>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row>
    <row r="549">
      <c r="A549" s="106"/>
      <c r="B549" s="207"/>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c r="AA549" s="106"/>
      <c r="AB549" s="106"/>
      <c r="AC549" s="106"/>
      <c r="AD549" s="106"/>
      <c r="AE549" s="106"/>
      <c r="AF549" s="106"/>
      <c r="AG549" s="106"/>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c r="BK549" s="124"/>
      <c r="BL549" s="124"/>
      <c r="BM549" s="124"/>
      <c r="BN549" s="124"/>
      <c r="BO549" s="124"/>
      <c r="BP549" s="124"/>
      <c r="BQ549" s="124"/>
      <c r="BR549" s="124"/>
      <c r="BS549" s="124"/>
      <c r="BT549" s="124"/>
      <c r="BU549" s="124"/>
      <c r="BV549" s="124"/>
      <c r="BW549" s="124"/>
      <c r="BX549" s="124"/>
      <c r="BY549" s="124"/>
      <c r="BZ549" s="124"/>
      <c r="CA549" s="124"/>
    </row>
    <row r="550">
      <c r="A550" s="106"/>
      <c r="B550" s="207"/>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c r="AA550" s="106"/>
      <c r="AB550" s="106"/>
      <c r="AC550" s="106"/>
      <c r="AD550" s="106"/>
      <c r="AE550" s="106"/>
      <c r="AF550" s="106"/>
      <c r="AG550" s="106"/>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c r="BK550" s="124"/>
      <c r="BL550" s="124"/>
      <c r="BM550" s="124"/>
      <c r="BN550" s="124"/>
      <c r="BO550" s="124"/>
      <c r="BP550" s="124"/>
      <c r="BQ550" s="124"/>
      <c r="BR550" s="124"/>
      <c r="BS550" s="124"/>
      <c r="BT550" s="124"/>
      <c r="BU550" s="124"/>
      <c r="BV550" s="124"/>
      <c r="BW550" s="124"/>
      <c r="BX550" s="124"/>
      <c r="BY550" s="124"/>
      <c r="BZ550" s="124"/>
      <c r="CA550" s="124"/>
    </row>
    <row r="551">
      <c r="A551" s="106"/>
      <c r="B551" s="207"/>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c r="AA551" s="106"/>
      <c r="AB551" s="106"/>
      <c r="AC551" s="106"/>
      <c r="AD551" s="106"/>
      <c r="AE551" s="106"/>
      <c r="AF551" s="106"/>
      <c r="AG551" s="106"/>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c r="BK551" s="124"/>
      <c r="BL551" s="124"/>
      <c r="BM551" s="124"/>
      <c r="BN551" s="124"/>
      <c r="BO551" s="124"/>
      <c r="BP551" s="124"/>
      <c r="BQ551" s="124"/>
      <c r="BR551" s="124"/>
      <c r="BS551" s="124"/>
      <c r="BT551" s="124"/>
      <c r="BU551" s="124"/>
      <c r="BV551" s="124"/>
      <c r="BW551" s="124"/>
      <c r="BX551" s="124"/>
      <c r="BY551" s="124"/>
      <c r="BZ551" s="124"/>
      <c r="CA551" s="124"/>
    </row>
    <row r="552">
      <c r="A552" s="106"/>
      <c r="B552" s="207"/>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c r="AA552" s="106"/>
      <c r="AB552" s="106"/>
      <c r="AC552" s="106"/>
      <c r="AD552" s="106"/>
      <c r="AE552" s="106"/>
      <c r="AF552" s="106"/>
      <c r="AG552" s="106"/>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c r="BK552" s="124"/>
      <c r="BL552" s="124"/>
      <c r="BM552" s="124"/>
      <c r="BN552" s="124"/>
      <c r="BO552" s="124"/>
      <c r="BP552" s="124"/>
      <c r="BQ552" s="124"/>
      <c r="BR552" s="124"/>
      <c r="BS552" s="124"/>
      <c r="BT552" s="124"/>
      <c r="BU552" s="124"/>
      <c r="BV552" s="124"/>
      <c r="BW552" s="124"/>
      <c r="BX552" s="124"/>
      <c r="BY552" s="124"/>
      <c r="BZ552" s="124"/>
      <c r="CA552" s="124"/>
    </row>
    <row r="553">
      <c r="A553" s="106"/>
      <c r="B553" s="207"/>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c r="AA553" s="106"/>
      <c r="AB553" s="106"/>
      <c r="AC553" s="106"/>
      <c r="AD553" s="106"/>
      <c r="AE553" s="106"/>
      <c r="AF553" s="106"/>
      <c r="AG553" s="106"/>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c r="BK553" s="124"/>
      <c r="BL553" s="124"/>
      <c r="BM553" s="124"/>
      <c r="BN553" s="124"/>
      <c r="BO553" s="124"/>
      <c r="BP553" s="124"/>
      <c r="BQ553" s="124"/>
      <c r="BR553" s="124"/>
      <c r="BS553" s="124"/>
      <c r="BT553" s="124"/>
      <c r="BU553" s="124"/>
      <c r="BV553" s="124"/>
      <c r="BW553" s="124"/>
      <c r="BX553" s="124"/>
      <c r="BY553" s="124"/>
      <c r="BZ553" s="124"/>
      <c r="CA553" s="124"/>
    </row>
    <row r="554">
      <c r="A554" s="106"/>
      <c r="B554" s="207"/>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c r="AA554" s="106"/>
      <c r="AB554" s="106"/>
      <c r="AC554" s="106"/>
      <c r="AD554" s="106"/>
      <c r="AE554" s="106"/>
      <c r="AF554" s="106"/>
      <c r="AG554" s="106"/>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row>
    <row r="555">
      <c r="A555" s="106"/>
      <c r="B555" s="207"/>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c r="AA555" s="106"/>
      <c r="AB555" s="106"/>
      <c r="AC555" s="106"/>
      <c r="AD555" s="106"/>
      <c r="AE555" s="106"/>
      <c r="AF555" s="106"/>
      <c r="AG555" s="106"/>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c r="BK555" s="124"/>
      <c r="BL555" s="124"/>
      <c r="BM555" s="124"/>
      <c r="BN555" s="124"/>
      <c r="BO555" s="124"/>
      <c r="BP555" s="124"/>
      <c r="BQ555" s="124"/>
      <c r="BR555" s="124"/>
      <c r="BS555" s="124"/>
      <c r="BT555" s="124"/>
      <c r="BU555" s="124"/>
      <c r="BV555" s="124"/>
      <c r="BW555" s="124"/>
      <c r="BX555" s="124"/>
      <c r="BY555" s="124"/>
      <c r="BZ555" s="124"/>
      <c r="CA555" s="124"/>
    </row>
    <row r="556">
      <c r="A556" s="106"/>
      <c r="B556" s="207"/>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c r="AA556" s="106"/>
      <c r="AB556" s="106"/>
      <c r="AC556" s="106"/>
      <c r="AD556" s="106"/>
      <c r="AE556" s="106"/>
      <c r="AF556" s="106"/>
      <c r="AG556" s="106"/>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c r="BK556" s="124"/>
      <c r="BL556" s="124"/>
      <c r="BM556" s="124"/>
      <c r="BN556" s="124"/>
      <c r="BO556" s="124"/>
      <c r="BP556" s="124"/>
      <c r="BQ556" s="124"/>
      <c r="BR556" s="124"/>
      <c r="BS556" s="124"/>
      <c r="BT556" s="124"/>
      <c r="BU556" s="124"/>
      <c r="BV556" s="124"/>
      <c r="BW556" s="124"/>
      <c r="BX556" s="124"/>
      <c r="BY556" s="124"/>
      <c r="BZ556" s="124"/>
      <c r="CA556" s="124"/>
    </row>
    <row r="557">
      <c r="A557" s="106"/>
      <c r="B557" s="207"/>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c r="AA557" s="106"/>
      <c r="AB557" s="106"/>
      <c r="AC557" s="106"/>
      <c r="AD557" s="106"/>
      <c r="AE557" s="106"/>
      <c r="AF557" s="106"/>
      <c r="AG557" s="106"/>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c r="BK557" s="124"/>
      <c r="BL557" s="124"/>
      <c r="BM557" s="124"/>
      <c r="BN557" s="124"/>
      <c r="BO557" s="124"/>
      <c r="BP557" s="124"/>
      <c r="BQ557" s="124"/>
      <c r="BR557" s="124"/>
      <c r="BS557" s="124"/>
      <c r="BT557" s="124"/>
      <c r="BU557" s="124"/>
      <c r="BV557" s="124"/>
      <c r="BW557" s="124"/>
      <c r="BX557" s="124"/>
      <c r="BY557" s="124"/>
      <c r="BZ557" s="124"/>
      <c r="CA557" s="124"/>
    </row>
    <row r="558">
      <c r="A558" s="106"/>
      <c r="B558" s="207"/>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c r="AA558" s="106"/>
      <c r="AB558" s="106"/>
      <c r="AC558" s="106"/>
      <c r="AD558" s="106"/>
      <c r="AE558" s="106"/>
      <c r="AF558" s="106"/>
      <c r="AG558" s="106"/>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c r="BK558" s="124"/>
      <c r="BL558" s="124"/>
      <c r="BM558" s="124"/>
      <c r="BN558" s="124"/>
      <c r="BO558" s="124"/>
      <c r="BP558" s="124"/>
      <c r="BQ558" s="124"/>
      <c r="BR558" s="124"/>
      <c r="BS558" s="124"/>
      <c r="BT558" s="124"/>
      <c r="BU558" s="124"/>
      <c r="BV558" s="124"/>
      <c r="BW558" s="124"/>
      <c r="BX558" s="124"/>
      <c r="BY558" s="124"/>
      <c r="BZ558" s="124"/>
      <c r="CA558" s="124"/>
    </row>
    <row r="559">
      <c r="A559" s="106"/>
      <c r="B559" s="207"/>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c r="AA559" s="106"/>
      <c r="AB559" s="106"/>
      <c r="AC559" s="106"/>
      <c r="AD559" s="106"/>
      <c r="AE559" s="106"/>
      <c r="AF559" s="106"/>
      <c r="AG559" s="106"/>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c r="BK559" s="124"/>
      <c r="BL559" s="124"/>
      <c r="BM559" s="124"/>
      <c r="BN559" s="124"/>
      <c r="BO559" s="124"/>
      <c r="BP559" s="124"/>
      <c r="BQ559" s="124"/>
      <c r="BR559" s="124"/>
      <c r="BS559" s="124"/>
      <c r="BT559" s="124"/>
      <c r="BU559" s="124"/>
      <c r="BV559" s="124"/>
      <c r="BW559" s="124"/>
      <c r="BX559" s="124"/>
      <c r="BY559" s="124"/>
      <c r="BZ559" s="124"/>
      <c r="CA559" s="124"/>
    </row>
    <row r="560">
      <c r="A560" s="106"/>
      <c r="B560" s="207"/>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c r="AA560" s="106"/>
      <c r="AB560" s="106"/>
      <c r="AC560" s="106"/>
      <c r="AD560" s="106"/>
      <c r="AE560" s="106"/>
      <c r="AF560" s="106"/>
      <c r="AG560" s="106"/>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row>
    <row r="561">
      <c r="A561" s="106"/>
      <c r="B561" s="207"/>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c r="AA561" s="106"/>
      <c r="AB561" s="106"/>
      <c r="AC561" s="106"/>
      <c r="AD561" s="106"/>
      <c r="AE561" s="106"/>
      <c r="AF561" s="106"/>
      <c r="AG561" s="106"/>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c r="BK561" s="124"/>
      <c r="BL561" s="124"/>
      <c r="BM561" s="124"/>
      <c r="BN561" s="124"/>
      <c r="BO561" s="124"/>
      <c r="BP561" s="124"/>
      <c r="BQ561" s="124"/>
      <c r="BR561" s="124"/>
      <c r="BS561" s="124"/>
      <c r="BT561" s="124"/>
      <c r="BU561" s="124"/>
      <c r="BV561" s="124"/>
      <c r="BW561" s="124"/>
      <c r="BX561" s="124"/>
      <c r="BY561" s="124"/>
      <c r="BZ561" s="124"/>
      <c r="CA561" s="124"/>
    </row>
    <row r="562">
      <c r="A562" s="106"/>
      <c r="B562" s="207"/>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c r="AA562" s="106"/>
      <c r="AB562" s="106"/>
      <c r="AC562" s="106"/>
      <c r="AD562" s="106"/>
      <c r="AE562" s="106"/>
      <c r="AF562" s="106"/>
      <c r="AG562" s="106"/>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c r="BK562" s="124"/>
      <c r="BL562" s="124"/>
      <c r="BM562" s="124"/>
      <c r="BN562" s="124"/>
      <c r="BO562" s="124"/>
      <c r="BP562" s="124"/>
      <c r="BQ562" s="124"/>
      <c r="BR562" s="124"/>
      <c r="BS562" s="124"/>
      <c r="BT562" s="124"/>
      <c r="BU562" s="124"/>
      <c r="BV562" s="124"/>
      <c r="BW562" s="124"/>
      <c r="BX562" s="124"/>
      <c r="BY562" s="124"/>
      <c r="BZ562" s="124"/>
      <c r="CA562" s="124"/>
    </row>
    <row r="563">
      <c r="A563" s="106"/>
      <c r="B563" s="207"/>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c r="AA563" s="106"/>
      <c r="AB563" s="106"/>
      <c r="AC563" s="106"/>
      <c r="AD563" s="106"/>
      <c r="AE563" s="106"/>
      <c r="AF563" s="106"/>
      <c r="AG563" s="106"/>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c r="BK563" s="124"/>
      <c r="BL563" s="124"/>
      <c r="BM563" s="124"/>
      <c r="BN563" s="124"/>
      <c r="BO563" s="124"/>
      <c r="BP563" s="124"/>
      <c r="BQ563" s="124"/>
      <c r="BR563" s="124"/>
      <c r="BS563" s="124"/>
      <c r="BT563" s="124"/>
      <c r="BU563" s="124"/>
      <c r="BV563" s="124"/>
      <c r="BW563" s="124"/>
      <c r="BX563" s="124"/>
      <c r="BY563" s="124"/>
      <c r="BZ563" s="124"/>
      <c r="CA563" s="124"/>
    </row>
    <row r="564">
      <c r="A564" s="106"/>
      <c r="B564" s="207"/>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c r="AA564" s="106"/>
      <c r="AB564" s="106"/>
      <c r="AC564" s="106"/>
      <c r="AD564" s="106"/>
      <c r="AE564" s="106"/>
      <c r="AF564" s="106"/>
      <c r="AG564" s="106"/>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c r="BK564" s="124"/>
      <c r="BL564" s="124"/>
      <c r="BM564" s="124"/>
      <c r="BN564" s="124"/>
      <c r="BO564" s="124"/>
      <c r="BP564" s="124"/>
      <c r="BQ564" s="124"/>
      <c r="BR564" s="124"/>
      <c r="BS564" s="124"/>
      <c r="BT564" s="124"/>
      <c r="BU564" s="124"/>
      <c r="BV564" s="124"/>
      <c r="BW564" s="124"/>
      <c r="BX564" s="124"/>
      <c r="BY564" s="124"/>
      <c r="BZ564" s="124"/>
      <c r="CA564" s="124"/>
    </row>
    <row r="565">
      <c r="A565" s="106"/>
      <c r="B565" s="207"/>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c r="AA565" s="106"/>
      <c r="AB565" s="106"/>
      <c r="AC565" s="106"/>
      <c r="AD565" s="106"/>
      <c r="AE565" s="106"/>
      <c r="AF565" s="106"/>
      <c r="AG565" s="106"/>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c r="BK565" s="124"/>
      <c r="BL565" s="124"/>
      <c r="BM565" s="124"/>
      <c r="BN565" s="124"/>
      <c r="BO565" s="124"/>
      <c r="BP565" s="124"/>
      <c r="BQ565" s="124"/>
      <c r="BR565" s="124"/>
      <c r="BS565" s="124"/>
      <c r="BT565" s="124"/>
      <c r="BU565" s="124"/>
      <c r="BV565" s="124"/>
      <c r="BW565" s="124"/>
      <c r="BX565" s="124"/>
      <c r="BY565" s="124"/>
      <c r="BZ565" s="124"/>
      <c r="CA565" s="124"/>
    </row>
    <row r="566">
      <c r="A566" s="106"/>
      <c r="B566" s="207"/>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c r="AA566" s="106"/>
      <c r="AB566" s="106"/>
      <c r="AC566" s="106"/>
      <c r="AD566" s="106"/>
      <c r="AE566" s="106"/>
      <c r="AF566" s="106"/>
      <c r="AG566" s="106"/>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row>
    <row r="567">
      <c r="A567" s="106"/>
      <c r="B567" s="207"/>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c r="AA567" s="106"/>
      <c r="AB567" s="106"/>
      <c r="AC567" s="106"/>
      <c r="AD567" s="106"/>
      <c r="AE567" s="106"/>
      <c r="AF567" s="106"/>
      <c r="AG567" s="106"/>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c r="BK567" s="124"/>
      <c r="BL567" s="124"/>
      <c r="BM567" s="124"/>
      <c r="BN567" s="124"/>
      <c r="BO567" s="124"/>
      <c r="BP567" s="124"/>
      <c r="BQ567" s="124"/>
      <c r="BR567" s="124"/>
      <c r="BS567" s="124"/>
      <c r="BT567" s="124"/>
      <c r="BU567" s="124"/>
      <c r="BV567" s="124"/>
      <c r="BW567" s="124"/>
      <c r="BX567" s="124"/>
      <c r="BY567" s="124"/>
      <c r="BZ567" s="124"/>
      <c r="CA567" s="124"/>
    </row>
    <row r="568">
      <c r="A568" s="106"/>
      <c r="B568" s="207"/>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6"/>
      <c r="AF568" s="106"/>
      <c r="AG568" s="106"/>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c r="BK568" s="124"/>
      <c r="BL568" s="124"/>
      <c r="BM568" s="124"/>
      <c r="BN568" s="124"/>
      <c r="BO568" s="124"/>
      <c r="BP568" s="124"/>
      <c r="BQ568" s="124"/>
      <c r="BR568" s="124"/>
      <c r="BS568" s="124"/>
      <c r="BT568" s="124"/>
      <c r="BU568" s="124"/>
      <c r="BV568" s="124"/>
      <c r="BW568" s="124"/>
      <c r="BX568" s="124"/>
      <c r="BY568" s="124"/>
      <c r="BZ568" s="124"/>
      <c r="CA568" s="124"/>
    </row>
    <row r="569">
      <c r="A569" s="106"/>
      <c r="B569" s="207"/>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c r="AA569" s="106"/>
      <c r="AB569" s="106"/>
      <c r="AC569" s="106"/>
      <c r="AD569" s="106"/>
      <c r="AE569" s="106"/>
      <c r="AF569" s="106"/>
      <c r="AG569" s="106"/>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c r="BK569" s="124"/>
      <c r="BL569" s="124"/>
      <c r="BM569" s="124"/>
      <c r="BN569" s="124"/>
      <c r="BO569" s="124"/>
      <c r="BP569" s="124"/>
      <c r="BQ569" s="124"/>
      <c r="BR569" s="124"/>
      <c r="BS569" s="124"/>
      <c r="BT569" s="124"/>
      <c r="BU569" s="124"/>
      <c r="BV569" s="124"/>
      <c r="BW569" s="124"/>
      <c r="BX569" s="124"/>
      <c r="BY569" s="124"/>
      <c r="BZ569" s="124"/>
      <c r="CA569" s="124"/>
    </row>
    <row r="570">
      <c r="A570" s="106"/>
      <c r="B570" s="207"/>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c r="AA570" s="106"/>
      <c r="AB570" s="106"/>
      <c r="AC570" s="106"/>
      <c r="AD570" s="106"/>
      <c r="AE570" s="106"/>
      <c r="AF570" s="106"/>
      <c r="AG570" s="106"/>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c r="BK570" s="124"/>
      <c r="BL570" s="124"/>
      <c r="BM570" s="124"/>
      <c r="BN570" s="124"/>
      <c r="BO570" s="124"/>
      <c r="BP570" s="124"/>
      <c r="BQ570" s="124"/>
      <c r="BR570" s="124"/>
      <c r="BS570" s="124"/>
      <c r="BT570" s="124"/>
      <c r="BU570" s="124"/>
      <c r="BV570" s="124"/>
      <c r="BW570" s="124"/>
      <c r="BX570" s="124"/>
      <c r="BY570" s="124"/>
      <c r="BZ570" s="124"/>
      <c r="CA570" s="124"/>
    </row>
    <row r="571">
      <c r="A571" s="106"/>
      <c r="B571" s="207"/>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c r="AA571" s="106"/>
      <c r="AB571" s="106"/>
      <c r="AC571" s="106"/>
      <c r="AD571" s="106"/>
      <c r="AE571" s="106"/>
      <c r="AF571" s="106"/>
      <c r="AG571" s="106"/>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c r="BK571" s="124"/>
      <c r="BL571" s="124"/>
      <c r="BM571" s="124"/>
      <c r="BN571" s="124"/>
      <c r="BO571" s="124"/>
      <c r="BP571" s="124"/>
      <c r="BQ571" s="124"/>
      <c r="BR571" s="124"/>
      <c r="BS571" s="124"/>
      <c r="BT571" s="124"/>
      <c r="BU571" s="124"/>
      <c r="BV571" s="124"/>
      <c r="BW571" s="124"/>
      <c r="BX571" s="124"/>
      <c r="BY571" s="124"/>
      <c r="BZ571" s="124"/>
      <c r="CA571" s="124"/>
    </row>
    <row r="572">
      <c r="A572" s="106"/>
      <c r="B572" s="207"/>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c r="AA572" s="106"/>
      <c r="AB572" s="106"/>
      <c r="AC572" s="106"/>
      <c r="AD572" s="106"/>
      <c r="AE572" s="106"/>
      <c r="AF572" s="106"/>
      <c r="AG572" s="106"/>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row>
    <row r="573">
      <c r="A573" s="106"/>
      <c r="B573" s="207"/>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c r="AA573" s="106"/>
      <c r="AB573" s="106"/>
      <c r="AC573" s="106"/>
      <c r="AD573" s="106"/>
      <c r="AE573" s="106"/>
      <c r="AF573" s="106"/>
      <c r="AG573" s="106"/>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c r="BK573" s="124"/>
      <c r="BL573" s="124"/>
      <c r="BM573" s="124"/>
      <c r="BN573" s="124"/>
      <c r="BO573" s="124"/>
      <c r="BP573" s="124"/>
      <c r="BQ573" s="124"/>
      <c r="BR573" s="124"/>
      <c r="BS573" s="124"/>
      <c r="BT573" s="124"/>
      <c r="BU573" s="124"/>
      <c r="BV573" s="124"/>
      <c r="BW573" s="124"/>
      <c r="BX573" s="124"/>
      <c r="BY573" s="124"/>
      <c r="BZ573" s="124"/>
      <c r="CA573" s="124"/>
    </row>
    <row r="574">
      <c r="A574" s="106"/>
      <c r="B574" s="207"/>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c r="AA574" s="106"/>
      <c r="AB574" s="106"/>
      <c r="AC574" s="106"/>
      <c r="AD574" s="106"/>
      <c r="AE574" s="106"/>
      <c r="AF574" s="106"/>
      <c r="AG574" s="106"/>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c r="BK574" s="124"/>
      <c r="BL574" s="124"/>
      <c r="BM574" s="124"/>
      <c r="BN574" s="124"/>
      <c r="BO574" s="124"/>
      <c r="BP574" s="124"/>
      <c r="BQ574" s="124"/>
      <c r="BR574" s="124"/>
      <c r="BS574" s="124"/>
      <c r="BT574" s="124"/>
      <c r="BU574" s="124"/>
      <c r="BV574" s="124"/>
      <c r="BW574" s="124"/>
      <c r="BX574" s="124"/>
      <c r="BY574" s="124"/>
      <c r="BZ574" s="124"/>
      <c r="CA574" s="124"/>
    </row>
    <row r="575">
      <c r="A575" s="106"/>
      <c r="B575" s="207"/>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c r="AA575" s="106"/>
      <c r="AB575" s="106"/>
      <c r="AC575" s="106"/>
      <c r="AD575" s="106"/>
      <c r="AE575" s="106"/>
      <c r="AF575" s="106"/>
      <c r="AG575" s="106"/>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c r="BK575" s="124"/>
      <c r="BL575" s="124"/>
      <c r="BM575" s="124"/>
      <c r="BN575" s="124"/>
      <c r="BO575" s="124"/>
      <c r="BP575" s="124"/>
      <c r="BQ575" s="124"/>
      <c r="BR575" s="124"/>
      <c r="BS575" s="124"/>
      <c r="BT575" s="124"/>
      <c r="BU575" s="124"/>
      <c r="BV575" s="124"/>
      <c r="BW575" s="124"/>
      <c r="BX575" s="124"/>
      <c r="BY575" s="124"/>
      <c r="BZ575" s="124"/>
      <c r="CA575" s="124"/>
    </row>
    <row r="576">
      <c r="A576" s="106"/>
      <c r="B576" s="207"/>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c r="AA576" s="106"/>
      <c r="AB576" s="106"/>
      <c r="AC576" s="106"/>
      <c r="AD576" s="106"/>
      <c r="AE576" s="106"/>
      <c r="AF576" s="106"/>
      <c r="AG576" s="106"/>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c r="BK576" s="124"/>
      <c r="BL576" s="124"/>
      <c r="BM576" s="124"/>
      <c r="BN576" s="124"/>
      <c r="BO576" s="124"/>
      <c r="BP576" s="124"/>
      <c r="BQ576" s="124"/>
      <c r="BR576" s="124"/>
      <c r="BS576" s="124"/>
      <c r="BT576" s="124"/>
      <c r="BU576" s="124"/>
      <c r="BV576" s="124"/>
      <c r="BW576" s="124"/>
      <c r="BX576" s="124"/>
      <c r="BY576" s="124"/>
      <c r="BZ576" s="124"/>
      <c r="CA576" s="124"/>
    </row>
    <row r="577">
      <c r="A577" s="106"/>
      <c r="B577" s="207"/>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c r="AA577" s="106"/>
      <c r="AB577" s="106"/>
      <c r="AC577" s="106"/>
      <c r="AD577" s="106"/>
      <c r="AE577" s="106"/>
      <c r="AF577" s="106"/>
      <c r="AG577" s="106"/>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c r="BK577" s="124"/>
      <c r="BL577" s="124"/>
      <c r="BM577" s="124"/>
      <c r="BN577" s="124"/>
      <c r="BO577" s="124"/>
      <c r="BP577" s="124"/>
      <c r="BQ577" s="124"/>
      <c r="BR577" s="124"/>
      <c r="BS577" s="124"/>
      <c r="BT577" s="124"/>
      <c r="BU577" s="124"/>
      <c r="BV577" s="124"/>
      <c r="BW577" s="124"/>
      <c r="BX577" s="124"/>
      <c r="BY577" s="124"/>
      <c r="BZ577" s="124"/>
      <c r="CA577" s="124"/>
    </row>
    <row r="578">
      <c r="A578" s="106"/>
      <c r="B578" s="207"/>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c r="AA578" s="106"/>
      <c r="AB578" s="106"/>
      <c r="AC578" s="106"/>
      <c r="AD578" s="106"/>
      <c r="AE578" s="106"/>
      <c r="AF578" s="106"/>
      <c r="AG578" s="106"/>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row>
    <row r="579">
      <c r="A579" s="106"/>
      <c r="B579" s="207"/>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c r="AA579" s="106"/>
      <c r="AB579" s="106"/>
      <c r="AC579" s="106"/>
      <c r="AD579" s="106"/>
      <c r="AE579" s="106"/>
      <c r="AF579" s="106"/>
      <c r="AG579" s="106"/>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c r="BK579" s="124"/>
      <c r="BL579" s="124"/>
      <c r="BM579" s="124"/>
      <c r="BN579" s="124"/>
      <c r="BO579" s="124"/>
      <c r="BP579" s="124"/>
      <c r="BQ579" s="124"/>
      <c r="BR579" s="124"/>
      <c r="BS579" s="124"/>
      <c r="BT579" s="124"/>
      <c r="BU579" s="124"/>
      <c r="BV579" s="124"/>
      <c r="BW579" s="124"/>
      <c r="BX579" s="124"/>
      <c r="BY579" s="124"/>
      <c r="BZ579" s="124"/>
      <c r="CA579" s="124"/>
    </row>
    <row r="580">
      <c r="A580" s="106"/>
      <c r="B580" s="207"/>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c r="AA580" s="106"/>
      <c r="AB580" s="106"/>
      <c r="AC580" s="106"/>
      <c r="AD580" s="106"/>
      <c r="AE580" s="106"/>
      <c r="AF580" s="106"/>
      <c r="AG580" s="106"/>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c r="BK580" s="124"/>
      <c r="BL580" s="124"/>
      <c r="BM580" s="124"/>
      <c r="BN580" s="124"/>
      <c r="BO580" s="124"/>
      <c r="BP580" s="124"/>
      <c r="BQ580" s="124"/>
      <c r="BR580" s="124"/>
      <c r="BS580" s="124"/>
      <c r="BT580" s="124"/>
      <c r="BU580" s="124"/>
      <c r="BV580" s="124"/>
      <c r="BW580" s="124"/>
      <c r="BX580" s="124"/>
      <c r="BY580" s="124"/>
      <c r="BZ580" s="124"/>
      <c r="CA580" s="124"/>
    </row>
    <row r="581">
      <c r="A581" s="106"/>
      <c r="B581" s="207"/>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c r="AA581" s="106"/>
      <c r="AB581" s="106"/>
      <c r="AC581" s="106"/>
      <c r="AD581" s="106"/>
      <c r="AE581" s="106"/>
      <c r="AF581" s="106"/>
      <c r="AG581" s="106"/>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c r="BK581" s="124"/>
      <c r="BL581" s="124"/>
      <c r="BM581" s="124"/>
      <c r="BN581" s="124"/>
      <c r="BO581" s="124"/>
      <c r="BP581" s="124"/>
      <c r="BQ581" s="124"/>
      <c r="BR581" s="124"/>
      <c r="BS581" s="124"/>
      <c r="BT581" s="124"/>
      <c r="BU581" s="124"/>
      <c r="BV581" s="124"/>
      <c r="BW581" s="124"/>
      <c r="BX581" s="124"/>
      <c r="BY581" s="124"/>
      <c r="BZ581" s="124"/>
      <c r="CA581" s="124"/>
    </row>
    <row r="582">
      <c r="A582" s="106"/>
      <c r="B582" s="207"/>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c r="AA582" s="106"/>
      <c r="AB582" s="106"/>
      <c r="AC582" s="106"/>
      <c r="AD582" s="106"/>
      <c r="AE582" s="106"/>
      <c r="AF582" s="106"/>
      <c r="AG582" s="106"/>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c r="BK582" s="124"/>
      <c r="BL582" s="124"/>
      <c r="BM582" s="124"/>
      <c r="BN582" s="124"/>
      <c r="BO582" s="124"/>
      <c r="BP582" s="124"/>
      <c r="BQ582" s="124"/>
      <c r="BR582" s="124"/>
      <c r="BS582" s="124"/>
      <c r="BT582" s="124"/>
      <c r="BU582" s="124"/>
      <c r="BV582" s="124"/>
      <c r="BW582" s="124"/>
      <c r="BX582" s="124"/>
      <c r="BY582" s="124"/>
      <c r="BZ582" s="124"/>
      <c r="CA582" s="124"/>
    </row>
    <row r="583">
      <c r="A583" s="106"/>
      <c r="B583" s="207"/>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c r="AA583" s="106"/>
      <c r="AB583" s="106"/>
      <c r="AC583" s="106"/>
      <c r="AD583" s="106"/>
      <c r="AE583" s="106"/>
      <c r="AF583" s="106"/>
      <c r="AG583" s="106"/>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c r="BK583" s="124"/>
      <c r="BL583" s="124"/>
      <c r="BM583" s="124"/>
      <c r="BN583" s="124"/>
      <c r="BO583" s="124"/>
      <c r="BP583" s="124"/>
      <c r="BQ583" s="124"/>
      <c r="BR583" s="124"/>
      <c r="BS583" s="124"/>
      <c r="BT583" s="124"/>
      <c r="BU583" s="124"/>
      <c r="BV583" s="124"/>
      <c r="BW583" s="124"/>
      <c r="BX583" s="124"/>
      <c r="BY583" s="124"/>
      <c r="BZ583" s="124"/>
      <c r="CA583" s="124"/>
    </row>
    <row r="584">
      <c r="A584" s="106"/>
      <c r="B584" s="207"/>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c r="AA584" s="106"/>
      <c r="AB584" s="106"/>
      <c r="AC584" s="106"/>
      <c r="AD584" s="106"/>
      <c r="AE584" s="106"/>
      <c r="AF584" s="106"/>
      <c r="AG584" s="106"/>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row>
    <row r="585">
      <c r="A585" s="106"/>
      <c r="B585" s="207"/>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c r="AA585" s="106"/>
      <c r="AB585" s="106"/>
      <c r="AC585" s="106"/>
      <c r="AD585" s="106"/>
      <c r="AE585" s="106"/>
      <c r="AF585" s="106"/>
      <c r="AG585" s="106"/>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c r="BK585" s="124"/>
      <c r="BL585" s="124"/>
      <c r="BM585" s="124"/>
      <c r="BN585" s="124"/>
      <c r="BO585" s="124"/>
      <c r="BP585" s="124"/>
      <c r="BQ585" s="124"/>
      <c r="BR585" s="124"/>
      <c r="BS585" s="124"/>
      <c r="BT585" s="124"/>
      <c r="BU585" s="124"/>
      <c r="BV585" s="124"/>
      <c r="BW585" s="124"/>
      <c r="BX585" s="124"/>
      <c r="BY585" s="124"/>
      <c r="BZ585" s="124"/>
      <c r="CA585" s="124"/>
    </row>
    <row r="586">
      <c r="A586" s="106"/>
      <c r="B586" s="207"/>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c r="AA586" s="106"/>
      <c r="AB586" s="106"/>
      <c r="AC586" s="106"/>
      <c r="AD586" s="106"/>
      <c r="AE586" s="106"/>
      <c r="AF586" s="106"/>
      <c r="AG586" s="106"/>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c r="BK586" s="124"/>
      <c r="BL586" s="124"/>
      <c r="BM586" s="124"/>
      <c r="BN586" s="124"/>
      <c r="BO586" s="124"/>
      <c r="BP586" s="124"/>
      <c r="BQ586" s="124"/>
      <c r="BR586" s="124"/>
      <c r="BS586" s="124"/>
      <c r="BT586" s="124"/>
      <c r="BU586" s="124"/>
      <c r="BV586" s="124"/>
      <c r="BW586" s="124"/>
      <c r="BX586" s="124"/>
      <c r="BY586" s="124"/>
      <c r="BZ586" s="124"/>
      <c r="CA586" s="124"/>
    </row>
    <row r="587">
      <c r="A587" s="106"/>
      <c r="B587" s="207"/>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c r="AA587" s="106"/>
      <c r="AB587" s="106"/>
      <c r="AC587" s="106"/>
      <c r="AD587" s="106"/>
      <c r="AE587" s="106"/>
      <c r="AF587" s="106"/>
      <c r="AG587" s="106"/>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c r="BK587" s="124"/>
      <c r="BL587" s="124"/>
      <c r="BM587" s="124"/>
      <c r="BN587" s="124"/>
      <c r="BO587" s="124"/>
      <c r="BP587" s="124"/>
      <c r="BQ587" s="124"/>
      <c r="BR587" s="124"/>
      <c r="BS587" s="124"/>
      <c r="BT587" s="124"/>
      <c r="BU587" s="124"/>
      <c r="BV587" s="124"/>
      <c r="BW587" s="124"/>
      <c r="BX587" s="124"/>
      <c r="BY587" s="124"/>
      <c r="BZ587" s="124"/>
      <c r="CA587" s="124"/>
    </row>
    <row r="588">
      <c r="A588" s="106"/>
      <c r="B588" s="207"/>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c r="AA588" s="106"/>
      <c r="AB588" s="106"/>
      <c r="AC588" s="106"/>
      <c r="AD588" s="106"/>
      <c r="AE588" s="106"/>
      <c r="AF588" s="106"/>
      <c r="AG588" s="106"/>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c r="BK588" s="124"/>
      <c r="BL588" s="124"/>
      <c r="BM588" s="124"/>
      <c r="BN588" s="124"/>
      <c r="BO588" s="124"/>
      <c r="BP588" s="124"/>
      <c r="BQ588" s="124"/>
      <c r="BR588" s="124"/>
      <c r="BS588" s="124"/>
      <c r="BT588" s="124"/>
      <c r="BU588" s="124"/>
      <c r="BV588" s="124"/>
      <c r="BW588" s="124"/>
      <c r="BX588" s="124"/>
      <c r="BY588" s="124"/>
      <c r="BZ588" s="124"/>
      <c r="CA588" s="124"/>
    </row>
    <row r="589">
      <c r="A589" s="106"/>
      <c r="B589" s="207"/>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c r="AA589" s="106"/>
      <c r="AB589" s="106"/>
      <c r="AC589" s="106"/>
      <c r="AD589" s="106"/>
      <c r="AE589" s="106"/>
      <c r="AF589" s="106"/>
      <c r="AG589" s="106"/>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c r="BK589" s="124"/>
      <c r="BL589" s="124"/>
      <c r="BM589" s="124"/>
      <c r="BN589" s="124"/>
      <c r="BO589" s="124"/>
      <c r="BP589" s="124"/>
      <c r="BQ589" s="124"/>
      <c r="BR589" s="124"/>
      <c r="BS589" s="124"/>
      <c r="BT589" s="124"/>
      <c r="BU589" s="124"/>
      <c r="BV589" s="124"/>
      <c r="BW589" s="124"/>
      <c r="BX589" s="124"/>
      <c r="BY589" s="124"/>
      <c r="BZ589" s="124"/>
      <c r="CA589" s="124"/>
    </row>
    <row r="590">
      <c r="A590" s="106"/>
      <c r="B590" s="207"/>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c r="AA590" s="106"/>
      <c r="AB590" s="106"/>
      <c r="AC590" s="106"/>
      <c r="AD590" s="106"/>
      <c r="AE590" s="106"/>
      <c r="AF590" s="106"/>
      <c r="AG590" s="106"/>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row>
    <row r="591">
      <c r="A591" s="106"/>
      <c r="B591" s="207"/>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c r="AA591" s="106"/>
      <c r="AB591" s="106"/>
      <c r="AC591" s="106"/>
      <c r="AD591" s="106"/>
      <c r="AE591" s="106"/>
      <c r="AF591" s="106"/>
      <c r="AG591" s="106"/>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c r="BK591" s="124"/>
      <c r="BL591" s="124"/>
      <c r="BM591" s="124"/>
      <c r="BN591" s="124"/>
      <c r="BO591" s="124"/>
      <c r="BP591" s="124"/>
      <c r="BQ591" s="124"/>
      <c r="BR591" s="124"/>
      <c r="BS591" s="124"/>
      <c r="BT591" s="124"/>
      <c r="BU591" s="124"/>
      <c r="BV591" s="124"/>
      <c r="BW591" s="124"/>
      <c r="BX591" s="124"/>
      <c r="BY591" s="124"/>
      <c r="BZ591" s="124"/>
      <c r="CA591" s="124"/>
    </row>
    <row r="592">
      <c r="A592" s="106"/>
      <c r="B592" s="207"/>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c r="AA592" s="106"/>
      <c r="AB592" s="106"/>
      <c r="AC592" s="106"/>
      <c r="AD592" s="106"/>
      <c r="AE592" s="106"/>
      <c r="AF592" s="106"/>
      <c r="AG592" s="106"/>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c r="BK592" s="124"/>
      <c r="BL592" s="124"/>
      <c r="BM592" s="124"/>
      <c r="BN592" s="124"/>
      <c r="BO592" s="124"/>
      <c r="BP592" s="124"/>
      <c r="BQ592" s="124"/>
      <c r="BR592" s="124"/>
      <c r="BS592" s="124"/>
      <c r="BT592" s="124"/>
      <c r="BU592" s="124"/>
      <c r="BV592" s="124"/>
      <c r="BW592" s="124"/>
      <c r="BX592" s="124"/>
      <c r="BY592" s="124"/>
      <c r="BZ592" s="124"/>
      <c r="CA592" s="124"/>
    </row>
    <row r="593">
      <c r="A593" s="106"/>
      <c r="B593" s="207"/>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c r="AA593" s="106"/>
      <c r="AB593" s="106"/>
      <c r="AC593" s="106"/>
      <c r="AD593" s="106"/>
      <c r="AE593" s="106"/>
      <c r="AF593" s="106"/>
      <c r="AG593" s="106"/>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c r="BK593" s="124"/>
      <c r="BL593" s="124"/>
      <c r="BM593" s="124"/>
      <c r="BN593" s="124"/>
      <c r="BO593" s="124"/>
      <c r="BP593" s="124"/>
      <c r="BQ593" s="124"/>
      <c r="BR593" s="124"/>
      <c r="BS593" s="124"/>
      <c r="BT593" s="124"/>
      <c r="BU593" s="124"/>
      <c r="BV593" s="124"/>
      <c r="BW593" s="124"/>
      <c r="BX593" s="124"/>
      <c r="BY593" s="124"/>
      <c r="BZ593" s="124"/>
      <c r="CA593" s="124"/>
    </row>
    <row r="594">
      <c r="A594" s="106"/>
      <c r="B594" s="207"/>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c r="AA594" s="106"/>
      <c r="AB594" s="106"/>
      <c r="AC594" s="106"/>
      <c r="AD594" s="106"/>
      <c r="AE594" s="106"/>
      <c r="AF594" s="106"/>
      <c r="AG594" s="106"/>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c r="BK594" s="124"/>
      <c r="BL594" s="124"/>
      <c r="BM594" s="124"/>
      <c r="BN594" s="124"/>
      <c r="BO594" s="124"/>
      <c r="BP594" s="124"/>
      <c r="BQ594" s="124"/>
      <c r="BR594" s="124"/>
      <c r="BS594" s="124"/>
      <c r="BT594" s="124"/>
      <c r="BU594" s="124"/>
      <c r="BV594" s="124"/>
      <c r="BW594" s="124"/>
      <c r="BX594" s="124"/>
      <c r="BY594" s="124"/>
      <c r="BZ594" s="124"/>
      <c r="CA594" s="124"/>
    </row>
    <row r="595">
      <c r="A595" s="106"/>
      <c r="B595" s="207"/>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c r="AA595" s="106"/>
      <c r="AB595" s="106"/>
      <c r="AC595" s="106"/>
      <c r="AD595" s="106"/>
      <c r="AE595" s="106"/>
      <c r="AF595" s="106"/>
      <c r="AG595" s="106"/>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c r="BK595" s="124"/>
      <c r="BL595" s="124"/>
      <c r="BM595" s="124"/>
      <c r="BN595" s="124"/>
      <c r="BO595" s="124"/>
      <c r="BP595" s="124"/>
      <c r="BQ595" s="124"/>
      <c r="BR595" s="124"/>
      <c r="BS595" s="124"/>
      <c r="BT595" s="124"/>
      <c r="BU595" s="124"/>
      <c r="BV595" s="124"/>
      <c r="BW595" s="124"/>
      <c r="BX595" s="124"/>
      <c r="BY595" s="124"/>
      <c r="BZ595" s="124"/>
      <c r="CA595" s="124"/>
    </row>
    <row r="596">
      <c r="A596" s="106"/>
      <c r="B596" s="207"/>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c r="AA596" s="106"/>
      <c r="AB596" s="106"/>
      <c r="AC596" s="106"/>
      <c r="AD596" s="106"/>
      <c r="AE596" s="106"/>
      <c r="AF596" s="106"/>
      <c r="AG596" s="106"/>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row>
    <row r="597">
      <c r="A597" s="106"/>
      <c r="B597" s="207"/>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c r="AA597" s="106"/>
      <c r="AB597" s="106"/>
      <c r="AC597" s="106"/>
      <c r="AD597" s="106"/>
      <c r="AE597" s="106"/>
      <c r="AF597" s="106"/>
      <c r="AG597" s="106"/>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c r="BK597" s="124"/>
      <c r="BL597" s="124"/>
      <c r="BM597" s="124"/>
      <c r="BN597" s="124"/>
      <c r="BO597" s="124"/>
      <c r="BP597" s="124"/>
      <c r="BQ597" s="124"/>
      <c r="BR597" s="124"/>
      <c r="BS597" s="124"/>
      <c r="BT597" s="124"/>
      <c r="BU597" s="124"/>
      <c r="BV597" s="124"/>
      <c r="BW597" s="124"/>
      <c r="BX597" s="124"/>
      <c r="BY597" s="124"/>
      <c r="BZ597" s="124"/>
      <c r="CA597" s="124"/>
    </row>
    <row r="598">
      <c r="A598" s="106"/>
      <c r="B598" s="207"/>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c r="AA598" s="106"/>
      <c r="AB598" s="106"/>
      <c r="AC598" s="106"/>
      <c r="AD598" s="106"/>
      <c r="AE598" s="106"/>
      <c r="AF598" s="106"/>
      <c r="AG598" s="106"/>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c r="BK598" s="124"/>
      <c r="BL598" s="124"/>
      <c r="BM598" s="124"/>
      <c r="BN598" s="124"/>
      <c r="BO598" s="124"/>
      <c r="BP598" s="124"/>
      <c r="BQ598" s="124"/>
      <c r="BR598" s="124"/>
      <c r="BS598" s="124"/>
      <c r="BT598" s="124"/>
      <c r="BU598" s="124"/>
      <c r="BV598" s="124"/>
      <c r="BW598" s="124"/>
      <c r="BX598" s="124"/>
      <c r="BY598" s="124"/>
      <c r="BZ598" s="124"/>
      <c r="CA598" s="124"/>
    </row>
    <row r="599">
      <c r="A599" s="106"/>
      <c r="B599" s="207"/>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c r="AA599" s="106"/>
      <c r="AB599" s="106"/>
      <c r="AC599" s="106"/>
      <c r="AD599" s="106"/>
      <c r="AE599" s="106"/>
      <c r="AF599" s="106"/>
      <c r="AG599" s="106"/>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c r="BK599" s="124"/>
      <c r="BL599" s="124"/>
      <c r="BM599" s="124"/>
      <c r="BN599" s="124"/>
      <c r="BO599" s="124"/>
      <c r="BP599" s="124"/>
      <c r="BQ599" s="124"/>
      <c r="BR599" s="124"/>
      <c r="BS599" s="124"/>
      <c r="BT599" s="124"/>
      <c r="BU599" s="124"/>
      <c r="BV599" s="124"/>
      <c r="BW599" s="124"/>
      <c r="BX599" s="124"/>
      <c r="BY599" s="124"/>
      <c r="BZ599" s="124"/>
      <c r="CA599" s="124"/>
    </row>
    <row r="600">
      <c r="A600" s="106"/>
      <c r="B600" s="207"/>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c r="AA600" s="106"/>
      <c r="AB600" s="106"/>
      <c r="AC600" s="106"/>
      <c r="AD600" s="106"/>
      <c r="AE600" s="106"/>
      <c r="AF600" s="106"/>
      <c r="AG600" s="106"/>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c r="BK600" s="124"/>
      <c r="BL600" s="124"/>
      <c r="BM600" s="124"/>
      <c r="BN600" s="124"/>
      <c r="BO600" s="124"/>
      <c r="BP600" s="124"/>
      <c r="BQ600" s="124"/>
      <c r="BR600" s="124"/>
      <c r="BS600" s="124"/>
      <c r="BT600" s="124"/>
      <c r="BU600" s="124"/>
      <c r="BV600" s="124"/>
      <c r="BW600" s="124"/>
      <c r="BX600" s="124"/>
      <c r="BY600" s="124"/>
      <c r="BZ600" s="124"/>
      <c r="CA600" s="124"/>
    </row>
    <row r="601">
      <c r="A601" s="106"/>
      <c r="B601" s="207"/>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c r="AA601" s="106"/>
      <c r="AB601" s="106"/>
      <c r="AC601" s="106"/>
      <c r="AD601" s="106"/>
      <c r="AE601" s="106"/>
      <c r="AF601" s="106"/>
      <c r="AG601" s="106"/>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c r="BK601" s="124"/>
      <c r="BL601" s="124"/>
      <c r="BM601" s="124"/>
      <c r="BN601" s="124"/>
      <c r="BO601" s="124"/>
      <c r="BP601" s="124"/>
      <c r="BQ601" s="124"/>
      <c r="BR601" s="124"/>
      <c r="BS601" s="124"/>
      <c r="BT601" s="124"/>
      <c r="BU601" s="124"/>
      <c r="BV601" s="124"/>
      <c r="BW601" s="124"/>
      <c r="BX601" s="124"/>
      <c r="BY601" s="124"/>
      <c r="BZ601" s="124"/>
      <c r="CA601" s="124"/>
    </row>
    <row r="602">
      <c r="A602" s="106"/>
      <c r="B602" s="207"/>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c r="AA602" s="106"/>
      <c r="AB602" s="106"/>
      <c r="AC602" s="106"/>
      <c r="AD602" s="106"/>
      <c r="AE602" s="106"/>
      <c r="AF602" s="106"/>
      <c r="AG602" s="106"/>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c r="BK602" s="124"/>
      <c r="BL602" s="124"/>
      <c r="BM602" s="124"/>
      <c r="BN602" s="124"/>
      <c r="BO602" s="124"/>
      <c r="BP602" s="124"/>
      <c r="BQ602" s="124"/>
      <c r="BR602" s="124"/>
      <c r="BS602" s="124"/>
      <c r="BT602" s="124"/>
      <c r="BU602" s="124"/>
      <c r="BV602" s="124"/>
      <c r="BW602" s="124"/>
      <c r="BX602" s="124"/>
      <c r="BY602" s="124"/>
      <c r="BZ602" s="124"/>
      <c r="CA602" s="124"/>
    </row>
    <row r="603">
      <c r="A603" s="106"/>
      <c r="B603" s="207"/>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c r="AA603" s="106"/>
      <c r="AB603" s="106"/>
      <c r="AC603" s="106"/>
      <c r="AD603" s="106"/>
      <c r="AE603" s="106"/>
      <c r="AF603" s="106"/>
      <c r="AG603" s="106"/>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c r="BK603" s="124"/>
      <c r="BL603" s="124"/>
      <c r="BM603" s="124"/>
      <c r="BN603" s="124"/>
      <c r="BO603" s="124"/>
      <c r="BP603" s="124"/>
      <c r="BQ603" s="124"/>
      <c r="BR603" s="124"/>
      <c r="BS603" s="124"/>
      <c r="BT603" s="124"/>
      <c r="BU603" s="124"/>
      <c r="BV603" s="124"/>
      <c r="BW603" s="124"/>
      <c r="BX603" s="124"/>
      <c r="BY603" s="124"/>
      <c r="BZ603" s="124"/>
      <c r="CA603" s="124"/>
    </row>
    <row r="604">
      <c r="A604" s="106"/>
      <c r="B604" s="207"/>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c r="AA604" s="106"/>
      <c r="AB604" s="106"/>
      <c r="AC604" s="106"/>
      <c r="AD604" s="106"/>
      <c r="AE604" s="106"/>
      <c r="AF604" s="106"/>
      <c r="AG604" s="106"/>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c r="BK604" s="124"/>
      <c r="BL604" s="124"/>
      <c r="BM604" s="124"/>
      <c r="BN604" s="124"/>
      <c r="BO604" s="124"/>
      <c r="BP604" s="124"/>
      <c r="BQ604" s="124"/>
      <c r="BR604" s="124"/>
      <c r="BS604" s="124"/>
      <c r="BT604" s="124"/>
      <c r="BU604" s="124"/>
      <c r="BV604" s="124"/>
      <c r="BW604" s="124"/>
      <c r="BX604" s="124"/>
      <c r="BY604" s="124"/>
      <c r="BZ604" s="124"/>
      <c r="CA604" s="124"/>
    </row>
    <row r="605">
      <c r="A605" s="106"/>
      <c r="B605" s="207"/>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c r="AA605" s="106"/>
      <c r="AB605" s="106"/>
      <c r="AC605" s="106"/>
      <c r="AD605" s="106"/>
      <c r="AE605" s="106"/>
      <c r="AF605" s="106"/>
      <c r="AG605" s="106"/>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c r="BK605" s="124"/>
      <c r="BL605" s="124"/>
      <c r="BM605" s="124"/>
      <c r="BN605" s="124"/>
      <c r="BO605" s="124"/>
      <c r="BP605" s="124"/>
      <c r="BQ605" s="124"/>
      <c r="BR605" s="124"/>
      <c r="BS605" s="124"/>
      <c r="BT605" s="124"/>
      <c r="BU605" s="124"/>
      <c r="BV605" s="124"/>
      <c r="BW605" s="124"/>
      <c r="BX605" s="124"/>
      <c r="BY605" s="124"/>
      <c r="BZ605" s="124"/>
      <c r="CA605" s="124"/>
    </row>
    <row r="606">
      <c r="A606" s="106"/>
      <c r="B606" s="207"/>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c r="AA606" s="106"/>
      <c r="AB606" s="106"/>
      <c r="AC606" s="106"/>
      <c r="AD606" s="106"/>
      <c r="AE606" s="106"/>
      <c r="AF606" s="106"/>
      <c r="AG606" s="106"/>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c r="BK606" s="124"/>
      <c r="BL606" s="124"/>
      <c r="BM606" s="124"/>
      <c r="BN606" s="124"/>
      <c r="BO606" s="124"/>
      <c r="BP606" s="124"/>
      <c r="BQ606" s="124"/>
      <c r="BR606" s="124"/>
      <c r="BS606" s="124"/>
      <c r="BT606" s="124"/>
      <c r="BU606" s="124"/>
      <c r="BV606" s="124"/>
      <c r="BW606" s="124"/>
      <c r="BX606" s="124"/>
      <c r="BY606" s="124"/>
      <c r="BZ606" s="124"/>
      <c r="CA606" s="124"/>
    </row>
    <row r="607">
      <c r="A607" s="106"/>
      <c r="B607" s="207"/>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c r="AA607" s="106"/>
      <c r="AB607" s="106"/>
      <c r="AC607" s="106"/>
      <c r="AD607" s="106"/>
      <c r="AE607" s="106"/>
      <c r="AF607" s="106"/>
      <c r="AG607" s="106"/>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c r="BK607" s="124"/>
      <c r="BL607" s="124"/>
      <c r="BM607" s="124"/>
      <c r="BN607" s="124"/>
      <c r="BO607" s="124"/>
      <c r="BP607" s="124"/>
      <c r="BQ607" s="124"/>
      <c r="BR607" s="124"/>
      <c r="BS607" s="124"/>
      <c r="BT607" s="124"/>
      <c r="BU607" s="124"/>
      <c r="BV607" s="124"/>
      <c r="BW607" s="124"/>
      <c r="BX607" s="124"/>
      <c r="BY607" s="124"/>
      <c r="BZ607" s="124"/>
      <c r="CA607" s="124"/>
    </row>
    <row r="608">
      <c r="A608" s="106"/>
      <c r="B608" s="207"/>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c r="AA608" s="106"/>
      <c r="AB608" s="106"/>
      <c r="AC608" s="106"/>
      <c r="AD608" s="106"/>
      <c r="AE608" s="106"/>
      <c r="AF608" s="106"/>
      <c r="AG608" s="106"/>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c r="BK608" s="124"/>
      <c r="BL608" s="124"/>
      <c r="BM608" s="124"/>
      <c r="BN608" s="124"/>
      <c r="BO608" s="124"/>
      <c r="BP608" s="124"/>
      <c r="BQ608" s="124"/>
      <c r="BR608" s="124"/>
      <c r="BS608" s="124"/>
      <c r="BT608" s="124"/>
      <c r="BU608" s="124"/>
      <c r="BV608" s="124"/>
      <c r="BW608" s="124"/>
      <c r="BX608" s="124"/>
      <c r="BY608" s="124"/>
      <c r="BZ608" s="124"/>
      <c r="CA608" s="124"/>
    </row>
    <row r="609">
      <c r="A609" s="106"/>
      <c r="B609" s="207"/>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c r="AA609" s="106"/>
      <c r="AB609" s="106"/>
      <c r="AC609" s="106"/>
      <c r="AD609" s="106"/>
      <c r="AE609" s="106"/>
      <c r="AF609" s="106"/>
      <c r="AG609" s="106"/>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c r="BK609" s="124"/>
      <c r="BL609" s="124"/>
      <c r="BM609" s="124"/>
      <c r="BN609" s="124"/>
      <c r="BO609" s="124"/>
      <c r="BP609" s="124"/>
      <c r="BQ609" s="124"/>
      <c r="BR609" s="124"/>
      <c r="BS609" s="124"/>
      <c r="BT609" s="124"/>
      <c r="BU609" s="124"/>
      <c r="BV609" s="124"/>
      <c r="BW609" s="124"/>
      <c r="BX609" s="124"/>
      <c r="BY609" s="124"/>
      <c r="BZ609" s="124"/>
      <c r="CA609" s="124"/>
    </row>
    <row r="610">
      <c r="A610" s="106"/>
      <c r="B610" s="207"/>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c r="AA610" s="106"/>
      <c r="AB610" s="106"/>
      <c r="AC610" s="106"/>
      <c r="AD610" s="106"/>
      <c r="AE610" s="106"/>
      <c r="AF610" s="106"/>
      <c r="AG610" s="106"/>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c r="BK610" s="124"/>
      <c r="BL610" s="124"/>
      <c r="BM610" s="124"/>
      <c r="BN610" s="124"/>
      <c r="BO610" s="124"/>
      <c r="BP610" s="124"/>
      <c r="BQ610" s="124"/>
      <c r="BR610" s="124"/>
      <c r="BS610" s="124"/>
      <c r="BT610" s="124"/>
      <c r="BU610" s="124"/>
      <c r="BV610" s="124"/>
      <c r="BW610" s="124"/>
      <c r="BX610" s="124"/>
      <c r="BY610" s="124"/>
      <c r="BZ610" s="124"/>
      <c r="CA610" s="124"/>
    </row>
    <row r="611">
      <c r="A611" s="106"/>
      <c r="B611" s="207"/>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c r="AA611" s="106"/>
      <c r="AB611" s="106"/>
      <c r="AC611" s="106"/>
      <c r="AD611" s="106"/>
      <c r="AE611" s="106"/>
      <c r="AF611" s="106"/>
      <c r="AG611" s="106"/>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c r="BK611" s="124"/>
      <c r="BL611" s="124"/>
      <c r="BM611" s="124"/>
      <c r="BN611" s="124"/>
      <c r="BO611" s="124"/>
      <c r="BP611" s="124"/>
      <c r="BQ611" s="124"/>
      <c r="BR611" s="124"/>
      <c r="BS611" s="124"/>
      <c r="BT611" s="124"/>
      <c r="BU611" s="124"/>
      <c r="BV611" s="124"/>
      <c r="BW611" s="124"/>
      <c r="BX611" s="124"/>
      <c r="BY611" s="124"/>
      <c r="BZ611" s="124"/>
      <c r="CA611" s="124"/>
    </row>
    <row r="612">
      <c r="A612" s="106"/>
      <c r="B612" s="207"/>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c r="AA612" s="106"/>
      <c r="AB612" s="106"/>
      <c r="AC612" s="106"/>
      <c r="AD612" s="106"/>
      <c r="AE612" s="106"/>
      <c r="AF612" s="106"/>
      <c r="AG612" s="106"/>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c r="BK612" s="124"/>
      <c r="BL612" s="124"/>
      <c r="BM612" s="124"/>
      <c r="BN612" s="124"/>
      <c r="BO612" s="124"/>
      <c r="BP612" s="124"/>
      <c r="BQ612" s="124"/>
      <c r="BR612" s="124"/>
      <c r="BS612" s="124"/>
      <c r="BT612" s="124"/>
      <c r="BU612" s="124"/>
      <c r="BV612" s="124"/>
      <c r="BW612" s="124"/>
      <c r="BX612" s="124"/>
      <c r="BY612" s="124"/>
      <c r="BZ612" s="124"/>
      <c r="CA612" s="124"/>
    </row>
    <row r="613">
      <c r="A613" s="106"/>
      <c r="B613" s="207"/>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c r="AA613" s="106"/>
      <c r="AB613" s="106"/>
      <c r="AC613" s="106"/>
      <c r="AD613" s="106"/>
      <c r="AE613" s="106"/>
      <c r="AF613" s="106"/>
      <c r="AG613" s="106"/>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c r="BK613" s="124"/>
      <c r="BL613" s="124"/>
      <c r="BM613" s="124"/>
      <c r="BN613" s="124"/>
      <c r="BO613" s="124"/>
      <c r="BP613" s="124"/>
      <c r="BQ613" s="124"/>
      <c r="BR613" s="124"/>
      <c r="BS613" s="124"/>
      <c r="BT613" s="124"/>
      <c r="BU613" s="124"/>
      <c r="BV613" s="124"/>
      <c r="BW613" s="124"/>
      <c r="BX613" s="124"/>
      <c r="BY613" s="124"/>
      <c r="BZ613" s="124"/>
      <c r="CA613" s="124"/>
    </row>
    <row r="614">
      <c r="A614" s="106"/>
      <c r="B614" s="207"/>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c r="AA614" s="106"/>
      <c r="AB614" s="106"/>
      <c r="AC614" s="106"/>
      <c r="AD614" s="106"/>
      <c r="AE614" s="106"/>
      <c r="AF614" s="106"/>
      <c r="AG614" s="106"/>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c r="BK614" s="124"/>
      <c r="BL614" s="124"/>
      <c r="BM614" s="124"/>
      <c r="BN614" s="124"/>
      <c r="BO614" s="124"/>
      <c r="BP614" s="124"/>
      <c r="BQ614" s="124"/>
      <c r="BR614" s="124"/>
      <c r="BS614" s="124"/>
      <c r="BT614" s="124"/>
      <c r="BU614" s="124"/>
      <c r="BV614" s="124"/>
      <c r="BW614" s="124"/>
      <c r="BX614" s="124"/>
      <c r="BY614" s="124"/>
      <c r="BZ614" s="124"/>
      <c r="CA614" s="124"/>
    </row>
    <row r="615">
      <c r="A615" s="106"/>
      <c r="B615" s="207"/>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c r="AA615" s="106"/>
      <c r="AB615" s="106"/>
      <c r="AC615" s="106"/>
      <c r="AD615" s="106"/>
      <c r="AE615" s="106"/>
      <c r="AF615" s="106"/>
      <c r="AG615" s="106"/>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c r="BK615" s="124"/>
      <c r="BL615" s="124"/>
      <c r="BM615" s="124"/>
      <c r="BN615" s="124"/>
      <c r="BO615" s="124"/>
      <c r="BP615" s="124"/>
      <c r="BQ615" s="124"/>
      <c r="BR615" s="124"/>
      <c r="BS615" s="124"/>
      <c r="BT615" s="124"/>
      <c r="BU615" s="124"/>
      <c r="BV615" s="124"/>
      <c r="BW615" s="124"/>
      <c r="BX615" s="124"/>
      <c r="BY615" s="124"/>
      <c r="BZ615" s="124"/>
      <c r="CA615" s="124"/>
    </row>
    <row r="616">
      <c r="A616" s="106"/>
      <c r="B616" s="207"/>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c r="AA616" s="106"/>
      <c r="AB616" s="106"/>
      <c r="AC616" s="106"/>
      <c r="AD616" s="106"/>
      <c r="AE616" s="106"/>
      <c r="AF616" s="106"/>
      <c r="AG616" s="106"/>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c r="BK616" s="124"/>
      <c r="BL616" s="124"/>
      <c r="BM616" s="124"/>
      <c r="BN616" s="124"/>
      <c r="BO616" s="124"/>
      <c r="BP616" s="124"/>
      <c r="BQ616" s="124"/>
      <c r="BR616" s="124"/>
      <c r="BS616" s="124"/>
      <c r="BT616" s="124"/>
      <c r="BU616" s="124"/>
      <c r="BV616" s="124"/>
      <c r="BW616" s="124"/>
      <c r="BX616" s="124"/>
      <c r="BY616" s="124"/>
      <c r="BZ616" s="124"/>
      <c r="CA616" s="124"/>
    </row>
    <row r="617">
      <c r="A617" s="106"/>
      <c r="B617" s="207"/>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c r="AA617" s="106"/>
      <c r="AB617" s="106"/>
      <c r="AC617" s="106"/>
      <c r="AD617" s="106"/>
      <c r="AE617" s="106"/>
      <c r="AF617" s="106"/>
      <c r="AG617" s="106"/>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c r="BK617" s="124"/>
      <c r="BL617" s="124"/>
      <c r="BM617" s="124"/>
      <c r="BN617" s="124"/>
      <c r="BO617" s="124"/>
      <c r="BP617" s="124"/>
      <c r="BQ617" s="124"/>
      <c r="BR617" s="124"/>
      <c r="BS617" s="124"/>
      <c r="BT617" s="124"/>
      <c r="BU617" s="124"/>
      <c r="BV617" s="124"/>
      <c r="BW617" s="124"/>
      <c r="BX617" s="124"/>
      <c r="BY617" s="124"/>
      <c r="BZ617" s="124"/>
      <c r="CA617" s="124"/>
    </row>
    <row r="618">
      <c r="A618" s="106"/>
      <c r="B618" s="207"/>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c r="AA618" s="106"/>
      <c r="AB618" s="106"/>
      <c r="AC618" s="106"/>
      <c r="AD618" s="106"/>
      <c r="AE618" s="106"/>
      <c r="AF618" s="106"/>
      <c r="AG618" s="106"/>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c r="BK618" s="124"/>
      <c r="BL618" s="124"/>
      <c r="BM618" s="124"/>
      <c r="BN618" s="124"/>
      <c r="BO618" s="124"/>
      <c r="BP618" s="124"/>
      <c r="BQ618" s="124"/>
      <c r="BR618" s="124"/>
      <c r="BS618" s="124"/>
      <c r="BT618" s="124"/>
      <c r="BU618" s="124"/>
      <c r="BV618" s="124"/>
      <c r="BW618" s="124"/>
      <c r="BX618" s="124"/>
      <c r="BY618" s="124"/>
      <c r="BZ618" s="124"/>
      <c r="CA618" s="124"/>
    </row>
    <row r="619">
      <c r="A619" s="106"/>
      <c r="B619" s="207"/>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c r="AA619" s="106"/>
      <c r="AB619" s="106"/>
      <c r="AC619" s="106"/>
      <c r="AD619" s="106"/>
      <c r="AE619" s="106"/>
      <c r="AF619" s="106"/>
      <c r="AG619" s="106"/>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c r="BK619" s="124"/>
      <c r="BL619" s="124"/>
      <c r="BM619" s="124"/>
      <c r="BN619" s="124"/>
      <c r="BO619" s="124"/>
      <c r="BP619" s="124"/>
      <c r="BQ619" s="124"/>
      <c r="BR619" s="124"/>
      <c r="BS619" s="124"/>
      <c r="BT619" s="124"/>
      <c r="BU619" s="124"/>
      <c r="BV619" s="124"/>
      <c r="BW619" s="124"/>
      <c r="BX619" s="124"/>
      <c r="BY619" s="124"/>
      <c r="BZ619" s="124"/>
      <c r="CA619" s="124"/>
    </row>
    <row r="620">
      <c r="A620" s="106"/>
      <c r="B620" s="207"/>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c r="AA620" s="106"/>
      <c r="AB620" s="106"/>
      <c r="AC620" s="106"/>
      <c r="AD620" s="106"/>
      <c r="AE620" s="106"/>
      <c r="AF620" s="106"/>
      <c r="AG620" s="106"/>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c r="BK620" s="124"/>
      <c r="BL620" s="124"/>
      <c r="BM620" s="124"/>
      <c r="BN620" s="124"/>
      <c r="BO620" s="124"/>
      <c r="BP620" s="124"/>
      <c r="BQ620" s="124"/>
      <c r="BR620" s="124"/>
      <c r="BS620" s="124"/>
      <c r="BT620" s="124"/>
      <c r="BU620" s="124"/>
      <c r="BV620" s="124"/>
      <c r="BW620" s="124"/>
      <c r="BX620" s="124"/>
      <c r="BY620" s="124"/>
      <c r="BZ620" s="124"/>
      <c r="CA620" s="124"/>
    </row>
    <row r="621">
      <c r="A621" s="106"/>
      <c r="B621" s="207"/>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c r="AA621" s="106"/>
      <c r="AB621" s="106"/>
      <c r="AC621" s="106"/>
      <c r="AD621" s="106"/>
      <c r="AE621" s="106"/>
      <c r="AF621" s="106"/>
      <c r="AG621" s="106"/>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c r="BK621" s="124"/>
      <c r="BL621" s="124"/>
      <c r="BM621" s="124"/>
      <c r="BN621" s="124"/>
      <c r="BO621" s="124"/>
      <c r="BP621" s="124"/>
      <c r="BQ621" s="124"/>
      <c r="BR621" s="124"/>
      <c r="BS621" s="124"/>
      <c r="BT621" s="124"/>
      <c r="BU621" s="124"/>
      <c r="BV621" s="124"/>
      <c r="BW621" s="124"/>
      <c r="BX621" s="124"/>
      <c r="BY621" s="124"/>
      <c r="BZ621" s="124"/>
      <c r="CA621" s="124"/>
    </row>
    <row r="622">
      <c r="A622" s="106"/>
      <c r="B622" s="207"/>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c r="AA622" s="106"/>
      <c r="AB622" s="106"/>
      <c r="AC622" s="106"/>
      <c r="AD622" s="106"/>
      <c r="AE622" s="106"/>
      <c r="AF622" s="106"/>
      <c r="AG622" s="106"/>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c r="BK622" s="124"/>
      <c r="BL622" s="124"/>
      <c r="BM622" s="124"/>
      <c r="BN622" s="124"/>
      <c r="BO622" s="124"/>
      <c r="BP622" s="124"/>
      <c r="BQ622" s="124"/>
      <c r="BR622" s="124"/>
      <c r="BS622" s="124"/>
      <c r="BT622" s="124"/>
      <c r="BU622" s="124"/>
      <c r="BV622" s="124"/>
      <c r="BW622" s="124"/>
      <c r="BX622" s="124"/>
      <c r="BY622" s="124"/>
      <c r="BZ622" s="124"/>
      <c r="CA622" s="124"/>
    </row>
    <row r="623">
      <c r="A623" s="106"/>
      <c r="B623" s="207"/>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c r="AA623" s="106"/>
      <c r="AB623" s="106"/>
      <c r="AC623" s="106"/>
      <c r="AD623" s="106"/>
      <c r="AE623" s="106"/>
      <c r="AF623" s="106"/>
      <c r="AG623" s="106"/>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c r="BK623" s="124"/>
      <c r="BL623" s="124"/>
      <c r="BM623" s="124"/>
      <c r="BN623" s="124"/>
      <c r="BO623" s="124"/>
      <c r="BP623" s="124"/>
      <c r="BQ623" s="124"/>
      <c r="BR623" s="124"/>
      <c r="BS623" s="124"/>
      <c r="BT623" s="124"/>
      <c r="BU623" s="124"/>
      <c r="BV623" s="124"/>
      <c r="BW623" s="124"/>
      <c r="BX623" s="124"/>
      <c r="BY623" s="124"/>
      <c r="BZ623" s="124"/>
      <c r="CA623" s="124"/>
    </row>
    <row r="624">
      <c r="A624" s="106"/>
      <c r="B624" s="207"/>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c r="AA624" s="106"/>
      <c r="AB624" s="106"/>
      <c r="AC624" s="106"/>
      <c r="AD624" s="106"/>
      <c r="AE624" s="106"/>
      <c r="AF624" s="106"/>
      <c r="AG624" s="106"/>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c r="BK624" s="124"/>
      <c r="BL624" s="124"/>
      <c r="BM624" s="124"/>
      <c r="BN624" s="124"/>
      <c r="BO624" s="124"/>
      <c r="BP624" s="124"/>
      <c r="BQ624" s="124"/>
      <c r="BR624" s="124"/>
      <c r="BS624" s="124"/>
      <c r="BT624" s="124"/>
      <c r="BU624" s="124"/>
      <c r="BV624" s="124"/>
      <c r="BW624" s="124"/>
      <c r="BX624" s="124"/>
      <c r="BY624" s="124"/>
      <c r="BZ624" s="124"/>
      <c r="CA624" s="124"/>
    </row>
    <row r="625">
      <c r="A625" s="106"/>
      <c r="B625" s="207"/>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c r="AA625" s="106"/>
      <c r="AB625" s="106"/>
      <c r="AC625" s="106"/>
      <c r="AD625" s="106"/>
      <c r="AE625" s="106"/>
      <c r="AF625" s="106"/>
      <c r="AG625" s="106"/>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c r="BK625" s="124"/>
      <c r="BL625" s="124"/>
      <c r="BM625" s="124"/>
      <c r="BN625" s="124"/>
      <c r="BO625" s="124"/>
      <c r="BP625" s="124"/>
      <c r="BQ625" s="124"/>
      <c r="BR625" s="124"/>
      <c r="BS625" s="124"/>
      <c r="BT625" s="124"/>
      <c r="BU625" s="124"/>
      <c r="BV625" s="124"/>
      <c r="BW625" s="124"/>
      <c r="BX625" s="124"/>
      <c r="BY625" s="124"/>
      <c r="BZ625" s="124"/>
      <c r="CA625" s="124"/>
    </row>
    <row r="626">
      <c r="A626" s="106"/>
      <c r="B626" s="207"/>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c r="AA626" s="106"/>
      <c r="AB626" s="106"/>
      <c r="AC626" s="106"/>
      <c r="AD626" s="106"/>
      <c r="AE626" s="106"/>
      <c r="AF626" s="106"/>
      <c r="AG626" s="106"/>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c r="BK626" s="124"/>
      <c r="BL626" s="124"/>
      <c r="BM626" s="124"/>
      <c r="BN626" s="124"/>
      <c r="BO626" s="124"/>
      <c r="BP626" s="124"/>
      <c r="BQ626" s="124"/>
      <c r="BR626" s="124"/>
      <c r="BS626" s="124"/>
      <c r="BT626" s="124"/>
      <c r="BU626" s="124"/>
      <c r="BV626" s="124"/>
      <c r="BW626" s="124"/>
      <c r="BX626" s="124"/>
      <c r="BY626" s="124"/>
      <c r="BZ626" s="124"/>
      <c r="CA626" s="124"/>
    </row>
    <row r="627">
      <c r="A627" s="106"/>
      <c r="B627" s="207"/>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c r="AA627" s="106"/>
      <c r="AB627" s="106"/>
      <c r="AC627" s="106"/>
      <c r="AD627" s="106"/>
      <c r="AE627" s="106"/>
      <c r="AF627" s="106"/>
      <c r="AG627" s="106"/>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c r="BK627" s="124"/>
      <c r="BL627" s="124"/>
      <c r="BM627" s="124"/>
      <c r="BN627" s="124"/>
      <c r="BO627" s="124"/>
      <c r="BP627" s="124"/>
      <c r="BQ627" s="124"/>
      <c r="BR627" s="124"/>
      <c r="BS627" s="124"/>
      <c r="BT627" s="124"/>
      <c r="BU627" s="124"/>
      <c r="BV627" s="124"/>
      <c r="BW627" s="124"/>
      <c r="BX627" s="124"/>
      <c r="BY627" s="124"/>
      <c r="BZ627" s="124"/>
      <c r="CA627" s="124"/>
    </row>
    <row r="628">
      <c r="A628" s="106"/>
      <c r="B628" s="207"/>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c r="AA628" s="106"/>
      <c r="AB628" s="106"/>
      <c r="AC628" s="106"/>
      <c r="AD628" s="106"/>
      <c r="AE628" s="106"/>
      <c r="AF628" s="106"/>
      <c r="AG628" s="106"/>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c r="BK628" s="124"/>
      <c r="BL628" s="124"/>
      <c r="BM628" s="124"/>
      <c r="BN628" s="124"/>
      <c r="BO628" s="124"/>
      <c r="BP628" s="124"/>
      <c r="BQ628" s="124"/>
      <c r="BR628" s="124"/>
      <c r="BS628" s="124"/>
      <c r="BT628" s="124"/>
      <c r="BU628" s="124"/>
      <c r="BV628" s="124"/>
      <c r="BW628" s="124"/>
      <c r="BX628" s="124"/>
      <c r="BY628" s="124"/>
      <c r="BZ628" s="124"/>
      <c r="CA628" s="124"/>
    </row>
    <row r="629">
      <c r="A629" s="106"/>
      <c r="B629" s="207"/>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c r="AA629" s="106"/>
      <c r="AB629" s="106"/>
      <c r="AC629" s="106"/>
      <c r="AD629" s="106"/>
      <c r="AE629" s="106"/>
      <c r="AF629" s="106"/>
      <c r="AG629" s="106"/>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c r="BK629" s="124"/>
      <c r="BL629" s="124"/>
      <c r="BM629" s="124"/>
      <c r="BN629" s="124"/>
      <c r="BO629" s="124"/>
      <c r="BP629" s="124"/>
      <c r="BQ629" s="124"/>
      <c r="BR629" s="124"/>
      <c r="BS629" s="124"/>
      <c r="BT629" s="124"/>
      <c r="BU629" s="124"/>
      <c r="BV629" s="124"/>
      <c r="BW629" s="124"/>
      <c r="BX629" s="124"/>
      <c r="BY629" s="124"/>
      <c r="BZ629" s="124"/>
      <c r="CA629" s="124"/>
    </row>
    <row r="630">
      <c r="A630" s="106"/>
      <c r="B630" s="207"/>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c r="AA630" s="106"/>
      <c r="AB630" s="106"/>
      <c r="AC630" s="106"/>
      <c r="AD630" s="106"/>
      <c r="AE630" s="106"/>
      <c r="AF630" s="106"/>
      <c r="AG630" s="106"/>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c r="BK630" s="124"/>
      <c r="BL630" s="124"/>
      <c r="BM630" s="124"/>
      <c r="BN630" s="124"/>
      <c r="BO630" s="124"/>
      <c r="BP630" s="124"/>
      <c r="BQ630" s="124"/>
      <c r="BR630" s="124"/>
      <c r="BS630" s="124"/>
      <c r="BT630" s="124"/>
      <c r="BU630" s="124"/>
      <c r="BV630" s="124"/>
      <c r="BW630" s="124"/>
      <c r="BX630" s="124"/>
      <c r="BY630" s="124"/>
      <c r="BZ630" s="124"/>
      <c r="CA630" s="124"/>
    </row>
    <row r="631">
      <c r="A631" s="106"/>
      <c r="B631" s="207"/>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c r="AA631" s="106"/>
      <c r="AB631" s="106"/>
      <c r="AC631" s="106"/>
      <c r="AD631" s="106"/>
      <c r="AE631" s="106"/>
      <c r="AF631" s="106"/>
      <c r="AG631" s="106"/>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c r="BK631" s="124"/>
      <c r="BL631" s="124"/>
      <c r="BM631" s="124"/>
      <c r="BN631" s="124"/>
      <c r="BO631" s="124"/>
      <c r="BP631" s="124"/>
      <c r="BQ631" s="124"/>
      <c r="BR631" s="124"/>
      <c r="BS631" s="124"/>
      <c r="BT631" s="124"/>
      <c r="BU631" s="124"/>
      <c r="BV631" s="124"/>
      <c r="BW631" s="124"/>
      <c r="BX631" s="124"/>
      <c r="BY631" s="124"/>
      <c r="BZ631" s="124"/>
      <c r="CA631" s="124"/>
    </row>
    <row r="632">
      <c r="A632" s="106"/>
      <c r="B632" s="207"/>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c r="AA632" s="106"/>
      <c r="AB632" s="106"/>
      <c r="AC632" s="106"/>
      <c r="AD632" s="106"/>
      <c r="AE632" s="106"/>
      <c r="AF632" s="106"/>
      <c r="AG632" s="106"/>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c r="BK632" s="124"/>
      <c r="BL632" s="124"/>
      <c r="BM632" s="124"/>
      <c r="BN632" s="124"/>
      <c r="BO632" s="124"/>
      <c r="BP632" s="124"/>
      <c r="BQ632" s="124"/>
      <c r="BR632" s="124"/>
      <c r="BS632" s="124"/>
      <c r="BT632" s="124"/>
      <c r="BU632" s="124"/>
      <c r="BV632" s="124"/>
      <c r="BW632" s="124"/>
      <c r="BX632" s="124"/>
      <c r="BY632" s="124"/>
      <c r="BZ632" s="124"/>
      <c r="CA632" s="124"/>
    </row>
    <row r="633">
      <c r="A633" s="106"/>
      <c r="B633" s="207"/>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c r="AA633" s="106"/>
      <c r="AB633" s="106"/>
      <c r="AC633" s="106"/>
      <c r="AD633" s="106"/>
      <c r="AE633" s="106"/>
      <c r="AF633" s="106"/>
      <c r="AG633" s="106"/>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c r="BK633" s="124"/>
      <c r="BL633" s="124"/>
      <c r="BM633" s="124"/>
      <c r="BN633" s="124"/>
      <c r="BO633" s="124"/>
      <c r="BP633" s="124"/>
      <c r="BQ633" s="124"/>
      <c r="BR633" s="124"/>
      <c r="BS633" s="124"/>
      <c r="BT633" s="124"/>
      <c r="BU633" s="124"/>
      <c r="BV633" s="124"/>
      <c r="BW633" s="124"/>
      <c r="BX633" s="124"/>
      <c r="BY633" s="124"/>
      <c r="BZ633" s="124"/>
      <c r="CA633" s="124"/>
    </row>
    <row r="634">
      <c r="A634" s="106"/>
      <c r="B634" s="207"/>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c r="AA634" s="106"/>
      <c r="AB634" s="106"/>
      <c r="AC634" s="106"/>
      <c r="AD634" s="106"/>
      <c r="AE634" s="106"/>
      <c r="AF634" s="106"/>
      <c r="AG634" s="106"/>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c r="BK634" s="124"/>
      <c r="BL634" s="124"/>
      <c r="BM634" s="124"/>
      <c r="BN634" s="124"/>
      <c r="BO634" s="124"/>
      <c r="BP634" s="124"/>
      <c r="BQ634" s="124"/>
      <c r="BR634" s="124"/>
      <c r="BS634" s="124"/>
      <c r="BT634" s="124"/>
      <c r="BU634" s="124"/>
      <c r="BV634" s="124"/>
      <c r="BW634" s="124"/>
      <c r="BX634" s="124"/>
      <c r="BY634" s="124"/>
      <c r="BZ634" s="124"/>
      <c r="CA634" s="124"/>
    </row>
    <row r="635">
      <c r="A635" s="106"/>
      <c r="B635" s="207"/>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c r="AA635" s="106"/>
      <c r="AB635" s="106"/>
      <c r="AC635" s="106"/>
      <c r="AD635" s="106"/>
      <c r="AE635" s="106"/>
      <c r="AF635" s="106"/>
      <c r="AG635" s="106"/>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c r="BK635" s="124"/>
      <c r="BL635" s="124"/>
      <c r="BM635" s="124"/>
      <c r="BN635" s="124"/>
      <c r="BO635" s="124"/>
      <c r="BP635" s="124"/>
      <c r="BQ635" s="124"/>
      <c r="BR635" s="124"/>
      <c r="BS635" s="124"/>
      <c r="BT635" s="124"/>
      <c r="BU635" s="124"/>
      <c r="BV635" s="124"/>
      <c r="BW635" s="124"/>
      <c r="BX635" s="124"/>
      <c r="BY635" s="124"/>
      <c r="BZ635" s="124"/>
      <c r="CA635" s="124"/>
    </row>
    <row r="636">
      <c r="A636" s="106"/>
      <c r="B636" s="207"/>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c r="AA636" s="106"/>
      <c r="AB636" s="106"/>
      <c r="AC636" s="106"/>
      <c r="AD636" s="106"/>
      <c r="AE636" s="106"/>
      <c r="AF636" s="106"/>
      <c r="AG636" s="106"/>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c r="BK636" s="124"/>
      <c r="BL636" s="124"/>
      <c r="BM636" s="124"/>
      <c r="BN636" s="124"/>
      <c r="BO636" s="124"/>
      <c r="BP636" s="124"/>
      <c r="BQ636" s="124"/>
      <c r="BR636" s="124"/>
      <c r="BS636" s="124"/>
      <c r="BT636" s="124"/>
      <c r="BU636" s="124"/>
      <c r="BV636" s="124"/>
      <c r="BW636" s="124"/>
      <c r="BX636" s="124"/>
      <c r="BY636" s="124"/>
      <c r="BZ636" s="124"/>
      <c r="CA636" s="124"/>
    </row>
    <row r="637">
      <c r="A637" s="106"/>
      <c r="B637" s="207"/>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c r="AA637" s="106"/>
      <c r="AB637" s="106"/>
      <c r="AC637" s="106"/>
      <c r="AD637" s="106"/>
      <c r="AE637" s="106"/>
      <c r="AF637" s="106"/>
      <c r="AG637" s="106"/>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c r="BK637" s="124"/>
      <c r="BL637" s="124"/>
      <c r="BM637" s="124"/>
      <c r="BN637" s="124"/>
      <c r="BO637" s="124"/>
      <c r="BP637" s="124"/>
      <c r="BQ637" s="124"/>
      <c r="BR637" s="124"/>
      <c r="BS637" s="124"/>
      <c r="BT637" s="124"/>
      <c r="BU637" s="124"/>
      <c r="BV637" s="124"/>
      <c r="BW637" s="124"/>
      <c r="BX637" s="124"/>
      <c r="BY637" s="124"/>
      <c r="BZ637" s="124"/>
      <c r="CA637" s="124"/>
    </row>
    <row r="638">
      <c r="A638" s="106"/>
      <c r="B638" s="207"/>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c r="AA638" s="106"/>
      <c r="AB638" s="106"/>
      <c r="AC638" s="106"/>
      <c r="AD638" s="106"/>
      <c r="AE638" s="106"/>
      <c r="AF638" s="106"/>
      <c r="AG638" s="106"/>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c r="BK638" s="124"/>
      <c r="BL638" s="124"/>
      <c r="BM638" s="124"/>
      <c r="BN638" s="124"/>
      <c r="BO638" s="124"/>
      <c r="BP638" s="124"/>
      <c r="BQ638" s="124"/>
      <c r="BR638" s="124"/>
      <c r="BS638" s="124"/>
      <c r="BT638" s="124"/>
      <c r="BU638" s="124"/>
      <c r="BV638" s="124"/>
      <c r="BW638" s="124"/>
      <c r="BX638" s="124"/>
      <c r="BY638" s="124"/>
      <c r="BZ638" s="124"/>
      <c r="CA638" s="124"/>
    </row>
    <row r="639">
      <c r="A639" s="106"/>
      <c r="B639" s="207"/>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c r="AA639" s="106"/>
      <c r="AB639" s="106"/>
      <c r="AC639" s="106"/>
      <c r="AD639" s="106"/>
      <c r="AE639" s="106"/>
      <c r="AF639" s="106"/>
      <c r="AG639" s="106"/>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c r="BK639" s="124"/>
      <c r="BL639" s="124"/>
      <c r="BM639" s="124"/>
      <c r="BN639" s="124"/>
      <c r="BO639" s="124"/>
      <c r="BP639" s="124"/>
      <c r="BQ639" s="124"/>
      <c r="BR639" s="124"/>
      <c r="BS639" s="124"/>
      <c r="BT639" s="124"/>
      <c r="BU639" s="124"/>
      <c r="BV639" s="124"/>
      <c r="BW639" s="124"/>
      <c r="BX639" s="124"/>
      <c r="BY639" s="124"/>
      <c r="BZ639" s="124"/>
      <c r="CA639" s="124"/>
    </row>
    <row r="640">
      <c r="A640" s="106"/>
      <c r="B640" s="207"/>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c r="AA640" s="106"/>
      <c r="AB640" s="106"/>
      <c r="AC640" s="106"/>
      <c r="AD640" s="106"/>
      <c r="AE640" s="106"/>
      <c r="AF640" s="106"/>
      <c r="AG640" s="106"/>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c r="BK640" s="124"/>
      <c r="BL640" s="124"/>
      <c r="BM640" s="124"/>
      <c r="BN640" s="124"/>
      <c r="BO640" s="124"/>
      <c r="BP640" s="124"/>
      <c r="BQ640" s="124"/>
      <c r="BR640" s="124"/>
      <c r="BS640" s="124"/>
      <c r="BT640" s="124"/>
      <c r="BU640" s="124"/>
      <c r="BV640" s="124"/>
      <c r="BW640" s="124"/>
      <c r="BX640" s="124"/>
      <c r="BY640" s="124"/>
      <c r="BZ640" s="124"/>
      <c r="CA640" s="124"/>
    </row>
    <row r="641">
      <c r="A641" s="106"/>
      <c r="B641" s="207"/>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c r="AA641" s="106"/>
      <c r="AB641" s="106"/>
      <c r="AC641" s="106"/>
      <c r="AD641" s="106"/>
      <c r="AE641" s="106"/>
      <c r="AF641" s="106"/>
      <c r="AG641" s="106"/>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c r="BK641" s="124"/>
      <c r="BL641" s="124"/>
      <c r="BM641" s="124"/>
      <c r="BN641" s="124"/>
      <c r="BO641" s="124"/>
      <c r="BP641" s="124"/>
      <c r="BQ641" s="124"/>
      <c r="BR641" s="124"/>
      <c r="BS641" s="124"/>
      <c r="BT641" s="124"/>
      <c r="BU641" s="124"/>
      <c r="BV641" s="124"/>
      <c r="BW641" s="124"/>
      <c r="BX641" s="124"/>
      <c r="BY641" s="124"/>
      <c r="BZ641" s="124"/>
      <c r="CA641" s="124"/>
    </row>
    <row r="642">
      <c r="A642" s="106"/>
      <c r="B642" s="207"/>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c r="AA642" s="106"/>
      <c r="AB642" s="106"/>
      <c r="AC642" s="106"/>
      <c r="AD642" s="106"/>
      <c r="AE642" s="106"/>
      <c r="AF642" s="106"/>
      <c r="AG642" s="106"/>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c r="BK642" s="124"/>
      <c r="BL642" s="124"/>
      <c r="BM642" s="124"/>
      <c r="BN642" s="124"/>
      <c r="BO642" s="124"/>
      <c r="BP642" s="124"/>
      <c r="BQ642" s="124"/>
      <c r="BR642" s="124"/>
      <c r="BS642" s="124"/>
      <c r="BT642" s="124"/>
      <c r="BU642" s="124"/>
      <c r="BV642" s="124"/>
      <c r="BW642" s="124"/>
      <c r="BX642" s="124"/>
      <c r="BY642" s="124"/>
      <c r="BZ642" s="124"/>
      <c r="CA642" s="124"/>
    </row>
    <row r="643">
      <c r="A643" s="106"/>
      <c r="B643" s="207"/>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c r="AA643" s="106"/>
      <c r="AB643" s="106"/>
      <c r="AC643" s="106"/>
      <c r="AD643" s="106"/>
      <c r="AE643" s="106"/>
      <c r="AF643" s="106"/>
      <c r="AG643" s="106"/>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c r="BK643" s="124"/>
      <c r="BL643" s="124"/>
      <c r="BM643" s="124"/>
      <c r="BN643" s="124"/>
      <c r="BO643" s="124"/>
      <c r="BP643" s="124"/>
      <c r="BQ643" s="124"/>
      <c r="BR643" s="124"/>
      <c r="BS643" s="124"/>
      <c r="BT643" s="124"/>
      <c r="BU643" s="124"/>
      <c r="BV643" s="124"/>
      <c r="BW643" s="124"/>
      <c r="BX643" s="124"/>
      <c r="BY643" s="124"/>
      <c r="BZ643" s="124"/>
      <c r="CA643" s="124"/>
    </row>
    <row r="644">
      <c r="A644" s="106"/>
      <c r="B644" s="207"/>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c r="AA644" s="106"/>
      <c r="AB644" s="106"/>
      <c r="AC644" s="106"/>
      <c r="AD644" s="106"/>
      <c r="AE644" s="106"/>
      <c r="AF644" s="106"/>
      <c r="AG644" s="106"/>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c r="BK644" s="124"/>
      <c r="BL644" s="124"/>
      <c r="BM644" s="124"/>
      <c r="BN644" s="124"/>
      <c r="BO644" s="124"/>
      <c r="BP644" s="124"/>
      <c r="BQ644" s="124"/>
      <c r="BR644" s="124"/>
      <c r="BS644" s="124"/>
      <c r="BT644" s="124"/>
      <c r="BU644" s="124"/>
      <c r="BV644" s="124"/>
      <c r="BW644" s="124"/>
      <c r="BX644" s="124"/>
      <c r="BY644" s="124"/>
      <c r="BZ644" s="124"/>
      <c r="CA644" s="124"/>
    </row>
    <row r="645">
      <c r="A645" s="106"/>
      <c r="B645" s="207"/>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c r="AA645" s="106"/>
      <c r="AB645" s="106"/>
      <c r="AC645" s="106"/>
      <c r="AD645" s="106"/>
      <c r="AE645" s="106"/>
      <c r="AF645" s="106"/>
      <c r="AG645" s="106"/>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c r="BK645" s="124"/>
      <c r="BL645" s="124"/>
      <c r="BM645" s="124"/>
      <c r="BN645" s="124"/>
      <c r="BO645" s="124"/>
      <c r="BP645" s="124"/>
      <c r="BQ645" s="124"/>
      <c r="BR645" s="124"/>
      <c r="BS645" s="124"/>
      <c r="BT645" s="124"/>
      <c r="BU645" s="124"/>
      <c r="BV645" s="124"/>
      <c r="BW645" s="124"/>
      <c r="BX645" s="124"/>
      <c r="BY645" s="124"/>
      <c r="BZ645" s="124"/>
      <c r="CA645" s="124"/>
    </row>
    <row r="646">
      <c r="A646" s="106"/>
      <c r="B646" s="207"/>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c r="AA646" s="106"/>
      <c r="AB646" s="106"/>
      <c r="AC646" s="106"/>
      <c r="AD646" s="106"/>
      <c r="AE646" s="106"/>
      <c r="AF646" s="106"/>
      <c r="AG646" s="106"/>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c r="BK646" s="124"/>
      <c r="BL646" s="124"/>
      <c r="BM646" s="124"/>
      <c r="BN646" s="124"/>
      <c r="BO646" s="124"/>
      <c r="BP646" s="124"/>
      <c r="BQ646" s="124"/>
      <c r="BR646" s="124"/>
      <c r="BS646" s="124"/>
      <c r="BT646" s="124"/>
      <c r="BU646" s="124"/>
      <c r="BV646" s="124"/>
      <c r="BW646" s="124"/>
      <c r="BX646" s="124"/>
      <c r="BY646" s="124"/>
      <c r="BZ646" s="124"/>
      <c r="CA646" s="124"/>
    </row>
    <row r="647">
      <c r="A647" s="106"/>
      <c r="B647" s="207"/>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c r="AA647" s="106"/>
      <c r="AB647" s="106"/>
      <c r="AC647" s="106"/>
      <c r="AD647" s="106"/>
      <c r="AE647" s="106"/>
      <c r="AF647" s="106"/>
      <c r="AG647" s="106"/>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c r="BK647" s="124"/>
      <c r="BL647" s="124"/>
      <c r="BM647" s="124"/>
      <c r="BN647" s="124"/>
      <c r="BO647" s="124"/>
      <c r="BP647" s="124"/>
      <c r="BQ647" s="124"/>
      <c r="BR647" s="124"/>
      <c r="BS647" s="124"/>
      <c r="BT647" s="124"/>
      <c r="BU647" s="124"/>
      <c r="BV647" s="124"/>
      <c r="BW647" s="124"/>
      <c r="BX647" s="124"/>
      <c r="BY647" s="124"/>
      <c r="BZ647" s="124"/>
      <c r="CA647" s="124"/>
    </row>
    <row r="648">
      <c r="A648" s="106"/>
      <c r="B648" s="207"/>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c r="AA648" s="106"/>
      <c r="AB648" s="106"/>
      <c r="AC648" s="106"/>
      <c r="AD648" s="106"/>
      <c r="AE648" s="106"/>
      <c r="AF648" s="106"/>
      <c r="AG648" s="106"/>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c r="BK648" s="124"/>
      <c r="BL648" s="124"/>
      <c r="BM648" s="124"/>
      <c r="BN648" s="124"/>
      <c r="BO648" s="124"/>
      <c r="BP648" s="124"/>
      <c r="BQ648" s="124"/>
      <c r="BR648" s="124"/>
      <c r="BS648" s="124"/>
      <c r="BT648" s="124"/>
      <c r="BU648" s="124"/>
      <c r="BV648" s="124"/>
      <c r="BW648" s="124"/>
      <c r="BX648" s="124"/>
      <c r="BY648" s="124"/>
      <c r="BZ648" s="124"/>
      <c r="CA648" s="124"/>
    </row>
    <row r="649">
      <c r="A649" s="106"/>
      <c r="B649" s="207"/>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c r="AA649" s="106"/>
      <c r="AB649" s="106"/>
      <c r="AC649" s="106"/>
      <c r="AD649" s="106"/>
      <c r="AE649" s="106"/>
      <c r="AF649" s="106"/>
      <c r="AG649" s="106"/>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c r="BK649" s="124"/>
      <c r="BL649" s="124"/>
      <c r="BM649" s="124"/>
      <c r="BN649" s="124"/>
      <c r="BO649" s="124"/>
      <c r="BP649" s="124"/>
      <c r="BQ649" s="124"/>
      <c r="BR649" s="124"/>
      <c r="BS649" s="124"/>
      <c r="BT649" s="124"/>
      <c r="BU649" s="124"/>
      <c r="BV649" s="124"/>
      <c r="BW649" s="124"/>
      <c r="BX649" s="124"/>
      <c r="BY649" s="124"/>
      <c r="BZ649" s="124"/>
      <c r="CA649" s="124"/>
    </row>
    <row r="650">
      <c r="A650" s="106"/>
      <c r="B650" s="207"/>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c r="AA650" s="106"/>
      <c r="AB650" s="106"/>
      <c r="AC650" s="106"/>
      <c r="AD650" s="106"/>
      <c r="AE650" s="106"/>
      <c r="AF650" s="106"/>
      <c r="AG650" s="106"/>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c r="BK650" s="124"/>
      <c r="BL650" s="124"/>
      <c r="BM650" s="124"/>
      <c r="BN650" s="124"/>
      <c r="BO650" s="124"/>
      <c r="BP650" s="124"/>
      <c r="BQ650" s="124"/>
      <c r="BR650" s="124"/>
      <c r="BS650" s="124"/>
      <c r="BT650" s="124"/>
      <c r="BU650" s="124"/>
      <c r="BV650" s="124"/>
      <c r="BW650" s="124"/>
      <c r="BX650" s="124"/>
      <c r="BY650" s="124"/>
      <c r="BZ650" s="124"/>
      <c r="CA650" s="124"/>
    </row>
    <row r="651">
      <c r="A651" s="106"/>
      <c r="B651" s="207"/>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c r="AA651" s="106"/>
      <c r="AB651" s="106"/>
      <c r="AC651" s="106"/>
      <c r="AD651" s="106"/>
      <c r="AE651" s="106"/>
      <c r="AF651" s="106"/>
      <c r="AG651" s="106"/>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c r="BK651" s="124"/>
      <c r="BL651" s="124"/>
      <c r="BM651" s="124"/>
      <c r="BN651" s="124"/>
      <c r="BO651" s="124"/>
      <c r="BP651" s="124"/>
      <c r="BQ651" s="124"/>
      <c r="BR651" s="124"/>
      <c r="BS651" s="124"/>
      <c r="BT651" s="124"/>
      <c r="BU651" s="124"/>
      <c r="BV651" s="124"/>
      <c r="BW651" s="124"/>
      <c r="BX651" s="124"/>
      <c r="BY651" s="124"/>
      <c r="BZ651" s="124"/>
      <c r="CA651" s="124"/>
    </row>
    <row r="652">
      <c r="A652" s="106"/>
      <c r="B652" s="207"/>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c r="AA652" s="106"/>
      <c r="AB652" s="106"/>
      <c r="AC652" s="106"/>
      <c r="AD652" s="106"/>
      <c r="AE652" s="106"/>
      <c r="AF652" s="106"/>
      <c r="AG652" s="106"/>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c r="BK652" s="124"/>
      <c r="BL652" s="124"/>
      <c r="BM652" s="124"/>
      <c r="BN652" s="124"/>
      <c r="BO652" s="124"/>
      <c r="BP652" s="124"/>
      <c r="BQ652" s="124"/>
      <c r="BR652" s="124"/>
      <c r="BS652" s="124"/>
      <c r="BT652" s="124"/>
      <c r="BU652" s="124"/>
      <c r="BV652" s="124"/>
      <c r="BW652" s="124"/>
      <c r="BX652" s="124"/>
      <c r="BY652" s="124"/>
      <c r="BZ652" s="124"/>
      <c r="CA652" s="124"/>
    </row>
    <row r="653">
      <c r="A653" s="106"/>
      <c r="B653" s="207"/>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c r="AA653" s="106"/>
      <c r="AB653" s="106"/>
      <c r="AC653" s="106"/>
      <c r="AD653" s="106"/>
      <c r="AE653" s="106"/>
      <c r="AF653" s="106"/>
      <c r="AG653" s="106"/>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c r="BK653" s="124"/>
      <c r="BL653" s="124"/>
      <c r="BM653" s="124"/>
      <c r="BN653" s="124"/>
      <c r="BO653" s="124"/>
      <c r="BP653" s="124"/>
      <c r="BQ653" s="124"/>
      <c r="BR653" s="124"/>
      <c r="BS653" s="124"/>
      <c r="BT653" s="124"/>
      <c r="BU653" s="124"/>
      <c r="BV653" s="124"/>
      <c r="BW653" s="124"/>
      <c r="BX653" s="124"/>
      <c r="BY653" s="124"/>
      <c r="BZ653" s="124"/>
      <c r="CA653" s="124"/>
    </row>
    <row r="654">
      <c r="A654" s="106"/>
      <c r="B654" s="207"/>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c r="AA654" s="106"/>
      <c r="AB654" s="106"/>
      <c r="AC654" s="106"/>
      <c r="AD654" s="106"/>
      <c r="AE654" s="106"/>
      <c r="AF654" s="106"/>
      <c r="AG654" s="106"/>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c r="BK654" s="124"/>
      <c r="BL654" s="124"/>
      <c r="BM654" s="124"/>
      <c r="BN654" s="124"/>
      <c r="BO654" s="124"/>
      <c r="BP654" s="124"/>
      <c r="BQ654" s="124"/>
      <c r="BR654" s="124"/>
      <c r="BS654" s="124"/>
      <c r="BT654" s="124"/>
      <c r="BU654" s="124"/>
      <c r="BV654" s="124"/>
      <c r="BW654" s="124"/>
      <c r="BX654" s="124"/>
      <c r="BY654" s="124"/>
      <c r="BZ654" s="124"/>
      <c r="CA654" s="124"/>
    </row>
    <row r="655">
      <c r="A655" s="106"/>
      <c r="B655" s="207"/>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c r="AA655" s="106"/>
      <c r="AB655" s="106"/>
      <c r="AC655" s="106"/>
      <c r="AD655" s="106"/>
      <c r="AE655" s="106"/>
      <c r="AF655" s="106"/>
      <c r="AG655" s="106"/>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c r="BK655" s="124"/>
      <c r="BL655" s="124"/>
      <c r="BM655" s="124"/>
      <c r="BN655" s="124"/>
      <c r="BO655" s="124"/>
      <c r="BP655" s="124"/>
      <c r="BQ655" s="124"/>
      <c r="BR655" s="124"/>
      <c r="BS655" s="124"/>
      <c r="BT655" s="124"/>
      <c r="BU655" s="124"/>
      <c r="BV655" s="124"/>
      <c r="BW655" s="124"/>
      <c r="BX655" s="124"/>
      <c r="BY655" s="124"/>
      <c r="BZ655" s="124"/>
      <c r="CA655" s="124"/>
    </row>
    <row r="656">
      <c r="A656" s="106"/>
      <c r="B656" s="207"/>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c r="AA656" s="106"/>
      <c r="AB656" s="106"/>
      <c r="AC656" s="106"/>
      <c r="AD656" s="106"/>
      <c r="AE656" s="106"/>
      <c r="AF656" s="106"/>
      <c r="AG656" s="106"/>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c r="BK656" s="124"/>
      <c r="BL656" s="124"/>
      <c r="BM656" s="124"/>
      <c r="BN656" s="124"/>
      <c r="BO656" s="124"/>
      <c r="BP656" s="124"/>
      <c r="BQ656" s="124"/>
      <c r="BR656" s="124"/>
      <c r="BS656" s="124"/>
      <c r="BT656" s="124"/>
      <c r="BU656" s="124"/>
      <c r="BV656" s="124"/>
      <c r="BW656" s="124"/>
      <c r="BX656" s="124"/>
      <c r="BY656" s="124"/>
      <c r="BZ656" s="124"/>
      <c r="CA656" s="124"/>
    </row>
    <row r="657">
      <c r="A657" s="106"/>
      <c r="B657" s="207"/>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c r="AA657" s="106"/>
      <c r="AB657" s="106"/>
      <c r="AC657" s="106"/>
      <c r="AD657" s="106"/>
      <c r="AE657" s="106"/>
      <c r="AF657" s="106"/>
      <c r="AG657" s="106"/>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c r="BK657" s="124"/>
      <c r="BL657" s="124"/>
      <c r="BM657" s="124"/>
      <c r="BN657" s="124"/>
      <c r="BO657" s="124"/>
      <c r="BP657" s="124"/>
      <c r="BQ657" s="124"/>
      <c r="BR657" s="124"/>
      <c r="BS657" s="124"/>
      <c r="BT657" s="124"/>
      <c r="BU657" s="124"/>
      <c r="BV657" s="124"/>
      <c r="BW657" s="124"/>
      <c r="BX657" s="124"/>
      <c r="BY657" s="124"/>
      <c r="BZ657" s="124"/>
      <c r="CA657" s="124"/>
    </row>
    <row r="658">
      <c r="A658" s="106"/>
      <c r="B658" s="207"/>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c r="AA658" s="106"/>
      <c r="AB658" s="106"/>
      <c r="AC658" s="106"/>
      <c r="AD658" s="106"/>
      <c r="AE658" s="106"/>
      <c r="AF658" s="106"/>
      <c r="AG658" s="106"/>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c r="BK658" s="124"/>
      <c r="BL658" s="124"/>
      <c r="BM658" s="124"/>
      <c r="BN658" s="124"/>
      <c r="BO658" s="124"/>
      <c r="BP658" s="124"/>
      <c r="BQ658" s="124"/>
      <c r="BR658" s="124"/>
      <c r="BS658" s="124"/>
      <c r="BT658" s="124"/>
      <c r="BU658" s="124"/>
      <c r="BV658" s="124"/>
      <c r="BW658" s="124"/>
      <c r="BX658" s="124"/>
      <c r="BY658" s="124"/>
      <c r="BZ658" s="124"/>
      <c r="CA658" s="124"/>
    </row>
    <row r="659">
      <c r="A659" s="106"/>
      <c r="B659" s="207"/>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c r="AA659" s="106"/>
      <c r="AB659" s="106"/>
      <c r="AC659" s="106"/>
      <c r="AD659" s="106"/>
      <c r="AE659" s="106"/>
      <c r="AF659" s="106"/>
      <c r="AG659" s="106"/>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c r="BK659" s="124"/>
      <c r="BL659" s="124"/>
      <c r="BM659" s="124"/>
      <c r="BN659" s="124"/>
      <c r="BO659" s="124"/>
      <c r="BP659" s="124"/>
      <c r="BQ659" s="124"/>
      <c r="BR659" s="124"/>
      <c r="BS659" s="124"/>
      <c r="BT659" s="124"/>
      <c r="BU659" s="124"/>
      <c r="BV659" s="124"/>
      <c r="BW659" s="124"/>
      <c r="BX659" s="124"/>
      <c r="BY659" s="124"/>
      <c r="BZ659" s="124"/>
      <c r="CA659" s="124"/>
    </row>
    <row r="660">
      <c r="A660" s="106"/>
      <c r="B660" s="207"/>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c r="AA660" s="106"/>
      <c r="AB660" s="106"/>
      <c r="AC660" s="106"/>
      <c r="AD660" s="106"/>
      <c r="AE660" s="106"/>
      <c r="AF660" s="106"/>
      <c r="AG660" s="106"/>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c r="BK660" s="124"/>
      <c r="BL660" s="124"/>
      <c r="BM660" s="124"/>
      <c r="BN660" s="124"/>
      <c r="BO660" s="124"/>
      <c r="BP660" s="124"/>
      <c r="BQ660" s="124"/>
      <c r="BR660" s="124"/>
      <c r="BS660" s="124"/>
      <c r="BT660" s="124"/>
      <c r="BU660" s="124"/>
      <c r="BV660" s="124"/>
      <c r="BW660" s="124"/>
      <c r="BX660" s="124"/>
      <c r="BY660" s="124"/>
      <c r="BZ660" s="124"/>
      <c r="CA660" s="124"/>
    </row>
    <row r="661">
      <c r="A661" s="106"/>
      <c r="B661" s="207"/>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c r="AA661" s="106"/>
      <c r="AB661" s="106"/>
      <c r="AC661" s="106"/>
      <c r="AD661" s="106"/>
      <c r="AE661" s="106"/>
      <c r="AF661" s="106"/>
      <c r="AG661" s="106"/>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c r="BK661" s="124"/>
      <c r="BL661" s="124"/>
      <c r="BM661" s="124"/>
      <c r="BN661" s="124"/>
      <c r="BO661" s="124"/>
      <c r="BP661" s="124"/>
      <c r="BQ661" s="124"/>
      <c r="BR661" s="124"/>
      <c r="BS661" s="124"/>
      <c r="BT661" s="124"/>
      <c r="BU661" s="124"/>
      <c r="BV661" s="124"/>
      <c r="BW661" s="124"/>
      <c r="BX661" s="124"/>
      <c r="BY661" s="124"/>
      <c r="BZ661" s="124"/>
      <c r="CA661" s="124"/>
    </row>
    <row r="662">
      <c r="A662" s="106"/>
      <c r="B662" s="207"/>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c r="AA662" s="106"/>
      <c r="AB662" s="106"/>
      <c r="AC662" s="106"/>
      <c r="AD662" s="106"/>
      <c r="AE662" s="106"/>
      <c r="AF662" s="106"/>
      <c r="AG662" s="106"/>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c r="BK662" s="124"/>
      <c r="BL662" s="124"/>
      <c r="BM662" s="124"/>
      <c r="BN662" s="124"/>
      <c r="BO662" s="124"/>
      <c r="BP662" s="124"/>
      <c r="BQ662" s="124"/>
      <c r="BR662" s="124"/>
      <c r="BS662" s="124"/>
      <c r="BT662" s="124"/>
      <c r="BU662" s="124"/>
      <c r="BV662" s="124"/>
      <c r="BW662" s="124"/>
      <c r="BX662" s="124"/>
      <c r="BY662" s="124"/>
      <c r="BZ662" s="124"/>
      <c r="CA662" s="124"/>
    </row>
    <row r="663">
      <c r="A663" s="106"/>
      <c r="B663" s="207"/>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c r="AA663" s="106"/>
      <c r="AB663" s="106"/>
      <c r="AC663" s="106"/>
      <c r="AD663" s="106"/>
      <c r="AE663" s="106"/>
      <c r="AF663" s="106"/>
      <c r="AG663" s="106"/>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c r="BK663" s="124"/>
      <c r="BL663" s="124"/>
      <c r="BM663" s="124"/>
      <c r="BN663" s="124"/>
      <c r="BO663" s="124"/>
      <c r="BP663" s="124"/>
      <c r="BQ663" s="124"/>
      <c r="BR663" s="124"/>
      <c r="BS663" s="124"/>
      <c r="BT663" s="124"/>
      <c r="BU663" s="124"/>
      <c r="BV663" s="124"/>
      <c r="BW663" s="124"/>
      <c r="BX663" s="124"/>
      <c r="BY663" s="124"/>
      <c r="BZ663" s="124"/>
      <c r="CA663" s="124"/>
    </row>
    <row r="664">
      <c r="A664" s="106"/>
      <c r="B664" s="207"/>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c r="AA664" s="106"/>
      <c r="AB664" s="106"/>
      <c r="AC664" s="106"/>
      <c r="AD664" s="106"/>
      <c r="AE664" s="106"/>
      <c r="AF664" s="106"/>
      <c r="AG664" s="106"/>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c r="BK664" s="124"/>
      <c r="BL664" s="124"/>
      <c r="BM664" s="124"/>
      <c r="BN664" s="124"/>
      <c r="BO664" s="124"/>
      <c r="BP664" s="124"/>
      <c r="BQ664" s="124"/>
      <c r="BR664" s="124"/>
      <c r="BS664" s="124"/>
      <c r="BT664" s="124"/>
      <c r="BU664" s="124"/>
      <c r="BV664" s="124"/>
      <c r="BW664" s="124"/>
      <c r="BX664" s="124"/>
      <c r="BY664" s="124"/>
      <c r="BZ664" s="124"/>
      <c r="CA664" s="124"/>
    </row>
    <row r="665">
      <c r="A665" s="106"/>
      <c r="B665" s="207"/>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c r="AA665" s="106"/>
      <c r="AB665" s="106"/>
      <c r="AC665" s="106"/>
      <c r="AD665" s="106"/>
      <c r="AE665" s="106"/>
      <c r="AF665" s="106"/>
      <c r="AG665" s="106"/>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c r="BK665" s="124"/>
      <c r="BL665" s="124"/>
      <c r="BM665" s="124"/>
      <c r="BN665" s="124"/>
      <c r="BO665" s="124"/>
      <c r="BP665" s="124"/>
      <c r="BQ665" s="124"/>
      <c r="BR665" s="124"/>
      <c r="BS665" s="124"/>
      <c r="BT665" s="124"/>
      <c r="BU665" s="124"/>
      <c r="BV665" s="124"/>
      <c r="BW665" s="124"/>
      <c r="BX665" s="124"/>
      <c r="BY665" s="124"/>
      <c r="BZ665" s="124"/>
      <c r="CA665" s="124"/>
    </row>
    <row r="666">
      <c r="A666" s="106"/>
      <c r="B666" s="207"/>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c r="AA666" s="106"/>
      <c r="AB666" s="106"/>
      <c r="AC666" s="106"/>
      <c r="AD666" s="106"/>
      <c r="AE666" s="106"/>
      <c r="AF666" s="106"/>
      <c r="AG666" s="106"/>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c r="BK666" s="124"/>
      <c r="BL666" s="124"/>
      <c r="BM666" s="124"/>
      <c r="BN666" s="124"/>
      <c r="BO666" s="124"/>
      <c r="BP666" s="124"/>
      <c r="BQ666" s="124"/>
      <c r="BR666" s="124"/>
      <c r="BS666" s="124"/>
      <c r="BT666" s="124"/>
      <c r="BU666" s="124"/>
      <c r="BV666" s="124"/>
      <c r="BW666" s="124"/>
      <c r="BX666" s="124"/>
      <c r="BY666" s="124"/>
      <c r="BZ666" s="124"/>
      <c r="CA666" s="124"/>
    </row>
    <row r="667">
      <c r="A667" s="106"/>
      <c r="B667" s="207"/>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c r="AA667" s="106"/>
      <c r="AB667" s="106"/>
      <c r="AC667" s="106"/>
      <c r="AD667" s="106"/>
      <c r="AE667" s="106"/>
      <c r="AF667" s="106"/>
      <c r="AG667" s="106"/>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c r="BK667" s="124"/>
      <c r="BL667" s="124"/>
      <c r="BM667" s="124"/>
      <c r="BN667" s="124"/>
      <c r="BO667" s="124"/>
      <c r="BP667" s="124"/>
      <c r="BQ667" s="124"/>
      <c r="BR667" s="124"/>
      <c r="BS667" s="124"/>
      <c r="BT667" s="124"/>
      <c r="BU667" s="124"/>
      <c r="BV667" s="124"/>
      <c r="BW667" s="124"/>
      <c r="BX667" s="124"/>
      <c r="BY667" s="124"/>
      <c r="BZ667" s="124"/>
      <c r="CA667" s="124"/>
    </row>
    <row r="668">
      <c r="A668" s="106"/>
      <c r="B668" s="207"/>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c r="AA668" s="106"/>
      <c r="AB668" s="106"/>
      <c r="AC668" s="106"/>
      <c r="AD668" s="106"/>
      <c r="AE668" s="106"/>
      <c r="AF668" s="106"/>
      <c r="AG668" s="106"/>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c r="BK668" s="124"/>
      <c r="BL668" s="124"/>
      <c r="BM668" s="124"/>
      <c r="BN668" s="124"/>
      <c r="BO668" s="124"/>
      <c r="BP668" s="124"/>
      <c r="BQ668" s="124"/>
      <c r="BR668" s="124"/>
      <c r="BS668" s="124"/>
      <c r="BT668" s="124"/>
      <c r="BU668" s="124"/>
      <c r="BV668" s="124"/>
      <c r="BW668" s="124"/>
      <c r="BX668" s="124"/>
      <c r="BY668" s="124"/>
      <c r="BZ668" s="124"/>
      <c r="CA668" s="124"/>
    </row>
    <row r="669">
      <c r="A669" s="106"/>
      <c r="B669" s="207"/>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c r="AA669" s="106"/>
      <c r="AB669" s="106"/>
      <c r="AC669" s="106"/>
      <c r="AD669" s="106"/>
      <c r="AE669" s="106"/>
      <c r="AF669" s="106"/>
      <c r="AG669" s="106"/>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c r="BK669" s="124"/>
      <c r="BL669" s="124"/>
      <c r="BM669" s="124"/>
      <c r="BN669" s="124"/>
      <c r="BO669" s="124"/>
      <c r="BP669" s="124"/>
      <c r="BQ669" s="124"/>
      <c r="BR669" s="124"/>
      <c r="BS669" s="124"/>
      <c r="BT669" s="124"/>
      <c r="BU669" s="124"/>
      <c r="BV669" s="124"/>
      <c r="BW669" s="124"/>
      <c r="BX669" s="124"/>
      <c r="BY669" s="124"/>
      <c r="BZ669" s="124"/>
      <c r="CA669" s="124"/>
    </row>
    <row r="670">
      <c r="A670" s="106"/>
      <c r="B670" s="207"/>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c r="AA670" s="106"/>
      <c r="AB670" s="106"/>
      <c r="AC670" s="106"/>
      <c r="AD670" s="106"/>
      <c r="AE670" s="106"/>
      <c r="AF670" s="106"/>
      <c r="AG670" s="106"/>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c r="BK670" s="124"/>
      <c r="BL670" s="124"/>
      <c r="BM670" s="124"/>
      <c r="BN670" s="124"/>
      <c r="BO670" s="124"/>
      <c r="BP670" s="124"/>
      <c r="BQ670" s="124"/>
      <c r="BR670" s="124"/>
      <c r="BS670" s="124"/>
      <c r="BT670" s="124"/>
      <c r="BU670" s="124"/>
      <c r="BV670" s="124"/>
      <c r="BW670" s="124"/>
      <c r="BX670" s="124"/>
      <c r="BY670" s="124"/>
      <c r="BZ670" s="124"/>
      <c r="CA670" s="124"/>
    </row>
    <row r="671">
      <c r="A671" s="106"/>
      <c r="B671" s="207"/>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c r="AA671" s="106"/>
      <c r="AB671" s="106"/>
      <c r="AC671" s="106"/>
      <c r="AD671" s="106"/>
      <c r="AE671" s="106"/>
      <c r="AF671" s="106"/>
      <c r="AG671" s="106"/>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c r="BK671" s="124"/>
      <c r="BL671" s="124"/>
      <c r="BM671" s="124"/>
      <c r="BN671" s="124"/>
      <c r="BO671" s="124"/>
      <c r="BP671" s="124"/>
      <c r="BQ671" s="124"/>
      <c r="BR671" s="124"/>
      <c r="BS671" s="124"/>
      <c r="BT671" s="124"/>
      <c r="BU671" s="124"/>
      <c r="BV671" s="124"/>
      <c r="BW671" s="124"/>
      <c r="BX671" s="124"/>
      <c r="BY671" s="124"/>
      <c r="BZ671" s="124"/>
      <c r="CA671" s="124"/>
    </row>
    <row r="672">
      <c r="A672" s="106"/>
      <c r="B672" s="207"/>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c r="AA672" s="106"/>
      <c r="AB672" s="106"/>
      <c r="AC672" s="106"/>
      <c r="AD672" s="106"/>
      <c r="AE672" s="106"/>
      <c r="AF672" s="106"/>
      <c r="AG672" s="106"/>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c r="BK672" s="124"/>
      <c r="BL672" s="124"/>
      <c r="BM672" s="124"/>
      <c r="BN672" s="124"/>
      <c r="BO672" s="124"/>
      <c r="BP672" s="124"/>
      <c r="BQ672" s="124"/>
      <c r="BR672" s="124"/>
      <c r="BS672" s="124"/>
      <c r="BT672" s="124"/>
      <c r="BU672" s="124"/>
      <c r="BV672" s="124"/>
      <c r="BW672" s="124"/>
      <c r="BX672" s="124"/>
      <c r="BY672" s="124"/>
      <c r="BZ672" s="124"/>
      <c r="CA672" s="124"/>
    </row>
    <row r="673">
      <c r="A673" s="106"/>
      <c r="B673" s="207"/>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c r="AA673" s="106"/>
      <c r="AB673" s="106"/>
      <c r="AC673" s="106"/>
      <c r="AD673" s="106"/>
      <c r="AE673" s="106"/>
      <c r="AF673" s="106"/>
      <c r="AG673" s="106"/>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c r="BK673" s="124"/>
      <c r="BL673" s="124"/>
      <c r="BM673" s="124"/>
      <c r="BN673" s="124"/>
      <c r="BO673" s="124"/>
      <c r="BP673" s="124"/>
      <c r="BQ673" s="124"/>
      <c r="BR673" s="124"/>
      <c r="BS673" s="124"/>
      <c r="BT673" s="124"/>
      <c r="BU673" s="124"/>
      <c r="BV673" s="124"/>
      <c r="BW673" s="124"/>
      <c r="BX673" s="124"/>
      <c r="BY673" s="124"/>
      <c r="BZ673" s="124"/>
      <c r="CA673" s="124"/>
    </row>
    <row r="674">
      <c r="A674" s="106"/>
      <c r="B674" s="207"/>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c r="AA674" s="106"/>
      <c r="AB674" s="106"/>
      <c r="AC674" s="106"/>
      <c r="AD674" s="106"/>
      <c r="AE674" s="106"/>
      <c r="AF674" s="106"/>
      <c r="AG674" s="106"/>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c r="BK674" s="124"/>
      <c r="BL674" s="124"/>
      <c r="BM674" s="124"/>
      <c r="BN674" s="124"/>
      <c r="BO674" s="124"/>
      <c r="BP674" s="124"/>
      <c r="BQ674" s="124"/>
      <c r="BR674" s="124"/>
      <c r="BS674" s="124"/>
      <c r="BT674" s="124"/>
      <c r="BU674" s="124"/>
      <c r="BV674" s="124"/>
      <c r="BW674" s="124"/>
      <c r="BX674" s="124"/>
      <c r="BY674" s="124"/>
      <c r="BZ674" s="124"/>
      <c r="CA674" s="124"/>
    </row>
    <row r="675">
      <c r="A675" s="106"/>
      <c r="B675" s="207"/>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c r="AA675" s="106"/>
      <c r="AB675" s="106"/>
      <c r="AC675" s="106"/>
      <c r="AD675" s="106"/>
      <c r="AE675" s="106"/>
      <c r="AF675" s="106"/>
      <c r="AG675" s="106"/>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c r="BK675" s="124"/>
      <c r="BL675" s="124"/>
      <c r="BM675" s="124"/>
      <c r="BN675" s="124"/>
      <c r="BO675" s="124"/>
      <c r="BP675" s="124"/>
      <c r="BQ675" s="124"/>
      <c r="BR675" s="124"/>
      <c r="BS675" s="124"/>
      <c r="BT675" s="124"/>
      <c r="BU675" s="124"/>
      <c r="BV675" s="124"/>
      <c r="BW675" s="124"/>
      <c r="BX675" s="124"/>
      <c r="BY675" s="124"/>
      <c r="BZ675" s="124"/>
      <c r="CA675" s="124"/>
    </row>
    <row r="676">
      <c r="A676" s="106"/>
      <c r="B676" s="207"/>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c r="AA676" s="106"/>
      <c r="AB676" s="106"/>
      <c r="AC676" s="106"/>
      <c r="AD676" s="106"/>
      <c r="AE676" s="106"/>
      <c r="AF676" s="106"/>
      <c r="AG676" s="106"/>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c r="BK676" s="124"/>
      <c r="BL676" s="124"/>
      <c r="BM676" s="124"/>
      <c r="BN676" s="124"/>
      <c r="BO676" s="124"/>
      <c r="BP676" s="124"/>
      <c r="BQ676" s="124"/>
      <c r="BR676" s="124"/>
      <c r="BS676" s="124"/>
      <c r="BT676" s="124"/>
      <c r="BU676" s="124"/>
      <c r="BV676" s="124"/>
      <c r="BW676" s="124"/>
      <c r="BX676" s="124"/>
      <c r="BY676" s="124"/>
      <c r="BZ676" s="124"/>
      <c r="CA676" s="124"/>
    </row>
    <row r="677">
      <c r="A677" s="106"/>
      <c r="B677" s="207"/>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c r="AA677" s="106"/>
      <c r="AB677" s="106"/>
      <c r="AC677" s="106"/>
      <c r="AD677" s="106"/>
      <c r="AE677" s="106"/>
      <c r="AF677" s="106"/>
      <c r="AG677" s="106"/>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c r="BK677" s="124"/>
      <c r="BL677" s="124"/>
      <c r="BM677" s="124"/>
      <c r="BN677" s="124"/>
      <c r="BO677" s="124"/>
      <c r="BP677" s="124"/>
      <c r="BQ677" s="124"/>
      <c r="BR677" s="124"/>
      <c r="BS677" s="124"/>
      <c r="BT677" s="124"/>
      <c r="BU677" s="124"/>
      <c r="BV677" s="124"/>
      <c r="BW677" s="124"/>
      <c r="BX677" s="124"/>
      <c r="BY677" s="124"/>
      <c r="BZ677" s="124"/>
      <c r="CA677" s="124"/>
    </row>
    <row r="678">
      <c r="A678" s="106"/>
      <c r="B678" s="207"/>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c r="AA678" s="106"/>
      <c r="AB678" s="106"/>
      <c r="AC678" s="106"/>
      <c r="AD678" s="106"/>
      <c r="AE678" s="106"/>
      <c r="AF678" s="106"/>
      <c r="AG678" s="106"/>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c r="BK678" s="124"/>
      <c r="BL678" s="124"/>
      <c r="BM678" s="124"/>
      <c r="BN678" s="124"/>
      <c r="BO678" s="124"/>
      <c r="BP678" s="124"/>
      <c r="BQ678" s="124"/>
      <c r="BR678" s="124"/>
      <c r="BS678" s="124"/>
      <c r="BT678" s="124"/>
      <c r="BU678" s="124"/>
      <c r="BV678" s="124"/>
      <c r="BW678" s="124"/>
      <c r="BX678" s="124"/>
      <c r="BY678" s="124"/>
      <c r="BZ678" s="124"/>
      <c r="CA678" s="124"/>
    </row>
    <row r="679">
      <c r="A679" s="106"/>
      <c r="B679" s="207"/>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c r="AA679" s="106"/>
      <c r="AB679" s="106"/>
      <c r="AC679" s="106"/>
      <c r="AD679" s="106"/>
      <c r="AE679" s="106"/>
      <c r="AF679" s="106"/>
      <c r="AG679" s="106"/>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c r="BK679" s="124"/>
      <c r="BL679" s="124"/>
      <c r="BM679" s="124"/>
      <c r="BN679" s="124"/>
      <c r="BO679" s="124"/>
      <c r="BP679" s="124"/>
      <c r="BQ679" s="124"/>
      <c r="BR679" s="124"/>
      <c r="BS679" s="124"/>
      <c r="BT679" s="124"/>
      <c r="BU679" s="124"/>
      <c r="BV679" s="124"/>
      <c r="BW679" s="124"/>
      <c r="BX679" s="124"/>
      <c r="BY679" s="124"/>
      <c r="BZ679" s="124"/>
      <c r="CA679" s="124"/>
    </row>
    <row r="680">
      <c r="A680" s="106"/>
      <c r="B680" s="207"/>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c r="AA680" s="106"/>
      <c r="AB680" s="106"/>
      <c r="AC680" s="106"/>
      <c r="AD680" s="106"/>
      <c r="AE680" s="106"/>
      <c r="AF680" s="106"/>
      <c r="AG680" s="106"/>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c r="BK680" s="124"/>
      <c r="BL680" s="124"/>
      <c r="BM680" s="124"/>
      <c r="BN680" s="124"/>
      <c r="BO680" s="124"/>
      <c r="BP680" s="124"/>
      <c r="BQ680" s="124"/>
      <c r="BR680" s="124"/>
      <c r="BS680" s="124"/>
      <c r="BT680" s="124"/>
      <c r="BU680" s="124"/>
      <c r="BV680" s="124"/>
      <c r="BW680" s="124"/>
      <c r="BX680" s="124"/>
      <c r="BY680" s="124"/>
      <c r="BZ680" s="124"/>
      <c r="CA680" s="124"/>
    </row>
    <row r="681">
      <c r="A681" s="106"/>
      <c r="B681" s="207"/>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c r="AA681" s="106"/>
      <c r="AB681" s="106"/>
      <c r="AC681" s="106"/>
      <c r="AD681" s="106"/>
      <c r="AE681" s="106"/>
      <c r="AF681" s="106"/>
      <c r="AG681" s="106"/>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c r="BK681" s="124"/>
      <c r="BL681" s="124"/>
      <c r="BM681" s="124"/>
      <c r="BN681" s="124"/>
      <c r="BO681" s="124"/>
      <c r="BP681" s="124"/>
      <c r="BQ681" s="124"/>
      <c r="BR681" s="124"/>
      <c r="BS681" s="124"/>
      <c r="BT681" s="124"/>
      <c r="BU681" s="124"/>
      <c r="BV681" s="124"/>
      <c r="BW681" s="124"/>
      <c r="BX681" s="124"/>
      <c r="BY681" s="124"/>
      <c r="BZ681" s="124"/>
      <c r="CA681" s="124"/>
    </row>
    <row r="682">
      <c r="A682" s="106"/>
      <c r="B682" s="207"/>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c r="AA682" s="106"/>
      <c r="AB682" s="106"/>
      <c r="AC682" s="106"/>
      <c r="AD682" s="106"/>
      <c r="AE682" s="106"/>
      <c r="AF682" s="106"/>
      <c r="AG682" s="106"/>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c r="BK682" s="124"/>
      <c r="BL682" s="124"/>
      <c r="BM682" s="124"/>
      <c r="BN682" s="124"/>
      <c r="BO682" s="124"/>
      <c r="BP682" s="124"/>
      <c r="BQ682" s="124"/>
      <c r="BR682" s="124"/>
      <c r="BS682" s="124"/>
      <c r="BT682" s="124"/>
      <c r="BU682" s="124"/>
      <c r="BV682" s="124"/>
      <c r="BW682" s="124"/>
      <c r="BX682" s="124"/>
      <c r="BY682" s="124"/>
      <c r="BZ682" s="124"/>
      <c r="CA682" s="124"/>
    </row>
    <row r="683">
      <c r="A683" s="106"/>
      <c r="B683" s="207"/>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c r="AA683" s="106"/>
      <c r="AB683" s="106"/>
      <c r="AC683" s="106"/>
      <c r="AD683" s="106"/>
      <c r="AE683" s="106"/>
      <c r="AF683" s="106"/>
      <c r="AG683" s="106"/>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c r="BK683" s="124"/>
      <c r="BL683" s="124"/>
      <c r="BM683" s="124"/>
      <c r="BN683" s="124"/>
      <c r="BO683" s="124"/>
      <c r="BP683" s="124"/>
      <c r="BQ683" s="124"/>
      <c r="BR683" s="124"/>
      <c r="BS683" s="124"/>
      <c r="BT683" s="124"/>
      <c r="BU683" s="124"/>
      <c r="BV683" s="124"/>
      <c r="BW683" s="124"/>
      <c r="BX683" s="124"/>
      <c r="BY683" s="124"/>
      <c r="BZ683" s="124"/>
      <c r="CA683" s="124"/>
    </row>
    <row r="684">
      <c r="A684" s="106"/>
      <c r="B684" s="207"/>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c r="AA684" s="106"/>
      <c r="AB684" s="106"/>
      <c r="AC684" s="106"/>
      <c r="AD684" s="106"/>
      <c r="AE684" s="106"/>
      <c r="AF684" s="106"/>
      <c r="AG684" s="106"/>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c r="BK684" s="124"/>
      <c r="BL684" s="124"/>
      <c r="BM684" s="124"/>
      <c r="BN684" s="124"/>
      <c r="BO684" s="124"/>
      <c r="BP684" s="124"/>
      <c r="BQ684" s="124"/>
      <c r="BR684" s="124"/>
      <c r="BS684" s="124"/>
      <c r="BT684" s="124"/>
      <c r="BU684" s="124"/>
      <c r="BV684" s="124"/>
      <c r="BW684" s="124"/>
      <c r="BX684" s="124"/>
      <c r="BY684" s="124"/>
      <c r="BZ684" s="124"/>
      <c r="CA684" s="124"/>
    </row>
    <row r="685">
      <c r="A685" s="106"/>
      <c r="B685" s="207"/>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c r="AA685" s="106"/>
      <c r="AB685" s="106"/>
      <c r="AC685" s="106"/>
      <c r="AD685" s="106"/>
      <c r="AE685" s="106"/>
      <c r="AF685" s="106"/>
      <c r="AG685" s="106"/>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c r="BK685" s="124"/>
      <c r="BL685" s="124"/>
      <c r="BM685" s="124"/>
      <c r="BN685" s="124"/>
      <c r="BO685" s="124"/>
      <c r="BP685" s="124"/>
      <c r="BQ685" s="124"/>
      <c r="BR685" s="124"/>
      <c r="BS685" s="124"/>
      <c r="BT685" s="124"/>
      <c r="BU685" s="124"/>
      <c r="BV685" s="124"/>
      <c r="BW685" s="124"/>
      <c r="BX685" s="124"/>
      <c r="BY685" s="124"/>
      <c r="BZ685" s="124"/>
      <c r="CA685" s="124"/>
    </row>
    <row r="686">
      <c r="A686" s="106"/>
      <c r="B686" s="207"/>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c r="AA686" s="106"/>
      <c r="AB686" s="106"/>
      <c r="AC686" s="106"/>
      <c r="AD686" s="106"/>
      <c r="AE686" s="106"/>
      <c r="AF686" s="106"/>
      <c r="AG686" s="106"/>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4"/>
      <c r="BR686" s="124"/>
      <c r="BS686" s="124"/>
      <c r="BT686" s="124"/>
      <c r="BU686" s="124"/>
      <c r="BV686" s="124"/>
      <c r="BW686" s="124"/>
      <c r="BX686" s="124"/>
      <c r="BY686" s="124"/>
      <c r="BZ686" s="124"/>
      <c r="CA686" s="124"/>
    </row>
    <row r="687">
      <c r="A687" s="106"/>
      <c r="B687" s="207"/>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c r="AA687" s="106"/>
      <c r="AB687" s="106"/>
      <c r="AC687" s="106"/>
      <c r="AD687" s="106"/>
      <c r="AE687" s="106"/>
      <c r="AF687" s="106"/>
      <c r="AG687" s="106"/>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c r="BK687" s="124"/>
      <c r="BL687" s="124"/>
      <c r="BM687" s="124"/>
      <c r="BN687" s="124"/>
      <c r="BO687" s="124"/>
      <c r="BP687" s="124"/>
      <c r="BQ687" s="124"/>
      <c r="BR687" s="124"/>
      <c r="BS687" s="124"/>
      <c r="BT687" s="124"/>
      <c r="BU687" s="124"/>
      <c r="BV687" s="124"/>
      <c r="BW687" s="124"/>
      <c r="BX687" s="124"/>
      <c r="BY687" s="124"/>
      <c r="BZ687" s="124"/>
      <c r="CA687" s="124"/>
    </row>
    <row r="688">
      <c r="A688" s="106"/>
      <c r="B688" s="207"/>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c r="AA688" s="106"/>
      <c r="AB688" s="106"/>
      <c r="AC688" s="106"/>
      <c r="AD688" s="106"/>
      <c r="AE688" s="106"/>
      <c r="AF688" s="106"/>
      <c r="AG688" s="106"/>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c r="BK688" s="124"/>
      <c r="BL688" s="124"/>
      <c r="BM688" s="124"/>
      <c r="BN688" s="124"/>
      <c r="BO688" s="124"/>
      <c r="BP688" s="124"/>
      <c r="BQ688" s="124"/>
      <c r="BR688" s="124"/>
      <c r="BS688" s="124"/>
      <c r="BT688" s="124"/>
      <c r="BU688" s="124"/>
      <c r="BV688" s="124"/>
      <c r="BW688" s="124"/>
      <c r="BX688" s="124"/>
      <c r="BY688" s="124"/>
      <c r="BZ688" s="124"/>
      <c r="CA688" s="124"/>
    </row>
    <row r="689">
      <c r="A689" s="106"/>
      <c r="B689" s="207"/>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c r="AA689" s="106"/>
      <c r="AB689" s="106"/>
      <c r="AC689" s="106"/>
      <c r="AD689" s="106"/>
      <c r="AE689" s="106"/>
      <c r="AF689" s="106"/>
      <c r="AG689" s="106"/>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c r="BK689" s="124"/>
      <c r="BL689" s="124"/>
      <c r="BM689" s="124"/>
      <c r="BN689" s="124"/>
      <c r="BO689" s="124"/>
      <c r="BP689" s="124"/>
      <c r="BQ689" s="124"/>
      <c r="BR689" s="124"/>
      <c r="BS689" s="124"/>
      <c r="BT689" s="124"/>
      <c r="BU689" s="124"/>
      <c r="BV689" s="124"/>
      <c r="BW689" s="124"/>
      <c r="BX689" s="124"/>
      <c r="BY689" s="124"/>
      <c r="BZ689" s="124"/>
      <c r="CA689" s="124"/>
    </row>
    <row r="690">
      <c r="A690" s="106"/>
      <c r="B690" s="207"/>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c r="AA690" s="106"/>
      <c r="AB690" s="106"/>
      <c r="AC690" s="106"/>
      <c r="AD690" s="106"/>
      <c r="AE690" s="106"/>
      <c r="AF690" s="106"/>
      <c r="AG690" s="106"/>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c r="BK690" s="124"/>
      <c r="BL690" s="124"/>
      <c r="BM690" s="124"/>
      <c r="BN690" s="124"/>
      <c r="BO690" s="124"/>
      <c r="BP690" s="124"/>
      <c r="BQ690" s="124"/>
      <c r="BR690" s="124"/>
      <c r="BS690" s="124"/>
      <c r="BT690" s="124"/>
      <c r="BU690" s="124"/>
      <c r="BV690" s="124"/>
      <c r="BW690" s="124"/>
      <c r="BX690" s="124"/>
      <c r="BY690" s="124"/>
      <c r="BZ690" s="124"/>
      <c r="CA690" s="124"/>
    </row>
    <row r="691">
      <c r="A691" s="106"/>
      <c r="B691" s="207"/>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c r="AA691" s="106"/>
      <c r="AB691" s="106"/>
      <c r="AC691" s="106"/>
      <c r="AD691" s="106"/>
      <c r="AE691" s="106"/>
      <c r="AF691" s="106"/>
      <c r="AG691" s="106"/>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c r="BK691" s="124"/>
      <c r="BL691" s="124"/>
      <c r="BM691" s="124"/>
      <c r="BN691" s="124"/>
      <c r="BO691" s="124"/>
      <c r="BP691" s="124"/>
      <c r="BQ691" s="124"/>
      <c r="BR691" s="124"/>
      <c r="BS691" s="124"/>
      <c r="BT691" s="124"/>
      <c r="BU691" s="124"/>
      <c r="BV691" s="124"/>
      <c r="BW691" s="124"/>
      <c r="BX691" s="124"/>
      <c r="BY691" s="124"/>
      <c r="BZ691" s="124"/>
      <c r="CA691" s="124"/>
    </row>
    <row r="692">
      <c r="A692" s="106"/>
      <c r="B692" s="207"/>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c r="AA692" s="106"/>
      <c r="AB692" s="106"/>
      <c r="AC692" s="106"/>
      <c r="AD692" s="106"/>
      <c r="AE692" s="106"/>
      <c r="AF692" s="106"/>
      <c r="AG692" s="106"/>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c r="BK692" s="124"/>
      <c r="BL692" s="124"/>
      <c r="BM692" s="124"/>
      <c r="BN692" s="124"/>
      <c r="BO692" s="124"/>
      <c r="BP692" s="124"/>
      <c r="BQ692" s="124"/>
      <c r="BR692" s="124"/>
      <c r="BS692" s="124"/>
      <c r="BT692" s="124"/>
      <c r="BU692" s="124"/>
      <c r="BV692" s="124"/>
      <c r="BW692" s="124"/>
      <c r="BX692" s="124"/>
      <c r="BY692" s="124"/>
      <c r="BZ692" s="124"/>
      <c r="CA692" s="124"/>
    </row>
    <row r="693">
      <c r="A693" s="106"/>
      <c r="B693" s="207"/>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c r="AA693" s="106"/>
      <c r="AB693" s="106"/>
      <c r="AC693" s="106"/>
      <c r="AD693" s="106"/>
      <c r="AE693" s="106"/>
      <c r="AF693" s="106"/>
      <c r="AG693" s="106"/>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c r="BK693" s="124"/>
      <c r="BL693" s="124"/>
      <c r="BM693" s="124"/>
      <c r="BN693" s="124"/>
      <c r="BO693" s="124"/>
      <c r="BP693" s="124"/>
      <c r="BQ693" s="124"/>
      <c r="BR693" s="124"/>
      <c r="BS693" s="124"/>
      <c r="BT693" s="124"/>
      <c r="BU693" s="124"/>
      <c r="BV693" s="124"/>
      <c r="BW693" s="124"/>
      <c r="BX693" s="124"/>
      <c r="BY693" s="124"/>
      <c r="BZ693" s="124"/>
      <c r="CA693" s="124"/>
    </row>
    <row r="694">
      <c r="A694" s="106"/>
      <c r="B694" s="207"/>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c r="AA694" s="106"/>
      <c r="AB694" s="106"/>
      <c r="AC694" s="106"/>
      <c r="AD694" s="106"/>
      <c r="AE694" s="106"/>
      <c r="AF694" s="106"/>
      <c r="AG694" s="106"/>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c r="BK694" s="124"/>
      <c r="BL694" s="124"/>
      <c r="BM694" s="124"/>
      <c r="BN694" s="124"/>
      <c r="BO694" s="124"/>
      <c r="BP694" s="124"/>
      <c r="BQ694" s="124"/>
      <c r="BR694" s="124"/>
      <c r="BS694" s="124"/>
      <c r="BT694" s="124"/>
      <c r="BU694" s="124"/>
      <c r="BV694" s="124"/>
      <c r="BW694" s="124"/>
      <c r="BX694" s="124"/>
      <c r="BY694" s="124"/>
      <c r="BZ694" s="124"/>
      <c r="CA694" s="124"/>
    </row>
    <row r="695">
      <c r="A695" s="106"/>
      <c r="B695" s="207"/>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c r="AA695" s="106"/>
      <c r="AB695" s="106"/>
      <c r="AC695" s="106"/>
      <c r="AD695" s="106"/>
      <c r="AE695" s="106"/>
      <c r="AF695" s="106"/>
      <c r="AG695" s="106"/>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c r="BK695" s="124"/>
      <c r="BL695" s="124"/>
      <c r="BM695" s="124"/>
      <c r="BN695" s="124"/>
      <c r="BO695" s="124"/>
      <c r="BP695" s="124"/>
      <c r="BQ695" s="124"/>
      <c r="BR695" s="124"/>
      <c r="BS695" s="124"/>
      <c r="BT695" s="124"/>
      <c r="BU695" s="124"/>
      <c r="BV695" s="124"/>
      <c r="BW695" s="124"/>
      <c r="BX695" s="124"/>
      <c r="BY695" s="124"/>
      <c r="BZ695" s="124"/>
      <c r="CA695" s="124"/>
    </row>
    <row r="696">
      <c r="A696" s="106"/>
      <c r="B696" s="207"/>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c r="AA696" s="106"/>
      <c r="AB696" s="106"/>
      <c r="AC696" s="106"/>
      <c r="AD696" s="106"/>
      <c r="AE696" s="106"/>
      <c r="AF696" s="106"/>
      <c r="AG696" s="106"/>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c r="BK696" s="124"/>
      <c r="BL696" s="124"/>
      <c r="BM696" s="124"/>
      <c r="BN696" s="124"/>
      <c r="BO696" s="124"/>
      <c r="BP696" s="124"/>
      <c r="BQ696" s="124"/>
      <c r="BR696" s="124"/>
      <c r="BS696" s="124"/>
      <c r="BT696" s="124"/>
      <c r="BU696" s="124"/>
      <c r="BV696" s="124"/>
      <c r="BW696" s="124"/>
      <c r="BX696" s="124"/>
      <c r="BY696" s="124"/>
      <c r="BZ696" s="124"/>
      <c r="CA696" s="124"/>
    </row>
    <row r="697">
      <c r="A697" s="106"/>
      <c r="B697" s="207"/>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c r="AA697" s="106"/>
      <c r="AB697" s="106"/>
      <c r="AC697" s="106"/>
      <c r="AD697" s="106"/>
      <c r="AE697" s="106"/>
      <c r="AF697" s="106"/>
      <c r="AG697" s="106"/>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c r="BK697" s="124"/>
      <c r="BL697" s="124"/>
      <c r="BM697" s="124"/>
      <c r="BN697" s="124"/>
      <c r="BO697" s="124"/>
      <c r="BP697" s="124"/>
      <c r="BQ697" s="124"/>
      <c r="BR697" s="124"/>
      <c r="BS697" s="124"/>
      <c r="BT697" s="124"/>
      <c r="BU697" s="124"/>
      <c r="BV697" s="124"/>
      <c r="BW697" s="124"/>
      <c r="BX697" s="124"/>
      <c r="BY697" s="124"/>
      <c r="BZ697" s="124"/>
      <c r="CA697" s="124"/>
    </row>
    <row r="698">
      <c r="A698" s="106"/>
      <c r="B698" s="207"/>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c r="AA698" s="106"/>
      <c r="AB698" s="106"/>
      <c r="AC698" s="106"/>
      <c r="AD698" s="106"/>
      <c r="AE698" s="106"/>
      <c r="AF698" s="106"/>
      <c r="AG698" s="106"/>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c r="BK698" s="124"/>
      <c r="BL698" s="124"/>
      <c r="BM698" s="124"/>
      <c r="BN698" s="124"/>
      <c r="BO698" s="124"/>
      <c r="BP698" s="124"/>
      <c r="BQ698" s="124"/>
      <c r="BR698" s="124"/>
      <c r="BS698" s="124"/>
      <c r="BT698" s="124"/>
      <c r="BU698" s="124"/>
      <c r="BV698" s="124"/>
      <c r="BW698" s="124"/>
      <c r="BX698" s="124"/>
      <c r="BY698" s="124"/>
      <c r="BZ698" s="124"/>
      <c r="CA698" s="124"/>
    </row>
    <row r="699">
      <c r="A699" s="106"/>
      <c r="B699" s="207"/>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c r="AA699" s="106"/>
      <c r="AB699" s="106"/>
      <c r="AC699" s="106"/>
      <c r="AD699" s="106"/>
      <c r="AE699" s="106"/>
      <c r="AF699" s="106"/>
      <c r="AG699" s="106"/>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c r="BK699" s="124"/>
      <c r="BL699" s="124"/>
      <c r="BM699" s="124"/>
      <c r="BN699" s="124"/>
      <c r="BO699" s="124"/>
      <c r="BP699" s="124"/>
      <c r="BQ699" s="124"/>
      <c r="BR699" s="124"/>
      <c r="BS699" s="124"/>
      <c r="BT699" s="124"/>
      <c r="BU699" s="124"/>
      <c r="BV699" s="124"/>
      <c r="BW699" s="124"/>
      <c r="BX699" s="124"/>
      <c r="BY699" s="124"/>
      <c r="BZ699" s="124"/>
      <c r="CA699" s="124"/>
    </row>
    <row r="700">
      <c r="A700" s="106"/>
      <c r="B700" s="207"/>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c r="AA700" s="106"/>
      <c r="AB700" s="106"/>
      <c r="AC700" s="106"/>
      <c r="AD700" s="106"/>
      <c r="AE700" s="106"/>
      <c r="AF700" s="106"/>
      <c r="AG700" s="106"/>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c r="BK700" s="124"/>
      <c r="BL700" s="124"/>
      <c r="BM700" s="124"/>
      <c r="BN700" s="124"/>
      <c r="BO700" s="124"/>
      <c r="BP700" s="124"/>
      <c r="BQ700" s="124"/>
      <c r="BR700" s="124"/>
      <c r="BS700" s="124"/>
      <c r="BT700" s="124"/>
      <c r="BU700" s="124"/>
      <c r="BV700" s="124"/>
      <c r="BW700" s="124"/>
      <c r="BX700" s="124"/>
      <c r="BY700" s="124"/>
      <c r="BZ700" s="124"/>
      <c r="CA700" s="124"/>
    </row>
    <row r="701">
      <c r="A701" s="106"/>
      <c r="B701" s="207"/>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c r="AA701" s="106"/>
      <c r="AB701" s="106"/>
      <c r="AC701" s="106"/>
      <c r="AD701" s="106"/>
      <c r="AE701" s="106"/>
      <c r="AF701" s="106"/>
      <c r="AG701" s="106"/>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c r="BK701" s="124"/>
      <c r="BL701" s="124"/>
      <c r="BM701" s="124"/>
      <c r="BN701" s="124"/>
      <c r="BO701" s="124"/>
      <c r="BP701" s="124"/>
      <c r="BQ701" s="124"/>
      <c r="BR701" s="124"/>
      <c r="BS701" s="124"/>
      <c r="BT701" s="124"/>
      <c r="BU701" s="124"/>
      <c r="BV701" s="124"/>
      <c r="BW701" s="124"/>
      <c r="BX701" s="124"/>
      <c r="BY701" s="124"/>
      <c r="BZ701" s="124"/>
      <c r="CA701" s="124"/>
    </row>
    <row r="702">
      <c r="A702" s="106"/>
      <c r="B702" s="207"/>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c r="AA702" s="106"/>
      <c r="AB702" s="106"/>
      <c r="AC702" s="106"/>
      <c r="AD702" s="106"/>
      <c r="AE702" s="106"/>
      <c r="AF702" s="106"/>
      <c r="AG702" s="106"/>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c r="BK702" s="124"/>
      <c r="BL702" s="124"/>
      <c r="BM702" s="124"/>
      <c r="BN702" s="124"/>
      <c r="BO702" s="124"/>
      <c r="BP702" s="124"/>
      <c r="BQ702" s="124"/>
      <c r="BR702" s="124"/>
      <c r="BS702" s="124"/>
      <c r="BT702" s="124"/>
      <c r="BU702" s="124"/>
      <c r="BV702" s="124"/>
      <c r="BW702" s="124"/>
      <c r="BX702" s="124"/>
      <c r="BY702" s="124"/>
      <c r="BZ702" s="124"/>
      <c r="CA702" s="124"/>
    </row>
    <row r="703">
      <c r="A703" s="106"/>
      <c r="B703" s="207"/>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c r="AA703" s="106"/>
      <c r="AB703" s="106"/>
      <c r="AC703" s="106"/>
      <c r="AD703" s="106"/>
      <c r="AE703" s="106"/>
      <c r="AF703" s="106"/>
      <c r="AG703" s="106"/>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c r="BK703" s="124"/>
      <c r="BL703" s="124"/>
      <c r="BM703" s="124"/>
      <c r="BN703" s="124"/>
      <c r="BO703" s="124"/>
      <c r="BP703" s="124"/>
      <c r="BQ703" s="124"/>
      <c r="BR703" s="124"/>
      <c r="BS703" s="124"/>
      <c r="BT703" s="124"/>
      <c r="BU703" s="124"/>
      <c r="BV703" s="124"/>
      <c r="BW703" s="124"/>
      <c r="BX703" s="124"/>
      <c r="BY703" s="124"/>
      <c r="BZ703" s="124"/>
      <c r="CA703" s="124"/>
    </row>
    <row r="704">
      <c r="A704" s="106"/>
      <c r="B704" s="207"/>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c r="AA704" s="106"/>
      <c r="AB704" s="106"/>
      <c r="AC704" s="106"/>
      <c r="AD704" s="106"/>
      <c r="AE704" s="106"/>
      <c r="AF704" s="106"/>
      <c r="AG704" s="106"/>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c r="BK704" s="124"/>
      <c r="BL704" s="124"/>
      <c r="BM704" s="124"/>
      <c r="BN704" s="124"/>
      <c r="BO704" s="124"/>
      <c r="BP704" s="124"/>
      <c r="BQ704" s="124"/>
      <c r="BR704" s="124"/>
      <c r="BS704" s="124"/>
      <c r="BT704" s="124"/>
      <c r="BU704" s="124"/>
      <c r="BV704" s="124"/>
      <c r="BW704" s="124"/>
      <c r="BX704" s="124"/>
      <c r="BY704" s="124"/>
      <c r="BZ704" s="124"/>
      <c r="CA704" s="124"/>
    </row>
    <row r="705">
      <c r="A705" s="106"/>
      <c r="B705" s="207"/>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c r="AA705" s="106"/>
      <c r="AB705" s="106"/>
      <c r="AC705" s="106"/>
      <c r="AD705" s="106"/>
      <c r="AE705" s="106"/>
      <c r="AF705" s="106"/>
      <c r="AG705" s="106"/>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c r="BK705" s="124"/>
      <c r="BL705" s="124"/>
      <c r="BM705" s="124"/>
      <c r="BN705" s="124"/>
      <c r="BO705" s="124"/>
      <c r="BP705" s="124"/>
      <c r="BQ705" s="124"/>
      <c r="BR705" s="124"/>
      <c r="BS705" s="124"/>
      <c r="BT705" s="124"/>
      <c r="BU705" s="124"/>
      <c r="BV705" s="124"/>
      <c r="BW705" s="124"/>
      <c r="BX705" s="124"/>
      <c r="BY705" s="124"/>
      <c r="BZ705" s="124"/>
      <c r="CA705" s="124"/>
    </row>
    <row r="706">
      <c r="A706" s="106"/>
      <c r="B706" s="207"/>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c r="AA706" s="106"/>
      <c r="AB706" s="106"/>
      <c r="AC706" s="106"/>
      <c r="AD706" s="106"/>
      <c r="AE706" s="106"/>
      <c r="AF706" s="106"/>
      <c r="AG706" s="106"/>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c r="BK706" s="124"/>
      <c r="BL706" s="124"/>
      <c r="BM706" s="124"/>
      <c r="BN706" s="124"/>
      <c r="BO706" s="124"/>
      <c r="BP706" s="124"/>
      <c r="BQ706" s="124"/>
      <c r="BR706" s="124"/>
      <c r="BS706" s="124"/>
      <c r="BT706" s="124"/>
      <c r="BU706" s="124"/>
      <c r="BV706" s="124"/>
      <c r="BW706" s="124"/>
      <c r="BX706" s="124"/>
      <c r="BY706" s="124"/>
      <c r="BZ706" s="124"/>
      <c r="CA706" s="124"/>
    </row>
    <row r="707">
      <c r="A707" s="106"/>
      <c r="B707" s="207"/>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c r="AA707" s="106"/>
      <c r="AB707" s="106"/>
      <c r="AC707" s="106"/>
      <c r="AD707" s="106"/>
      <c r="AE707" s="106"/>
      <c r="AF707" s="106"/>
      <c r="AG707" s="106"/>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c r="BK707" s="124"/>
      <c r="BL707" s="124"/>
      <c r="BM707" s="124"/>
      <c r="BN707" s="124"/>
      <c r="BO707" s="124"/>
      <c r="BP707" s="124"/>
      <c r="BQ707" s="124"/>
      <c r="BR707" s="124"/>
      <c r="BS707" s="124"/>
      <c r="BT707" s="124"/>
      <c r="BU707" s="124"/>
      <c r="BV707" s="124"/>
      <c r="BW707" s="124"/>
      <c r="BX707" s="124"/>
      <c r="BY707" s="124"/>
      <c r="BZ707" s="124"/>
      <c r="CA707" s="124"/>
    </row>
    <row r="708">
      <c r="A708" s="106"/>
      <c r="B708" s="207"/>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c r="AA708" s="106"/>
      <c r="AB708" s="106"/>
      <c r="AC708" s="106"/>
      <c r="AD708" s="106"/>
      <c r="AE708" s="106"/>
      <c r="AF708" s="106"/>
      <c r="AG708" s="106"/>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c r="BK708" s="124"/>
      <c r="BL708" s="124"/>
      <c r="BM708" s="124"/>
      <c r="BN708" s="124"/>
      <c r="BO708" s="124"/>
      <c r="BP708" s="124"/>
      <c r="BQ708" s="124"/>
      <c r="BR708" s="124"/>
      <c r="BS708" s="124"/>
      <c r="BT708" s="124"/>
      <c r="BU708" s="124"/>
      <c r="BV708" s="124"/>
      <c r="BW708" s="124"/>
      <c r="BX708" s="124"/>
      <c r="BY708" s="124"/>
      <c r="BZ708" s="124"/>
      <c r="CA708" s="124"/>
    </row>
    <row r="709">
      <c r="A709" s="106"/>
      <c r="B709" s="207"/>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c r="AA709" s="106"/>
      <c r="AB709" s="106"/>
      <c r="AC709" s="106"/>
      <c r="AD709" s="106"/>
      <c r="AE709" s="106"/>
      <c r="AF709" s="106"/>
      <c r="AG709" s="106"/>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c r="BK709" s="124"/>
      <c r="BL709" s="124"/>
      <c r="BM709" s="124"/>
      <c r="BN709" s="124"/>
      <c r="BO709" s="124"/>
      <c r="BP709" s="124"/>
      <c r="BQ709" s="124"/>
      <c r="BR709" s="124"/>
      <c r="BS709" s="124"/>
      <c r="BT709" s="124"/>
      <c r="BU709" s="124"/>
      <c r="BV709" s="124"/>
      <c r="BW709" s="124"/>
      <c r="BX709" s="124"/>
      <c r="BY709" s="124"/>
      <c r="BZ709" s="124"/>
      <c r="CA709" s="124"/>
    </row>
    <row r="710">
      <c r="A710" s="106"/>
      <c r="B710" s="207"/>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c r="AF710" s="106"/>
      <c r="AG710" s="106"/>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c r="BK710" s="124"/>
      <c r="BL710" s="124"/>
      <c r="BM710" s="124"/>
      <c r="BN710" s="124"/>
      <c r="BO710" s="124"/>
      <c r="BP710" s="124"/>
      <c r="BQ710" s="124"/>
      <c r="BR710" s="124"/>
      <c r="BS710" s="124"/>
      <c r="BT710" s="124"/>
      <c r="BU710" s="124"/>
      <c r="BV710" s="124"/>
      <c r="BW710" s="124"/>
      <c r="BX710" s="124"/>
      <c r="BY710" s="124"/>
      <c r="BZ710" s="124"/>
      <c r="CA710" s="124"/>
    </row>
    <row r="711">
      <c r="A711" s="106"/>
      <c r="B711" s="207"/>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c r="AA711" s="106"/>
      <c r="AB711" s="106"/>
      <c r="AC711" s="106"/>
      <c r="AD711" s="106"/>
      <c r="AE711" s="106"/>
      <c r="AF711" s="106"/>
      <c r="AG711" s="106"/>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c r="BK711" s="124"/>
      <c r="BL711" s="124"/>
      <c r="BM711" s="124"/>
      <c r="BN711" s="124"/>
      <c r="BO711" s="124"/>
      <c r="BP711" s="124"/>
      <c r="BQ711" s="124"/>
      <c r="BR711" s="124"/>
      <c r="BS711" s="124"/>
      <c r="BT711" s="124"/>
      <c r="BU711" s="124"/>
      <c r="BV711" s="124"/>
      <c r="BW711" s="124"/>
      <c r="BX711" s="124"/>
      <c r="BY711" s="124"/>
      <c r="BZ711" s="124"/>
      <c r="CA711" s="124"/>
    </row>
    <row r="712">
      <c r="A712" s="106"/>
      <c r="B712" s="207"/>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c r="AA712" s="106"/>
      <c r="AB712" s="106"/>
      <c r="AC712" s="106"/>
      <c r="AD712" s="106"/>
      <c r="AE712" s="106"/>
      <c r="AF712" s="106"/>
      <c r="AG712" s="106"/>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c r="BK712" s="124"/>
      <c r="BL712" s="124"/>
      <c r="BM712" s="124"/>
      <c r="BN712" s="124"/>
      <c r="BO712" s="124"/>
      <c r="BP712" s="124"/>
      <c r="BQ712" s="124"/>
      <c r="BR712" s="124"/>
      <c r="BS712" s="124"/>
      <c r="BT712" s="124"/>
      <c r="BU712" s="124"/>
      <c r="BV712" s="124"/>
      <c r="BW712" s="124"/>
      <c r="BX712" s="124"/>
      <c r="BY712" s="124"/>
      <c r="BZ712" s="124"/>
      <c r="CA712" s="124"/>
    </row>
    <row r="713">
      <c r="A713" s="106"/>
      <c r="B713" s="207"/>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c r="AF713" s="106"/>
      <c r="AG713" s="106"/>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c r="BK713" s="124"/>
      <c r="BL713" s="124"/>
      <c r="BM713" s="124"/>
      <c r="BN713" s="124"/>
      <c r="BO713" s="124"/>
      <c r="BP713" s="124"/>
      <c r="BQ713" s="124"/>
      <c r="BR713" s="124"/>
      <c r="BS713" s="124"/>
      <c r="BT713" s="124"/>
      <c r="BU713" s="124"/>
      <c r="BV713" s="124"/>
      <c r="BW713" s="124"/>
      <c r="BX713" s="124"/>
      <c r="BY713" s="124"/>
      <c r="BZ713" s="124"/>
      <c r="CA713" s="124"/>
    </row>
    <row r="714">
      <c r="A714" s="106"/>
      <c r="B714" s="207"/>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c r="AA714" s="106"/>
      <c r="AB714" s="106"/>
      <c r="AC714" s="106"/>
      <c r="AD714" s="106"/>
      <c r="AE714" s="106"/>
      <c r="AF714" s="106"/>
      <c r="AG714" s="106"/>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c r="BK714" s="124"/>
      <c r="BL714" s="124"/>
      <c r="BM714" s="124"/>
      <c r="BN714" s="124"/>
      <c r="BO714" s="124"/>
      <c r="BP714" s="124"/>
      <c r="BQ714" s="124"/>
      <c r="BR714" s="124"/>
      <c r="BS714" s="124"/>
      <c r="BT714" s="124"/>
      <c r="BU714" s="124"/>
      <c r="BV714" s="124"/>
      <c r="BW714" s="124"/>
      <c r="BX714" s="124"/>
      <c r="BY714" s="124"/>
      <c r="BZ714" s="124"/>
      <c r="CA714" s="124"/>
    </row>
    <row r="715">
      <c r="A715" s="106"/>
      <c r="B715" s="207"/>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c r="AA715" s="106"/>
      <c r="AB715" s="106"/>
      <c r="AC715" s="106"/>
      <c r="AD715" s="106"/>
      <c r="AE715" s="106"/>
      <c r="AF715" s="106"/>
      <c r="AG715" s="106"/>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c r="BK715" s="124"/>
      <c r="BL715" s="124"/>
      <c r="BM715" s="124"/>
      <c r="BN715" s="124"/>
      <c r="BO715" s="124"/>
      <c r="BP715" s="124"/>
      <c r="BQ715" s="124"/>
      <c r="BR715" s="124"/>
      <c r="BS715" s="124"/>
      <c r="BT715" s="124"/>
      <c r="BU715" s="124"/>
      <c r="BV715" s="124"/>
      <c r="BW715" s="124"/>
      <c r="BX715" s="124"/>
      <c r="BY715" s="124"/>
      <c r="BZ715" s="124"/>
      <c r="CA715" s="124"/>
    </row>
    <row r="716">
      <c r="A716" s="106"/>
      <c r="B716" s="207"/>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c r="AA716" s="106"/>
      <c r="AB716" s="106"/>
      <c r="AC716" s="106"/>
      <c r="AD716" s="106"/>
      <c r="AE716" s="106"/>
      <c r="AF716" s="106"/>
      <c r="AG716" s="106"/>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c r="BK716" s="124"/>
      <c r="BL716" s="124"/>
      <c r="BM716" s="124"/>
      <c r="BN716" s="124"/>
      <c r="BO716" s="124"/>
      <c r="BP716" s="124"/>
      <c r="BQ716" s="124"/>
      <c r="BR716" s="124"/>
      <c r="BS716" s="124"/>
      <c r="BT716" s="124"/>
      <c r="BU716" s="124"/>
      <c r="BV716" s="124"/>
      <c r="BW716" s="124"/>
      <c r="BX716" s="124"/>
      <c r="BY716" s="124"/>
      <c r="BZ716" s="124"/>
      <c r="CA716" s="124"/>
    </row>
    <row r="717">
      <c r="A717" s="106"/>
      <c r="B717" s="207"/>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c r="AA717" s="106"/>
      <c r="AB717" s="106"/>
      <c r="AC717" s="106"/>
      <c r="AD717" s="106"/>
      <c r="AE717" s="106"/>
      <c r="AF717" s="106"/>
      <c r="AG717" s="106"/>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c r="BK717" s="124"/>
      <c r="BL717" s="124"/>
      <c r="BM717" s="124"/>
      <c r="BN717" s="124"/>
      <c r="BO717" s="124"/>
      <c r="BP717" s="124"/>
      <c r="BQ717" s="124"/>
      <c r="BR717" s="124"/>
      <c r="BS717" s="124"/>
      <c r="BT717" s="124"/>
      <c r="BU717" s="124"/>
      <c r="BV717" s="124"/>
      <c r="BW717" s="124"/>
      <c r="BX717" s="124"/>
      <c r="BY717" s="124"/>
      <c r="BZ717" s="124"/>
      <c r="CA717" s="124"/>
    </row>
    <row r="718">
      <c r="A718" s="106"/>
      <c r="B718" s="207"/>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c r="AA718" s="106"/>
      <c r="AB718" s="106"/>
      <c r="AC718" s="106"/>
      <c r="AD718" s="106"/>
      <c r="AE718" s="106"/>
      <c r="AF718" s="106"/>
      <c r="AG718" s="106"/>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c r="BK718" s="124"/>
      <c r="BL718" s="124"/>
      <c r="BM718" s="124"/>
      <c r="BN718" s="124"/>
      <c r="BO718" s="124"/>
      <c r="BP718" s="124"/>
      <c r="BQ718" s="124"/>
      <c r="BR718" s="124"/>
      <c r="BS718" s="124"/>
      <c r="BT718" s="124"/>
      <c r="BU718" s="124"/>
      <c r="BV718" s="124"/>
      <c r="BW718" s="124"/>
      <c r="BX718" s="124"/>
      <c r="BY718" s="124"/>
      <c r="BZ718" s="124"/>
      <c r="CA718" s="124"/>
    </row>
    <row r="719">
      <c r="A719" s="106"/>
      <c r="B719" s="207"/>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c r="AA719" s="106"/>
      <c r="AB719" s="106"/>
      <c r="AC719" s="106"/>
      <c r="AD719" s="106"/>
      <c r="AE719" s="106"/>
      <c r="AF719" s="106"/>
      <c r="AG719" s="106"/>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c r="BK719" s="124"/>
      <c r="BL719" s="124"/>
      <c r="BM719" s="124"/>
      <c r="BN719" s="124"/>
      <c r="BO719" s="124"/>
      <c r="BP719" s="124"/>
      <c r="BQ719" s="124"/>
      <c r="BR719" s="124"/>
      <c r="BS719" s="124"/>
      <c r="BT719" s="124"/>
      <c r="BU719" s="124"/>
      <c r="BV719" s="124"/>
      <c r="BW719" s="124"/>
      <c r="BX719" s="124"/>
      <c r="BY719" s="124"/>
      <c r="BZ719" s="124"/>
      <c r="CA719" s="124"/>
    </row>
    <row r="720">
      <c r="A720" s="106"/>
      <c r="B720" s="207"/>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c r="AA720" s="106"/>
      <c r="AB720" s="106"/>
      <c r="AC720" s="106"/>
      <c r="AD720" s="106"/>
      <c r="AE720" s="106"/>
      <c r="AF720" s="106"/>
      <c r="AG720" s="106"/>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c r="BK720" s="124"/>
      <c r="BL720" s="124"/>
      <c r="BM720" s="124"/>
      <c r="BN720" s="124"/>
      <c r="BO720" s="124"/>
      <c r="BP720" s="124"/>
      <c r="BQ720" s="124"/>
      <c r="BR720" s="124"/>
      <c r="BS720" s="124"/>
      <c r="BT720" s="124"/>
      <c r="BU720" s="124"/>
      <c r="BV720" s="124"/>
      <c r="BW720" s="124"/>
      <c r="BX720" s="124"/>
      <c r="BY720" s="124"/>
      <c r="BZ720" s="124"/>
      <c r="CA720" s="124"/>
    </row>
    <row r="721">
      <c r="A721" s="106"/>
      <c r="B721" s="207"/>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c r="AA721" s="106"/>
      <c r="AB721" s="106"/>
      <c r="AC721" s="106"/>
      <c r="AD721" s="106"/>
      <c r="AE721" s="106"/>
      <c r="AF721" s="106"/>
      <c r="AG721" s="106"/>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c r="BK721" s="124"/>
      <c r="BL721" s="124"/>
      <c r="BM721" s="124"/>
      <c r="BN721" s="124"/>
      <c r="BO721" s="124"/>
      <c r="BP721" s="124"/>
      <c r="BQ721" s="124"/>
      <c r="BR721" s="124"/>
      <c r="BS721" s="124"/>
      <c r="BT721" s="124"/>
      <c r="BU721" s="124"/>
      <c r="BV721" s="124"/>
      <c r="BW721" s="124"/>
      <c r="BX721" s="124"/>
      <c r="BY721" s="124"/>
      <c r="BZ721" s="124"/>
      <c r="CA721" s="124"/>
    </row>
    <row r="722">
      <c r="A722" s="106"/>
      <c r="B722" s="207"/>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c r="AA722" s="106"/>
      <c r="AB722" s="106"/>
      <c r="AC722" s="106"/>
      <c r="AD722" s="106"/>
      <c r="AE722" s="106"/>
      <c r="AF722" s="106"/>
      <c r="AG722" s="106"/>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c r="BK722" s="124"/>
      <c r="BL722" s="124"/>
      <c r="BM722" s="124"/>
      <c r="BN722" s="124"/>
      <c r="BO722" s="124"/>
      <c r="BP722" s="124"/>
      <c r="BQ722" s="124"/>
      <c r="BR722" s="124"/>
      <c r="BS722" s="124"/>
      <c r="BT722" s="124"/>
      <c r="BU722" s="124"/>
      <c r="BV722" s="124"/>
      <c r="BW722" s="124"/>
      <c r="BX722" s="124"/>
      <c r="BY722" s="124"/>
      <c r="BZ722" s="124"/>
      <c r="CA722" s="124"/>
    </row>
    <row r="723">
      <c r="A723" s="106"/>
      <c r="B723" s="207"/>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c r="AA723" s="106"/>
      <c r="AB723" s="106"/>
      <c r="AC723" s="106"/>
      <c r="AD723" s="106"/>
      <c r="AE723" s="106"/>
      <c r="AF723" s="106"/>
      <c r="AG723" s="106"/>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c r="BK723" s="124"/>
      <c r="BL723" s="124"/>
      <c r="BM723" s="124"/>
      <c r="BN723" s="124"/>
      <c r="BO723" s="124"/>
      <c r="BP723" s="124"/>
      <c r="BQ723" s="124"/>
      <c r="BR723" s="124"/>
      <c r="BS723" s="124"/>
      <c r="BT723" s="124"/>
      <c r="BU723" s="124"/>
      <c r="BV723" s="124"/>
      <c r="BW723" s="124"/>
      <c r="BX723" s="124"/>
      <c r="BY723" s="124"/>
      <c r="BZ723" s="124"/>
      <c r="CA723" s="124"/>
    </row>
    <row r="724">
      <c r="A724" s="106"/>
      <c r="B724" s="207"/>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c r="AA724" s="106"/>
      <c r="AB724" s="106"/>
      <c r="AC724" s="106"/>
      <c r="AD724" s="106"/>
      <c r="AE724" s="106"/>
      <c r="AF724" s="106"/>
      <c r="AG724" s="106"/>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c r="BK724" s="124"/>
      <c r="BL724" s="124"/>
      <c r="BM724" s="124"/>
      <c r="BN724" s="124"/>
      <c r="BO724" s="124"/>
      <c r="BP724" s="124"/>
      <c r="BQ724" s="124"/>
      <c r="BR724" s="124"/>
      <c r="BS724" s="124"/>
      <c r="BT724" s="124"/>
      <c r="BU724" s="124"/>
      <c r="BV724" s="124"/>
      <c r="BW724" s="124"/>
      <c r="BX724" s="124"/>
      <c r="BY724" s="124"/>
      <c r="BZ724" s="124"/>
      <c r="CA724" s="124"/>
    </row>
    <row r="725">
      <c r="A725" s="106"/>
      <c r="B725" s="207"/>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c r="AA725" s="106"/>
      <c r="AB725" s="106"/>
      <c r="AC725" s="106"/>
      <c r="AD725" s="106"/>
      <c r="AE725" s="106"/>
      <c r="AF725" s="106"/>
      <c r="AG725" s="106"/>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c r="BK725" s="124"/>
      <c r="BL725" s="124"/>
      <c r="BM725" s="124"/>
      <c r="BN725" s="124"/>
      <c r="BO725" s="124"/>
      <c r="BP725" s="124"/>
      <c r="BQ725" s="124"/>
      <c r="BR725" s="124"/>
      <c r="BS725" s="124"/>
      <c r="BT725" s="124"/>
      <c r="BU725" s="124"/>
      <c r="BV725" s="124"/>
      <c r="BW725" s="124"/>
      <c r="BX725" s="124"/>
      <c r="BY725" s="124"/>
      <c r="BZ725" s="124"/>
      <c r="CA725" s="124"/>
    </row>
    <row r="726">
      <c r="A726" s="106"/>
      <c r="B726" s="207"/>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c r="AA726" s="106"/>
      <c r="AB726" s="106"/>
      <c r="AC726" s="106"/>
      <c r="AD726" s="106"/>
      <c r="AE726" s="106"/>
      <c r="AF726" s="106"/>
      <c r="AG726" s="106"/>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c r="BK726" s="124"/>
      <c r="BL726" s="124"/>
      <c r="BM726" s="124"/>
      <c r="BN726" s="124"/>
      <c r="BO726" s="124"/>
      <c r="BP726" s="124"/>
      <c r="BQ726" s="124"/>
      <c r="BR726" s="124"/>
      <c r="BS726" s="124"/>
      <c r="BT726" s="124"/>
      <c r="BU726" s="124"/>
      <c r="BV726" s="124"/>
      <c r="BW726" s="124"/>
      <c r="BX726" s="124"/>
      <c r="BY726" s="124"/>
      <c r="BZ726" s="124"/>
      <c r="CA726" s="124"/>
    </row>
    <row r="727">
      <c r="A727" s="106"/>
      <c r="B727" s="207"/>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c r="AA727" s="106"/>
      <c r="AB727" s="106"/>
      <c r="AC727" s="106"/>
      <c r="AD727" s="106"/>
      <c r="AE727" s="106"/>
      <c r="AF727" s="106"/>
      <c r="AG727" s="106"/>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c r="BK727" s="124"/>
      <c r="BL727" s="124"/>
      <c r="BM727" s="124"/>
      <c r="BN727" s="124"/>
      <c r="BO727" s="124"/>
      <c r="BP727" s="124"/>
      <c r="BQ727" s="124"/>
      <c r="BR727" s="124"/>
      <c r="BS727" s="124"/>
      <c r="BT727" s="124"/>
      <c r="BU727" s="124"/>
      <c r="BV727" s="124"/>
      <c r="BW727" s="124"/>
      <c r="BX727" s="124"/>
      <c r="BY727" s="124"/>
      <c r="BZ727" s="124"/>
      <c r="CA727" s="124"/>
    </row>
    <row r="728">
      <c r="A728" s="106"/>
      <c r="B728" s="207"/>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c r="AA728" s="106"/>
      <c r="AB728" s="106"/>
      <c r="AC728" s="106"/>
      <c r="AD728" s="106"/>
      <c r="AE728" s="106"/>
      <c r="AF728" s="106"/>
      <c r="AG728" s="106"/>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c r="BK728" s="124"/>
      <c r="BL728" s="124"/>
      <c r="BM728" s="124"/>
      <c r="BN728" s="124"/>
      <c r="BO728" s="124"/>
      <c r="BP728" s="124"/>
      <c r="BQ728" s="124"/>
      <c r="BR728" s="124"/>
      <c r="BS728" s="124"/>
      <c r="BT728" s="124"/>
      <c r="BU728" s="124"/>
      <c r="BV728" s="124"/>
      <c r="BW728" s="124"/>
      <c r="BX728" s="124"/>
      <c r="BY728" s="124"/>
      <c r="BZ728" s="124"/>
      <c r="CA728" s="124"/>
    </row>
    <row r="729">
      <c r="A729" s="106"/>
      <c r="B729" s="207"/>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c r="AA729" s="106"/>
      <c r="AB729" s="106"/>
      <c r="AC729" s="106"/>
      <c r="AD729" s="106"/>
      <c r="AE729" s="106"/>
      <c r="AF729" s="106"/>
      <c r="AG729" s="106"/>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c r="BK729" s="124"/>
      <c r="BL729" s="124"/>
      <c r="BM729" s="124"/>
      <c r="BN729" s="124"/>
      <c r="BO729" s="124"/>
      <c r="BP729" s="124"/>
      <c r="BQ729" s="124"/>
      <c r="BR729" s="124"/>
      <c r="BS729" s="124"/>
      <c r="BT729" s="124"/>
      <c r="BU729" s="124"/>
      <c r="BV729" s="124"/>
      <c r="BW729" s="124"/>
      <c r="BX729" s="124"/>
      <c r="BY729" s="124"/>
      <c r="BZ729" s="124"/>
      <c r="CA729" s="124"/>
    </row>
    <row r="730">
      <c r="A730" s="106"/>
      <c r="B730" s="207"/>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c r="AA730" s="106"/>
      <c r="AB730" s="106"/>
      <c r="AC730" s="106"/>
      <c r="AD730" s="106"/>
      <c r="AE730" s="106"/>
      <c r="AF730" s="106"/>
      <c r="AG730" s="106"/>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c r="BK730" s="124"/>
      <c r="BL730" s="124"/>
      <c r="BM730" s="124"/>
      <c r="BN730" s="124"/>
      <c r="BO730" s="124"/>
      <c r="BP730" s="124"/>
      <c r="BQ730" s="124"/>
      <c r="BR730" s="124"/>
      <c r="BS730" s="124"/>
      <c r="BT730" s="124"/>
      <c r="BU730" s="124"/>
      <c r="BV730" s="124"/>
      <c r="BW730" s="124"/>
      <c r="BX730" s="124"/>
      <c r="BY730" s="124"/>
      <c r="BZ730" s="124"/>
      <c r="CA730" s="124"/>
    </row>
    <row r="731">
      <c r="A731" s="106"/>
      <c r="B731" s="207"/>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c r="AA731" s="106"/>
      <c r="AB731" s="106"/>
      <c r="AC731" s="106"/>
      <c r="AD731" s="106"/>
      <c r="AE731" s="106"/>
      <c r="AF731" s="106"/>
      <c r="AG731" s="106"/>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c r="BK731" s="124"/>
      <c r="BL731" s="124"/>
      <c r="BM731" s="124"/>
      <c r="BN731" s="124"/>
      <c r="BO731" s="124"/>
      <c r="BP731" s="124"/>
      <c r="BQ731" s="124"/>
      <c r="BR731" s="124"/>
      <c r="BS731" s="124"/>
      <c r="BT731" s="124"/>
      <c r="BU731" s="124"/>
      <c r="BV731" s="124"/>
      <c r="BW731" s="124"/>
      <c r="BX731" s="124"/>
      <c r="BY731" s="124"/>
      <c r="BZ731" s="124"/>
      <c r="CA731" s="124"/>
    </row>
    <row r="732">
      <c r="A732" s="106"/>
      <c r="B732" s="207"/>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c r="AA732" s="106"/>
      <c r="AB732" s="106"/>
      <c r="AC732" s="106"/>
      <c r="AD732" s="106"/>
      <c r="AE732" s="106"/>
      <c r="AF732" s="106"/>
      <c r="AG732" s="106"/>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c r="BK732" s="124"/>
      <c r="BL732" s="124"/>
      <c r="BM732" s="124"/>
      <c r="BN732" s="124"/>
      <c r="BO732" s="124"/>
      <c r="BP732" s="124"/>
      <c r="BQ732" s="124"/>
      <c r="BR732" s="124"/>
      <c r="BS732" s="124"/>
      <c r="BT732" s="124"/>
      <c r="BU732" s="124"/>
      <c r="BV732" s="124"/>
      <c r="BW732" s="124"/>
      <c r="BX732" s="124"/>
      <c r="BY732" s="124"/>
      <c r="BZ732" s="124"/>
      <c r="CA732" s="124"/>
    </row>
    <row r="733">
      <c r="A733" s="106"/>
      <c r="B733" s="207"/>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c r="AA733" s="106"/>
      <c r="AB733" s="106"/>
      <c r="AC733" s="106"/>
      <c r="AD733" s="106"/>
      <c r="AE733" s="106"/>
      <c r="AF733" s="106"/>
      <c r="AG733" s="106"/>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c r="BK733" s="124"/>
      <c r="BL733" s="124"/>
      <c r="BM733" s="124"/>
      <c r="BN733" s="124"/>
      <c r="BO733" s="124"/>
      <c r="BP733" s="124"/>
      <c r="BQ733" s="124"/>
      <c r="BR733" s="124"/>
      <c r="BS733" s="124"/>
      <c r="BT733" s="124"/>
      <c r="BU733" s="124"/>
      <c r="BV733" s="124"/>
      <c r="BW733" s="124"/>
      <c r="BX733" s="124"/>
      <c r="BY733" s="124"/>
      <c r="BZ733" s="124"/>
      <c r="CA733" s="124"/>
    </row>
    <row r="734">
      <c r="A734" s="106"/>
      <c r="B734" s="207"/>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c r="AA734" s="106"/>
      <c r="AB734" s="106"/>
      <c r="AC734" s="106"/>
      <c r="AD734" s="106"/>
      <c r="AE734" s="106"/>
      <c r="AF734" s="106"/>
      <c r="AG734" s="106"/>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c r="BK734" s="124"/>
      <c r="BL734" s="124"/>
      <c r="BM734" s="124"/>
      <c r="BN734" s="124"/>
      <c r="BO734" s="124"/>
      <c r="BP734" s="124"/>
      <c r="BQ734" s="124"/>
      <c r="BR734" s="124"/>
      <c r="BS734" s="124"/>
      <c r="BT734" s="124"/>
      <c r="BU734" s="124"/>
      <c r="BV734" s="124"/>
      <c r="BW734" s="124"/>
      <c r="BX734" s="124"/>
      <c r="BY734" s="124"/>
      <c r="BZ734" s="124"/>
      <c r="CA734" s="124"/>
    </row>
    <row r="735">
      <c r="A735" s="106"/>
      <c r="B735" s="207"/>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c r="AA735" s="106"/>
      <c r="AB735" s="106"/>
      <c r="AC735" s="106"/>
      <c r="AD735" s="106"/>
      <c r="AE735" s="106"/>
      <c r="AF735" s="106"/>
      <c r="AG735" s="106"/>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c r="BK735" s="124"/>
      <c r="BL735" s="124"/>
      <c r="BM735" s="124"/>
      <c r="BN735" s="124"/>
      <c r="BO735" s="124"/>
      <c r="BP735" s="124"/>
      <c r="BQ735" s="124"/>
      <c r="BR735" s="124"/>
      <c r="BS735" s="124"/>
      <c r="BT735" s="124"/>
      <c r="BU735" s="124"/>
      <c r="BV735" s="124"/>
      <c r="BW735" s="124"/>
      <c r="BX735" s="124"/>
      <c r="BY735" s="124"/>
      <c r="BZ735" s="124"/>
      <c r="CA735" s="124"/>
    </row>
    <row r="736">
      <c r="A736" s="106"/>
      <c r="B736" s="207"/>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c r="AA736" s="106"/>
      <c r="AB736" s="106"/>
      <c r="AC736" s="106"/>
      <c r="AD736" s="106"/>
      <c r="AE736" s="106"/>
      <c r="AF736" s="106"/>
      <c r="AG736" s="106"/>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c r="BK736" s="124"/>
      <c r="BL736" s="124"/>
      <c r="BM736" s="124"/>
      <c r="BN736" s="124"/>
      <c r="BO736" s="124"/>
      <c r="BP736" s="124"/>
      <c r="BQ736" s="124"/>
      <c r="BR736" s="124"/>
      <c r="BS736" s="124"/>
      <c r="BT736" s="124"/>
      <c r="BU736" s="124"/>
      <c r="BV736" s="124"/>
      <c r="BW736" s="124"/>
      <c r="BX736" s="124"/>
      <c r="BY736" s="124"/>
      <c r="BZ736" s="124"/>
      <c r="CA736" s="124"/>
    </row>
    <row r="737">
      <c r="A737" s="106"/>
      <c r="B737" s="207"/>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c r="AA737" s="106"/>
      <c r="AB737" s="106"/>
      <c r="AC737" s="106"/>
      <c r="AD737" s="106"/>
      <c r="AE737" s="106"/>
      <c r="AF737" s="106"/>
      <c r="AG737" s="106"/>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c r="BK737" s="124"/>
      <c r="BL737" s="124"/>
      <c r="BM737" s="124"/>
      <c r="BN737" s="124"/>
      <c r="BO737" s="124"/>
      <c r="BP737" s="124"/>
      <c r="BQ737" s="124"/>
      <c r="BR737" s="124"/>
      <c r="BS737" s="124"/>
      <c r="BT737" s="124"/>
      <c r="BU737" s="124"/>
      <c r="BV737" s="124"/>
      <c r="BW737" s="124"/>
      <c r="BX737" s="124"/>
      <c r="BY737" s="124"/>
      <c r="BZ737" s="124"/>
      <c r="CA737" s="124"/>
    </row>
    <row r="738">
      <c r="A738" s="106"/>
      <c r="B738" s="207"/>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c r="AA738" s="106"/>
      <c r="AB738" s="106"/>
      <c r="AC738" s="106"/>
      <c r="AD738" s="106"/>
      <c r="AE738" s="106"/>
      <c r="AF738" s="106"/>
      <c r="AG738" s="106"/>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c r="BK738" s="124"/>
      <c r="BL738" s="124"/>
      <c r="BM738" s="124"/>
      <c r="BN738" s="124"/>
      <c r="BO738" s="124"/>
      <c r="BP738" s="124"/>
      <c r="BQ738" s="124"/>
      <c r="BR738" s="124"/>
      <c r="BS738" s="124"/>
      <c r="BT738" s="124"/>
      <c r="BU738" s="124"/>
      <c r="BV738" s="124"/>
      <c r="BW738" s="124"/>
      <c r="BX738" s="124"/>
      <c r="BY738" s="124"/>
      <c r="BZ738" s="124"/>
      <c r="CA738" s="124"/>
    </row>
    <row r="739">
      <c r="A739" s="106"/>
      <c r="B739" s="207"/>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c r="AA739" s="106"/>
      <c r="AB739" s="106"/>
      <c r="AC739" s="106"/>
      <c r="AD739" s="106"/>
      <c r="AE739" s="106"/>
      <c r="AF739" s="106"/>
      <c r="AG739" s="106"/>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c r="BK739" s="124"/>
      <c r="BL739" s="124"/>
      <c r="BM739" s="124"/>
      <c r="BN739" s="124"/>
      <c r="BO739" s="124"/>
      <c r="BP739" s="124"/>
      <c r="BQ739" s="124"/>
      <c r="BR739" s="124"/>
      <c r="BS739" s="124"/>
      <c r="BT739" s="124"/>
      <c r="BU739" s="124"/>
      <c r="BV739" s="124"/>
      <c r="BW739" s="124"/>
      <c r="BX739" s="124"/>
      <c r="BY739" s="124"/>
      <c r="BZ739" s="124"/>
      <c r="CA739" s="124"/>
    </row>
    <row r="740">
      <c r="A740" s="106"/>
      <c r="B740" s="207"/>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c r="AA740" s="106"/>
      <c r="AB740" s="106"/>
      <c r="AC740" s="106"/>
      <c r="AD740" s="106"/>
      <c r="AE740" s="106"/>
      <c r="AF740" s="106"/>
      <c r="AG740" s="106"/>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c r="BK740" s="124"/>
      <c r="BL740" s="124"/>
      <c r="BM740" s="124"/>
      <c r="BN740" s="124"/>
      <c r="BO740" s="124"/>
      <c r="BP740" s="124"/>
      <c r="BQ740" s="124"/>
      <c r="BR740" s="124"/>
      <c r="BS740" s="124"/>
      <c r="BT740" s="124"/>
      <c r="BU740" s="124"/>
      <c r="BV740" s="124"/>
      <c r="BW740" s="124"/>
      <c r="BX740" s="124"/>
      <c r="BY740" s="124"/>
      <c r="BZ740" s="124"/>
      <c r="CA740" s="124"/>
    </row>
    <row r="741">
      <c r="A741" s="106"/>
      <c r="B741" s="207"/>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c r="AA741" s="106"/>
      <c r="AB741" s="106"/>
      <c r="AC741" s="106"/>
      <c r="AD741" s="106"/>
      <c r="AE741" s="106"/>
      <c r="AF741" s="106"/>
      <c r="AG741" s="106"/>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c r="BK741" s="124"/>
      <c r="BL741" s="124"/>
      <c r="BM741" s="124"/>
      <c r="BN741" s="124"/>
      <c r="BO741" s="124"/>
      <c r="BP741" s="124"/>
      <c r="BQ741" s="124"/>
      <c r="BR741" s="124"/>
      <c r="BS741" s="124"/>
      <c r="BT741" s="124"/>
      <c r="BU741" s="124"/>
      <c r="BV741" s="124"/>
      <c r="BW741" s="124"/>
      <c r="BX741" s="124"/>
      <c r="BY741" s="124"/>
      <c r="BZ741" s="124"/>
      <c r="CA741" s="124"/>
    </row>
    <row r="742">
      <c r="A742" s="106"/>
      <c r="B742" s="207"/>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c r="AA742" s="106"/>
      <c r="AB742" s="106"/>
      <c r="AC742" s="106"/>
      <c r="AD742" s="106"/>
      <c r="AE742" s="106"/>
      <c r="AF742" s="106"/>
      <c r="AG742" s="106"/>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c r="BK742" s="124"/>
      <c r="BL742" s="124"/>
      <c r="BM742" s="124"/>
      <c r="BN742" s="124"/>
      <c r="BO742" s="124"/>
      <c r="BP742" s="124"/>
      <c r="BQ742" s="124"/>
      <c r="BR742" s="124"/>
      <c r="BS742" s="124"/>
      <c r="BT742" s="124"/>
      <c r="BU742" s="124"/>
      <c r="BV742" s="124"/>
      <c r="BW742" s="124"/>
      <c r="BX742" s="124"/>
      <c r="BY742" s="124"/>
      <c r="BZ742" s="124"/>
      <c r="CA742" s="124"/>
    </row>
    <row r="743">
      <c r="A743" s="106"/>
      <c r="B743" s="207"/>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c r="AA743" s="106"/>
      <c r="AB743" s="106"/>
      <c r="AC743" s="106"/>
      <c r="AD743" s="106"/>
      <c r="AE743" s="106"/>
      <c r="AF743" s="106"/>
      <c r="AG743" s="106"/>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c r="BK743" s="124"/>
      <c r="BL743" s="124"/>
      <c r="BM743" s="124"/>
      <c r="BN743" s="124"/>
      <c r="BO743" s="124"/>
      <c r="BP743" s="124"/>
      <c r="BQ743" s="124"/>
      <c r="BR743" s="124"/>
      <c r="BS743" s="124"/>
      <c r="BT743" s="124"/>
      <c r="BU743" s="124"/>
      <c r="BV743" s="124"/>
      <c r="BW743" s="124"/>
      <c r="BX743" s="124"/>
      <c r="BY743" s="124"/>
      <c r="BZ743" s="124"/>
      <c r="CA743" s="124"/>
    </row>
    <row r="744">
      <c r="A744" s="106"/>
      <c r="B744" s="207"/>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c r="AA744" s="106"/>
      <c r="AB744" s="106"/>
      <c r="AC744" s="106"/>
      <c r="AD744" s="106"/>
      <c r="AE744" s="106"/>
      <c r="AF744" s="106"/>
      <c r="AG744" s="106"/>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c r="BK744" s="124"/>
      <c r="BL744" s="124"/>
      <c r="BM744" s="124"/>
      <c r="BN744" s="124"/>
      <c r="BO744" s="124"/>
      <c r="BP744" s="124"/>
      <c r="BQ744" s="124"/>
      <c r="BR744" s="124"/>
      <c r="BS744" s="124"/>
      <c r="BT744" s="124"/>
      <c r="BU744" s="124"/>
      <c r="BV744" s="124"/>
      <c r="BW744" s="124"/>
      <c r="BX744" s="124"/>
      <c r="BY744" s="124"/>
      <c r="BZ744" s="124"/>
      <c r="CA744" s="124"/>
    </row>
    <row r="745">
      <c r="A745" s="106"/>
      <c r="B745" s="207"/>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c r="AA745" s="106"/>
      <c r="AB745" s="106"/>
      <c r="AC745" s="106"/>
      <c r="AD745" s="106"/>
      <c r="AE745" s="106"/>
      <c r="AF745" s="106"/>
      <c r="AG745" s="106"/>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c r="BK745" s="124"/>
      <c r="BL745" s="124"/>
      <c r="BM745" s="124"/>
      <c r="BN745" s="124"/>
      <c r="BO745" s="124"/>
      <c r="BP745" s="124"/>
      <c r="BQ745" s="124"/>
      <c r="BR745" s="124"/>
      <c r="BS745" s="124"/>
      <c r="BT745" s="124"/>
      <c r="BU745" s="124"/>
      <c r="BV745" s="124"/>
      <c r="BW745" s="124"/>
      <c r="BX745" s="124"/>
      <c r="BY745" s="124"/>
      <c r="BZ745" s="124"/>
      <c r="CA745" s="124"/>
    </row>
    <row r="746">
      <c r="A746" s="106"/>
      <c r="B746" s="207"/>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c r="AA746" s="106"/>
      <c r="AB746" s="106"/>
      <c r="AC746" s="106"/>
      <c r="AD746" s="106"/>
      <c r="AE746" s="106"/>
      <c r="AF746" s="106"/>
      <c r="AG746" s="106"/>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c r="BK746" s="124"/>
      <c r="BL746" s="124"/>
      <c r="BM746" s="124"/>
      <c r="BN746" s="124"/>
      <c r="BO746" s="124"/>
      <c r="BP746" s="124"/>
      <c r="BQ746" s="124"/>
      <c r="BR746" s="124"/>
      <c r="BS746" s="124"/>
      <c r="BT746" s="124"/>
      <c r="BU746" s="124"/>
      <c r="BV746" s="124"/>
      <c r="BW746" s="124"/>
      <c r="BX746" s="124"/>
      <c r="BY746" s="124"/>
      <c r="BZ746" s="124"/>
      <c r="CA746" s="124"/>
    </row>
    <row r="747">
      <c r="A747" s="106"/>
      <c r="B747" s="207"/>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c r="AA747" s="106"/>
      <c r="AB747" s="106"/>
      <c r="AC747" s="106"/>
      <c r="AD747" s="106"/>
      <c r="AE747" s="106"/>
      <c r="AF747" s="106"/>
      <c r="AG747" s="106"/>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c r="BK747" s="124"/>
      <c r="BL747" s="124"/>
      <c r="BM747" s="124"/>
      <c r="BN747" s="124"/>
      <c r="BO747" s="124"/>
      <c r="BP747" s="124"/>
      <c r="BQ747" s="124"/>
      <c r="BR747" s="124"/>
      <c r="BS747" s="124"/>
      <c r="BT747" s="124"/>
      <c r="BU747" s="124"/>
      <c r="BV747" s="124"/>
      <c r="BW747" s="124"/>
      <c r="BX747" s="124"/>
      <c r="BY747" s="124"/>
      <c r="BZ747" s="124"/>
      <c r="CA747" s="124"/>
    </row>
    <row r="748">
      <c r="A748" s="106"/>
      <c r="B748" s="207"/>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c r="AA748" s="106"/>
      <c r="AB748" s="106"/>
      <c r="AC748" s="106"/>
      <c r="AD748" s="106"/>
      <c r="AE748" s="106"/>
      <c r="AF748" s="106"/>
      <c r="AG748" s="106"/>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c r="BK748" s="124"/>
      <c r="BL748" s="124"/>
      <c r="BM748" s="124"/>
      <c r="BN748" s="124"/>
      <c r="BO748" s="124"/>
      <c r="BP748" s="124"/>
      <c r="BQ748" s="124"/>
      <c r="BR748" s="124"/>
      <c r="BS748" s="124"/>
      <c r="BT748" s="124"/>
      <c r="BU748" s="124"/>
      <c r="BV748" s="124"/>
      <c r="BW748" s="124"/>
      <c r="BX748" s="124"/>
      <c r="BY748" s="124"/>
      <c r="BZ748" s="124"/>
      <c r="CA748" s="124"/>
    </row>
    <row r="749">
      <c r="A749" s="106"/>
      <c r="B749" s="207"/>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c r="AA749" s="106"/>
      <c r="AB749" s="106"/>
      <c r="AC749" s="106"/>
      <c r="AD749" s="106"/>
      <c r="AE749" s="106"/>
      <c r="AF749" s="106"/>
      <c r="AG749" s="106"/>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c r="BK749" s="124"/>
      <c r="BL749" s="124"/>
      <c r="BM749" s="124"/>
      <c r="BN749" s="124"/>
      <c r="BO749" s="124"/>
      <c r="BP749" s="124"/>
      <c r="BQ749" s="124"/>
      <c r="BR749" s="124"/>
      <c r="BS749" s="124"/>
      <c r="BT749" s="124"/>
      <c r="BU749" s="124"/>
      <c r="BV749" s="124"/>
      <c r="BW749" s="124"/>
      <c r="BX749" s="124"/>
      <c r="BY749" s="124"/>
      <c r="BZ749" s="124"/>
      <c r="CA749" s="124"/>
    </row>
    <row r="750">
      <c r="A750" s="106"/>
      <c r="B750" s="207"/>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c r="AA750" s="106"/>
      <c r="AB750" s="106"/>
      <c r="AC750" s="106"/>
      <c r="AD750" s="106"/>
      <c r="AE750" s="106"/>
      <c r="AF750" s="106"/>
      <c r="AG750" s="106"/>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c r="BK750" s="124"/>
      <c r="BL750" s="124"/>
      <c r="BM750" s="124"/>
      <c r="BN750" s="124"/>
      <c r="BO750" s="124"/>
      <c r="BP750" s="124"/>
      <c r="BQ750" s="124"/>
      <c r="BR750" s="124"/>
      <c r="BS750" s="124"/>
      <c r="BT750" s="124"/>
      <c r="BU750" s="124"/>
      <c r="BV750" s="124"/>
      <c r="BW750" s="124"/>
      <c r="BX750" s="124"/>
      <c r="BY750" s="124"/>
      <c r="BZ750" s="124"/>
      <c r="CA750" s="124"/>
    </row>
    <row r="751">
      <c r="A751" s="106"/>
      <c r="B751" s="207"/>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c r="AA751" s="106"/>
      <c r="AB751" s="106"/>
      <c r="AC751" s="106"/>
      <c r="AD751" s="106"/>
      <c r="AE751" s="106"/>
      <c r="AF751" s="106"/>
      <c r="AG751" s="106"/>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4"/>
      <c r="BS751" s="124"/>
      <c r="BT751" s="124"/>
      <c r="BU751" s="124"/>
      <c r="BV751" s="124"/>
      <c r="BW751" s="124"/>
      <c r="BX751" s="124"/>
      <c r="BY751" s="124"/>
      <c r="BZ751" s="124"/>
      <c r="CA751" s="124"/>
    </row>
    <row r="752">
      <c r="A752" s="106"/>
      <c r="B752" s="207"/>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c r="AA752" s="106"/>
      <c r="AB752" s="106"/>
      <c r="AC752" s="106"/>
      <c r="AD752" s="106"/>
      <c r="AE752" s="106"/>
      <c r="AF752" s="106"/>
      <c r="AG752" s="106"/>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c r="BK752" s="124"/>
      <c r="BL752" s="124"/>
      <c r="BM752" s="124"/>
      <c r="BN752" s="124"/>
      <c r="BO752" s="124"/>
      <c r="BP752" s="124"/>
      <c r="BQ752" s="124"/>
      <c r="BR752" s="124"/>
      <c r="BS752" s="124"/>
      <c r="BT752" s="124"/>
      <c r="BU752" s="124"/>
      <c r="BV752" s="124"/>
      <c r="BW752" s="124"/>
      <c r="BX752" s="124"/>
      <c r="BY752" s="124"/>
      <c r="BZ752" s="124"/>
      <c r="CA752" s="124"/>
    </row>
    <row r="753">
      <c r="A753" s="106"/>
      <c r="B753" s="207"/>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c r="AA753" s="106"/>
      <c r="AB753" s="106"/>
      <c r="AC753" s="106"/>
      <c r="AD753" s="106"/>
      <c r="AE753" s="106"/>
      <c r="AF753" s="106"/>
      <c r="AG753" s="106"/>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c r="BK753" s="124"/>
      <c r="BL753" s="124"/>
      <c r="BM753" s="124"/>
      <c r="BN753" s="124"/>
      <c r="BO753" s="124"/>
      <c r="BP753" s="124"/>
      <c r="BQ753" s="124"/>
      <c r="BR753" s="124"/>
      <c r="BS753" s="124"/>
      <c r="BT753" s="124"/>
      <c r="BU753" s="124"/>
      <c r="BV753" s="124"/>
      <c r="BW753" s="124"/>
      <c r="BX753" s="124"/>
      <c r="BY753" s="124"/>
      <c r="BZ753" s="124"/>
      <c r="CA753" s="124"/>
    </row>
    <row r="754">
      <c r="A754" s="106"/>
      <c r="B754" s="207"/>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c r="AA754" s="106"/>
      <c r="AB754" s="106"/>
      <c r="AC754" s="106"/>
      <c r="AD754" s="106"/>
      <c r="AE754" s="106"/>
      <c r="AF754" s="106"/>
      <c r="AG754" s="106"/>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c r="BK754" s="124"/>
      <c r="BL754" s="124"/>
      <c r="BM754" s="124"/>
      <c r="BN754" s="124"/>
      <c r="BO754" s="124"/>
      <c r="BP754" s="124"/>
      <c r="BQ754" s="124"/>
      <c r="BR754" s="124"/>
      <c r="BS754" s="124"/>
      <c r="BT754" s="124"/>
      <c r="BU754" s="124"/>
      <c r="BV754" s="124"/>
      <c r="BW754" s="124"/>
      <c r="BX754" s="124"/>
      <c r="BY754" s="124"/>
      <c r="BZ754" s="124"/>
      <c r="CA754" s="124"/>
    </row>
    <row r="755">
      <c r="A755" s="106"/>
      <c r="B755" s="207"/>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c r="AA755" s="106"/>
      <c r="AB755" s="106"/>
      <c r="AC755" s="106"/>
      <c r="AD755" s="106"/>
      <c r="AE755" s="106"/>
      <c r="AF755" s="106"/>
      <c r="AG755" s="106"/>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c r="BK755" s="124"/>
      <c r="BL755" s="124"/>
      <c r="BM755" s="124"/>
      <c r="BN755" s="124"/>
      <c r="BO755" s="124"/>
      <c r="BP755" s="124"/>
      <c r="BQ755" s="124"/>
      <c r="BR755" s="124"/>
      <c r="BS755" s="124"/>
      <c r="BT755" s="124"/>
      <c r="BU755" s="124"/>
      <c r="BV755" s="124"/>
      <c r="BW755" s="124"/>
      <c r="BX755" s="124"/>
      <c r="BY755" s="124"/>
      <c r="BZ755" s="124"/>
      <c r="CA755" s="124"/>
    </row>
    <row r="756">
      <c r="A756" s="106"/>
      <c r="B756" s="207"/>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c r="AA756" s="106"/>
      <c r="AB756" s="106"/>
      <c r="AC756" s="106"/>
      <c r="AD756" s="106"/>
      <c r="AE756" s="106"/>
      <c r="AF756" s="106"/>
      <c r="AG756" s="106"/>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c r="BK756" s="124"/>
      <c r="BL756" s="124"/>
      <c r="BM756" s="124"/>
      <c r="BN756" s="124"/>
      <c r="BO756" s="124"/>
      <c r="BP756" s="124"/>
      <c r="BQ756" s="124"/>
      <c r="BR756" s="124"/>
      <c r="BS756" s="124"/>
      <c r="BT756" s="124"/>
      <c r="BU756" s="124"/>
      <c r="BV756" s="124"/>
      <c r="BW756" s="124"/>
      <c r="BX756" s="124"/>
      <c r="BY756" s="124"/>
      <c r="BZ756" s="124"/>
      <c r="CA756" s="124"/>
    </row>
    <row r="757">
      <c r="A757" s="106"/>
      <c r="B757" s="207"/>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c r="AA757" s="106"/>
      <c r="AB757" s="106"/>
      <c r="AC757" s="106"/>
      <c r="AD757" s="106"/>
      <c r="AE757" s="106"/>
      <c r="AF757" s="106"/>
      <c r="AG757" s="106"/>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c r="BK757" s="124"/>
      <c r="BL757" s="124"/>
      <c r="BM757" s="124"/>
      <c r="BN757" s="124"/>
      <c r="BO757" s="124"/>
      <c r="BP757" s="124"/>
      <c r="BQ757" s="124"/>
      <c r="BR757" s="124"/>
      <c r="BS757" s="124"/>
      <c r="BT757" s="124"/>
      <c r="BU757" s="124"/>
      <c r="BV757" s="124"/>
      <c r="BW757" s="124"/>
      <c r="BX757" s="124"/>
      <c r="BY757" s="124"/>
      <c r="BZ757" s="124"/>
      <c r="CA757" s="124"/>
    </row>
    <row r="758">
      <c r="A758" s="106"/>
      <c r="B758" s="207"/>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c r="AA758" s="106"/>
      <c r="AB758" s="106"/>
      <c r="AC758" s="106"/>
      <c r="AD758" s="106"/>
      <c r="AE758" s="106"/>
      <c r="AF758" s="106"/>
      <c r="AG758" s="106"/>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c r="BK758" s="124"/>
      <c r="BL758" s="124"/>
      <c r="BM758" s="124"/>
      <c r="BN758" s="124"/>
      <c r="BO758" s="124"/>
      <c r="BP758" s="124"/>
      <c r="BQ758" s="124"/>
      <c r="BR758" s="124"/>
      <c r="BS758" s="124"/>
      <c r="BT758" s="124"/>
      <c r="BU758" s="124"/>
      <c r="BV758" s="124"/>
      <c r="BW758" s="124"/>
      <c r="BX758" s="124"/>
      <c r="BY758" s="124"/>
      <c r="BZ758" s="124"/>
      <c r="CA758" s="124"/>
    </row>
    <row r="759">
      <c r="A759" s="106"/>
      <c r="B759" s="207"/>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c r="AA759" s="106"/>
      <c r="AB759" s="106"/>
      <c r="AC759" s="106"/>
      <c r="AD759" s="106"/>
      <c r="AE759" s="106"/>
      <c r="AF759" s="106"/>
      <c r="AG759" s="106"/>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c r="BK759" s="124"/>
      <c r="BL759" s="124"/>
      <c r="BM759" s="124"/>
      <c r="BN759" s="124"/>
      <c r="BO759" s="124"/>
      <c r="BP759" s="124"/>
      <c r="BQ759" s="124"/>
      <c r="BR759" s="124"/>
      <c r="BS759" s="124"/>
      <c r="BT759" s="124"/>
      <c r="BU759" s="124"/>
      <c r="BV759" s="124"/>
      <c r="BW759" s="124"/>
      <c r="BX759" s="124"/>
      <c r="BY759" s="124"/>
      <c r="BZ759" s="124"/>
      <c r="CA759" s="124"/>
    </row>
    <row r="760">
      <c r="A760" s="106"/>
      <c r="B760" s="207"/>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c r="AA760" s="106"/>
      <c r="AB760" s="106"/>
      <c r="AC760" s="106"/>
      <c r="AD760" s="106"/>
      <c r="AE760" s="106"/>
      <c r="AF760" s="106"/>
      <c r="AG760" s="106"/>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c r="BK760" s="124"/>
      <c r="BL760" s="124"/>
      <c r="BM760" s="124"/>
      <c r="BN760" s="124"/>
      <c r="BO760" s="124"/>
      <c r="BP760" s="124"/>
      <c r="BQ760" s="124"/>
      <c r="BR760" s="124"/>
      <c r="BS760" s="124"/>
      <c r="BT760" s="124"/>
      <c r="BU760" s="124"/>
      <c r="BV760" s="124"/>
      <c r="BW760" s="124"/>
      <c r="BX760" s="124"/>
      <c r="BY760" s="124"/>
      <c r="BZ760" s="124"/>
      <c r="CA760" s="124"/>
    </row>
    <row r="761">
      <c r="A761" s="106"/>
      <c r="B761" s="207"/>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c r="AA761" s="106"/>
      <c r="AB761" s="106"/>
      <c r="AC761" s="106"/>
      <c r="AD761" s="106"/>
      <c r="AE761" s="106"/>
      <c r="AF761" s="106"/>
      <c r="AG761" s="106"/>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c r="BK761" s="124"/>
      <c r="BL761" s="124"/>
      <c r="BM761" s="124"/>
      <c r="BN761" s="124"/>
      <c r="BO761" s="124"/>
      <c r="BP761" s="124"/>
      <c r="BQ761" s="124"/>
      <c r="BR761" s="124"/>
      <c r="BS761" s="124"/>
      <c r="BT761" s="124"/>
      <c r="BU761" s="124"/>
      <c r="BV761" s="124"/>
      <c r="BW761" s="124"/>
      <c r="BX761" s="124"/>
      <c r="BY761" s="124"/>
      <c r="BZ761" s="124"/>
      <c r="CA761" s="124"/>
    </row>
    <row r="762">
      <c r="A762" s="106"/>
      <c r="B762" s="207"/>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c r="AA762" s="106"/>
      <c r="AB762" s="106"/>
      <c r="AC762" s="106"/>
      <c r="AD762" s="106"/>
      <c r="AE762" s="106"/>
      <c r="AF762" s="106"/>
      <c r="AG762" s="106"/>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c r="BK762" s="124"/>
      <c r="BL762" s="124"/>
      <c r="BM762" s="124"/>
      <c r="BN762" s="124"/>
      <c r="BO762" s="124"/>
      <c r="BP762" s="124"/>
      <c r="BQ762" s="124"/>
      <c r="BR762" s="124"/>
      <c r="BS762" s="124"/>
      <c r="BT762" s="124"/>
      <c r="BU762" s="124"/>
      <c r="BV762" s="124"/>
      <c r="BW762" s="124"/>
      <c r="BX762" s="124"/>
      <c r="BY762" s="124"/>
      <c r="BZ762" s="124"/>
      <c r="CA762" s="124"/>
    </row>
    <row r="763">
      <c r="A763" s="106"/>
      <c r="B763" s="207"/>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c r="AA763" s="106"/>
      <c r="AB763" s="106"/>
      <c r="AC763" s="106"/>
      <c r="AD763" s="106"/>
      <c r="AE763" s="106"/>
      <c r="AF763" s="106"/>
      <c r="AG763" s="106"/>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c r="BK763" s="124"/>
      <c r="BL763" s="124"/>
      <c r="BM763" s="124"/>
      <c r="BN763" s="124"/>
      <c r="BO763" s="124"/>
      <c r="BP763" s="124"/>
      <c r="BQ763" s="124"/>
      <c r="BR763" s="124"/>
      <c r="BS763" s="124"/>
      <c r="BT763" s="124"/>
      <c r="BU763" s="124"/>
      <c r="BV763" s="124"/>
      <c r="BW763" s="124"/>
      <c r="BX763" s="124"/>
      <c r="BY763" s="124"/>
      <c r="BZ763" s="124"/>
      <c r="CA763" s="124"/>
    </row>
    <row r="764">
      <c r="A764" s="106"/>
      <c r="B764" s="207"/>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c r="AA764" s="106"/>
      <c r="AB764" s="106"/>
      <c r="AC764" s="106"/>
      <c r="AD764" s="106"/>
      <c r="AE764" s="106"/>
      <c r="AF764" s="106"/>
      <c r="AG764" s="106"/>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c r="BK764" s="124"/>
      <c r="BL764" s="124"/>
      <c r="BM764" s="124"/>
      <c r="BN764" s="124"/>
      <c r="BO764" s="124"/>
      <c r="BP764" s="124"/>
      <c r="BQ764" s="124"/>
      <c r="BR764" s="124"/>
      <c r="BS764" s="124"/>
      <c r="BT764" s="124"/>
      <c r="BU764" s="124"/>
      <c r="BV764" s="124"/>
      <c r="BW764" s="124"/>
      <c r="BX764" s="124"/>
      <c r="BY764" s="124"/>
      <c r="BZ764" s="124"/>
      <c r="CA764" s="124"/>
    </row>
    <row r="765">
      <c r="A765" s="106"/>
      <c r="B765" s="207"/>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c r="AA765" s="106"/>
      <c r="AB765" s="106"/>
      <c r="AC765" s="106"/>
      <c r="AD765" s="106"/>
      <c r="AE765" s="106"/>
      <c r="AF765" s="106"/>
      <c r="AG765" s="106"/>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c r="BK765" s="124"/>
      <c r="BL765" s="124"/>
      <c r="BM765" s="124"/>
      <c r="BN765" s="124"/>
      <c r="BO765" s="124"/>
      <c r="BP765" s="124"/>
      <c r="BQ765" s="124"/>
      <c r="BR765" s="124"/>
      <c r="BS765" s="124"/>
      <c r="BT765" s="124"/>
      <c r="BU765" s="124"/>
      <c r="BV765" s="124"/>
      <c r="BW765" s="124"/>
      <c r="BX765" s="124"/>
      <c r="BY765" s="124"/>
      <c r="BZ765" s="124"/>
      <c r="CA765" s="124"/>
    </row>
    <row r="766">
      <c r="A766" s="106"/>
      <c r="B766" s="207"/>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c r="AA766" s="106"/>
      <c r="AB766" s="106"/>
      <c r="AC766" s="106"/>
      <c r="AD766" s="106"/>
      <c r="AE766" s="106"/>
      <c r="AF766" s="106"/>
      <c r="AG766" s="106"/>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c r="BK766" s="124"/>
      <c r="BL766" s="124"/>
      <c r="BM766" s="124"/>
      <c r="BN766" s="124"/>
      <c r="BO766" s="124"/>
      <c r="BP766" s="124"/>
      <c r="BQ766" s="124"/>
      <c r="BR766" s="124"/>
      <c r="BS766" s="124"/>
      <c r="BT766" s="124"/>
      <c r="BU766" s="124"/>
      <c r="BV766" s="124"/>
      <c r="BW766" s="124"/>
      <c r="BX766" s="124"/>
      <c r="BY766" s="124"/>
      <c r="BZ766" s="124"/>
      <c r="CA766" s="124"/>
    </row>
    <row r="767">
      <c r="A767" s="106"/>
      <c r="B767" s="207"/>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c r="AA767" s="106"/>
      <c r="AB767" s="106"/>
      <c r="AC767" s="106"/>
      <c r="AD767" s="106"/>
      <c r="AE767" s="106"/>
      <c r="AF767" s="106"/>
      <c r="AG767" s="106"/>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c r="BK767" s="124"/>
      <c r="BL767" s="124"/>
      <c r="BM767" s="124"/>
      <c r="BN767" s="124"/>
      <c r="BO767" s="124"/>
      <c r="BP767" s="124"/>
      <c r="BQ767" s="124"/>
      <c r="BR767" s="124"/>
      <c r="BS767" s="124"/>
      <c r="BT767" s="124"/>
      <c r="BU767" s="124"/>
      <c r="BV767" s="124"/>
      <c r="BW767" s="124"/>
      <c r="BX767" s="124"/>
      <c r="BY767" s="124"/>
      <c r="BZ767" s="124"/>
      <c r="CA767" s="124"/>
    </row>
    <row r="768">
      <c r="A768" s="106"/>
      <c r="B768" s="207"/>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c r="AA768" s="106"/>
      <c r="AB768" s="106"/>
      <c r="AC768" s="106"/>
      <c r="AD768" s="106"/>
      <c r="AE768" s="106"/>
      <c r="AF768" s="106"/>
      <c r="AG768" s="106"/>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c r="BK768" s="124"/>
      <c r="BL768" s="124"/>
      <c r="BM768" s="124"/>
      <c r="BN768" s="124"/>
      <c r="BO768" s="124"/>
      <c r="BP768" s="124"/>
      <c r="BQ768" s="124"/>
      <c r="BR768" s="124"/>
      <c r="BS768" s="124"/>
      <c r="BT768" s="124"/>
      <c r="BU768" s="124"/>
      <c r="BV768" s="124"/>
      <c r="BW768" s="124"/>
      <c r="BX768" s="124"/>
      <c r="BY768" s="124"/>
      <c r="BZ768" s="124"/>
      <c r="CA768" s="124"/>
    </row>
    <row r="769">
      <c r="A769" s="106"/>
      <c r="B769" s="207"/>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c r="AA769" s="106"/>
      <c r="AB769" s="106"/>
      <c r="AC769" s="106"/>
      <c r="AD769" s="106"/>
      <c r="AE769" s="106"/>
      <c r="AF769" s="106"/>
      <c r="AG769" s="106"/>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c r="BK769" s="124"/>
      <c r="BL769" s="124"/>
      <c r="BM769" s="124"/>
      <c r="BN769" s="124"/>
      <c r="BO769" s="124"/>
      <c r="BP769" s="124"/>
      <c r="BQ769" s="124"/>
      <c r="BR769" s="124"/>
      <c r="BS769" s="124"/>
      <c r="BT769" s="124"/>
      <c r="BU769" s="124"/>
      <c r="BV769" s="124"/>
      <c r="BW769" s="124"/>
      <c r="BX769" s="124"/>
      <c r="BY769" s="124"/>
      <c r="BZ769" s="124"/>
      <c r="CA769" s="124"/>
    </row>
    <row r="770">
      <c r="A770" s="106"/>
      <c r="B770" s="207"/>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c r="AA770" s="106"/>
      <c r="AB770" s="106"/>
      <c r="AC770" s="106"/>
      <c r="AD770" s="106"/>
      <c r="AE770" s="106"/>
      <c r="AF770" s="106"/>
      <c r="AG770" s="106"/>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c r="BK770" s="124"/>
      <c r="BL770" s="124"/>
      <c r="BM770" s="124"/>
      <c r="BN770" s="124"/>
      <c r="BO770" s="124"/>
      <c r="BP770" s="124"/>
      <c r="BQ770" s="124"/>
      <c r="BR770" s="124"/>
      <c r="BS770" s="124"/>
      <c r="BT770" s="124"/>
      <c r="BU770" s="124"/>
      <c r="BV770" s="124"/>
      <c r="BW770" s="124"/>
      <c r="BX770" s="124"/>
      <c r="BY770" s="124"/>
      <c r="BZ770" s="124"/>
      <c r="CA770" s="124"/>
    </row>
    <row r="771">
      <c r="A771" s="106"/>
      <c r="B771" s="207"/>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c r="AA771" s="106"/>
      <c r="AB771" s="106"/>
      <c r="AC771" s="106"/>
      <c r="AD771" s="106"/>
      <c r="AE771" s="106"/>
      <c r="AF771" s="106"/>
      <c r="AG771" s="106"/>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c r="BK771" s="124"/>
      <c r="BL771" s="124"/>
      <c r="BM771" s="124"/>
      <c r="BN771" s="124"/>
      <c r="BO771" s="124"/>
      <c r="BP771" s="124"/>
      <c r="BQ771" s="124"/>
      <c r="BR771" s="124"/>
      <c r="BS771" s="124"/>
      <c r="BT771" s="124"/>
      <c r="BU771" s="124"/>
      <c r="BV771" s="124"/>
      <c r="BW771" s="124"/>
      <c r="BX771" s="124"/>
      <c r="BY771" s="124"/>
      <c r="BZ771" s="124"/>
      <c r="CA771" s="124"/>
    </row>
    <row r="772">
      <c r="A772" s="106"/>
      <c r="B772" s="207"/>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c r="AA772" s="106"/>
      <c r="AB772" s="106"/>
      <c r="AC772" s="106"/>
      <c r="AD772" s="106"/>
      <c r="AE772" s="106"/>
      <c r="AF772" s="106"/>
      <c r="AG772" s="106"/>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c r="BK772" s="124"/>
      <c r="BL772" s="124"/>
      <c r="BM772" s="124"/>
      <c r="BN772" s="124"/>
      <c r="BO772" s="124"/>
      <c r="BP772" s="124"/>
      <c r="BQ772" s="124"/>
      <c r="BR772" s="124"/>
      <c r="BS772" s="124"/>
      <c r="BT772" s="124"/>
      <c r="BU772" s="124"/>
      <c r="BV772" s="124"/>
      <c r="BW772" s="124"/>
      <c r="BX772" s="124"/>
      <c r="BY772" s="124"/>
      <c r="BZ772" s="124"/>
      <c r="CA772" s="124"/>
    </row>
    <row r="773">
      <c r="A773" s="106"/>
      <c r="B773" s="207"/>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c r="AA773" s="106"/>
      <c r="AB773" s="106"/>
      <c r="AC773" s="106"/>
      <c r="AD773" s="106"/>
      <c r="AE773" s="106"/>
      <c r="AF773" s="106"/>
      <c r="AG773" s="106"/>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c r="BK773" s="124"/>
      <c r="BL773" s="124"/>
      <c r="BM773" s="124"/>
      <c r="BN773" s="124"/>
      <c r="BO773" s="124"/>
      <c r="BP773" s="124"/>
      <c r="BQ773" s="124"/>
      <c r="BR773" s="124"/>
      <c r="BS773" s="124"/>
      <c r="BT773" s="124"/>
      <c r="BU773" s="124"/>
      <c r="BV773" s="124"/>
      <c r="BW773" s="124"/>
      <c r="BX773" s="124"/>
      <c r="BY773" s="124"/>
      <c r="BZ773" s="124"/>
      <c r="CA773" s="124"/>
    </row>
    <row r="774">
      <c r="A774" s="106"/>
      <c r="B774" s="207"/>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c r="AA774" s="106"/>
      <c r="AB774" s="106"/>
      <c r="AC774" s="106"/>
      <c r="AD774" s="106"/>
      <c r="AE774" s="106"/>
      <c r="AF774" s="106"/>
      <c r="AG774" s="106"/>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c r="BK774" s="124"/>
      <c r="BL774" s="124"/>
      <c r="BM774" s="124"/>
      <c r="BN774" s="124"/>
      <c r="BO774" s="124"/>
      <c r="BP774" s="124"/>
      <c r="BQ774" s="124"/>
      <c r="BR774" s="124"/>
      <c r="BS774" s="124"/>
      <c r="BT774" s="124"/>
      <c r="BU774" s="124"/>
      <c r="BV774" s="124"/>
      <c r="BW774" s="124"/>
      <c r="BX774" s="124"/>
      <c r="BY774" s="124"/>
      <c r="BZ774" s="124"/>
      <c r="CA774" s="124"/>
    </row>
    <row r="775">
      <c r="A775" s="106"/>
      <c r="B775" s="207"/>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c r="AA775" s="106"/>
      <c r="AB775" s="106"/>
      <c r="AC775" s="106"/>
      <c r="AD775" s="106"/>
      <c r="AE775" s="106"/>
      <c r="AF775" s="106"/>
      <c r="AG775" s="106"/>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c r="BK775" s="124"/>
      <c r="BL775" s="124"/>
      <c r="BM775" s="124"/>
      <c r="BN775" s="124"/>
      <c r="BO775" s="124"/>
      <c r="BP775" s="124"/>
      <c r="BQ775" s="124"/>
      <c r="BR775" s="124"/>
      <c r="BS775" s="124"/>
      <c r="BT775" s="124"/>
      <c r="BU775" s="124"/>
      <c r="BV775" s="124"/>
      <c r="BW775" s="124"/>
      <c r="BX775" s="124"/>
      <c r="BY775" s="124"/>
      <c r="BZ775" s="124"/>
      <c r="CA775" s="124"/>
    </row>
    <row r="776">
      <c r="A776" s="106"/>
      <c r="B776" s="207"/>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c r="AA776" s="106"/>
      <c r="AB776" s="106"/>
      <c r="AC776" s="106"/>
      <c r="AD776" s="106"/>
      <c r="AE776" s="106"/>
      <c r="AF776" s="106"/>
      <c r="AG776" s="106"/>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c r="BK776" s="124"/>
      <c r="BL776" s="124"/>
      <c r="BM776" s="124"/>
      <c r="BN776" s="124"/>
      <c r="BO776" s="124"/>
      <c r="BP776" s="124"/>
      <c r="BQ776" s="124"/>
      <c r="BR776" s="124"/>
      <c r="BS776" s="124"/>
      <c r="BT776" s="124"/>
      <c r="BU776" s="124"/>
      <c r="BV776" s="124"/>
      <c r="BW776" s="124"/>
      <c r="BX776" s="124"/>
      <c r="BY776" s="124"/>
      <c r="BZ776" s="124"/>
      <c r="CA776" s="124"/>
    </row>
    <row r="777">
      <c r="A777" s="106"/>
      <c r="B777" s="207"/>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c r="AA777" s="106"/>
      <c r="AB777" s="106"/>
      <c r="AC777" s="106"/>
      <c r="AD777" s="106"/>
      <c r="AE777" s="106"/>
      <c r="AF777" s="106"/>
      <c r="AG777" s="106"/>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c r="BK777" s="124"/>
      <c r="BL777" s="124"/>
      <c r="BM777" s="124"/>
      <c r="BN777" s="124"/>
      <c r="BO777" s="124"/>
      <c r="BP777" s="124"/>
      <c r="BQ777" s="124"/>
      <c r="BR777" s="124"/>
      <c r="BS777" s="124"/>
      <c r="BT777" s="124"/>
      <c r="BU777" s="124"/>
      <c r="BV777" s="124"/>
      <c r="BW777" s="124"/>
      <c r="BX777" s="124"/>
      <c r="BY777" s="124"/>
      <c r="BZ777" s="124"/>
      <c r="CA777" s="124"/>
    </row>
    <row r="778">
      <c r="A778" s="106"/>
      <c r="B778" s="207"/>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c r="AA778" s="106"/>
      <c r="AB778" s="106"/>
      <c r="AC778" s="106"/>
      <c r="AD778" s="106"/>
      <c r="AE778" s="106"/>
      <c r="AF778" s="106"/>
      <c r="AG778" s="106"/>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c r="BK778" s="124"/>
      <c r="BL778" s="124"/>
      <c r="BM778" s="124"/>
      <c r="BN778" s="124"/>
      <c r="BO778" s="124"/>
      <c r="BP778" s="124"/>
      <c r="BQ778" s="124"/>
      <c r="BR778" s="124"/>
      <c r="BS778" s="124"/>
      <c r="BT778" s="124"/>
      <c r="BU778" s="124"/>
      <c r="BV778" s="124"/>
      <c r="BW778" s="124"/>
      <c r="BX778" s="124"/>
      <c r="BY778" s="124"/>
      <c r="BZ778" s="124"/>
      <c r="CA778" s="124"/>
    </row>
    <row r="779">
      <c r="A779" s="106"/>
      <c r="B779" s="207"/>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c r="AA779" s="106"/>
      <c r="AB779" s="106"/>
      <c r="AC779" s="106"/>
      <c r="AD779" s="106"/>
      <c r="AE779" s="106"/>
      <c r="AF779" s="106"/>
      <c r="AG779" s="106"/>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c r="BK779" s="124"/>
      <c r="BL779" s="124"/>
      <c r="BM779" s="124"/>
      <c r="BN779" s="124"/>
      <c r="BO779" s="124"/>
      <c r="BP779" s="124"/>
      <c r="BQ779" s="124"/>
      <c r="BR779" s="124"/>
      <c r="BS779" s="124"/>
      <c r="BT779" s="124"/>
      <c r="BU779" s="124"/>
      <c r="BV779" s="124"/>
      <c r="BW779" s="124"/>
      <c r="BX779" s="124"/>
      <c r="BY779" s="124"/>
      <c r="BZ779" s="124"/>
      <c r="CA779" s="124"/>
    </row>
    <row r="780">
      <c r="A780" s="106"/>
      <c r="B780" s="207"/>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c r="AA780" s="106"/>
      <c r="AB780" s="106"/>
      <c r="AC780" s="106"/>
      <c r="AD780" s="106"/>
      <c r="AE780" s="106"/>
      <c r="AF780" s="106"/>
      <c r="AG780" s="106"/>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c r="BK780" s="124"/>
      <c r="BL780" s="124"/>
      <c r="BM780" s="124"/>
      <c r="BN780" s="124"/>
      <c r="BO780" s="124"/>
      <c r="BP780" s="124"/>
      <c r="BQ780" s="124"/>
      <c r="BR780" s="124"/>
      <c r="BS780" s="124"/>
      <c r="BT780" s="124"/>
      <c r="BU780" s="124"/>
      <c r="BV780" s="124"/>
      <c r="BW780" s="124"/>
      <c r="BX780" s="124"/>
      <c r="BY780" s="124"/>
      <c r="BZ780" s="124"/>
      <c r="CA780" s="124"/>
    </row>
    <row r="781">
      <c r="A781" s="106"/>
      <c r="B781" s="207"/>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c r="AA781" s="106"/>
      <c r="AB781" s="106"/>
      <c r="AC781" s="106"/>
      <c r="AD781" s="106"/>
      <c r="AE781" s="106"/>
      <c r="AF781" s="106"/>
      <c r="AG781" s="106"/>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c r="BK781" s="124"/>
      <c r="BL781" s="124"/>
      <c r="BM781" s="124"/>
      <c r="BN781" s="124"/>
      <c r="BO781" s="124"/>
      <c r="BP781" s="124"/>
      <c r="BQ781" s="124"/>
      <c r="BR781" s="124"/>
      <c r="BS781" s="124"/>
      <c r="BT781" s="124"/>
      <c r="BU781" s="124"/>
      <c r="BV781" s="124"/>
      <c r="BW781" s="124"/>
      <c r="BX781" s="124"/>
      <c r="BY781" s="124"/>
      <c r="BZ781" s="124"/>
      <c r="CA781" s="124"/>
    </row>
    <row r="782">
      <c r="A782" s="106"/>
      <c r="B782" s="207"/>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c r="AA782" s="106"/>
      <c r="AB782" s="106"/>
      <c r="AC782" s="106"/>
      <c r="AD782" s="106"/>
      <c r="AE782" s="106"/>
      <c r="AF782" s="106"/>
      <c r="AG782" s="106"/>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c r="BK782" s="124"/>
      <c r="BL782" s="124"/>
      <c r="BM782" s="124"/>
      <c r="BN782" s="124"/>
      <c r="BO782" s="124"/>
      <c r="BP782" s="124"/>
      <c r="BQ782" s="124"/>
      <c r="BR782" s="124"/>
      <c r="BS782" s="124"/>
      <c r="BT782" s="124"/>
      <c r="BU782" s="124"/>
      <c r="BV782" s="124"/>
      <c r="BW782" s="124"/>
      <c r="BX782" s="124"/>
      <c r="BY782" s="124"/>
      <c r="BZ782" s="124"/>
      <c r="CA782" s="124"/>
    </row>
    <row r="783">
      <c r="A783" s="106"/>
      <c r="B783" s="207"/>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c r="AA783" s="106"/>
      <c r="AB783" s="106"/>
      <c r="AC783" s="106"/>
      <c r="AD783" s="106"/>
      <c r="AE783" s="106"/>
      <c r="AF783" s="106"/>
      <c r="AG783" s="106"/>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c r="BK783" s="124"/>
      <c r="BL783" s="124"/>
      <c r="BM783" s="124"/>
      <c r="BN783" s="124"/>
      <c r="BO783" s="124"/>
      <c r="BP783" s="124"/>
      <c r="BQ783" s="124"/>
      <c r="BR783" s="124"/>
      <c r="BS783" s="124"/>
      <c r="BT783" s="124"/>
      <c r="BU783" s="124"/>
      <c r="BV783" s="124"/>
      <c r="BW783" s="124"/>
      <c r="BX783" s="124"/>
      <c r="BY783" s="124"/>
      <c r="BZ783" s="124"/>
      <c r="CA783" s="124"/>
    </row>
    <row r="784">
      <c r="A784" s="106"/>
      <c r="B784" s="207"/>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c r="AA784" s="106"/>
      <c r="AB784" s="106"/>
      <c r="AC784" s="106"/>
      <c r="AD784" s="106"/>
      <c r="AE784" s="106"/>
      <c r="AF784" s="106"/>
      <c r="AG784" s="106"/>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c r="BK784" s="124"/>
      <c r="BL784" s="124"/>
      <c r="BM784" s="124"/>
      <c r="BN784" s="124"/>
      <c r="BO784" s="124"/>
      <c r="BP784" s="124"/>
      <c r="BQ784" s="124"/>
      <c r="BR784" s="124"/>
      <c r="BS784" s="124"/>
      <c r="BT784" s="124"/>
      <c r="BU784" s="124"/>
      <c r="BV784" s="124"/>
      <c r="BW784" s="124"/>
      <c r="BX784" s="124"/>
      <c r="BY784" s="124"/>
      <c r="BZ784" s="124"/>
      <c r="CA784" s="124"/>
    </row>
    <row r="785">
      <c r="A785" s="106"/>
      <c r="B785" s="207"/>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c r="AA785" s="106"/>
      <c r="AB785" s="106"/>
      <c r="AC785" s="106"/>
      <c r="AD785" s="106"/>
      <c r="AE785" s="106"/>
      <c r="AF785" s="106"/>
      <c r="AG785" s="106"/>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c r="BK785" s="124"/>
      <c r="BL785" s="124"/>
      <c r="BM785" s="124"/>
      <c r="BN785" s="124"/>
      <c r="BO785" s="124"/>
      <c r="BP785" s="124"/>
      <c r="BQ785" s="124"/>
      <c r="BR785" s="124"/>
      <c r="BS785" s="124"/>
      <c r="BT785" s="124"/>
      <c r="BU785" s="124"/>
      <c r="BV785" s="124"/>
      <c r="BW785" s="124"/>
      <c r="BX785" s="124"/>
      <c r="BY785" s="124"/>
      <c r="BZ785" s="124"/>
      <c r="CA785" s="124"/>
    </row>
    <row r="786">
      <c r="A786" s="106"/>
      <c r="B786" s="207"/>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c r="AA786" s="106"/>
      <c r="AB786" s="106"/>
      <c r="AC786" s="106"/>
      <c r="AD786" s="106"/>
      <c r="AE786" s="106"/>
      <c r="AF786" s="106"/>
      <c r="AG786" s="106"/>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c r="BK786" s="124"/>
      <c r="BL786" s="124"/>
      <c r="BM786" s="124"/>
      <c r="BN786" s="124"/>
      <c r="BO786" s="124"/>
      <c r="BP786" s="124"/>
      <c r="BQ786" s="124"/>
      <c r="BR786" s="124"/>
      <c r="BS786" s="124"/>
      <c r="BT786" s="124"/>
      <c r="BU786" s="124"/>
      <c r="BV786" s="124"/>
      <c r="BW786" s="124"/>
      <c r="BX786" s="124"/>
      <c r="BY786" s="124"/>
      <c r="BZ786" s="124"/>
      <c r="CA786" s="124"/>
    </row>
    <row r="787">
      <c r="A787" s="106"/>
      <c r="B787" s="207"/>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c r="AA787" s="106"/>
      <c r="AB787" s="106"/>
      <c r="AC787" s="106"/>
      <c r="AD787" s="106"/>
      <c r="AE787" s="106"/>
      <c r="AF787" s="106"/>
      <c r="AG787" s="106"/>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c r="BK787" s="124"/>
      <c r="BL787" s="124"/>
      <c r="BM787" s="124"/>
      <c r="BN787" s="124"/>
      <c r="BO787" s="124"/>
      <c r="BP787" s="124"/>
      <c r="BQ787" s="124"/>
      <c r="BR787" s="124"/>
      <c r="BS787" s="124"/>
      <c r="BT787" s="124"/>
      <c r="BU787" s="124"/>
      <c r="BV787" s="124"/>
      <c r="BW787" s="124"/>
      <c r="BX787" s="124"/>
      <c r="BY787" s="124"/>
      <c r="BZ787" s="124"/>
      <c r="CA787" s="124"/>
    </row>
    <row r="788">
      <c r="A788" s="106"/>
      <c r="B788" s="207"/>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c r="AA788" s="106"/>
      <c r="AB788" s="106"/>
      <c r="AC788" s="106"/>
      <c r="AD788" s="106"/>
      <c r="AE788" s="106"/>
      <c r="AF788" s="106"/>
      <c r="AG788" s="106"/>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c r="BK788" s="124"/>
      <c r="BL788" s="124"/>
      <c r="BM788" s="124"/>
      <c r="BN788" s="124"/>
      <c r="BO788" s="124"/>
      <c r="BP788" s="124"/>
      <c r="BQ788" s="124"/>
      <c r="BR788" s="124"/>
      <c r="BS788" s="124"/>
      <c r="BT788" s="124"/>
      <c r="BU788" s="124"/>
      <c r="BV788" s="124"/>
      <c r="BW788" s="124"/>
      <c r="BX788" s="124"/>
      <c r="BY788" s="124"/>
      <c r="BZ788" s="124"/>
      <c r="CA788" s="124"/>
    </row>
    <row r="789">
      <c r="A789" s="106"/>
      <c r="B789" s="207"/>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c r="AA789" s="106"/>
      <c r="AB789" s="106"/>
      <c r="AC789" s="106"/>
      <c r="AD789" s="106"/>
      <c r="AE789" s="106"/>
      <c r="AF789" s="106"/>
      <c r="AG789" s="106"/>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c r="BK789" s="124"/>
      <c r="BL789" s="124"/>
      <c r="BM789" s="124"/>
      <c r="BN789" s="124"/>
      <c r="BO789" s="124"/>
      <c r="BP789" s="124"/>
      <c r="BQ789" s="124"/>
      <c r="BR789" s="124"/>
      <c r="BS789" s="124"/>
      <c r="BT789" s="124"/>
      <c r="BU789" s="124"/>
      <c r="BV789" s="124"/>
      <c r="BW789" s="124"/>
      <c r="BX789" s="124"/>
      <c r="BY789" s="124"/>
      <c r="BZ789" s="124"/>
      <c r="CA789" s="124"/>
    </row>
    <row r="790">
      <c r="A790" s="106"/>
      <c r="B790" s="207"/>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c r="AA790" s="106"/>
      <c r="AB790" s="106"/>
      <c r="AC790" s="106"/>
      <c r="AD790" s="106"/>
      <c r="AE790" s="106"/>
      <c r="AF790" s="106"/>
      <c r="AG790" s="106"/>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c r="BK790" s="124"/>
      <c r="BL790" s="124"/>
      <c r="BM790" s="124"/>
      <c r="BN790" s="124"/>
      <c r="BO790" s="124"/>
      <c r="BP790" s="124"/>
      <c r="BQ790" s="124"/>
      <c r="BR790" s="124"/>
      <c r="BS790" s="124"/>
      <c r="BT790" s="124"/>
      <c r="BU790" s="124"/>
      <c r="BV790" s="124"/>
      <c r="BW790" s="124"/>
      <c r="BX790" s="124"/>
      <c r="BY790" s="124"/>
      <c r="BZ790" s="124"/>
      <c r="CA790" s="124"/>
    </row>
    <row r="791">
      <c r="A791" s="106"/>
      <c r="B791" s="207"/>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c r="AA791" s="106"/>
      <c r="AB791" s="106"/>
      <c r="AC791" s="106"/>
      <c r="AD791" s="106"/>
      <c r="AE791" s="106"/>
      <c r="AF791" s="106"/>
      <c r="AG791" s="106"/>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c r="BK791" s="124"/>
      <c r="BL791" s="124"/>
      <c r="BM791" s="124"/>
      <c r="BN791" s="124"/>
      <c r="BO791" s="124"/>
      <c r="BP791" s="124"/>
      <c r="BQ791" s="124"/>
      <c r="BR791" s="124"/>
      <c r="BS791" s="124"/>
      <c r="BT791" s="124"/>
      <c r="BU791" s="124"/>
      <c r="BV791" s="124"/>
      <c r="BW791" s="124"/>
      <c r="BX791" s="124"/>
      <c r="BY791" s="124"/>
      <c r="BZ791" s="124"/>
      <c r="CA791" s="124"/>
    </row>
    <row r="792">
      <c r="A792" s="106"/>
      <c r="B792" s="207"/>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c r="AA792" s="106"/>
      <c r="AB792" s="106"/>
      <c r="AC792" s="106"/>
      <c r="AD792" s="106"/>
      <c r="AE792" s="106"/>
      <c r="AF792" s="106"/>
      <c r="AG792" s="106"/>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c r="BK792" s="124"/>
      <c r="BL792" s="124"/>
      <c r="BM792" s="124"/>
      <c r="BN792" s="124"/>
      <c r="BO792" s="124"/>
      <c r="BP792" s="124"/>
      <c r="BQ792" s="124"/>
      <c r="BR792" s="124"/>
      <c r="BS792" s="124"/>
      <c r="BT792" s="124"/>
      <c r="BU792" s="124"/>
      <c r="BV792" s="124"/>
      <c r="BW792" s="124"/>
      <c r="BX792" s="124"/>
      <c r="BY792" s="124"/>
      <c r="BZ792" s="124"/>
      <c r="CA792" s="124"/>
    </row>
    <row r="793">
      <c r="A793" s="106"/>
      <c r="B793" s="207"/>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c r="AA793" s="106"/>
      <c r="AB793" s="106"/>
      <c r="AC793" s="106"/>
      <c r="AD793" s="106"/>
      <c r="AE793" s="106"/>
      <c r="AF793" s="106"/>
      <c r="AG793" s="106"/>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c r="BK793" s="124"/>
      <c r="BL793" s="124"/>
      <c r="BM793" s="124"/>
      <c r="BN793" s="124"/>
      <c r="BO793" s="124"/>
      <c r="BP793" s="124"/>
      <c r="BQ793" s="124"/>
      <c r="BR793" s="124"/>
      <c r="BS793" s="124"/>
      <c r="BT793" s="124"/>
      <c r="BU793" s="124"/>
      <c r="BV793" s="124"/>
      <c r="BW793" s="124"/>
      <c r="BX793" s="124"/>
      <c r="BY793" s="124"/>
      <c r="BZ793" s="124"/>
      <c r="CA793" s="124"/>
    </row>
    <row r="794">
      <c r="A794" s="106"/>
      <c r="B794" s="207"/>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c r="AA794" s="106"/>
      <c r="AB794" s="106"/>
      <c r="AC794" s="106"/>
      <c r="AD794" s="106"/>
      <c r="AE794" s="106"/>
      <c r="AF794" s="106"/>
      <c r="AG794" s="106"/>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c r="BK794" s="124"/>
      <c r="BL794" s="124"/>
      <c r="BM794" s="124"/>
      <c r="BN794" s="124"/>
      <c r="BO794" s="124"/>
      <c r="BP794" s="124"/>
      <c r="BQ794" s="124"/>
      <c r="BR794" s="124"/>
      <c r="BS794" s="124"/>
      <c r="BT794" s="124"/>
      <c r="BU794" s="124"/>
      <c r="BV794" s="124"/>
      <c r="BW794" s="124"/>
      <c r="BX794" s="124"/>
      <c r="BY794" s="124"/>
      <c r="BZ794" s="124"/>
      <c r="CA794" s="124"/>
    </row>
    <row r="795">
      <c r="A795" s="106"/>
      <c r="B795" s="207"/>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c r="AA795" s="106"/>
      <c r="AB795" s="106"/>
      <c r="AC795" s="106"/>
      <c r="AD795" s="106"/>
      <c r="AE795" s="106"/>
      <c r="AF795" s="106"/>
      <c r="AG795" s="106"/>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c r="BK795" s="124"/>
      <c r="BL795" s="124"/>
      <c r="BM795" s="124"/>
      <c r="BN795" s="124"/>
      <c r="BO795" s="124"/>
      <c r="BP795" s="124"/>
      <c r="BQ795" s="124"/>
      <c r="BR795" s="124"/>
      <c r="BS795" s="124"/>
      <c r="BT795" s="124"/>
      <c r="BU795" s="124"/>
      <c r="BV795" s="124"/>
      <c r="BW795" s="124"/>
      <c r="BX795" s="124"/>
      <c r="BY795" s="124"/>
      <c r="BZ795" s="124"/>
      <c r="CA795" s="124"/>
    </row>
    <row r="796">
      <c r="A796" s="106"/>
      <c r="B796" s="207"/>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c r="AA796" s="106"/>
      <c r="AB796" s="106"/>
      <c r="AC796" s="106"/>
      <c r="AD796" s="106"/>
      <c r="AE796" s="106"/>
      <c r="AF796" s="106"/>
      <c r="AG796" s="106"/>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c r="BK796" s="124"/>
      <c r="BL796" s="124"/>
      <c r="BM796" s="124"/>
      <c r="BN796" s="124"/>
      <c r="BO796" s="124"/>
      <c r="BP796" s="124"/>
      <c r="BQ796" s="124"/>
      <c r="BR796" s="124"/>
      <c r="BS796" s="124"/>
      <c r="BT796" s="124"/>
      <c r="BU796" s="124"/>
      <c r="BV796" s="124"/>
      <c r="BW796" s="124"/>
      <c r="BX796" s="124"/>
      <c r="BY796" s="124"/>
      <c r="BZ796" s="124"/>
      <c r="CA796" s="124"/>
    </row>
    <row r="797">
      <c r="A797" s="106"/>
      <c r="B797" s="207"/>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c r="AA797" s="106"/>
      <c r="AB797" s="106"/>
      <c r="AC797" s="106"/>
      <c r="AD797" s="106"/>
      <c r="AE797" s="106"/>
      <c r="AF797" s="106"/>
      <c r="AG797" s="106"/>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c r="BK797" s="124"/>
      <c r="BL797" s="124"/>
      <c r="BM797" s="124"/>
      <c r="BN797" s="124"/>
      <c r="BO797" s="124"/>
      <c r="BP797" s="124"/>
      <c r="BQ797" s="124"/>
      <c r="BR797" s="124"/>
      <c r="BS797" s="124"/>
      <c r="BT797" s="124"/>
      <c r="BU797" s="124"/>
      <c r="BV797" s="124"/>
      <c r="BW797" s="124"/>
      <c r="BX797" s="124"/>
      <c r="BY797" s="124"/>
      <c r="BZ797" s="124"/>
      <c r="CA797" s="124"/>
    </row>
    <row r="798">
      <c r="A798" s="106"/>
      <c r="B798" s="207"/>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c r="AA798" s="106"/>
      <c r="AB798" s="106"/>
      <c r="AC798" s="106"/>
      <c r="AD798" s="106"/>
      <c r="AE798" s="106"/>
      <c r="AF798" s="106"/>
      <c r="AG798" s="106"/>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c r="BK798" s="124"/>
      <c r="BL798" s="124"/>
      <c r="BM798" s="124"/>
      <c r="BN798" s="124"/>
      <c r="BO798" s="124"/>
      <c r="BP798" s="124"/>
      <c r="BQ798" s="124"/>
      <c r="BR798" s="124"/>
      <c r="BS798" s="124"/>
      <c r="BT798" s="124"/>
      <c r="BU798" s="124"/>
      <c r="BV798" s="124"/>
      <c r="BW798" s="124"/>
      <c r="BX798" s="124"/>
      <c r="BY798" s="124"/>
      <c r="BZ798" s="124"/>
      <c r="CA798" s="124"/>
    </row>
    <row r="799">
      <c r="A799" s="106"/>
      <c r="B799" s="207"/>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c r="AA799" s="106"/>
      <c r="AB799" s="106"/>
      <c r="AC799" s="106"/>
      <c r="AD799" s="106"/>
      <c r="AE799" s="106"/>
      <c r="AF799" s="106"/>
      <c r="AG799" s="106"/>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c r="BK799" s="124"/>
      <c r="BL799" s="124"/>
      <c r="BM799" s="124"/>
      <c r="BN799" s="124"/>
      <c r="BO799" s="124"/>
      <c r="BP799" s="124"/>
      <c r="BQ799" s="124"/>
      <c r="BR799" s="124"/>
      <c r="BS799" s="124"/>
      <c r="BT799" s="124"/>
      <c r="BU799" s="124"/>
      <c r="BV799" s="124"/>
      <c r="BW799" s="124"/>
      <c r="BX799" s="124"/>
      <c r="BY799" s="124"/>
      <c r="BZ799" s="124"/>
      <c r="CA799" s="124"/>
    </row>
    <row r="800">
      <c r="A800" s="106"/>
      <c r="B800" s="207"/>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c r="AA800" s="106"/>
      <c r="AB800" s="106"/>
      <c r="AC800" s="106"/>
      <c r="AD800" s="106"/>
      <c r="AE800" s="106"/>
      <c r="AF800" s="106"/>
      <c r="AG800" s="106"/>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c r="BK800" s="124"/>
      <c r="BL800" s="124"/>
      <c r="BM800" s="124"/>
      <c r="BN800" s="124"/>
      <c r="BO800" s="124"/>
      <c r="BP800" s="124"/>
      <c r="BQ800" s="124"/>
      <c r="BR800" s="124"/>
      <c r="BS800" s="124"/>
      <c r="BT800" s="124"/>
      <c r="BU800" s="124"/>
      <c r="BV800" s="124"/>
      <c r="BW800" s="124"/>
      <c r="BX800" s="124"/>
      <c r="BY800" s="124"/>
      <c r="BZ800" s="124"/>
      <c r="CA800" s="124"/>
    </row>
    <row r="801">
      <c r="A801" s="106"/>
      <c r="B801" s="207"/>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c r="AA801" s="106"/>
      <c r="AB801" s="106"/>
      <c r="AC801" s="106"/>
      <c r="AD801" s="106"/>
      <c r="AE801" s="106"/>
      <c r="AF801" s="106"/>
      <c r="AG801" s="106"/>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c r="BK801" s="124"/>
      <c r="BL801" s="124"/>
      <c r="BM801" s="124"/>
      <c r="BN801" s="124"/>
      <c r="BO801" s="124"/>
      <c r="BP801" s="124"/>
      <c r="BQ801" s="124"/>
      <c r="BR801" s="124"/>
      <c r="BS801" s="124"/>
      <c r="BT801" s="124"/>
      <c r="BU801" s="124"/>
      <c r="BV801" s="124"/>
      <c r="BW801" s="124"/>
      <c r="BX801" s="124"/>
      <c r="BY801" s="124"/>
      <c r="BZ801" s="124"/>
      <c r="CA801" s="124"/>
    </row>
    <row r="802">
      <c r="A802" s="106"/>
      <c r="B802" s="207"/>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c r="AA802" s="106"/>
      <c r="AB802" s="106"/>
      <c r="AC802" s="106"/>
      <c r="AD802" s="106"/>
      <c r="AE802" s="106"/>
      <c r="AF802" s="106"/>
      <c r="AG802" s="106"/>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c r="BK802" s="124"/>
      <c r="BL802" s="124"/>
      <c r="BM802" s="124"/>
      <c r="BN802" s="124"/>
      <c r="BO802" s="124"/>
      <c r="BP802" s="124"/>
      <c r="BQ802" s="124"/>
      <c r="BR802" s="124"/>
      <c r="BS802" s="124"/>
      <c r="BT802" s="124"/>
      <c r="BU802" s="124"/>
      <c r="BV802" s="124"/>
      <c r="BW802" s="124"/>
      <c r="BX802" s="124"/>
      <c r="BY802" s="124"/>
      <c r="BZ802" s="124"/>
      <c r="CA802" s="124"/>
    </row>
    <row r="803">
      <c r="A803" s="106"/>
      <c r="B803" s="207"/>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c r="AA803" s="106"/>
      <c r="AB803" s="106"/>
      <c r="AC803" s="106"/>
      <c r="AD803" s="106"/>
      <c r="AE803" s="106"/>
      <c r="AF803" s="106"/>
      <c r="AG803" s="106"/>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c r="BK803" s="124"/>
      <c r="BL803" s="124"/>
      <c r="BM803" s="124"/>
      <c r="BN803" s="124"/>
      <c r="BO803" s="124"/>
      <c r="BP803" s="124"/>
      <c r="BQ803" s="124"/>
      <c r="BR803" s="124"/>
      <c r="BS803" s="124"/>
      <c r="BT803" s="124"/>
      <c r="BU803" s="124"/>
      <c r="BV803" s="124"/>
      <c r="BW803" s="124"/>
      <c r="BX803" s="124"/>
      <c r="BY803" s="124"/>
      <c r="BZ803" s="124"/>
      <c r="CA803" s="124"/>
    </row>
    <row r="804">
      <c r="A804" s="106"/>
      <c r="B804" s="207"/>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c r="AA804" s="106"/>
      <c r="AB804" s="106"/>
      <c r="AC804" s="106"/>
      <c r="AD804" s="106"/>
      <c r="AE804" s="106"/>
      <c r="AF804" s="106"/>
      <c r="AG804" s="106"/>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c r="BK804" s="124"/>
      <c r="BL804" s="124"/>
      <c r="BM804" s="124"/>
      <c r="BN804" s="124"/>
      <c r="BO804" s="124"/>
      <c r="BP804" s="124"/>
      <c r="BQ804" s="124"/>
      <c r="BR804" s="124"/>
      <c r="BS804" s="124"/>
      <c r="BT804" s="124"/>
      <c r="BU804" s="124"/>
      <c r="BV804" s="124"/>
      <c r="BW804" s="124"/>
      <c r="BX804" s="124"/>
      <c r="BY804" s="124"/>
      <c r="BZ804" s="124"/>
      <c r="CA804" s="124"/>
    </row>
    <row r="805">
      <c r="A805" s="106"/>
      <c r="B805" s="207"/>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c r="AA805" s="106"/>
      <c r="AB805" s="106"/>
      <c r="AC805" s="106"/>
      <c r="AD805" s="106"/>
      <c r="AE805" s="106"/>
      <c r="AF805" s="106"/>
      <c r="AG805" s="106"/>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c r="BK805" s="124"/>
      <c r="BL805" s="124"/>
      <c r="BM805" s="124"/>
      <c r="BN805" s="124"/>
      <c r="BO805" s="124"/>
      <c r="BP805" s="124"/>
      <c r="BQ805" s="124"/>
      <c r="BR805" s="124"/>
      <c r="BS805" s="124"/>
      <c r="BT805" s="124"/>
      <c r="BU805" s="124"/>
      <c r="BV805" s="124"/>
      <c r="BW805" s="124"/>
      <c r="BX805" s="124"/>
      <c r="BY805" s="124"/>
      <c r="BZ805" s="124"/>
      <c r="CA805" s="124"/>
    </row>
    <row r="806">
      <c r="A806" s="106"/>
      <c r="B806" s="207"/>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c r="AA806" s="106"/>
      <c r="AB806" s="106"/>
      <c r="AC806" s="106"/>
      <c r="AD806" s="106"/>
      <c r="AE806" s="106"/>
      <c r="AF806" s="106"/>
      <c r="AG806" s="106"/>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c r="BK806" s="124"/>
      <c r="BL806" s="124"/>
      <c r="BM806" s="124"/>
      <c r="BN806" s="124"/>
      <c r="BO806" s="124"/>
      <c r="BP806" s="124"/>
      <c r="BQ806" s="124"/>
      <c r="BR806" s="124"/>
      <c r="BS806" s="124"/>
      <c r="BT806" s="124"/>
      <c r="BU806" s="124"/>
      <c r="BV806" s="124"/>
      <c r="BW806" s="124"/>
      <c r="BX806" s="124"/>
      <c r="BY806" s="124"/>
      <c r="BZ806" s="124"/>
      <c r="CA806" s="124"/>
    </row>
    <row r="807">
      <c r="A807" s="106"/>
      <c r="B807" s="207"/>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c r="AA807" s="106"/>
      <c r="AB807" s="106"/>
      <c r="AC807" s="106"/>
      <c r="AD807" s="106"/>
      <c r="AE807" s="106"/>
      <c r="AF807" s="106"/>
      <c r="AG807" s="106"/>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c r="BK807" s="124"/>
      <c r="BL807" s="124"/>
      <c r="BM807" s="124"/>
      <c r="BN807" s="124"/>
      <c r="BO807" s="124"/>
      <c r="BP807" s="124"/>
      <c r="BQ807" s="124"/>
      <c r="BR807" s="124"/>
      <c r="BS807" s="124"/>
      <c r="BT807" s="124"/>
      <c r="BU807" s="124"/>
      <c r="BV807" s="124"/>
      <c r="BW807" s="124"/>
      <c r="BX807" s="124"/>
      <c r="BY807" s="124"/>
      <c r="BZ807" s="124"/>
      <c r="CA807" s="124"/>
    </row>
    <row r="808">
      <c r="A808" s="106"/>
      <c r="B808" s="207"/>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c r="AA808" s="106"/>
      <c r="AB808" s="106"/>
      <c r="AC808" s="106"/>
      <c r="AD808" s="106"/>
      <c r="AE808" s="106"/>
      <c r="AF808" s="106"/>
      <c r="AG808" s="106"/>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c r="BK808" s="124"/>
      <c r="BL808" s="124"/>
      <c r="BM808" s="124"/>
      <c r="BN808" s="124"/>
      <c r="BO808" s="124"/>
      <c r="BP808" s="124"/>
      <c r="BQ808" s="124"/>
      <c r="BR808" s="124"/>
      <c r="BS808" s="124"/>
      <c r="BT808" s="124"/>
      <c r="BU808" s="124"/>
      <c r="BV808" s="124"/>
      <c r="BW808" s="124"/>
      <c r="BX808" s="124"/>
      <c r="BY808" s="124"/>
      <c r="BZ808" s="124"/>
      <c r="CA808" s="124"/>
    </row>
    <row r="809">
      <c r="A809" s="106"/>
      <c r="B809" s="207"/>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c r="AA809" s="106"/>
      <c r="AB809" s="106"/>
      <c r="AC809" s="106"/>
      <c r="AD809" s="106"/>
      <c r="AE809" s="106"/>
      <c r="AF809" s="106"/>
      <c r="AG809" s="106"/>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c r="BK809" s="124"/>
      <c r="BL809" s="124"/>
      <c r="BM809" s="124"/>
      <c r="BN809" s="124"/>
      <c r="BO809" s="124"/>
      <c r="BP809" s="124"/>
      <c r="BQ809" s="124"/>
      <c r="BR809" s="124"/>
      <c r="BS809" s="124"/>
      <c r="BT809" s="124"/>
      <c r="BU809" s="124"/>
      <c r="BV809" s="124"/>
      <c r="BW809" s="124"/>
      <c r="BX809" s="124"/>
      <c r="BY809" s="124"/>
      <c r="BZ809" s="124"/>
      <c r="CA809" s="124"/>
    </row>
    <row r="810">
      <c r="A810" s="106"/>
      <c r="B810" s="207"/>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c r="AA810" s="106"/>
      <c r="AB810" s="106"/>
      <c r="AC810" s="106"/>
      <c r="AD810" s="106"/>
      <c r="AE810" s="106"/>
      <c r="AF810" s="106"/>
      <c r="AG810" s="106"/>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c r="BK810" s="124"/>
      <c r="BL810" s="124"/>
      <c r="BM810" s="124"/>
      <c r="BN810" s="124"/>
      <c r="BO810" s="124"/>
      <c r="BP810" s="124"/>
      <c r="BQ810" s="124"/>
      <c r="BR810" s="124"/>
      <c r="BS810" s="124"/>
      <c r="BT810" s="124"/>
      <c r="BU810" s="124"/>
      <c r="BV810" s="124"/>
      <c r="BW810" s="124"/>
      <c r="BX810" s="124"/>
      <c r="BY810" s="124"/>
      <c r="BZ810" s="124"/>
      <c r="CA810" s="124"/>
    </row>
    <row r="811">
      <c r="A811" s="106"/>
      <c r="B811" s="207"/>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c r="AA811" s="106"/>
      <c r="AB811" s="106"/>
      <c r="AC811" s="106"/>
      <c r="AD811" s="106"/>
      <c r="AE811" s="106"/>
      <c r="AF811" s="106"/>
      <c r="AG811" s="106"/>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c r="BK811" s="124"/>
      <c r="BL811" s="124"/>
      <c r="BM811" s="124"/>
      <c r="BN811" s="124"/>
      <c r="BO811" s="124"/>
      <c r="BP811" s="124"/>
      <c r="BQ811" s="124"/>
      <c r="BR811" s="124"/>
      <c r="BS811" s="124"/>
      <c r="BT811" s="124"/>
      <c r="BU811" s="124"/>
      <c r="BV811" s="124"/>
      <c r="BW811" s="124"/>
      <c r="BX811" s="124"/>
      <c r="BY811" s="124"/>
      <c r="BZ811" s="124"/>
      <c r="CA811" s="124"/>
    </row>
    <row r="812">
      <c r="A812" s="106"/>
      <c r="B812" s="207"/>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c r="AA812" s="106"/>
      <c r="AB812" s="106"/>
      <c r="AC812" s="106"/>
      <c r="AD812" s="106"/>
      <c r="AE812" s="106"/>
      <c r="AF812" s="106"/>
      <c r="AG812" s="106"/>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c r="BK812" s="124"/>
      <c r="BL812" s="124"/>
      <c r="BM812" s="124"/>
      <c r="BN812" s="124"/>
      <c r="BO812" s="124"/>
      <c r="BP812" s="124"/>
      <c r="BQ812" s="124"/>
      <c r="BR812" s="124"/>
      <c r="BS812" s="124"/>
      <c r="BT812" s="124"/>
      <c r="BU812" s="124"/>
      <c r="BV812" s="124"/>
      <c r="BW812" s="124"/>
      <c r="BX812" s="124"/>
      <c r="BY812" s="124"/>
      <c r="BZ812" s="124"/>
      <c r="CA812" s="124"/>
    </row>
    <row r="813">
      <c r="A813" s="106"/>
      <c r="B813" s="207"/>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c r="AA813" s="106"/>
      <c r="AB813" s="106"/>
      <c r="AC813" s="106"/>
      <c r="AD813" s="106"/>
      <c r="AE813" s="106"/>
      <c r="AF813" s="106"/>
      <c r="AG813" s="106"/>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c r="BK813" s="124"/>
      <c r="BL813" s="124"/>
      <c r="BM813" s="124"/>
      <c r="BN813" s="124"/>
      <c r="BO813" s="124"/>
      <c r="BP813" s="124"/>
      <c r="BQ813" s="124"/>
      <c r="BR813" s="124"/>
      <c r="BS813" s="124"/>
      <c r="BT813" s="124"/>
      <c r="BU813" s="124"/>
      <c r="BV813" s="124"/>
      <c r="BW813" s="124"/>
      <c r="BX813" s="124"/>
      <c r="BY813" s="124"/>
      <c r="BZ813" s="124"/>
      <c r="CA813" s="124"/>
    </row>
    <row r="814">
      <c r="A814" s="106"/>
      <c r="B814" s="207"/>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c r="AA814" s="106"/>
      <c r="AB814" s="106"/>
      <c r="AC814" s="106"/>
      <c r="AD814" s="106"/>
      <c r="AE814" s="106"/>
      <c r="AF814" s="106"/>
      <c r="AG814" s="106"/>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c r="BK814" s="124"/>
      <c r="BL814" s="124"/>
      <c r="BM814" s="124"/>
      <c r="BN814" s="124"/>
      <c r="BO814" s="124"/>
      <c r="BP814" s="124"/>
      <c r="BQ814" s="124"/>
      <c r="BR814" s="124"/>
      <c r="BS814" s="124"/>
      <c r="BT814" s="124"/>
      <c r="BU814" s="124"/>
      <c r="BV814" s="124"/>
      <c r="BW814" s="124"/>
      <c r="BX814" s="124"/>
      <c r="BY814" s="124"/>
      <c r="BZ814" s="124"/>
      <c r="CA814" s="124"/>
    </row>
    <row r="815">
      <c r="A815" s="106"/>
      <c r="B815" s="207"/>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c r="AA815" s="106"/>
      <c r="AB815" s="106"/>
      <c r="AC815" s="106"/>
      <c r="AD815" s="106"/>
      <c r="AE815" s="106"/>
      <c r="AF815" s="106"/>
      <c r="AG815" s="106"/>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c r="BK815" s="124"/>
      <c r="BL815" s="124"/>
      <c r="BM815" s="124"/>
      <c r="BN815" s="124"/>
      <c r="BO815" s="124"/>
      <c r="BP815" s="124"/>
      <c r="BQ815" s="124"/>
      <c r="BR815" s="124"/>
      <c r="BS815" s="124"/>
      <c r="BT815" s="124"/>
      <c r="BU815" s="124"/>
      <c r="BV815" s="124"/>
      <c r="BW815" s="124"/>
      <c r="BX815" s="124"/>
      <c r="BY815" s="124"/>
      <c r="BZ815" s="124"/>
      <c r="CA815" s="124"/>
    </row>
    <row r="816">
      <c r="A816" s="106"/>
      <c r="B816" s="207"/>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c r="AA816" s="106"/>
      <c r="AB816" s="106"/>
      <c r="AC816" s="106"/>
      <c r="AD816" s="106"/>
      <c r="AE816" s="106"/>
      <c r="AF816" s="106"/>
      <c r="AG816" s="106"/>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c r="BK816" s="124"/>
      <c r="BL816" s="124"/>
      <c r="BM816" s="124"/>
      <c r="BN816" s="124"/>
      <c r="BO816" s="124"/>
      <c r="BP816" s="124"/>
      <c r="BQ816" s="124"/>
      <c r="BR816" s="124"/>
      <c r="BS816" s="124"/>
      <c r="BT816" s="124"/>
      <c r="BU816" s="124"/>
      <c r="BV816" s="124"/>
      <c r="BW816" s="124"/>
      <c r="BX816" s="124"/>
      <c r="BY816" s="124"/>
      <c r="BZ816" s="124"/>
      <c r="CA816" s="124"/>
    </row>
    <row r="817">
      <c r="A817" s="106"/>
      <c r="B817" s="207"/>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c r="AA817" s="106"/>
      <c r="AB817" s="106"/>
      <c r="AC817" s="106"/>
      <c r="AD817" s="106"/>
      <c r="AE817" s="106"/>
      <c r="AF817" s="106"/>
      <c r="AG817" s="106"/>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c r="BK817" s="124"/>
      <c r="BL817" s="124"/>
      <c r="BM817" s="124"/>
      <c r="BN817" s="124"/>
      <c r="BO817" s="124"/>
      <c r="BP817" s="124"/>
      <c r="BQ817" s="124"/>
      <c r="BR817" s="124"/>
      <c r="BS817" s="124"/>
      <c r="BT817" s="124"/>
      <c r="BU817" s="124"/>
      <c r="BV817" s="124"/>
      <c r="BW817" s="124"/>
      <c r="BX817" s="124"/>
      <c r="BY817" s="124"/>
      <c r="BZ817" s="124"/>
      <c r="CA817" s="124"/>
    </row>
    <row r="818">
      <c r="A818" s="106"/>
      <c r="B818" s="207"/>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c r="AA818" s="106"/>
      <c r="AB818" s="106"/>
      <c r="AC818" s="106"/>
      <c r="AD818" s="106"/>
      <c r="AE818" s="106"/>
      <c r="AF818" s="106"/>
      <c r="AG818" s="106"/>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c r="BK818" s="124"/>
      <c r="BL818" s="124"/>
      <c r="BM818" s="124"/>
      <c r="BN818" s="124"/>
      <c r="BO818" s="124"/>
      <c r="BP818" s="124"/>
      <c r="BQ818" s="124"/>
      <c r="BR818" s="124"/>
      <c r="BS818" s="124"/>
      <c r="BT818" s="124"/>
      <c r="BU818" s="124"/>
      <c r="BV818" s="124"/>
      <c r="BW818" s="124"/>
      <c r="BX818" s="124"/>
      <c r="BY818" s="124"/>
      <c r="BZ818" s="124"/>
      <c r="CA818" s="124"/>
    </row>
    <row r="819">
      <c r="A819" s="106"/>
      <c r="B819" s="207"/>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c r="AA819" s="106"/>
      <c r="AB819" s="106"/>
      <c r="AC819" s="106"/>
      <c r="AD819" s="106"/>
      <c r="AE819" s="106"/>
      <c r="AF819" s="106"/>
      <c r="AG819" s="106"/>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c r="BK819" s="124"/>
      <c r="BL819" s="124"/>
      <c r="BM819" s="124"/>
      <c r="BN819" s="124"/>
      <c r="BO819" s="124"/>
      <c r="BP819" s="124"/>
      <c r="BQ819" s="124"/>
      <c r="BR819" s="124"/>
      <c r="BS819" s="124"/>
      <c r="BT819" s="124"/>
      <c r="BU819" s="124"/>
      <c r="BV819" s="124"/>
      <c r="BW819" s="124"/>
      <c r="BX819" s="124"/>
      <c r="BY819" s="124"/>
      <c r="BZ819" s="124"/>
      <c r="CA819" s="124"/>
    </row>
    <row r="820">
      <c r="A820" s="106"/>
      <c r="B820" s="207"/>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c r="AA820" s="106"/>
      <c r="AB820" s="106"/>
      <c r="AC820" s="106"/>
      <c r="AD820" s="106"/>
      <c r="AE820" s="106"/>
      <c r="AF820" s="106"/>
      <c r="AG820" s="106"/>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c r="BK820" s="124"/>
      <c r="BL820" s="124"/>
      <c r="BM820" s="124"/>
      <c r="BN820" s="124"/>
      <c r="BO820" s="124"/>
      <c r="BP820" s="124"/>
      <c r="BQ820" s="124"/>
      <c r="BR820" s="124"/>
      <c r="BS820" s="124"/>
      <c r="BT820" s="124"/>
      <c r="BU820" s="124"/>
      <c r="BV820" s="124"/>
      <c r="BW820" s="124"/>
      <c r="BX820" s="124"/>
      <c r="BY820" s="124"/>
      <c r="BZ820" s="124"/>
      <c r="CA820" s="124"/>
    </row>
    <row r="821">
      <c r="A821" s="106"/>
      <c r="B821" s="207"/>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c r="AA821" s="106"/>
      <c r="AB821" s="106"/>
      <c r="AC821" s="106"/>
      <c r="AD821" s="106"/>
      <c r="AE821" s="106"/>
      <c r="AF821" s="106"/>
      <c r="AG821" s="106"/>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c r="BK821" s="124"/>
      <c r="BL821" s="124"/>
      <c r="BM821" s="124"/>
      <c r="BN821" s="124"/>
      <c r="BO821" s="124"/>
      <c r="BP821" s="124"/>
      <c r="BQ821" s="124"/>
      <c r="BR821" s="124"/>
      <c r="BS821" s="124"/>
      <c r="BT821" s="124"/>
      <c r="BU821" s="124"/>
      <c r="BV821" s="124"/>
      <c r="BW821" s="124"/>
      <c r="BX821" s="124"/>
      <c r="BY821" s="124"/>
      <c r="BZ821" s="124"/>
      <c r="CA821" s="124"/>
    </row>
    <row r="822">
      <c r="A822" s="106"/>
      <c r="B822" s="207"/>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c r="AA822" s="106"/>
      <c r="AB822" s="106"/>
      <c r="AC822" s="106"/>
      <c r="AD822" s="106"/>
      <c r="AE822" s="106"/>
      <c r="AF822" s="106"/>
      <c r="AG822" s="106"/>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c r="BK822" s="124"/>
      <c r="BL822" s="124"/>
      <c r="BM822" s="124"/>
      <c r="BN822" s="124"/>
      <c r="BO822" s="124"/>
      <c r="BP822" s="124"/>
      <c r="BQ822" s="124"/>
      <c r="BR822" s="124"/>
      <c r="BS822" s="124"/>
      <c r="BT822" s="124"/>
      <c r="BU822" s="124"/>
      <c r="BV822" s="124"/>
      <c r="BW822" s="124"/>
      <c r="BX822" s="124"/>
      <c r="BY822" s="124"/>
      <c r="BZ822" s="124"/>
      <c r="CA822" s="124"/>
    </row>
    <row r="823">
      <c r="A823" s="106"/>
      <c r="B823" s="207"/>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c r="AA823" s="106"/>
      <c r="AB823" s="106"/>
      <c r="AC823" s="106"/>
      <c r="AD823" s="106"/>
      <c r="AE823" s="106"/>
      <c r="AF823" s="106"/>
      <c r="AG823" s="106"/>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c r="BK823" s="124"/>
      <c r="BL823" s="124"/>
      <c r="BM823" s="124"/>
      <c r="BN823" s="124"/>
      <c r="BO823" s="124"/>
      <c r="BP823" s="124"/>
      <c r="BQ823" s="124"/>
      <c r="BR823" s="124"/>
      <c r="BS823" s="124"/>
      <c r="BT823" s="124"/>
      <c r="BU823" s="124"/>
      <c r="BV823" s="124"/>
      <c r="BW823" s="124"/>
      <c r="BX823" s="124"/>
      <c r="BY823" s="124"/>
      <c r="BZ823" s="124"/>
      <c r="CA823" s="124"/>
    </row>
    <row r="824">
      <c r="A824" s="106"/>
      <c r="B824" s="207"/>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c r="AA824" s="106"/>
      <c r="AB824" s="106"/>
      <c r="AC824" s="106"/>
      <c r="AD824" s="106"/>
      <c r="AE824" s="106"/>
      <c r="AF824" s="106"/>
      <c r="AG824" s="106"/>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c r="BK824" s="124"/>
      <c r="BL824" s="124"/>
      <c r="BM824" s="124"/>
      <c r="BN824" s="124"/>
      <c r="BO824" s="124"/>
      <c r="BP824" s="124"/>
      <c r="BQ824" s="124"/>
      <c r="BR824" s="124"/>
      <c r="BS824" s="124"/>
      <c r="BT824" s="124"/>
      <c r="BU824" s="124"/>
      <c r="BV824" s="124"/>
      <c r="BW824" s="124"/>
      <c r="BX824" s="124"/>
      <c r="BY824" s="124"/>
      <c r="BZ824" s="124"/>
      <c r="CA824" s="124"/>
    </row>
    <row r="825">
      <c r="A825" s="106"/>
      <c r="B825" s="207"/>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c r="AA825" s="106"/>
      <c r="AB825" s="106"/>
      <c r="AC825" s="106"/>
      <c r="AD825" s="106"/>
      <c r="AE825" s="106"/>
      <c r="AF825" s="106"/>
      <c r="AG825" s="106"/>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c r="BK825" s="124"/>
      <c r="BL825" s="124"/>
      <c r="BM825" s="124"/>
      <c r="BN825" s="124"/>
      <c r="BO825" s="124"/>
      <c r="BP825" s="124"/>
      <c r="BQ825" s="124"/>
      <c r="BR825" s="124"/>
      <c r="BS825" s="124"/>
      <c r="BT825" s="124"/>
      <c r="BU825" s="124"/>
      <c r="BV825" s="124"/>
      <c r="BW825" s="124"/>
      <c r="BX825" s="124"/>
      <c r="BY825" s="124"/>
      <c r="BZ825" s="124"/>
      <c r="CA825" s="124"/>
    </row>
    <row r="826">
      <c r="A826" s="106"/>
      <c r="B826" s="207"/>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c r="AA826" s="106"/>
      <c r="AB826" s="106"/>
      <c r="AC826" s="106"/>
      <c r="AD826" s="106"/>
      <c r="AE826" s="106"/>
      <c r="AF826" s="106"/>
      <c r="AG826" s="106"/>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c r="BK826" s="124"/>
      <c r="BL826" s="124"/>
      <c r="BM826" s="124"/>
      <c r="BN826" s="124"/>
      <c r="BO826" s="124"/>
      <c r="BP826" s="124"/>
      <c r="BQ826" s="124"/>
      <c r="BR826" s="124"/>
      <c r="BS826" s="124"/>
      <c r="BT826" s="124"/>
      <c r="BU826" s="124"/>
      <c r="BV826" s="124"/>
      <c r="BW826" s="124"/>
      <c r="BX826" s="124"/>
      <c r="BY826" s="124"/>
      <c r="BZ826" s="124"/>
      <c r="CA826" s="124"/>
    </row>
    <row r="827">
      <c r="A827" s="106"/>
      <c r="B827" s="207"/>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c r="AA827" s="106"/>
      <c r="AB827" s="106"/>
      <c r="AC827" s="106"/>
      <c r="AD827" s="106"/>
      <c r="AE827" s="106"/>
      <c r="AF827" s="106"/>
      <c r="AG827" s="106"/>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c r="BK827" s="124"/>
      <c r="BL827" s="124"/>
      <c r="BM827" s="124"/>
      <c r="BN827" s="124"/>
      <c r="BO827" s="124"/>
      <c r="BP827" s="124"/>
      <c r="BQ827" s="124"/>
      <c r="BR827" s="124"/>
      <c r="BS827" s="124"/>
      <c r="BT827" s="124"/>
      <c r="BU827" s="124"/>
      <c r="BV827" s="124"/>
      <c r="BW827" s="124"/>
      <c r="BX827" s="124"/>
      <c r="BY827" s="124"/>
      <c r="BZ827" s="124"/>
      <c r="CA827" s="124"/>
    </row>
    <row r="828">
      <c r="A828" s="106"/>
      <c r="B828" s="207"/>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c r="AA828" s="106"/>
      <c r="AB828" s="106"/>
      <c r="AC828" s="106"/>
      <c r="AD828" s="106"/>
      <c r="AE828" s="106"/>
      <c r="AF828" s="106"/>
      <c r="AG828" s="106"/>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c r="BK828" s="124"/>
      <c r="BL828" s="124"/>
      <c r="BM828" s="124"/>
      <c r="BN828" s="124"/>
      <c r="BO828" s="124"/>
      <c r="BP828" s="124"/>
      <c r="BQ828" s="124"/>
      <c r="BR828" s="124"/>
      <c r="BS828" s="124"/>
      <c r="BT828" s="124"/>
      <c r="BU828" s="124"/>
      <c r="BV828" s="124"/>
      <c r="BW828" s="124"/>
      <c r="BX828" s="124"/>
      <c r="BY828" s="124"/>
      <c r="BZ828" s="124"/>
      <c r="CA828" s="124"/>
    </row>
    <row r="829">
      <c r="A829" s="106"/>
      <c r="B829" s="207"/>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c r="AA829" s="106"/>
      <c r="AB829" s="106"/>
      <c r="AC829" s="106"/>
      <c r="AD829" s="106"/>
      <c r="AE829" s="106"/>
      <c r="AF829" s="106"/>
      <c r="AG829" s="106"/>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c r="BK829" s="124"/>
      <c r="BL829" s="124"/>
      <c r="BM829" s="124"/>
      <c r="BN829" s="124"/>
      <c r="BO829" s="124"/>
      <c r="BP829" s="124"/>
      <c r="BQ829" s="124"/>
      <c r="BR829" s="124"/>
      <c r="BS829" s="124"/>
      <c r="BT829" s="124"/>
      <c r="BU829" s="124"/>
      <c r="BV829" s="124"/>
      <c r="BW829" s="124"/>
      <c r="BX829" s="124"/>
      <c r="BY829" s="124"/>
      <c r="BZ829" s="124"/>
      <c r="CA829" s="124"/>
    </row>
    <row r="830">
      <c r="A830" s="106"/>
      <c r="B830" s="207"/>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c r="AA830" s="106"/>
      <c r="AB830" s="106"/>
      <c r="AC830" s="106"/>
      <c r="AD830" s="106"/>
      <c r="AE830" s="106"/>
      <c r="AF830" s="106"/>
      <c r="AG830" s="106"/>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c r="BK830" s="124"/>
      <c r="BL830" s="124"/>
      <c r="BM830" s="124"/>
      <c r="BN830" s="124"/>
      <c r="BO830" s="124"/>
      <c r="BP830" s="124"/>
      <c r="BQ830" s="124"/>
      <c r="BR830" s="124"/>
      <c r="BS830" s="124"/>
      <c r="BT830" s="124"/>
      <c r="BU830" s="124"/>
      <c r="BV830" s="124"/>
      <c r="BW830" s="124"/>
      <c r="BX830" s="124"/>
      <c r="BY830" s="124"/>
      <c r="BZ830" s="124"/>
      <c r="CA830" s="124"/>
    </row>
    <row r="831">
      <c r="A831" s="106"/>
      <c r="B831" s="207"/>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c r="AA831" s="106"/>
      <c r="AB831" s="106"/>
      <c r="AC831" s="106"/>
      <c r="AD831" s="106"/>
      <c r="AE831" s="106"/>
      <c r="AF831" s="106"/>
      <c r="AG831" s="106"/>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c r="BK831" s="124"/>
      <c r="BL831" s="124"/>
      <c r="BM831" s="124"/>
      <c r="BN831" s="124"/>
      <c r="BO831" s="124"/>
      <c r="BP831" s="124"/>
      <c r="BQ831" s="124"/>
      <c r="BR831" s="124"/>
      <c r="BS831" s="124"/>
      <c r="BT831" s="124"/>
      <c r="BU831" s="124"/>
      <c r="BV831" s="124"/>
      <c r="BW831" s="124"/>
      <c r="BX831" s="124"/>
      <c r="BY831" s="124"/>
      <c r="BZ831" s="124"/>
      <c r="CA831" s="124"/>
    </row>
    <row r="832">
      <c r="A832" s="106"/>
      <c r="B832" s="207"/>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c r="AA832" s="106"/>
      <c r="AB832" s="106"/>
      <c r="AC832" s="106"/>
      <c r="AD832" s="106"/>
      <c r="AE832" s="106"/>
      <c r="AF832" s="106"/>
      <c r="AG832" s="106"/>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c r="BK832" s="124"/>
      <c r="BL832" s="124"/>
      <c r="BM832" s="124"/>
      <c r="BN832" s="124"/>
      <c r="BO832" s="124"/>
      <c r="BP832" s="124"/>
      <c r="BQ832" s="124"/>
      <c r="BR832" s="124"/>
      <c r="BS832" s="124"/>
      <c r="BT832" s="124"/>
      <c r="BU832" s="124"/>
      <c r="BV832" s="124"/>
      <c r="BW832" s="124"/>
      <c r="BX832" s="124"/>
      <c r="BY832" s="124"/>
      <c r="BZ832" s="124"/>
      <c r="CA832" s="124"/>
    </row>
    <row r="833">
      <c r="A833" s="106"/>
      <c r="B833" s="207"/>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c r="AA833" s="106"/>
      <c r="AB833" s="106"/>
      <c r="AC833" s="106"/>
      <c r="AD833" s="106"/>
      <c r="AE833" s="106"/>
      <c r="AF833" s="106"/>
      <c r="AG833" s="106"/>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c r="BK833" s="124"/>
      <c r="BL833" s="124"/>
      <c r="BM833" s="124"/>
      <c r="BN833" s="124"/>
      <c r="BO833" s="124"/>
      <c r="BP833" s="124"/>
      <c r="BQ833" s="124"/>
      <c r="BR833" s="124"/>
      <c r="BS833" s="124"/>
      <c r="BT833" s="124"/>
      <c r="BU833" s="124"/>
      <c r="BV833" s="124"/>
      <c r="BW833" s="124"/>
      <c r="BX833" s="124"/>
      <c r="BY833" s="124"/>
      <c r="BZ833" s="124"/>
      <c r="CA833" s="124"/>
    </row>
    <row r="834">
      <c r="A834" s="106"/>
      <c r="B834" s="207"/>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c r="AA834" s="106"/>
      <c r="AB834" s="106"/>
      <c r="AC834" s="106"/>
      <c r="AD834" s="106"/>
      <c r="AE834" s="106"/>
      <c r="AF834" s="106"/>
      <c r="AG834" s="106"/>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c r="BK834" s="124"/>
      <c r="BL834" s="124"/>
      <c r="BM834" s="124"/>
      <c r="BN834" s="124"/>
      <c r="BO834" s="124"/>
      <c r="BP834" s="124"/>
      <c r="BQ834" s="124"/>
      <c r="BR834" s="124"/>
      <c r="BS834" s="124"/>
      <c r="BT834" s="124"/>
      <c r="BU834" s="124"/>
      <c r="BV834" s="124"/>
      <c r="BW834" s="124"/>
      <c r="BX834" s="124"/>
      <c r="BY834" s="124"/>
      <c r="BZ834" s="124"/>
      <c r="CA834" s="124"/>
    </row>
    <row r="835">
      <c r="A835" s="106"/>
      <c r="B835" s="207"/>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c r="AA835" s="106"/>
      <c r="AB835" s="106"/>
      <c r="AC835" s="106"/>
      <c r="AD835" s="106"/>
      <c r="AE835" s="106"/>
      <c r="AF835" s="106"/>
      <c r="AG835" s="106"/>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c r="BK835" s="124"/>
      <c r="BL835" s="124"/>
      <c r="BM835" s="124"/>
      <c r="BN835" s="124"/>
      <c r="BO835" s="124"/>
      <c r="BP835" s="124"/>
      <c r="BQ835" s="124"/>
      <c r="BR835" s="124"/>
      <c r="BS835" s="124"/>
      <c r="BT835" s="124"/>
      <c r="BU835" s="124"/>
      <c r="BV835" s="124"/>
      <c r="BW835" s="124"/>
      <c r="BX835" s="124"/>
      <c r="BY835" s="124"/>
      <c r="BZ835" s="124"/>
      <c r="CA835" s="124"/>
    </row>
    <row r="836">
      <c r="A836" s="106"/>
      <c r="B836" s="207"/>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c r="AA836" s="106"/>
      <c r="AB836" s="106"/>
      <c r="AC836" s="106"/>
      <c r="AD836" s="106"/>
      <c r="AE836" s="106"/>
      <c r="AF836" s="106"/>
      <c r="AG836" s="106"/>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c r="BK836" s="124"/>
      <c r="BL836" s="124"/>
      <c r="BM836" s="124"/>
      <c r="BN836" s="124"/>
      <c r="BO836" s="124"/>
      <c r="BP836" s="124"/>
      <c r="BQ836" s="124"/>
      <c r="BR836" s="124"/>
      <c r="BS836" s="124"/>
      <c r="BT836" s="124"/>
      <c r="BU836" s="124"/>
      <c r="BV836" s="124"/>
      <c r="BW836" s="124"/>
      <c r="BX836" s="124"/>
      <c r="BY836" s="124"/>
      <c r="BZ836" s="124"/>
      <c r="CA836" s="124"/>
    </row>
    <row r="837">
      <c r="A837" s="106"/>
      <c r="B837" s="207"/>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c r="AA837" s="106"/>
      <c r="AB837" s="106"/>
      <c r="AC837" s="106"/>
      <c r="AD837" s="106"/>
      <c r="AE837" s="106"/>
      <c r="AF837" s="106"/>
      <c r="AG837" s="106"/>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c r="BK837" s="124"/>
      <c r="BL837" s="124"/>
      <c r="BM837" s="124"/>
      <c r="BN837" s="124"/>
      <c r="BO837" s="124"/>
      <c r="BP837" s="124"/>
      <c r="BQ837" s="124"/>
      <c r="BR837" s="124"/>
      <c r="BS837" s="124"/>
      <c r="BT837" s="124"/>
      <c r="BU837" s="124"/>
      <c r="BV837" s="124"/>
      <c r="BW837" s="124"/>
      <c r="BX837" s="124"/>
      <c r="BY837" s="124"/>
      <c r="BZ837" s="124"/>
      <c r="CA837" s="124"/>
    </row>
    <row r="838">
      <c r="A838" s="106"/>
      <c r="B838" s="207"/>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c r="AA838" s="106"/>
      <c r="AB838" s="106"/>
      <c r="AC838" s="106"/>
      <c r="AD838" s="106"/>
      <c r="AE838" s="106"/>
      <c r="AF838" s="106"/>
      <c r="AG838" s="106"/>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c r="BK838" s="124"/>
      <c r="BL838" s="124"/>
      <c r="BM838" s="124"/>
      <c r="BN838" s="124"/>
      <c r="BO838" s="124"/>
      <c r="BP838" s="124"/>
      <c r="BQ838" s="124"/>
      <c r="BR838" s="124"/>
      <c r="BS838" s="124"/>
      <c r="BT838" s="124"/>
      <c r="BU838" s="124"/>
      <c r="BV838" s="124"/>
      <c r="BW838" s="124"/>
      <c r="BX838" s="124"/>
      <c r="BY838" s="124"/>
      <c r="BZ838" s="124"/>
      <c r="CA838" s="124"/>
    </row>
    <row r="839">
      <c r="A839" s="106"/>
      <c r="B839" s="207"/>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c r="AA839" s="106"/>
      <c r="AB839" s="106"/>
      <c r="AC839" s="106"/>
      <c r="AD839" s="106"/>
      <c r="AE839" s="106"/>
      <c r="AF839" s="106"/>
      <c r="AG839" s="106"/>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c r="BK839" s="124"/>
      <c r="BL839" s="124"/>
      <c r="BM839" s="124"/>
      <c r="BN839" s="124"/>
      <c r="BO839" s="124"/>
      <c r="BP839" s="124"/>
      <c r="BQ839" s="124"/>
      <c r="BR839" s="124"/>
      <c r="BS839" s="124"/>
      <c r="BT839" s="124"/>
      <c r="BU839" s="124"/>
      <c r="BV839" s="124"/>
      <c r="BW839" s="124"/>
      <c r="BX839" s="124"/>
      <c r="BY839" s="124"/>
      <c r="BZ839" s="124"/>
      <c r="CA839" s="124"/>
    </row>
    <row r="840">
      <c r="A840" s="106"/>
      <c r="B840" s="207"/>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c r="AA840" s="106"/>
      <c r="AB840" s="106"/>
      <c r="AC840" s="106"/>
      <c r="AD840" s="106"/>
      <c r="AE840" s="106"/>
      <c r="AF840" s="106"/>
      <c r="AG840" s="106"/>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c r="BK840" s="124"/>
      <c r="BL840" s="124"/>
      <c r="BM840" s="124"/>
      <c r="BN840" s="124"/>
      <c r="BO840" s="124"/>
      <c r="BP840" s="124"/>
      <c r="BQ840" s="124"/>
      <c r="BR840" s="124"/>
      <c r="BS840" s="124"/>
      <c r="BT840" s="124"/>
      <c r="BU840" s="124"/>
      <c r="BV840" s="124"/>
      <c r="BW840" s="124"/>
      <c r="BX840" s="124"/>
      <c r="BY840" s="124"/>
      <c r="BZ840" s="124"/>
      <c r="CA840" s="124"/>
    </row>
    <row r="841">
      <c r="A841" s="106"/>
      <c r="B841" s="207"/>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c r="AA841" s="106"/>
      <c r="AB841" s="106"/>
      <c r="AC841" s="106"/>
      <c r="AD841" s="106"/>
      <c r="AE841" s="106"/>
      <c r="AF841" s="106"/>
      <c r="AG841" s="106"/>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c r="BK841" s="124"/>
      <c r="BL841" s="124"/>
      <c r="BM841" s="124"/>
      <c r="BN841" s="124"/>
      <c r="BO841" s="124"/>
      <c r="BP841" s="124"/>
      <c r="BQ841" s="124"/>
      <c r="BR841" s="124"/>
      <c r="BS841" s="124"/>
      <c r="BT841" s="124"/>
      <c r="BU841" s="124"/>
      <c r="BV841" s="124"/>
      <c r="BW841" s="124"/>
      <c r="BX841" s="124"/>
      <c r="BY841" s="124"/>
      <c r="BZ841" s="124"/>
      <c r="CA841" s="124"/>
    </row>
    <row r="842">
      <c r="A842" s="106"/>
      <c r="B842" s="207"/>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c r="AA842" s="106"/>
      <c r="AB842" s="106"/>
      <c r="AC842" s="106"/>
      <c r="AD842" s="106"/>
      <c r="AE842" s="106"/>
      <c r="AF842" s="106"/>
      <c r="AG842" s="106"/>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c r="BK842" s="124"/>
      <c r="BL842" s="124"/>
      <c r="BM842" s="124"/>
      <c r="BN842" s="124"/>
      <c r="BO842" s="124"/>
      <c r="BP842" s="124"/>
      <c r="BQ842" s="124"/>
      <c r="BR842" s="124"/>
      <c r="BS842" s="124"/>
      <c r="BT842" s="124"/>
      <c r="BU842" s="124"/>
      <c r="BV842" s="124"/>
      <c r="BW842" s="124"/>
      <c r="BX842" s="124"/>
      <c r="BY842" s="124"/>
      <c r="BZ842" s="124"/>
      <c r="CA842" s="124"/>
    </row>
    <row r="843">
      <c r="A843" s="106"/>
      <c r="B843" s="207"/>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c r="AA843" s="106"/>
      <c r="AB843" s="106"/>
      <c r="AC843" s="106"/>
      <c r="AD843" s="106"/>
      <c r="AE843" s="106"/>
      <c r="AF843" s="106"/>
      <c r="AG843" s="106"/>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c r="BK843" s="124"/>
      <c r="BL843" s="124"/>
      <c r="BM843" s="124"/>
      <c r="BN843" s="124"/>
      <c r="BO843" s="124"/>
      <c r="BP843" s="124"/>
      <c r="BQ843" s="124"/>
      <c r="BR843" s="124"/>
      <c r="BS843" s="124"/>
      <c r="BT843" s="124"/>
      <c r="BU843" s="124"/>
      <c r="BV843" s="124"/>
      <c r="BW843" s="124"/>
      <c r="BX843" s="124"/>
      <c r="BY843" s="124"/>
      <c r="BZ843" s="124"/>
      <c r="CA843" s="124"/>
    </row>
    <row r="844">
      <c r="A844" s="106"/>
      <c r="B844" s="207"/>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c r="AA844" s="106"/>
      <c r="AB844" s="106"/>
      <c r="AC844" s="106"/>
      <c r="AD844" s="106"/>
      <c r="AE844" s="106"/>
      <c r="AF844" s="106"/>
      <c r="AG844" s="106"/>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c r="BK844" s="124"/>
      <c r="BL844" s="124"/>
      <c r="BM844" s="124"/>
      <c r="BN844" s="124"/>
      <c r="BO844" s="124"/>
      <c r="BP844" s="124"/>
      <c r="BQ844" s="124"/>
      <c r="BR844" s="124"/>
      <c r="BS844" s="124"/>
      <c r="BT844" s="124"/>
      <c r="BU844" s="124"/>
      <c r="BV844" s="124"/>
      <c r="BW844" s="124"/>
      <c r="BX844" s="124"/>
      <c r="BY844" s="124"/>
      <c r="BZ844" s="124"/>
      <c r="CA844" s="124"/>
    </row>
    <row r="845">
      <c r="A845" s="106"/>
      <c r="B845" s="207"/>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c r="AA845" s="106"/>
      <c r="AB845" s="106"/>
      <c r="AC845" s="106"/>
      <c r="AD845" s="106"/>
      <c r="AE845" s="106"/>
      <c r="AF845" s="106"/>
      <c r="AG845" s="106"/>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c r="BK845" s="124"/>
      <c r="BL845" s="124"/>
      <c r="BM845" s="124"/>
      <c r="BN845" s="124"/>
      <c r="BO845" s="124"/>
      <c r="BP845" s="124"/>
      <c r="BQ845" s="124"/>
      <c r="BR845" s="124"/>
      <c r="BS845" s="124"/>
      <c r="BT845" s="124"/>
      <c r="BU845" s="124"/>
      <c r="BV845" s="124"/>
      <c r="BW845" s="124"/>
      <c r="BX845" s="124"/>
      <c r="BY845" s="124"/>
      <c r="BZ845" s="124"/>
      <c r="CA845" s="124"/>
    </row>
    <row r="846">
      <c r="A846" s="106"/>
      <c r="B846" s="207"/>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c r="AA846" s="106"/>
      <c r="AB846" s="106"/>
      <c r="AC846" s="106"/>
      <c r="AD846" s="106"/>
      <c r="AE846" s="106"/>
      <c r="AF846" s="106"/>
      <c r="AG846" s="106"/>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c r="BK846" s="124"/>
      <c r="BL846" s="124"/>
      <c r="BM846" s="124"/>
      <c r="BN846" s="124"/>
      <c r="BO846" s="124"/>
      <c r="BP846" s="124"/>
      <c r="BQ846" s="124"/>
      <c r="BR846" s="124"/>
      <c r="BS846" s="124"/>
      <c r="BT846" s="124"/>
      <c r="BU846" s="124"/>
      <c r="BV846" s="124"/>
      <c r="BW846" s="124"/>
      <c r="BX846" s="124"/>
      <c r="BY846" s="124"/>
      <c r="BZ846" s="124"/>
      <c r="CA846" s="124"/>
    </row>
    <row r="847">
      <c r="A847" s="106"/>
      <c r="B847" s="207"/>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c r="AA847" s="106"/>
      <c r="AB847" s="106"/>
      <c r="AC847" s="106"/>
      <c r="AD847" s="106"/>
      <c r="AE847" s="106"/>
      <c r="AF847" s="106"/>
      <c r="AG847" s="106"/>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c r="BK847" s="124"/>
      <c r="BL847" s="124"/>
      <c r="BM847" s="124"/>
      <c r="BN847" s="124"/>
      <c r="BO847" s="124"/>
      <c r="BP847" s="124"/>
      <c r="BQ847" s="124"/>
      <c r="BR847" s="124"/>
      <c r="BS847" s="124"/>
      <c r="BT847" s="124"/>
      <c r="BU847" s="124"/>
      <c r="BV847" s="124"/>
      <c r="BW847" s="124"/>
      <c r="BX847" s="124"/>
      <c r="BY847" s="124"/>
      <c r="BZ847" s="124"/>
      <c r="CA847" s="124"/>
    </row>
    <row r="848">
      <c r="A848" s="106"/>
      <c r="B848" s="207"/>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c r="AA848" s="106"/>
      <c r="AB848" s="106"/>
      <c r="AC848" s="106"/>
      <c r="AD848" s="106"/>
      <c r="AE848" s="106"/>
      <c r="AF848" s="106"/>
      <c r="AG848" s="106"/>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c r="BK848" s="124"/>
      <c r="BL848" s="124"/>
      <c r="BM848" s="124"/>
      <c r="BN848" s="124"/>
      <c r="BO848" s="124"/>
      <c r="BP848" s="124"/>
      <c r="BQ848" s="124"/>
      <c r="BR848" s="124"/>
      <c r="BS848" s="124"/>
      <c r="BT848" s="124"/>
      <c r="BU848" s="124"/>
      <c r="BV848" s="124"/>
      <c r="BW848" s="124"/>
      <c r="BX848" s="124"/>
      <c r="BY848" s="124"/>
      <c r="BZ848" s="124"/>
      <c r="CA848" s="124"/>
    </row>
    <row r="849">
      <c r="A849" s="106"/>
      <c r="B849" s="207"/>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c r="AA849" s="106"/>
      <c r="AB849" s="106"/>
      <c r="AC849" s="106"/>
      <c r="AD849" s="106"/>
      <c r="AE849" s="106"/>
      <c r="AF849" s="106"/>
      <c r="AG849" s="106"/>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c r="BK849" s="124"/>
      <c r="BL849" s="124"/>
      <c r="BM849" s="124"/>
      <c r="BN849" s="124"/>
      <c r="BO849" s="124"/>
      <c r="BP849" s="124"/>
      <c r="BQ849" s="124"/>
      <c r="BR849" s="124"/>
      <c r="BS849" s="124"/>
      <c r="BT849" s="124"/>
      <c r="BU849" s="124"/>
      <c r="BV849" s="124"/>
      <c r="BW849" s="124"/>
      <c r="BX849" s="124"/>
      <c r="BY849" s="124"/>
      <c r="BZ849" s="124"/>
      <c r="CA849" s="124"/>
    </row>
    <row r="850">
      <c r="A850" s="106"/>
      <c r="B850" s="207"/>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c r="AA850" s="106"/>
      <c r="AB850" s="106"/>
      <c r="AC850" s="106"/>
      <c r="AD850" s="106"/>
      <c r="AE850" s="106"/>
      <c r="AF850" s="106"/>
      <c r="AG850" s="106"/>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c r="BK850" s="124"/>
      <c r="BL850" s="124"/>
      <c r="BM850" s="124"/>
      <c r="BN850" s="124"/>
      <c r="BO850" s="124"/>
      <c r="BP850" s="124"/>
      <c r="BQ850" s="124"/>
      <c r="BR850" s="124"/>
      <c r="BS850" s="124"/>
      <c r="BT850" s="124"/>
      <c r="BU850" s="124"/>
      <c r="BV850" s="124"/>
      <c r="BW850" s="124"/>
      <c r="BX850" s="124"/>
      <c r="BY850" s="124"/>
      <c r="BZ850" s="124"/>
      <c r="CA850" s="124"/>
    </row>
    <row r="851">
      <c r="A851" s="106"/>
      <c r="B851" s="207"/>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c r="AA851" s="106"/>
      <c r="AB851" s="106"/>
      <c r="AC851" s="106"/>
      <c r="AD851" s="106"/>
      <c r="AE851" s="106"/>
      <c r="AF851" s="106"/>
      <c r="AG851" s="106"/>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c r="BK851" s="124"/>
      <c r="BL851" s="124"/>
      <c r="BM851" s="124"/>
      <c r="BN851" s="124"/>
      <c r="BO851" s="124"/>
      <c r="BP851" s="124"/>
      <c r="BQ851" s="124"/>
      <c r="BR851" s="124"/>
      <c r="BS851" s="124"/>
      <c r="BT851" s="124"/>
      <c r="BU851" s="124"/>
      <c r="BV851" s="124"/>
      <c r="BW851" s="124"/>
      <c r="BX851" s="124"/>
      <c r="BY851" s="124"/>
      <c r="BZ851" s="124"/>
      <c r="CA851" s="124"/>
    </row>
    <row r="852">
      <c r="A852" s="106"/>
      <c r="B852" s="207"/>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c r="AA852" s="106"/>
      <c r="AB852" s="106"/>
      <c r="AC852" s="106"/>
      <c r="AD852" s="106"/>
      <c r="AE852" s="106"/>
      <c r="AF852" s="106"/>
      <c r="AG852" s="106"/>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c r="BK852" s="124"/>
      <c r="BL852" s="124"/>
      <c r="BM852" s="124"/>
      <c r="BN852" s="124"/>
      <c r="BO852" s="124"/>
      <c r="BP852" s="124"/>
      <c r="BQ852" s="124"/>
      <c r="BR852" s="124"/>
      <c r="BS852" s="124"/>
      <c r="BT852" s="124"/>
      <c r="BU852" s="124"/>
      <c r="BV852" s="124"/>
      <c r="BW852" s="124"/>
      <c r="BX852" s="124"/>
      <c r="BY852" s="124"/>
      <c r="BZ852" s="124"/>
      <c r="CA852" s="124"/>
    </row>
    <row r="853">
      <c r="A853" s="106"/>
      <c r="B853" s="207"/>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c r="AA853" s="106"/>
      <c r="AB853" s="106"/>
      <c r="AC853" s="106"/>
      <c r="AD853" s="106"/>
      <c r="AE853" s="106"/>
      <c r="AF853" s="106"/>
      <c r="AG853" s="106"/>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c r="BK853" s="124"/>
      <c r="BL853" s="124"/>
      <c r="BM853" s="124"/>
      <c r="BN853" s="124"/>
      <c r="BO853" s="124"/>
      <c r="BP853" s="124"/>
      <c r="BQ853" s="124"/>
      <c r="BR853" s="124"/>
      <c r="BS853" s="124"/>
      <c r="BT853" s="124"/>
      <c r="BU853" s="124"/>
      <c r="BV853" s="124"/>
      <c r="BW853" s="124"/>
      <c r="BX853" s="124"/>
      <c r="BY853" s="124"/>
      <c r="BZ853" s="124"/>
      <c r="CA853" s="124"/>
    </row>
    <row r="854">
      <c r="A854" s="106"/>
      <c r="B854" s="207"/>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c r="AA854" s="106"/>
      <c r="AB854" s="106"/>
      <c r="AC854" s="106"/>
      <c r="AD854" s="106"/>
      <c r="AE854" s="106"/>
      <c r="AF854" s="106"/>
      <c r="AG854" s="106"/>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c r="BK854" s="124"/>
      <c r="BL854" s="124"/>
      <c r="BM854" s="124"/>
      <c r="BN854" s="124"/>
      <c r="BO854" s="124"/>
      <c r="BP854" s="124"/>
      <c r="BQ854" s="124"/>
      <c r="BR854" s="124"/>
      <c r="BS854" s="124"/>
      <c r="BT854" s="124"/>
      <c r="BU854" s="124"/>
      <c r="BV854" s="124"/>
      <c r="BW854" s="124"/>
      <c r="BX854" s="124"/>
      <c r="BY854" s="124"/>
      <c r="BZ854" s="124"/>
      <c r="CA854" s="124"/>
    </row>
    <row r="855">
      <c r="A855" s="106"/>
      <c r="B855" s="207"/>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c r="AA855" s="106"/>
      <c r="AB855" s="106"/>
      <c r="AC855" s="106"/>
      <c r="AD855" s="106"/>
      <c r="AE855" s="106"/>
      <c r="AF855" s="106"/>
      <c r="AG855" s="106"/>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c r="BK855" s="124"/>
      <c r="BL855" s="124"/>
      <c r="BM855" s="124"/>
      <c r="BN855" s="124"/>
      <c r="BO855" s="124"/>
      <c r="BP855" s="124"/>
      <c r="BQ855" s="124"/>
      <c r="BR855" s="124"/>
      <c r="BS855" s="124"/>
      <c r="BT855" s="124"/>
      <c r="BU855" s="124"/>
      <c r="BV855" s="124"/>
      <c r="BW855" s="124"/>
      <c r="BX855" s="124"/>
      <c r="BY855" s="124"/>
      <c r="BZ855" s="124"/>
      <c r="CA855" s="124"/>
    </row>
    <row r="856">
      <c r="A856" s="106"/>
      <c r="B856" s="207"/>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c r="AA856" s="106"/>
      <c r="AB856" s="106"/>
      <c r="AC856" s="106"/>
      <c r="AD856" s="106"/>
      <c r="AE856" s="106"/>
      <c r="AF856" s="106"/>
      <c r="AG856" s="106"/>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c r="BK856" s="124"/>
      <c r="BL856" s="124"/>
      <c r="BM856" s="124"/>
      <c r="BN856" s="124"/>
      <c r="BO856" s="124"/>
      <c r="BP856" s="124"/>
      <c r="BQ856" s="124"/>
      <c r="BR856" s="124"/>
      <c r="BS856" s="124"/>
      <c r="BT856" s="124"/>
      <c r="BU856" s="124"/>
      <c r="BV856" s="124"/>
      <c r="BW856" s="124"/>
      <c r="BX856" s="124"/>
      <c r="BY856" s="124"/>
      <c r="BZ856" s="124"/>
      <c r="CA856" s="124"/>
    </row>
    <row r="857">
      <c r="A857" s="106"/>
      <c r="B857" s="207"/>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c r="AA857" s="106"/>
      <c r="AB857" s="106"/>
      <c r="AC857" s="106"/>
      <c r="AD857" s="106"/>
      <c r="AE857" s="106"/>
      <c r="AF857" s="106"/>
      <c r="AG857" s="106"/>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c r="BK857" s="124"/>
      <c r="BL857" s="124"/>
      <c r="BM857" s="124"/>
      <c r="BN857" s="124"/>
      <c r="BO857" s="124"/>
      <c r="BP857" s="124"/>
      <c r="BQ857" s="124"/>
      <c r="BR857" s="124"/>
      <c r="BS857" s="124"/>
      <c r="BT857" s="124"/>
      <c r="BU857" s="124"/>
      <c r="BV857" s="124"/>
      <c r="BW857" s="124"/>
      <c r="BX857" s="124"/>
      <c r="BY857" s="124"/>
      <c r="BZ857" s="124"/>
      <c r="CA857" s="124"/>
    </row>
    <row r="858">
      <c r="A858" s="106"/>
      <c r="B858" s="207"/>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c r="AA858" s="106"/>
      <c r="AB858" s="106"/>
      <c r="AC858" s="106"/>
      <c r="AD858" s="106"/>
      <c r="AE858" s="106"/>
      <c r="AF858" s="106"/>
      <c r="AG858" s="106"/>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c r="BK858" s="124"/>
      <c r="BL858" s="124"/>
      <c r="BM858" s="124"/>
      <c r="BN858" s="124"/>
      <c r="BO858" s="124"/>
      <c r="BP858" s="124"/>
      <c r="BQ858" s="124"/>
      <c r="BR858" s="124"/>
      <c r="BS858" s="124"/>
      <c r="BT858" s="124"/>
      <c r="BU858" s="124"/>
      <c r="BV858" s="124"/>
      <c r="BW858" s="124"/>
      <c r="BX858" s="124"/>
      <c r="BY858" s="124"/>
      <c r="BZ858" s="124"/>
      <c r="CA858" s="124"/>
    </row>
    <row r="859">
      <c r="A859" s="106"/>
      <c r="B859" s="207"/>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c r="AA859" s="106"/>
      <c r="AB859" s="106"/>
      <c r="AC859" s="106"/>
      <c r="AD859" s="106"/>
      <c r="AE859" s="106"/>
      <c r="AF859" s="106"/>
      <c r="AG859" s="106"/>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c r="BK859" s="124"/>
      <c r="BL859" s="124"/>
      <c r="BM859" s="124"/>
      <c r="BN859" s="124"/>
      <c r="BO859" s="124"/>
      <c r="BP859" s="124"/>
      <c r="BQ859" s="124"/>
      <c r="BR859" s="124"/>
      <c r="BS859" s="124"/>
      <c r="BT859" s="124"/>
      <c r="BU859" s="124"/>
      <c r="BV859" s="124"/>
      <c r="BW859" s="124"/>
      <c r="BX859" s="124"/>
      <c r="BY859" s="124"/>
      <c r="BZ859" s="124"/>
      <c r="CA859" s="124"/>
    </row>
    <row r="860">
      <c r="A860" s="106"/>
      <c r="B860" s="207"/>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c r="AA860" s="106"/>
      <c r="AB860" s="106"/>
      <c r="AC860" s="106"/>
      <c r="AD860" s="106"/>
      <c r="AE860" s="106"/>
      <c r="AF860" s="106"/>
      <c r="AG860" s="106"/>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c r="BK860" s="124"/>
      <c r="BL860" s="124"/>
      <c r="BM860" s="124"/>
      <c r="BN860" s="124"/>
      <c r="BO860" s="124"/>
      <c r="BP860" s="124"/>
      <c r="BQ860" s="124"/>
      <c r="BR860" s="124"/>
      <c r="BS860" s="124"/>
      <c r="BT860" s="124"/>
      <c r="BU860" s="124"/>
      <c r="BV860" s="124"/>
      <c r="BW860" s="124"/>
      <c r="BX860" s="124"/>
      <c r="BY860" s="124"/>
      <c r="BZ860" s="124"/>
      <c r="CA860" s="124"/>
    </row>
    <row r="861">
      <c r="A861" s="106"/>
      <c r="B861" s="207"/>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c r="AA861" s="106"/>
      <c r="AB861" s="106"/>
      <c r="AC861" s="106"/>
      <c r="AD861" s="106"/>
      <c r="AE861" s="106"/>
      <c r="AF861" s="106"/>
      <c r="AG861" s="106"/>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c r="BK861" s="124"/>
      <c r="BL861" s="124"/>
      <c r="BM861" s="124"/>
      <c r="BN861" s="124"/>
      <c r="BO861" s="124"/>
      <c r="BP861" s="124"/>
      <c r="BQ861" s="124"/>
      <c r="BR861" s="124"/>
      <c r="BS861" s="124"/>
      <c r="BT861" s="124"/>
      <c r="BU861" s="124"/>
      <c r="BV861" s="124"/>
      <c r="BW861" s="124"/>
      <c r="BX861" s="124"/>
      <c r="BY861" s="124"/>
      <c r="BZ861" s="124"/>
      <c r="CA861" s="124"/>
    </row>
    <row r="862">
      <c r="A862" s="106"/>
      <c r="B862" s="207"/>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c r="AA862" s="106"/>
      <c r="AB862" s="106"/>
      <c r="AC862" s="106"/>
      <c r="AD862" s="106"/>
      <c r="AE862" s="106"/>
      <c r="AF862" s="106"/>
      <c r="AG862" s="106"/>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c r="BK862" s="124"/>
      <c r="BL862" s="124"/>
      <c r="BM862" s="124"/>
      <c r="BN862" s="124"/>
      <c r="BO862" s="124"/>
      <c r="BP862" s="124"/>
      <c r="BQ862" s="124"/>
      <c r="BR862" s="124"/>
      <c r="BS862" s="124"/>
      <c r="BT862" s="124"/>
      <c r="BU862" s="124"/>
      <c r="BV862" s="124"/>
      <c r="BW862" s="124"/>
      <c r="BX862" s="124"/>
      <c r="BY862" s="124"/>
      <c r="BZ862" s="124"/>
      <c r="CA862" s="124"/>
    </row>
    <row r="863">
      <c r="A863" s="106"/>
      <c r="B863" s="207"/>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c r="AA863" s="106"/>
      <c r="AB863" s="106"/>
      <c r="AC863" s="106"/>
      <c r="AD863" s="106"/>
      <c r="AE863" s="106"/>
      <c r="AF863" s="106"/>
      <c r="AG863" s="106"/>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c r="BK863" s="124"/>
      <c r="BL863" s="124"/>
      <c r="BM863" s="124"/>
      <c r="BN863" s="124"/>
      <c r="BO863" s="124"/>
      <c r="BP863" s="124"/>
      <c r="BQ863" s="124"/>
      <c r="BR863" s="124"/>
      <c r="BS863" s="124"/>
      <c r="BT863" s="124"/>
      <c r="BU863" s="124"/>
      <c r="BV863" s="124"/>
      <c r="BW863" s="124"/>
      <c r="BX863" s="124"/>
      <c r="BY863" s="124"/>
      <c r="BZ863" s="124"/>
      <c r="CA863" s="124"/>
    </row>
    <row r="864">
      <c r="A864" s="106"/>
      <c r="B864" s="207"/>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c r="AA864" s="106"/>
      <c r="AB864" s="106"/>
      <c r="AC864" s="106"/>
      <c r="AD864" s="106"/>
      <c r="AE864" s="106"/>
      <c r="AF864" s="106"/>
      <c r="AG864" s="106"/>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c r="BK864" s="124"/>
      <c r="BL864" s="124"/>
      <c r="BM864" s="124"/>
      <c r="BN864" s="124"/>
      <c r="BO864" s="124"/>
      <c r="BP864" s="124"/>
      <c r="BQ864" s="124"/>
      <c r="BR864" s="124"/>
      <c r="BS864" s="124"/>
      <c r="BT864" s="124"/>
      <c r="BU864" s="124"/>
      <c r="BV864" s="124"/>
      <c r="BW864" s="124"/>
      <c r="BX864" s="124"/>
      <c r="BY864" s="124"/>
      <c r="BZ864" s="124"/>
      <c r="CA864" s="124"/>
    </row>
    <row r="865">
      <c r="A865" s="106"/>
      <c r="B865" s="207"/>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c r="AA865" s="106"/>
      <c r="AB865" s="106"/>
      <c r="AC865" s="106"/>
      <c r="AD865" s="106"/>
      <c r="AE865" s="106"/>
      <c r="AF865" s="106"/>
      <c r="AG865" s="106"/>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c r="BK865" s="124"/>
      <c r="BL865" s="124"/>
      <c r="BM865" s="124"/>
      <c r="BN865" s="124"/>
      <c r="BO865" s="124"/>
      <c r="BP865" s="124"/>
      <c r="BQ865" s="124"/>
      <c r="BR865" s="124"/>
      <c r="BS865" s="124"/>
      <c r="BT865" s="124"/>
      <c r="BU865" s="124"/>
      <c r="BV865" s="124"/>
      <c r="BW865" s="124"/>
      <c r="BX865" s="124"/>
      <c r="BY865" s="124"/>
      <c r="BZ865" s="124"/>
      <c r="CA865" s="124"/>
    </row>
    <row r="866">
      <c r="A866" s="106"/>
      <c r="B866" s="207"/>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c r="AA866" s="106"/>
      <c r="AB866" s="106"/>
      <c r="AC866" s="106"/>
      <c r="AD866" s="106"/>
      <c r="AE866" s="106"/>
      <c r="AF866" s="106"/>
      <c r="AG866" s="106"/>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c r="BK866" s="124"/>
      <c r="BL866" s="124"/>
      <c r="BM866" s="124"/>
      <c r="BN866" s="124"/>
      <c r="BO866" s="124"/>
      <c r="BP866" s="124"/>
      <c r="BQ866" s="124"/>
      <c r="BR866" s="124"/>
      <c r="BS866" s="124"/>
      <c r="BT866" s="124"/>
      <c r="BU866" s="124"/>
      <c r="BV866" s="124"/>
      <c r="BW866" s="124"/>
      <c r="BX866" s="124"/>
      <c r="BY866" s="124"/>
      <c r="BZ866" s="124"/>
      <c r="CA866" s="124"/>
    </row>
    <row r="867">
      <c r="A867" s="106"/>
      <c r="B867" s="207"/>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c r="AA867" s="106"/>
      <c r="AB867" s="106"/>
      <c r="AC867" s="106"/>
      <c r="AD867" s="106"/>
      <c r="AE867" s="106"/>
      <c r="AF867" s="106"/>
      <c r="AG867" s="106"/>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c r="BK867" s="124"/>
      <c r="BL867" s="124"/>
      <c r="BM867" s="124"/>
      <c r="BN867" s="124"/>
      <c r="BO867" s="124"/>
      <c r="BP867" s="124"/>
      <c r="BQ867" s="124"/>
      <c r="BR867" s="124"/>
      <c r="BS867" s="124"/>
      <c r="BT867" s="124"/>
      <c r="BU867" s="124"/>
      <c r="BV867" s="124"/>
      <c r="BW867" s="124"/>
      <c r="BX867" s="124"/>
      <c r="BY867" s="124"/>
      <c r="BZ867" s="124"/>
      <c r="CA867" s="124"/>
    </row>
    <row r="868">
      <c r="A868" s="106"/>
      <c r="B868" s="207"/>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c r="AA868" s="106"/>
      <c r="AB868" s="106"/>
      <c r="AC868" s="106"/>
      <c r="AD868" s="106"/>
      <c r="AE868" s="106"/>
      <c r="AF868" s="106"/>
      <c r="AG868" s="106"/>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c r="BK868" s="124"/>
      <c r="BL868" s="124"/>
      <c r="BM868" s="124"/>
      <c r="BN868" s="124"/>
      <c r="BO868" s="124"/>
      <c r="BP868" s="124"/>
      <c r="BQ868" s="124"/>
      <c r="BR868" s="124"/>
      <c r="BS868" s="124"/>
      <c r="BT868" s="124"/>
      <c r="BU868" s="124"/>
      <c r="BV868" s="124"/>
      <c r="BW868" s="124"/>
      <c r="BX868" s="124"/>
      <c r="BY868" s="124"/>
      <c r="BZ868" s="124"/>
      <c r="CA868" s="124"/>
    </row>
    <row r="869">
      <c r="A869" s="106"/>
      <c r="B869" s="207"/>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c r="AA869" s="106"/>
      <c r="AB869" s="106"/>
      <c r="AC869" s="106"/>
      <c r="AD869" s="106"/>
      <c r="AE869" s="106"/>
      <c r="AF869" s="106"/>
      <c r="AG869" s="106"/>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c r="BK869" s="124"/>
      <c r="BL869" s="124"/>
      <c r="BM869" s="124"/>
      <c r="BN869" s="124"/>
      <c r="BO869" s="124"/>
      <c r="BP869" s="124"/>
      <c r="BQ869" s="124"/>
      <c r="BR869" s="124"/>
      <c r="BS869" s="124"/>
      <c r="BT869" s="124"/>
      <c r="BU869" s="124"/>
      <c r="BV869" s="124"/>
      <c r="BW869" s="124"/>
      <c r="BX869" s="124"/>
      <c r="BY869" s="124"/>
      <c r="BZ869" s="124"/>
      <c r="CA869" s="124"/>
    </row>
    <row r="870">
      <c r="A870" s="106"/>
      <c r="B870" s="207"/>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c r="AA870" s="106"/>
      <c r="AB870" s="106"/>
      <c r="AC870" s="106"/>
      <c r="AD870" s="106"/>
      <c r="AE870" s="106"/>
      <c r="AF870" s="106"/>
      <c r="AG870" s="106"/>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c r="BK870" s="124"/>
      <c r="BL870" s="124"/>
      <c r="BM870" s="124"/>
      <c r="BN870" s="124"/>
      <c r="BO870" s="124"/>
      <c r="BP870" s="124"/>
      <c r="BQ870" s="124"/>
      <c r="BR870" s="124"/>
      <c r="BS870" s="124"/>
      <c r="BT870" s="124"/>
      <c r="BU870" s="124"/>
      <c r="BV870" s="124"/>
      <c r="BW870" s="124"/>
      <c r="BX870" s="124"/>
      <c r="BY870" s="124"/>
      <c r="BZ870" s="124"/>
      <c r="CA870" s="124"/>
    </row>
    <row r="871">
      <c r="A871" s="106"/>
      <c r="B871" s="207"/>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c r="AA871" s="106"/>
      <c r="AB871" s="106"/>
      <c r="AC871" s="106"/>
      <c r="AD871" s="106"/>
      <c r="AE871" s="106"/>
      <c r="AF871" s="106"/>
      <c r="AG871" s="106"/>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c r="BK871" s="124"/>
      <c r="BL871" s="124"/>
      <c r="BM871" s="124"/>
      <c r="BN871" s="124"/>
      <c r="BO871" s="124"/>
      <c r="BP871" s="124"/>
      <c r="BQ871" s="124"/>
      <c r="BR871" s="124"/>
      <c r="BS871" s="124"/>
      <c r="BT871" s="124"/>
      <c r="BU871" s="124"/>
      <c r="BV871" s="124"/>
      <c r="BW871" s="124"/>
      <c r="BX871" s="124"/>
      <c r="BY871" s="124"/>
      <c r="BZ871" s="124"/>
      <c r="CA871" s="124"/>
    </row>
    <row r="872">
      <c r="A872" s="106"/>
      <c r="B872" s="207"/>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c r="AA872" s="106"/>
      <c r="AB872" s="106"/>
      <c r="AC872" s="106"/>
      <c r="AD872" s="106"/>
      <c r="AE872" s="106"/>
      <c r="AF872" s="106"/>
      <c r="AG872" s="106"/>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c r="BK872" s="124"/>
      <c r="BL872" s="124"/>
      <c r="BM872" s="124"/>
      <c r="BN872" s="124"/>
      <c r="BO872" s="124"/>
      <c r="BP872" s="124"/>
      <c r="BQ872" s="124"/>
      <c r="BR872" s="124"/>
      <c r="BS872" s="124"/>
      <c r="BT872" s="124"/>
      <c r="BU872" s="124"/>
      <c r="BV872" s="124"/>
      <c r="BW872" s="124"/>
      <c r="BX872" s="124"/>
      <c r="BY872" s="124"/>
      <c r="BZ872" s="124"/>
      <c r="CA872" s="124"/>
    </row>
    <row r="873">
      <c r="A873" s="106"/>
      <c r="B873" s="207"/>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c r="AA873" s="106"/>
      <c r="AB873" s="106"/>
      <c r="AC873" s="106"/>
      <c r="AD873" s="106"/>
      <c r="AE873" s="106"/>
      <c r="AF873" s="106"/>
      <c r="AG873" s="106"/>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c r="BK873" s="124"/>
      <c r="BL873" s="124"/>
      <c r="BM873" s="124"/>
      <c r="BN873" s="124"/>
      <c r="BO873" s="124"/>
      <c r="BP873" s="124"/>
      <c r="BQ873" s="124"/>
      <c r="BR873" s="124"/>
      <c r="BS873" s="124"/>
      <c r="BT873" s="124"/>
      <c r="BU873" s="124"/>
      <c r="BV873" s="124"/>
      <c r="BW873" s="124"/>
      <c r="BX873" s="124"/>
      <c r="BY873" s="124"/>
      <c r="BZ873" s="124"/>
      <c r="CA873" s="124"/>
    </row>
    <row r="874">
      <c r="A874" s="106"/>
      <c r="B874" s="207"/>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c r="AA874" s="106"/>
      <c r="AB874" s="106"/>
      <c r="AC874" s="106"/>
      <c r="AD874" s="106"/>
      <c r="AE874" s="106"/>
      <c r="AF874" s="106"/>
      <c r="AG874" s="106"/>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c r="BK874" s="124"/>
      <c r="BL874" s="124"/>
      <c r="BM874" s="124"/>
      <c r="BN874" s="124"/>
      <c r="BO874" s="124"/>
      <c r="BP874" s="124"/>
      <c r="BQ874" s="124"/>
      <c r="BR874" s="124"/>
      <c r="BS874" s="124"/>
      <c r="BT874" s="124"/>
      <c r="BU874" s="124"/>
      <c r="BV874" s="124"/>
      <c r="BW874" s="124"/>
      <c r="BX874" s="124"/>
      <c r="BY874" s="124"/>
      <c r="BZ874" s="124"/>
      <c r="CA874" s="124"/>
    </row>
    <row r="875">
      <c r="A875" s="106"/>
      <c r="B875" s="207"/>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c r="AA875" s="106"/>
      <c r="AB875" s="106"/>
      <c r="AC875" s="106"/>
      <c r="AD875" s="106"/>
      <c r="AE875" s="106"/>
      <c r="AF875" s="106"/>
      <c r="AG875" s="106"/>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c r="BK875" s="124"/>
      <c r="BL875" s="124"/>
      <c r="BM875" s="124"/>
      <c r="BN875" s="124"/>
      <c r="BO875" s="124"/>
      <c r="BP875" s="124"/>
      <c r="BQ875" s="124"/>
      <c r="BR875" s="124"/>
      <c r="BS875" s="124"/>
      <c r="BT875" s="124"/>
      <c r="BU875" s="124"/>
      <c r="BV875" s="124"/>
      <c r="BW875" s="124"/>
      <c r="BX875" s="124"/>
      <c r="BY875" s="124"/>
      <c r="BZ875" s="124"/>
      <c r="CA875" s="124"/>
    </row>
    <row r="876">
      <c r="A876" s="106"/>
      <c r="B876" s="207"/>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c r="AA876" s="106"/>
      <c r="AB876" s="106"/>
      <c r="AC876" s="106"/>
      <c r="AD876" s="106"/>
      <c r="AE876" s="106"/>
      <c r="AF876" s="106"/>
      <c r="AG876" s="106"/>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c r="BK876" s="124"/>
      <c r="BL876" s="124"/>
      <c r="BM876" s="124"/>
      <c r="BN876" s="124"/>
      <c r="BO876" s="124"/>
      <c r="BP876" s="124"/>
      <c r="BQ876" s="124"/>
      <c r="BR876" s="124"/>
      <c r="BS876" s="124"/>
      <c r="BT876" s="124"/>
      <c r="BU876" s="124"/>
      <c r="BV876" s="124"/>
      <c r="BW876" s="124"/>
      <c r="BX876" s="124"/>
      <c r="BY876" s="124"/>
      <c r="BZ876" s="124"/>
      <c r="CA876" s="124"/>
    </row>
    <row r="877">
      <c r="A877" s="106"/>
      <c r="B877" s="207"/>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c r="AA877" s="106"/>
      <c r="AB877" s="106"/>
      <c r="AC877" s="106"/>
      <c r="AD877" s="106"/>
      <c r="AE877" s="106"/>
      <c r="AF877" s="106"/>
      <c r="AG877" s="106"/>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c r="BK877" s="124"/>
      <c r="BL877" s="124"/>
      <c r="BM877" s="124"/>
      <c r="BN877" s="124"/>
      <c r="BO877" s="124"/>
      <c r="BP877" s="124"/>
      <c r="BQ877" s="124"/>
      <c r="BR877" s="124"/>
      <c r="BS877" s="124"/>
      <c r="BT877" s="124"/>
      <c r="BU877" s="124"/>
      <c r="BV877" s="124"/>
      <c r="BW877" s="124"/>
      <c r="BX877" s="124"/>
      <c r="BY877" s="124"/>
      <c r="BZ877" s="124"/>
      <c r="CA877" s="124"/>
    </row>
    <row r="878">
      <c r="A878" s="106"/>
      <c r="B878" s="207"/>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c r="AA878" s="106"/>
      <c r="AB878" s="106"/>
      <c r="AC878" s="106"/>
      <c r="AD878" s="106"/>
      <c r="AE878" s="106"/>
      <c r="AF878" s="106"/>
      <c r="AG878" s="106"/>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c r="BK878" s="124"/>
      <c r="BL878" s="124"/>
      <c r="BM878" s="124"/>
      <c r="BN878" s="124"/>
      <c r="BO878" s="124"/>
      <c r="BP878" s="124"/>
      <c r="BQ878" s="124"/>
      <c r="BR878" s="124"/>
      <c r="BS878" s="124"/>
      <c r="BT878" s="124"/>
      <c r="BU878" s="124"/>
      <c r="BV878" s="124"/>
      <c r="BW878" s="124"/>
      <c r="BX878" s="124"/>
      <c r="BY878" s="124"/>
      <c r="BZ878" s="124"/>
      <c r="CA878" s="124"/>
    </row>
    <row r="879">
      <c r="A879" s="106"/>
      <c r="B879" s="207"/>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c r="AA879" s="106"/>
      <c r="AB879" s="106"/>
      <c r="AC879" s="106"/>
      <c r="AD879" s="106"/>
      <c r="AE879" s="106"/>
      <c r="AF879" s="106"/>
      <c r="AG879" s="106"/>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c r="BK879" s="124"/>
      <c r="BL879" s="124"/>
      <c r="BM879" s="124"/>
      <c r="BN879" s="124"/>
      <c r="BO879" s="124"/>
      <c r="BP879" s="124"/>
      <c r="BQ879" s="124"/>
      <c r="BR879" s="124"/>
      <c r="BS879" s="124"/>
      <c r="BT879" s="124"/>
      <c r="BU879" s="124"/>
      <c r="BV879" s="124"/>
      <c r="BW879" s="124"/>
      <c r="BX879" s="124"/>
      <c r="BY879" s="124"/>
      <c r="BZ879" s="124"/>
      <c r="CA879" s="124"/>
    </row>
    <row r="880">
      <c r="A880" s="106"/>
      <c r="B880" s="207"/>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c r="AA880" s="106"/>
      <c r="AB880" s="106"/>
      <c r="AC880" s="106"/>
      <c r="AD880" s="106"/>
      <c r="AE880" s="106"/>
      <c r="AF880" s="106"/>
      <c r="AG880" s="106"/>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c r="BK880" s="124"/>
      <c r="BL880" s="124"/>
      <c r="BM880" s="124"/>
      <c r="BN880" s="124"/>
      <c r="BO880" s="124"/>
      <c r="BP880" s="124"/>
      <c r="BQ880" s="124"/>
      <c r="BR880" s="124"/>
      <c r="BS880" s="124"/>
      <c r="BT880" s="124"/>
      <c r="BU880" s="124"/>
      <c r="BV880" s="124"/>
      <c r="BW880" s="124"/>
      <c r="BX880" s="124"/>
      <c r="BY880" s="124"/>
      <c r="BZ880" s="124"/>
      <c r="CA880" s="124"/>
    </row>
    <row r="881">
      <c r="A881" s="106"/>
      <c r="B881" s="207"/>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c r="AA881" s="106"/>
      <c r="AB881" s="106"/>
      <c r="AC881" s="106"/>
      <c r="AD881" s="106"/>
      <c r="AE881" s="106"/>
      <c r="AF881" s="106"/>
      <c r="AG881" s="106"/>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c r="BK881" s="124"/>
      <c r="BL881" s="124"/>
      <c r="BM881" s="124"/>
      <c r="BN881" s="124"/>
      <c r="BO881" s="124"/>
      <c r="BP881" s="124"/>
      <c r="BQ881" s="124"/>
      <c r="BR881" s="124"/>
      <c r="BS881" s="124"/>
      <c r="BT881" s="124"/>
      <c r="BU881" s="124"/>
      <c r="BV881" s="124"/>
      <c r="BW881" s="124"/>
      <c r="BX881" s="124"/>
      <c r="BY881" s="124"/>
      <c r="BZ881" s="124"/>
      <c r="CA881" s="124"/>
    </row>
    <row r="882">
      <c r="A882" s="106"/>
      <c r="B882" s="207"/>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c r="AF882" s="106"/>
      <c r="AG882" s="106"/>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c r="BK882" s="124"/>
      <c r="BL882" s="124"/>
      <c r="BM882" s="124"/>
      <c r="BN882" s="124"/>
      <c r="BO882" s="124"/>
      <c r="BP882" s="124"/>
      <c r="BQ882" s="124"/>
      <c r="BR882" s="124"/>
      <c r="BS882" s="124"/>
      <c r="BT882" s="124"/>
      <c r="BU882" s="124"/>
      <c r="BV882" s="124"/>
      <c r="BW882" s="124"/>
      <c r="BX882" s="124"/>
      <c r="BY882" s="124"/>
      <c r="BZ882" s="124"/>
      <c r="CA882" s="124"/>
    </row>
    <row r="883">
      <c r="A883" s="106"/>
      <c r="B883" s="207"/>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c r="AA883" s="106"/>
      <c r="AB883" s="106"/>
      <c r="AC883" s="106"/>
      <c r="AD883" s="106"/>
      <c r="AE883" s="106"/>
      <c r="AF883" s="106"/>
      <c r="AG883" s="106"/>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c r="BK883" s="124"/>
      <c r="BL883" s="124"/>
      <c r="BM883" s="124"/>
      <c r="BN883" s="124"/>
      <c r="BO883" s="124"/>
      <c r="BP883" s="124"/>
      <c r="BQ883" s="124"/>
      <c r="BR883" s="124"/>
      <c r="BS883" s="124"/>
      <c r="BT883" s="124"/>
      <c r="BU883" s="124"/>
      <c r="BV883" s="124"/>
      <c r="BW883" s="124"/>
      <c r="BX883" s="124"/>
      <c r="BY883" s="124"/>
      <c r="BZ883" s="124"/>
      <c r="CA883" s="124"/>
    </row>
    <row r="884">
      <c r="A884" s="106"/>
      <c r="B884" s="207"/>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c r="AA884" s="106"/>
      <c r="AB884" s="106"/>
      <c r="AC884" s="106"/>
      <c r="AD884" s="106"/>
      <c r="AE884" s="106"/>
      <c r="AF884" s="106"/>
      <c r="AG884" s="106"/>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c r="BK884" s="124"/>
      <c r="BL884" s="124"/>
      <c r="BM884" s="124"/>
      <c r="BN884" s="124"/>
      <c r="BO884" s="124"/>
      <c r="BP884" s="124"/>
      <c r="BQ884" s="124"/>
      <c r="BR884" s="124"/>
      <c r="BS884" s="124"/>
      <c r="BT884" s="124"/>
      <c r="BU884" s="124"/>
      <c r="BV884" s="124"/>
      <c r="BW884" s="124"/>
      <c r="BX884" s="124"/>
      <c r="BY884" s="124"/>
      <c r="BZ884" s="124"/>
      <c r="CA884" s="124"/>
    </row>
    <row r="885">
      <c r="A885" s="106"/>
      <c r="B885" s="207"/>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c r="AA885" s="106"/>
      <c r="AB885" s="106"/>
      <c r="AC885" s="106"/>
      <c r="AD885" s="106"/>
      <c r="AE885" s="106"/>
      <c r="AF885" s="106"/>
      <c r="AG885" s="106"/>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c r="BK885" s="124"/>
      <c r="BL885" s="124"/>
      <c r="BM885" s="124"/>
      <c r="BN885" s="124"/>
      <c r="BO885" s="124"/>
      <c r="BP885" s="124"/>
      <c r="BQ885" s="124"/>
      <c r="BR885" s="124"/>
      <c r="BS885" s="124"/>
      <c r="BT885" s="124"/>
      <c r="BU885" s="124"/>
      <c r="BV885" s="124"/>
      <c r="BW885" s="124"/>
      <c r="BX885" s="124"/>
      <c r="BY885" s="124"/>
      <c r="BZ885" s="124"/>
      <c r="CA885" s="124"/>
    </row>
    <row r="886">
      <c r="A886" s="106"/>
      <c r="B886" s="207"/>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c r="AA886" s="106"/>
      <c r="AB886" s="106"/>
      <c r="AC886" s="106"/>
      <c r="AD886" s="106"/>
      <c r="AE886" s="106"/>
      <c r="AF886" s="106"/>
      <c r="AG886" s="106"/>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c r="BK886" s="124"/>
      <c r="BL886" s="124"/>
      <c r="BM886" s="124"/>
      <c r="BN886" s="124"/>
      <c r="BO886" s="124"/>
      <c r="BP886" s="124"/>
      <c r="BQ886" s="124"/>
      <c r="BR886" s="124"/>
      <c r="BS886" s="124"/>
      <c r="BT886" s="124"/>
      <c r="BU886" s="124"/>
      <c r="BV886" s="124"/>
      <c r="BW886" s="124"/>
      <c r="BX886" s="124"/>
      <c r="BY886" s="124"/>
      <c r="BZ886" s="124"/>
      <c r="CA886" s="124"/>
    </row>
    <row r="887">
      <c r="A887" s="106"/>
      <c r="B887" s="207"/>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c r="AA887" s="106"/>
      <c r="AB887" s="106"/>
      <c r="AC887" s="106"/>
      <c r="AD887" s="106"/>
      <c r="AE887" s="106"/>
      <c r="AF887" s="106"/>
      <c r="AG887" s="106"/>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c r="BK887" s="124"/>
      <c r="BL887" s="124"/>
      <c r="BM887" s="124"/>
      <c r="BN887" s="124"/>
      <c r="BO887" s="124"/>
      <c r="BP887" s="124"/>
      <c r="BQ887" s="124"/>
      <c r="BR887" s="124"/>
      <c r="BS887" s="124"/>
      <c r="BT887" s="124"/>
      <c r="BU887" s="124"/>
      <c r="BV887" s="124"/>
      <c r="BW887" s="124"/>
      <c r="BX887" s="124"/>
      <c r="BY887" s="124"/>
      <c r="BZ887" s="124"/>
      <c r="CA887" s="124"/>
    </row>
    <row r="888">
      <c r="A888" s="106"/>
      <c r="B888" s="207"/>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c r="AA888" s="106"/>
      <c r="AB888" s="106"/>
      <c r="AC888" s="106"/>
      <c r="AD888" s="106"/>
      <c r="AE888" s="106"/>
      <c r="AF888" s="106"/>
      <c r="AG888" s="106"/>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c r="BK888" s="124"/>
      <c r="BL888" s="124"/>
      <c r="BM888" s="124"/>
      <c r="BN888" s="124"/>
      <c r="BO888" s="124"/>
      <c r="BP888" s="124"/>
      <c r="BQ888" s="124"/>
      <c r="BR888" s="124"/>
      <c r="BS888" s="124"/>
      <c r="BT888" s="124"/>
      <c r="BU888" s="124"/>
      <c r="BV888" s="124"/>
      <c r="BW888" s="124"/>
      <c r="BX888" s="124"/>
      <c r="BY888" s="124"/>
      <c r="BZ888" s="124"/>
      <c r="CA888" s="124"/>
    </row>
    <row r="889">
      <c r="A889" s="106"/>
      <c r="B889" s="207"/>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c r="AA889" s="106"/>
      <c r="AB889" s="106"/>
      <c r="AC889" s="106"/>
      <c r="AD889" s="106"/>
      <c r="AE889" s="106"/>
      <c r="AF889" s="106"/>
      <c r="AG889" s="106"/>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c r="BK889" s="124"/>
      <c r="BL889" s="124"/>
      <c r="BM889" s="124"/>
      <c r="BN889" s="124"/>
      <c r="BO889" s="124"/>
      <c r="BP889" s="124"/>
      <c r="BQ889" s="124"/>
      <c r="BR889" s="124"/>
      <c r="BS889" s="124"/>
      <c r="BT889" s="124"/>
      <c r="BU889" s="124"/>
      <c r="BV889" s="124"/>
      <c r="BW889" s="124"/>
      <c r="BX889" s="124"/>
      <c r="BY889" s="124"/>
      <c r="BZ889" s="124"/>
      <c r="CA889" s="124"/>
    </row>
    <row r="890">
      <c r="A890" s="106"/>
      <c r="B890" s="207"/>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c r="AA890" s="106"/>
      <c r="AB890" s="106"/>
      <c r="AC890" s="106"/>
      <c r="AD890" s="106"/>
      <c r="AE890" s="106"/>
      <c r="AF890" s="106"/>
      <c r="AG890" s="106"/>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c r="BK890" s="124"/>
      <c r="BL890" s="124"/>
      <c r="BM890" s="124"/>
      <c r="BN890" s="124"/>
      <c r="BO890" s="124"/>
      <c r="BP890" s="124"/>
      <c r="BQ890" s="124"/>
      <c r="BR890" s="124"/>
      <c r="BS890" s="124"/>
      <c r="BT890" s="124"/>
      <c r="BU890" s="124"/>
      <c r="BV890" s="124"/>
      <c r="BW890" s="124"/>
      <c r="BX890" s="124"/>
      <c r="BY890" s="124"/>
      <c r="BZ890" s="124"/>
      <c r="CA890" s="124"/>
    </row>
    <row r="891">
      <c r="A891" s="106"/>
      <c r="B891" s="207"/>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c r="AA891" s="106"/>
      <c r="AB891" s="106"/>
      <c r="AC891" s="106"/>
      <c r="AD891" s="106"/>
      <c r="AE891" s="106"/>
      <c r="AF891" s="106"/>
      <c r="AG891" s="106"/>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c r="BK891" s="124"/>
      <c r="BL891" s="124"/>
      <c r="BM891" s="124"/>
      <c r="BN891" s="124"/>
      <c r="BO891" s="124"/>
      <c r="BP891" s="124"/>
      <c r="BQ891" s="124"/>
      <c r="BR891" s="124"/>
      <c r="BS891" s="124"/>
      <c r="BT891" s="124"/>
      <c r="BU891" s="124"/>
      <c r="BV891" s="124"/>
      <c r="BW891" s="124"/>
      <c r="BX891" s="124"/>
      <c r="BY891" s="124"/>
      <c r="BZ891" s="124"/>
      <c r="CA891" s="124"/>
    </row>
    <row r="892">
      <c r="A892" s="106"/>
      <c r="B892" s="207"/>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c r="AA892" s="106"/>
      <c r="AB892" s="106"/>
      <c r="AC892" s="106"/>
      <c r="AD892" s="106"/>
      <c r="AE892" s="106"/>
      <c r="AF892" s="106"/>
      <c r="AG892" s="106"/>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c r="BK892" s="124"/>
      <c r="BL892" s="124"/>
      <c r="BM892" s="124"/>
      <c r="BN892" s="124"/>
      <c r="BO892" s="124"/>
      <c r="BP892" s="124"/>
      <c r="BQ892" s="124"/>
      <c r="BR892" s="124"/>
      <c r="BS892" s="124"/>
      <c r="BT892" s="124"/>
      <c r="BU892" s="124"/>
      <c r="BV892" s="124"/>
      <c r="BW892" s="124"/>
      <c r="BX892" s="124"/>
      <c r="BY892" s="124"/>
      <c r="BZ892" s="124"/>
      <c r="CA892" s="124"/>
    </row>
    <row r="893">
      <c r="A893" s="106"/>
      <c r="B893" s="207"/>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c r="AA893" s="106"/>
      <c r="AB893" s="106"/>
      <c r="AC893" s="106"/>
      <c r="AD893" s="106"/>
      <c r="AE893" s="106"/>
      <c r="AF893" s="106"/>
      <c r="AG893" s="106"/>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c r="BK893" s="124"/>
      <c r="BL893" s="124"/>
      <c r="BM893" s="124"/>
      <c r="BN893" s="124"/>
      <c r="BO893" s="124"/>
      <c r="BP893" s="124"/>
      <c r="BQ893" s="124"/>
      <c r="BR893" s="124"/>
      <c r="BS893" s="124"/>
      <c r="BT893" s="124"/>
      <c r="BU893" s="124"/>
      <c r="BV893" s="124"/>
      <c r="BW893" s="124"/>
      <c r="BX893" s="124"/>
      <c r="BY893" s="124"/>
      <c r="BZ893" s="124"/>
      <c r="CA893" s="124"/>
    </row>
    <row r="894">
      <c r="A894" s="106"/>
      <c r="B894" s="207"/>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c r="AA894" s="106"/>
      <c r="AB894" s="106"/>
      <c r="AC894" s="106"/>
      <c r="AD894" s="106"/>
      <c r="AE894" s="106"/>
      <c r="AF894" s="106"/>
      <c r="AG894" s="106"/>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c r="BK894" s="124"/>
      <c r="BL894" s="124"/>
      <c r="BM894" s="124"/>
      <c r="BN894" s="124"/>
      <c r="BO894" s="124"/>
      <c r="BP894" s="124"/>
      <c r="BQ894" s="124"/>
      <c r="BR894" s="124"/>
      <c r="BS894" s="124"/>
      <c r="BT894" s="124"/>
      <c r="BU894" s="124"/>
      <c r="BV894" s="124"/>
      <c r="BW894" s="124"/>
      <c r="BX894" s="124"/>
      <c r="BY894" s="124"/>
      <c r="BZ894" s="124"/>
      <c r="CA894" s="124"/>
    </row>
    <row r="895">
      <c r="A895" s="106"/>
      <c r="B895" s="207"/>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G895" s="106"/>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c r="BK895" s="124"/>
      <c r="BL895" s="124"/>
      <c r="BM895" s="124"/>
      <c r="BN895" s="124"/>
      <c r="BO895" s="124"/>
      <c r="BP895" s="124"/>
      <c r="BQ895" s="124"/>
      <c r="BR895" s="124"/>
      <c r="BS895" s="124"/>
      <c r="BT895" s="124"/>
      <c r="BU895" s="124"/>
      <c r="BV895" s="124"/>
      <c r="BW895" s="124"/>
      <c r="BX895" s="124"/>
      <c r="BY895" s="124"/>
      <c r="BZ895" s="124"/>
      <c r="CA895" s="124"/>
    </row>
    <row r="896">
      <c r="A896" s="106"/>
      <c r="B896" s="207"/>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c r="AA896" s="106"/>
      <c r="AB896" s="106"/>
      <c r="AC896" s="106"/>
      <c r="AD896" s="106"/>
      <c r="AE896" s="106"/>
      <c r="AF896" s="106"/>
      <c r="AG896" s="106"/>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c r="BK896" s="124"/>
      <c r="BL896" s="124"/>
      <c r="BM896" s="124"/>
      <c r="BN896" s="124"/>
      <c r="BO896" s="124"/>
      <c r="BP896" s="124"/>
      <c r="BQ896" s="124"/>
      <c r="BR896" s="124"/>
      <c r="BS896" s="124"/>
      <c r="BT896" s="124"/>
      <c r="BU896" s="124"/>
      <c r="BV896" s="124"/>
      <c r="BW896" s="124"/>
      <c r="BX896" s="124"/>
      <c r="BY896" s="124"/>
      <c r="BZ896" s="124"/>
      <c r="CA896" s="124"/>
    </row>
    <row r="897">
      <c r="A897" s="106"/>
      <c r="B897" s="207"/>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c r="AA897" s="106"/>
      <c r="AB897" s="106"/>
      <c r="AC897" s="106"/>
      <c r="AD897" s="106"/>
      <c r="AE897" s="106"/>
      <c r="AF897" s="106"/>
      <c r="AG897" s="106"/>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c r="BK897" s="124"/>
      <c r="BL897" s="124"/>
      <c r="BM897" s="124"/>
      <c r="BN897" s="124"/>
      <c r="BO897" s="124"/>
      <c r="BP897" s="124"/>
      <c r="BQ897" s="124"/>
      <c r="BR897" s="124"/>
      <c r="BS897" s="124"/>
      <c r="BT897" s="124"/>
      <c r="BU897" s="124"/>
      <c r="BV897" s="124"/>
      <c r="BW897" s="124"/>
      <c r="BX897" s="124"/>
      <c r="BY897" s="124"/>
      <c r="BZ897" s="124"/>
      <c r="CA897" s="124"/>
    </row>
    <row r="898">
      <c r="A898" s="106"/>
      <c r="B898" s="207"/>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c r="AA898" s="106"/>
      <c r="AB898" s="106"/>
      <c r="AC898" s="106"/>
      <c r="AD898" s="106"/>
      <c r="AE898" s="106"/>
      <c r="AF898" s="106"/>
      <c r="AG898" s="106"/>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c r="BK898" s="124"/>
      <c r="BL898" s="124"/>
      <c r="BM898" s="124"/>
      <c r="BN898" s="124"/>
      <c r="BO898" s="124"/>
      <c r="BP898" s="124"/>
      <c r="BQ898" s="124"/>
      <c r="BR898" s="124"/>
      <c r="BS898" s="124"/>
      <c r="BT898" s="124"/>
      <c r="BU898" s="124"/>
      <c r="BV898" s="124"/>
      <c r="BW898" s="124"/>
      <c r="BX898" s="124"/>
      <c r="BY898" s="124"/>
      <c r="BZ898" s="124"/>
      <c r="CA898" s="124"/>
    </row>
    <row r="899">
      <c r="A899" s="106"/>
      <c r="B899" s="207"/>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c r="AA899" s="106"/>
      <c r="AB899" s="106"/>
      <c r="AC899" s="106"/>
      <c r="AD899" s="106"/>
      <c r="AE899" s="106"/>
      <c r="AF899" s="106"/>
      <c r="AG899" s="106"/>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c r="BK899" s="124"/>
      <c r="BL899" s="124"/>
      <c r="BM899" s="124"/>
      <c r="BN899" s="124"/>
      <c r="BO899" s="124"/>
      <c r="BP899" s="124"/>
      <c r="BQ899" s="124"/>
      <c r="BR899" s="124"/>
      <c r="BS899" s="124"/>
      <c r="BT899" s="124"/>
      <c r="BU899" s="124"/>
      <c r="BV899" s="124"/>
      <c r="BW899" s="124"/>
      <c r="BX899" s="124"/>
      <c r="BY899" s="124"/>
      <c r="BZ899" s="124"/>
      <c r="CA899" s="124"/>
    </row>
    <row r="900">
      <c r="A900" s="106"/>
      <c r="B900" s="207"/>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c r="AA900" s="106"/>
      <c r="AB900" s="106"/>
      <c r="AC900" s="106"/>
      <c r="AD900" s="106"/>
      <c r="AE900" s="106"/>
      <c r="AF900" s="106"/>
      <c r="AG900" s="106"/>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c r="BK900" s="124"/>
      <c r="BL900" s="124"/>
      <c r="BM900" s="124"/>
      <c r="BN900" s="124"/>
      <c r="BO900" s="124"/>
      <c r="BP900" s="124"/>
      <c r="BQ900" s="124"/>
      <c r="BR900" s="124"/>
      <c r="BS900" s="124"/>
      <c r="BT900" s="124"/>
      <c r="BU900" s="124"/>
      <c r="BV900" s="124"/>
      <c r="BW900" s="124"/>
      <c r="BX900" s="124"/>
      <c r="BY900" s="124"/>
      <c r="BZ900" s="124"/>
      <c r="CA900" s="124"/>
    </row>
    <row r="901">
      <c r="A901" s="106"/>
      <c r="B901" s="207"/>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c r="AA901" s="106"/>
      <c r="AB901" s="106"/>
      <c r="AC901" s="106"/>
      <c r="AD901" s="106"/>
      <c r="AE901" s="106"/>
      <c r="AF901" s="106"/>
      <c r="AG901" s="106"/>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c r="BK901" s="124"/>
      <c r="BL901" s="124"/>
      <c r="BM901" s="124"/>
      <c r="BN901" s="124"/>
      <c r="BO901" s="124"/>
      <c r="BP901" s="124"/>
      <c r="BQ901" s="124"/>
      <c r="BR901" s="124"/>
      <c r="BS901" s="124"/>
      <c r="BT901" s="124"/>
      <c r="BU901" s="124"/>
      <c r="BV901" s="124"/>
      <c r="BW901" s="124"/>
      <c r="BX901" s="124"/>
      <c r="BY901" s="124"/>
      <c r="BZ901" s="124"/>
      <c r="CA901" s="124"/>
    </row>
    <row r="902">
      <c r="A902" s="106"/>
      <c r="B902" s="207"/>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c r="AA902" s="106"/>
      <c r="AB902" s="106"/>
      <c r="AC902" s="106"/>
      <c r="AD902" s="106"/>
      <c r="AE902" s="106"/>
      <c r="AF902" s="106"/>
      <c r="AG902" s="106"/>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c r="BK902" s="124"/>
      <c r="BL902" s="124"/>
      <c r="BM902" s="124"/>
      <c r="BN902" s="124"/>
      <c r="BO902" s="124"/>
      <c r="BP902" s="124"/>
      <c r="BQ902" s="124"/>
      <c r="BR902" s="124"/>
      <c r="BS902" s="124"/>
      <c r="BT902" s="124"/>
      <c r="BU902" s="124"/>
      <c r="BV902" s="124"/>
      <c r="BW902" s="124"/>
      <c r="BX902" s="124"/>
      <c r="BY902" s="124"/>
      <c r="BZ902" s="124"/>
      <c r="CA902" s="124"/>
    </row>
    <row r="903">
      <c r="A903" s="106"/>
      <c r="B903" s="207"/>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c r="AA903" s="106"/>
      <c r="AB903" s="106"/>
      <c r="AC903" s="106"/>
      <c r="AD903" s="106"/>
      <c r="AE903" s="106"/>
      <c r="AF903" s="106"/>
      <c r="AG903" s="106"/>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c r="BK903" s="124"/>
      <c r="BL903" s="124"/>
      <c r="BM903" s="124"/>
      <c r="BN903" s="124"/>
      <c r="BO903" s="124"/>
      <c r="BP903" s="124"/>
      <c r="BQ903" s="124"/>
      <c r="BR903" s="124"/>
      <c r="BS903" s="124"/>
      <c r="BT903" s="124"/>
      <c r="BU903" s="124"/>
      <c r="BV903" s="124"/>
      <c r="BW903" s="124"/>
      <c r="BX903" s="124"/>
      <c r="BY903" s="124"/>
      <c r="BZ903" s="124"/>
      <c r="CA903" s="124"/>
    </row>
    <row r="904">
      <c r="A904" s="106"/>
      <c r="B904" s="207"/>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c r="AA904" s="106"/>
      <c r="AB904" s="106"/>
      <c r="AC904" s="106"/>
      <c r="AD904" s="106"/>
      <c r="AE904" s="106"/>
      <c r="AF904" s="106"/>
      <c r="AG904" s="106"/>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c r="BK904" s="124"/>
      <c r="BL904" s="124"/>
      <c r="BM904" s="124"/>
      <c r="BN904" s="124"/>
      <c r="BO904" s="124"/>
      <c r="BP904" s="124"/>
      <c r="BQ904" s="124"/>
      <c r="BR904" s="124"/>
      <c r="BS904" s="124"/>
      <c r="BT904" s="124"/>
      <c r="BU904" s="124"/>
      <c r="BV904" s="124"/>
      <c r="BW904" s="124"/>
      <c r="BX904" s="124"/>
      <c r="BY904" s="124"/>
      <c r="BZ904" s="124"/>
      <c r="CA904" s="124"/>
    </row>
    <row r="905">
      <c r="A905" s="106"/>
      <c r="B905" s="207"/>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c r="AA905" s="106"/>
      <c r="AB905" s="106"/>
      <c r="AC905" s="106"/>
      <c r="AD905" s="106"/>
      <c r="AE905" s="106"/>
      <c r="AF905" s="106"/>
      <c r="AG905" s="106"/>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c r="BK905" s="124"/>
      <c r="BL905" s="124"/>
      <c r="BM905" s="124"/>
      <c r="BN905" s="124"/>
      <c r="BO905" s="124"/>
      <c r="BP905" s="124"/>
      <c r="BQ905" s="124"/>
      <c r="BR905" s="124"/>
      <c r="BS905" s="124"/>
      <c r="BT905" s="124"/>
      <c r="BU905" s="124"/>
      <c r="BV905" s="124"/>
      <c r="BW905" s="124"/>
      <c r="BX905" s="124"/>
      <c r="BY905" s="124"/>
      <c r="BZ905" s="124"/>
      <c r="CA905" s="124"/>
    </row>
    <row r="906">
      <c r="A906" s="106"/>
      <c r="B906" s="207"/>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c r="AA906" s="106"/>
      <c r="AB906" s="106"/>
      <c r="AC906" s="106"/>
      <c r="AD906" s="106"/>
      <c r="AE906" s="106"/>
      <c r="AF906" s="106"/>
      <c r="AG906" s="106"/>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c r="BK906" s="124"/>
      <c r="BL906" s="124"/>
      <c r="BM906" s="124"/>
      <c r="BN906" s="124"/>
      <c r="BO906" s="124"/>
      <c r="BP906" s="124"/>
      <c r="BQ906" s="124"/>
      <c r="BR906" s="124"/>
      <c r="BS906" s="124"/>
      <c r="BT906" s="124"/>
      <c r="BU906" s="124"/>
      <c r="BV906" s="124"/>
      <c r="BW906" s="124"/>
      <c r="BX906" s="124"/>
      <c r="BY906" s="124"/>
      <c r="BZ906" s="124"/>
      <c r="CA906" s="124"/>
    </row>
    <row r="907">
      <c r="A907" s="106"/>
      <c r="B907" s="207"/>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c r="AA907" s="106"/>
      <c r="AB907" s="106"/>
      <c r="AC907" s="106"/>
      <c r="AD907" s="106"/>
      <c r="AE907" s="106"/>
      <c r="AF907" s="106"/>
      <c r="AG907" s="106"/>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c r="BK907" s="124"/>
      <c r="BL907" s="124"/>
      <c r="BM907" s="124"/>
      <c r="BN907" s="124"/>
      <c r="BO907" s="124"/>
      <c r="BP907" s="124"/>
      <c r="BQ907" s="124"/>
      <c r="BR907" s="124"/>
      <c r="BS907" s="124"/>
      <c r="BT907" s="124"/>
      <c r="BU907" s="124"/>
      <c r="BV907" s="124"/>
      <c r="BW907" s="124"/>
      <c r="BX907" s="124"/>
      <c r="BY907" s="124"/>
      <c r="BZ907" s="124"/>
      <c r="CA907" s="124"/>
    </row>
    <row r="908">
      <c r="A908" s="106"/>
      <c r="B908" s="207"/>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G908" s="106"/>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c r="BK908" s="124"/>
      <c r="BL908" s="124"/>
      <c r="BM908" s="124"/>
      <c r="BN908" s="124"/>
      <c r="BO908" s="124"/>
      <c r="BP908" s="124"/>
      <c r="BQ908" s="124"/>
      <c r="BR908" s="124"/>
      <c r="BS908" s="124"/>
      <c r="BT908" s="124"/>
      <c r="BU908" s="124"/>
      <c r="BV908" s="124"/>
      <c r="BW908" s="124"/>
      <c r="BX908" s="124"/>
      <c r="BY908" s="124"/>
      <c r="BZ908" s="124"/>
      <c r="CA908" s="124"/>
    </row>
    <row r="909">
      <c r="A909" s="106"/>
      <c r="B909" s="207"/>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c r="AA909" s="106"/>
      <c r="AB909" s="106"/>
      <c r="AC909" s="106"/>
      <c r="AD909" s="106"/>
      <c r="AE909" s="106"/>
      <c r="AF909" s="106"/>
      <c r="AG909" s="106"/>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c r="BK909" s="124"/>
      <c r="BL909" s="124"/>
      <c r="BM909" s="124"/>
      <c r="BN909" s="124"/>
      <c r="BO909" s="124"/>
      <c r="BP909" s="124"/>
      <c r="BQ909" s="124"/>
      <c r="BR909" s="124"/>
      <c r="BS909" s="124"/>
      <c r="BT909" s="124"/>
      <c r="BU909" s="124"/>
      <c r="BV909" s="124"/>
      <c r="BW909" s="124"/>
      <c r="BX909" s="124"/>
      <c r="BY909" s="124"/>
      <c r="BZ909" s="124"/>
      <c r="CA909" s="124"/>
    </row>
    <row r="910">
      <c r="A910" s="106"/>
      <c r="B910" s="207"/>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G910" s="106"/>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c r="BK910" s="124"/>
      <c r="BL910" s="124"/>
      <c r="BM910" s="124"/>
      <c r="BN910" s="124"/>
      <c r="BO910" s="124"/>
      <c r="BP910" s="124"/>
      <c r="BQ910" s="124"/>
      <c r="BR910" s="124"/>
      <c r="BS910" s="124"/>
      <c r="BT910" s="124"/>
      <c r="BU910" s="124"/>
      <c r="BV910" s="124"/>
      <c r="BW910" s="124"/>
      <c r="BX910" s="124"/>
      <c r="BY910" s="124"/>
      <c r="BZ910" s="124"/>
      <c r="CA910" s="124"/>
    </row>
    <row r="911">
      <c r="A911" s="106"/>
      <c r="B911" s="207"/>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c r="AA911" s="106"/>
      <c r="AB911" s="106"/>
      <c r="AC911" s="106"/>
      <c r="AD911" s="106"/>
      <c r="AE911" s="106"/>
      <c r="AF911" s="106"/>
      <c r="AG911" s="106"/>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c r="BK911" s="124"/>
      <c r="BL911" s="124"/>
      <c r="BM911" s="124"/>
      <c r="BN911" s="124"/>
      <c r="BO911" s="124"/>
      <c r="BP911" s="124"/>
      <c r="BQ911" s="124"/>
      <c r="BR911" s="124"/>
      <c r="BS911" s="124"/>
      <c r="BT911" s="124"/>
      <c r="BU911" s="124"/>
      <c r="BV911" s="124"/>
      <c r="BW911" s="124"/>
      <c r="BX911" s="124"/>
      <c r="BY911" s="124"/>
      <c r="BZ911" s="124"/>
      <c r="CA911" s="124"/>
    </row>
    <row r="912">
      <c r="A912" s="106"/>
      <c r="B912" s="207"/>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c r="AA912" s="106"/>
      <c r="AB912" s="106"/>
      <c r="AC912" s="106"/>
      <c r="AD912" s="106"/>
      <c r="AE912" s="106"/>
      <c r="AF912" s="106"/>
      <c r="AG912" s="106"/>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c r="BK912" s="124"/>
      <c r="BL912" s="124"/>
      <c r="BM912" s="124"/>
      <c r="BN912" s="124"/>
      <c r="BO912" s="124"/>
      <c r="BP912" s="124"/>
      <c r="BQ912" s="124"/>
      <c r="BR912" s="124"/>
      <c r="BS912" s="124"/>
      <c r="BT912" s="124"/>
      <c r="BU912" s="124"/>
      <c r="BV912" s="124"/>
      <c r="BW912" s="124"/>
      <c r="BX912" s="124"/>
      <c r="BY912" s="124"/>
      <c r="BZ912" s="124"/>
      <c r="CA912" s="124"/>
    </row>
    <row r="913">
      <c r="A913" s="106"/>
      <c r="B913" s="207"/>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c r="AA913" s="106"/>
      <c r="AB913" s="106"/>
      <c r="AC913" s="106"/>
      <c r="AD913" s="106"/>
      <c r="AE913" s="106"/>
      <c r="AF913" s="106"/>
      <c r="AG913" s="106"/>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c r="BK913" s="124"/>
      <c r="BL913" s="124"/>
      <c r="BM913" s="124"/>
      <c r="BN913" s="124"/>
      <c r="BO913" s="124"/>
      <c r="BP913" s="124"/>
      <c r="BQ913" s="124"/>
      <c r="BR913" s="124"/>
      <c r="BS913" s="124"/>
      <c r="BT913" s="124"/>
      <c r="BU913" s="124"/>
      <c r="BV913" s="124"/>
      <c r="BW913" s="124"/>
      <c r="BX913" s="124"/>
      <c r="BY913" s="124"/>
      <c r="BZ913" s="124"/>
      <c r="CA913" s="124"/>
    </row>
    <row r="914">
      <c r="A914" s="106"/>
      <c r="B914" s="207"/>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c r="AA914" s="106"/>
      <c r="AB914" s="106"/>
      <c r="AC914" s="106"/>
      <c r="AD914" s="106"/>
      <c r="AE914" s="106"/>
      <c r="AF914" s="106"/>
      <c r="AG914" s="106"/>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c r="BK914" s="124"/>
      <c r="BL914" s="124"/>
      <c r="BM914" s="124"/>
      <c r="BN914" s="124"/>
      <c r="BO914" s="124"/>
      <c r="BP914" s="124"/>
      <c r="BQ914" s="124"/>
      <c r="BR914" s="124"/>
      <c r="BS914" s="124"/>
      <c r="BT914" s="124"/>
      <c r="BU914" s="124"/>
      <c r="BV914" s="124"/>
      <c r="BW914" s="124"/>
      <c r="BX914" s="124"/>
      <c r="BY914" s="124"/>
      <c r="BZ914" s="124"/>
      <c r="CA914" s="124"/>
    </row>
    <row r="915">
      <c r="A915" s="106"/>
      <c r="B915" s="207"/>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c r="AA915" s="106"/>
      <c r="AB915" s="106"/>
      <c r="AC915" s="106"/>
      <c r="AD915" s="106"/>
      <c r="AE915" s="106"/>
      <c r="AF915" s="106"/>
      <c r="AG915" s="106"/>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c r="BK915" s="124"/>
      <c r="BL915" s="124"/>
      <c r="BM915" s="124"/>
      <c r="BN915" s="124"/>
      <c r="BO915" s="124"/>
      <c r="BP915" s="124"/>
      <c r="BQ915" s="124"/>
      <c r="BR915" s="124"/>
      <c r="BS915" s="124"/>
      <c r="BT915" s="124"/>
      <c r="BU915" s="124"/>
      <c r="BV915" s="124"/>
      <c r="BW915" s="124"/>
      <c r="BX915" s="124"/>
      <c r="BY915" s="124"/>
      <c r="BZ915" s="124"/>
      <c r="CA915" s="124"/>
    </row>
    <row r="916">
      <c r="A916" s="106"/>
      <c r="B916" s="207"/>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c r="AA916" s="106"/>
      <c r="AB916" s="106"/>
      <c r="AC916" s="106"/>
      <c r="AD916" s="106"/>
      <c r="AE916" s="106"/>
      <c r="AF916" s="106"/>
      <c r="AG916" s="106"/>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c r="BK916" s="124"/>
      <c r="BL916" s="124"/>
      <c r="BM916" s="124"/>
      <c r="BN916" s="124"/>
      <c r="BO916" s="124"/>
      <c r="BP916" s="124"/>
      <c r="BQ916" s="124"/>
      <c r="BR916" s="124"/>
      <c r="BS916" s="124"/>
      <c r="BT916" s="124"/>
      <c r="BU916" s="124"/>
      <c r="BV916" s="124"/>
      <c r="BW916" s="124"/>
      <c r="BX916" s="124"/>
      <c r="BY916" s="124"/>
      <c r="BZ916" s="124"/>
      <c r="CA916" s="124"/>
    </row>
    <row r="917">
      <c r="A917" s="106"/>
      <c r="B917" s="207"/>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c r="AA917" s="106"/>
      <c r="AB917" s="106"/>
      <c r="AC917" s="106"/>
      <c r="AD917" s="106"/>
      <c r="AE917" s="106"/>
      <c r="AF917" s="106"/>
      <c r="AG917" s="106"/>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c r="BK917" s="124"/>
      <c r="BL917" s="124"/>
      <c r="BM917" s="124"/>
      <c r="BN917" s="124"/>
      <c r="BO917" s="124"/>
      <c r="BP917" s="124"/>
      <c r="BQ917" s="124"/>
      <c r="BR917" s="124"/>
      <c r="BS917" s="124"/>
      <c r="BT917" s="124"/>
      <c r="BU917" s="124"/>
      <c r="BV917" s="124"/>
      <c r="BW917" s="124"/>
      <c r="BX917" s="124"/>
      <c r="BY917" s="124"/>
      <c r="BZ917" s="124"/>
      <c r="CA917" s="124"/>
    </row>
    <row r="918">
      <c r="A918" s="106"/>
      <c r="B918" s="207"/>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c r="AA918" s="106"/>
      <c r="AB918" s="106"/>
      <c r="AC918" s="106"/>
      <c r="AD918" s="106"/>
      <c r="AE918" s="106"/>
      <c r="AF918" s="106"/>
      <c r="AG918" s="106"/>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c r="BK918" s="124"/>
      <c r="BL918" s="124"/>
      <c r="BM918" s="124"/>
      <c r="BN918" s="124"/>
      <c r="BO918" s="124"/>
      <c r="BP918" s="124"/>
      <c r="BQ918" s="124"/>
      <c r="BR918" s="124"/>
      <c r="BS918" s="124"/>
      <c r="BT918" s="124"/>
      <c r="BU918" s="124"/>
      <c r="BV918" s="124"/>
      <c r="BW918" s="124"/>
      <c r="BX918" s="124"/>
      <c r="BY918" s="124"/>
      <c r="BZ918" s="124"/>
      <c r="CA918" s="124"/>
    </row>
    <row r="919">
      <c r="A919" s="106"/>
      <c r="B919" s="207"/>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c r="AA919" s="106"/>
      <c r="AB919" s="106"/>
      <c r="AC919" s="106"/>
      <c r="AD919" s="106"/>
      <c r="AE919" s="106"/>
      <c r="AF919" s="106"/>
      <c r="AG919" s="106"/>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c r="BK919" s="124"/>
      <c r="BL919" s="124"/>
      <c r="BM919" s="124"/>
      <c r="BN919" s="124"/>
      <c r="BO919" s="124"/>
      <c r="BP919" s="124"/>
      <c r="BQ919" s="124"/>
      <c r="BR919" s="124"/>
      <c r="BS919" s="124"/>
      <c r="BT919" s="124"/>
      <c r="BU919" s="124"/>
      <c r="BV919" s="124"/>
      <c r="BW919" s="124"/>
      <c r="BX919" s="124"/>
      <c r="BY919" s="124"/>
      <c r="BZ919" s="124"/>
      <c r="CA919" s="124"/>
    </row>
    <row r="920">
      <c r="A920" s="106"/>
      <c r="B920" s="207"/>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c r="AA920" s="106"/>
      <c r="AB920" s="106"/>
      <c r="AC920" s="106"/>
      <c r="AD920" s="106"/>
      <c r="AE920" s="106"/>
      <c r="AF920" s="106"/>
      <c r="AG920" s="106"/>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c r="BK920" s="124"/>
      <c r="BL920" s="124"/>
      <c r="BM920" s="124"/>
      <c r="BN920" s="124"/>
      <c r="BO920" s="124"/>
      <c r="BP920" s="124"/>
      <c r="BQ920" s="124"/>
      <c r="BR920" s="124"/>
      <c r="BS920" s="124"/>
      <c r="BT920" s="124"/>
      <c r="BU920" s="124"/>
      <c r="BV920" s="124"/>
      <c r="BW920" s="124"/>
      <c r="BX920" s="124"/>
      <c r="BY920" s="124"/>
      <c r="BZ920" s="124"/>
      <c r="CA920" s="124"/>
    </row>
    <row r="921">
      <c r="A921" s="106"/>
      <c r="B921" s="207"/>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c r="AA921" s="106"/>
      <c r="AB921" s="106"/>
      <c r="AC921" s="106"/>
      <c r="AD921" s="106"/>
      <c r="AE921" s="106"/>
      <c r="AF921" s="106"/>
      <c r="AG921" s="106"/>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c r="BK921" s="124"/>
      <c r="BL921" s="124"/>
      <c r="BM921" s="124"/>
      <c r="BN921" s="124"/>
      <c r="BO921" s="124"/>
      <c r="BP921" s="124"/>
      <c r="BQ921" s="124"/>
      <c r="BR921" s="124"/>
      <c r="BS921" s="124"/>
      <c r="BT921" s="124"/>
      <c r="BU921" s="124"/>
      <c r="BV921" s="124"/>
      <c r="BW921" s="124"/>
      <c r="BX921" s="124"/>
      <c r="BY921" s="124"/>
      <c r="BZ921" s="124"/>
      <c r="CA921" s="124"/>
    </row>
    <row r="922">
      <c r="A922" s="106"/>
      <c r="B922" s="207"/>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c r="AA922" s="106"/>
      <c r="AB922" s="106"/>
      <c r="AC922" s="106"/>
      <c r="AD922" s="106"/>
      <c r="AE922" s="106"/>
      <c r="AF922" s="106"/>
      <c r="AG922" s="106"/>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c r="BK922" s="124"/>
      <c r="BL922" s="124"/>
      <c r="BM922" s="124"/>
      <c r="BN922" s="124"/>
      <c r="BO922" s="124"/>
      <c r="BP922" s="124"/>
      <c r="BQ922" s="124"/>
      <c r="BR922" s="124"/>
      <c r="BS922" s="124"/>
      <c r="BT922" s="124"/>
      <c r="BU922" s="124"/>
      <c r="BV922" s="124"/>
      <c r="BW922" s="124"/>
      <c r="BX922" s="124"/>
      <c r="BY922" s="124"/>
      <c r="BZ922" s="124"/>
      <c r="CA922" s="124"/>
    </row>
    <row r="923">
      <c r="A923" s="106"/>
      <c r="B923" s="207"/>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c r="AA923" s="106"/>
      <c r="AB923" s="106"/>
      <c r="AC923" s="106"/>
      <c r="AD923" s="106"/>
      <c r="AE923" s="106"/>
      <c r="AF923" s="106"/>
      <c r="AG923" s="106"/>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c r="BK923" s="124"/>
      <c r="BL923" s="124"/>
      <c r="BM923" s="124"/>
      <c r="BN923" s="124"/>
      <c r="BO923" s="124"/>
      <c r="BP923" s="124"/>
      <c r="BQ923" s="124"/>
      <c r="BR923" s="124"/>
      <c r="BS923" s="124"/>
      <c r="BT923" s="124"/>
      <c r="BU923" s="124"/>
      <c r="BV923" s="124"/>
      <c r="BW923" s="124"/>
      <c r="BX923" s="124"/>
      <c r="BY923" s="124"/>
      <c r="BZ923" s="124"/>
      <c r="CA923" s="124"/>
    </row>
    <row r="924">
      <c r="A924" s="106"/>
      <c r="B924" s="207"/>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c r="AA924" s="106"/>
      <c r="AB924" s="106"/>
      <c r="AC924" s="106"/>
      <c r="AD924" s="106"/>
      <c r="AE924" s="106"/>
      <c r="AF924" s="106"/>
      <c r="AG924" s="106"/>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c r="BK924" s="124"/>
      <c r="BL924" s="124"/>
      <c r="BM924" s="124"/>
      <c r="BN924" s="124"/>
      <c r="BO924" s="124"/>
      <c r="BP924" s="124"/>
      <c r="BQ924" s="124"/>
      <c r="BR924" s="124"/>
      <c r="BS924" s="124"/>
      <c r="BT924" s="124"/>
      <c r="BU924" s="124"/>
      <c r="BV924" s="124"/>
      <c r="BW924" s="124"/>
      <c r="BX924" s="124"/>
      <c r="BY924" s="124"/>
      <c r="BZ924" s="124"/>
      <c r="CA924" s="124"/>
    </row>
    <row r="925">
      <c r="A925" s="106"/>
      <c r="B925" s="207"/>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c r="AA925" s="106"/>
      <c r="AB925" s="106"/>
      <c r="AC925" s="106"/>
      <c r="AD925" s="106"/>
      <c r="AE925" s="106"/>
      <c r="AF925" s="106"/>
      <c r="AG925" s="106"/>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c r="BK925" s="124"/>
      <c r="BL925" s="124"/>
      <c r="BM925" s="124"/>
      <c r="BN925" s="124"/>
      <c r="BO925" s="124"/>
      <c r="BP925" s="124"/>
      <c r="BQ925" s="124"/>
      <c r="BR925" s="124"/>
      <c r="BS925" s="124"/>
      <c r="BT925" s="124"/>
      <c r="BU925" s="124"/>
      <c r="BV925" s="124"/>
      <c r="BW925" s="124"/>
      <c r="BX925" s="124"/>
      <c r="BY925" s="124"/>
      <c r="BZ925" s="124"/>
      <c r="CA925" s="124"/>
    </row>
    <row r="926">
      <c r="A926" s="106"/>
      <c r="B926" s="207"/>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c r="AA926" s="106"/>
      <c r="AB926" s="106"/>
      <c r="AC926" s="106"/>
      <c r="AD926" s="106"/>
      <c r="AE926" s="106"/>
      <c r="AF926" s="106"/>
      <c r="AG926" s="106"/>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c r="BK926" s="124"/>
      <c r="BL926" s="124"/>
      <c r="BM926" s="124"/>
      <c r="BN926" s="124"/>
      <c r="BO926" s="124"/>
      <c r="BP926" s="124"/>
      <c r="BQ926" s="124"/>
      <c r="BR926" s="124"/>
      <c r="BS926" s="124"/>
      <c r="BT926" s="124"/>
      <c r="BU926" s="124"/>
      <c r="BV926" s="124"/>
      <c r="BW926" s="124"/>
      <c r="BX926" s="124"/>
      <c r="BY926" s="124"/>
      <c r="BZ926" s="124"/>
      <c r="CA926" s="124"/>
    </row>
    <row r="927">
      <c r="A927" s="106"/>
      <c r="B927" s="207"/>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c r="AA927" s="106"/>
      <c r="AB927" s="106"/>
      <c r="AC927" s="106"/>
      <c r="AD927" s="106"/>
      <c r="AE927" s="106"/>
      <c r="AF927" s="106"/>
      <c r="AG927" s="106"/>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c r="BK927" s="124"/>
      <c r="BL927" s="124"/>
      <c r="BM927" s="124"/>
      <c r="BN927" s="124"/>
      <c r="BO927" s="124"/>
      <c r="BP927" s="124"/>
      <c r="BQ927" s="124"/>
      <c r="BR927" s="124"/>
      <c r="BS927" s="124"/>
      <c r="BT927" s="124"/>
      <c r="BU927" s="124"/>
      <c r="BV927" s="124"/>
      <c r="BW927" s="124"/>
      <c r="BX927" s="124"/>
      <c r="BY927" s="124"/>
      <c r="BZ927" s="124"/>
      <c r="CA927" s="124"/>
    </row>
    <row r="928">
      <c r="A928" s="106"/>
      <c r="B928" s="207"/>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c r="AA928" s="106"/>
      <c r="AB928" s="106"/>
      <c r="AC928" s="106"/>
      <c r="AD928" s="106"/>
      <c r="AE928" s="106"/>
      <c r="AF928" s="106"/>
      <c r="AG928" s="106"/>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c r="BK928" s="124"/>
      <c r="BL928" s="124"/>
      <c r="BM928" s="124"/>
      <c r="BN928" s="124"/>
      <c r="BO928" s="124"/>
      <c r="BP928" s="124"/>
      <c r="BQ928" s="124"/>
      <c r="BR928" s="124"/>
      <c r="BS928" s="124"/>
      <c r="BT928" s="124"/>
      <c r="BU928" s="124"/>
      <c r="BV928" s="124"/>
      <c r="BW928" s="124"/>
      <c r="BX928" s="124"/>
      <c r="BY928" s="124"/>
      <c r="BZ928" s="124"/>
      <c r="CA928" s="124"/>
    </row>
    <row r="929">
      <c r="A929" s="106"/>
      <c r="B929" s="207"/>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c r="AA929" s="106"/>
      <c r="AB929" s="106"/>
      <c r="AC929" s="106"/>
      <c r="AD929" s="106"/>
      <c r="AE929" s="106"/>
      <c r="AF929" s="106"/>
      <c r="AG929" s="106"/>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c r="BK929" s="124"/>
      <c r="BL929" s="124"/>
      <c r="BM929" s="124"/>
      <c r="BN929" s="124"/>
      <c r="BO929" s="124"/>
      <c r="BP929" s="124"/>
      <c r="BQ929" s="124"/>
      <c r="BR929" s="124"/>
      <c r="BS929" s="124"/>
      <c r="BT929" s="124"/>
      <c r="BU929" s="124"/>
      <c r="BV929" s="124"/>
      <c r="BW929" s="124"/>
      <c r="BX929" s="124"/>
      <c r="BY929" s="124"/>
      <c r="BZ929" s="124"/>
      <c r="CA929" s="124"/>
    </row>
    <row r="930">
      <c r="A930" s="106"/>
      <c r="B930" s="207"/>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c r="AA930" s="106"/>
      <c r="AB930" s="106"/>
      <c r="AC930" s="106"/>
      <c r="AD930" s="106"/>
      <c r="AE930" s="106"/>
      <c r="AF930" s="106"/>
      <c r="AG930" s="106"/>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c r="BK930" s="124"/>
      <c r="BL930" s="124"/>
      <c r="BM930" s="124"/>
      <c r="BN930" s="124"/>
      <c r="BO930" s="124"/>
      <c r="BP930" s="124"/>
      <c r="BQ930" s="124"/>
      <c r="BR930" s="124"/>
      <c r="BS930" s="124"/>
      <c r="BT930" s="124"/>
      <c r="BU930" s="124"/>
      <c r="BV930" s="124"/>
      <c r="BW930" s="124"/>
      <c r="BX930" s="124"/>
      <c r="BY930" s="124"/>
      <c r="BZ930" s="124"/>
      <c r="CA930" s="124"/>
    </row>
    <row r="931">
      <c r="A931" s="106"/>
      <c r="B931" s="207"/>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c r="AA931" s="106"/>
      <c r="AB931" s="106"/>
      <c r="AC931" s="106"/>
      <c r="AD931" s="106"/>
      <c r="AE931" s="106"/>
      <c r="AF931" s="106"/>
      <c r="AG931" s="106"/>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c r="BK931" s="124"/>
      <c r="BL931" s="124"/>
      <c r="BM931" s="124"/>
      <c r="BN931" s="124"/>
      <c r="BO931" s="124"/>
      <c r="BP931" s="124"/>
      <c r="BQ931" s="124"/>
      <c r="BR931" s="124"/>
      <c r="BS931" s="124"/>
      <c r="BT931" s="124"/>
      <c r="BU931" s="124"/>
      <c r="BV931" s="124"/>
      <c r="BW931" s="124"/>
      <c r="BX931" s="124"/>
      <c r="BY931" s="124"/>
      <c r="BZ931" s="124"/>
      <c r="CA931" s="124"/>
    </row>
    <row r="932">
      <c r="A932" s="106"/>
      <c r="B932" s="207"/>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c r="AA932" s="106"/>
      <c r="AB932" s="106"/>
      <c r="AC932" s="106"/>
      <c r="AD932" s="106"/>
      <c r="AE932" s="106"/>
      <c r="AF932" s="106"/>
      <c r="AG932" s="106"/>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c r="BK932" s="124"/>
      <c r="BL932" s="124"/>
      <c r="BM932" s="124"/>
      <c r="BN932" s="124"/>
      <c r="BO932" s="124"/>
      <c r="BP932" s="124"/>
      <c r="BQ932" s="124"/>
      <c r="BR932" s="124"/>
      <c r="BS932" s="124"/>
      <c r="BT932" s="124"/>
      <c r="BU932" s="124"/>
      <c r="BV932" s="124"/>
      <c r="BW932" s="124"/>
      <c r="BX932" s="124"/>
      <c r="BY932" s="124"/>
      <c r="BZ932" s="124"/>
      <c r="CA932" s="124"/>
    </row>
    <row r="933">
      <c r="A933" s="106"/>
      <c r="B933" s="207"/>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c r="AA933" s="106"/>
      <c r="AB933" s="106"/>
      <c r="AC933" s="106"/>
      <c r="AD933" s="106"/>
      <c r="AE933" s="106"/>
      <c r="AF933" s="106"/>
      <c r="AG933" s="106"/>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c r="BK933" s="124"/>
      <c r="BL933" s="124"/>
      <c r="BM933" s="124"/>
      <c r="BN933" s="124"/>
      <c r="BO933" s="124"/>
      <c r="BP933" s="124"/>
      <c r="BQ933" s="124"/>
      <c r="BR933" s="124"/>
      <c r="BS933" s="124"/>
      <c r="BT933" s="124"/>
      <c r="BU933" s="124"/>
      <c r="BV933" s="124"/>
      <c r="BW933" s="124"/>
      <c r="BX933" s="124"/>
      <c r="BY933" s="124"/>
      <c r="BZ933" s="124"/>
      <c r="CA933" s="124"/>
    </row>
    <row r="934">
      <c r="A934" s="106"/>
      <c r="B934" s="207"/>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c r="AA934" s="106"/>
      <c r="AB934" s="106"/>
      <c r="AC934" s="106"/>
      <c r="AD934" s="106"/>
      <c r="AE934" s="106"/>
      <c r="AF934" s="106"/>
      <c r="AG934" s="106"/>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c r="BK934" s="124"/>
      <c r="BL934" s="124"/>
      <c r="BM934" s="124"/>
      <c r="BN934" s="124"/>
      <c r="BO934" s="124"/>
      <c r="BP934" s="124"/>
      <c r="BQ934" s="124"/>
      <c r="BR934" s="124"/>
      <c r="BS934" s="124"/>
      <c r="BT934" s="124"/>
      <c r="BU934" s="124"/>
      <c r="BV934" s="124"/>
      <c r="BW934" s="124"/>
      <c r="BX934" s="124"/>
      <c r="BY934" s="124"/>
      <c r="BZ934" s="124"/>
      <c r="CA934" s="124"/>
    </row>
    <row r="935">
      <c r="A935" s="106"/>
      <c r="B935" s="207"/>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c r="AA935" s="106"/>
      <c r="AB935" s="106"/>
      <c r="AC935" s="106"/>
      <c r="AD935" s="106"/>
      <c r="AE935" s="106"/>
      <c r="AF935" s="106"/>
      <c r="AG935" s="106"/>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c r="BK935" s="124"/>
      <c r="BL935" s="124"/>
      <c r="BM935" s="124"/>
      <c r="BN935" s="124"/>
      <c r="BO935" s="124"/>
      <c r="BP935" s="124"/>
      <c r="BQ935" s="124"/>
      <c r="BR935" s="124"/>
      <c r="BS935" s="124"/>
      <c r="BT935" s="124"/>
      <c r="BU935" s="124"/>
      <c r="BV935" s="124"/>
      <c r="BW935" s="124"/>
      <c r="BX935" s="124"/>
      <c r="BY935" s="124"/>
      <c r="BZ935" s="124"/>
      <c r="CA935" s="124"/>
    </row>
    <row r="936">
      <c r="A936" s="106"/>
      <c r="B936" s="207"/>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c r="AA936" s="106"/>
      <c r="AB936" s="106"/>
      <c r="AC936" s="106"/>
      <c r="AD936" s="106"/>
      <c r="AE936" s="106"/>
      <c r="AF936" s="106"/>
      <c r="AG936" s="106"/>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c r="BK936" s="124"/>
      <c r="BL936" s="124"/>
      <c r="BM936" s="124"/>
      <c r="BN936" s="124"/>
      <c r="BO936" s="124"/>
      <c r="BP936" s="124"/>
      <c r="BQ936" s="124"/>
      <c r="BR936" s="124"/>
      <c r="BS936" s="124"/>
      <c r="BT936" s="124"/>
      <c r="BU936" s="124"/>
      <c r="BV936" s="124"/>
      <c r="BW936" s="124"/>
      <c r="BX936" s="124"/>
      <c r="BY936" s="124"/>
      <c r="BZ936" s="124"/>
      <c r="CA936" s="124"/>
    </row>
    <row r="937">
      <c r="A937" s="106"/>
      <c r="B937" s="207"/>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c r="AA937" s="106"/>
      <c r="AB937" s="106"/>
      <c r="AC937" s="106"/>
      <c r="AD937" s="106"/>
      <c r="AE937" s="106"/>
      <c r="AF937" s="106"/>
      <c r="AG937" s="106"/>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c r="BK937" s="124"/>
      <c r="BL937" s="124"/>
      <c r="BM937" s="124"/>
      <c r="BN937" s="124"/>
      <c r="BO937" s="124"/>
      <c r="BP937" s="124"/>
      <c r="BQ937" s="124"/>
      <c r="BR937" s="124"/>
      <c r="BS937" s="124"/>
      <c r="BT937" s="124"/>
      <c r="BU937" s="124"/>
      <c r="BV937" s="124"/>
      <c r="BW937" s="124"/>
      <c r="BX937" s="124"/>
      <c r="BY937" s="124"/>
      <c r="BZ937" s="124"/>
      <c r="CA937" s="124"/>
    </row>
    <row r="938">
      <c r="A938" s="106"/>
      <c r="B938" s="207"/>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c r="AA938" s="106"/>
      <c r="AB938" s="106"/>
      <c r="AC938" s="106"/>
      <c r="AD938" s="106"/>
      <c r="AE938" s="106"/>
      <c r="AF938" s="106"/>
      <c r="AG938" s="106"/>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c r="BK938" s="124"/>
      <c r="BL938" s="124"/>
      <c r="BM938" s="124"/>
      <c r="BN938" s="124"/>
      <c r="BO938" s="124"/>
      <c r="BP938" s="124"/>
      <c r="BQ938" s="124"/>
      <c r="BR938" s="124"/>
      <c r="BS938" s="124"/>
      <c r="BT938" s="124"/>
      <c r="BU938" s="124"/>
      <c r="BV938" s="124"/>
      <c r="BW938" s="124"/>
      <c r="BX938" s="124"/>
      <c r="BY938" s="124"/>
      <c r="BZ938" s="124"/>
      <c r="CA938" s="124"/>
    </row>
    <row r="939">
      <c r="A939" s="106"/>
      <c r="B939" s="207"/>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c r="AA939" s="106"/>
      <c r="AB939" s="106"/>
      <c r="AC939" s="106"/>
      <c r="AD939" s="106"/>
      <c r="AE939" s="106"/>
      <c r="AF939" s="106"/>
      <c r="AG939" s="106"/>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c r="BK939" s="124"/>
      <c r="BL939" s="124"/>
      <c r="BM939" s="124"/>
      <c r="BN939" s="124"/>
      <c r="BO939" s="124"/>
      <c r="BP939" s="124"/>
      <c r="BQ939" s="124"/>
      <c r="BR939" s="124"/>
      <c r="BS939" s="124"/>
      <c r="BT939" s="124"/>
      <c r="BU939" s="124"/>
      <c r="BV939" s="124"/>
      <c r="BW939" s="124"/>
      <c r="BX939" s="124"/>
      <c r="BY939" s="124"/>
      <c r="BZ939" s="124"/>
      <c r="CA939" s="124"/>
    </row>
    <row r="940">
      <c r="A940" s="106"/>
      <c r="B940" s="207"/>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c r="AA940" s="106"/>
      <c r="AB940" s="106"/>
      <c r="AC940" s="106"/>
      <c r="AD940" s="106"/>
      <c r="AE940" s="106"/>
      <c r="AF940" s="106"/>
      <c r="AG940" s="106"/>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c r="BK940" s="124"/>
      <c r="BL940" s="124"/>
      <c r="BM940" s="124"/>
      <c r="BN940" s="124"/>
      <c r="BO940" s="124"/>
      <c r="BP940" s="124"/>
      <c r="BQ940" s="124"/>
      <c r="BR940" s="124"/>
      <c r="BS940" s="124"/>
      <c r="BT940" s="124"/>
      <c r="BU940" s="124"/>
      <c r="BV940" s="124"/>
      <c r="BW940" s="124"/>
      <c r="BX940" s="124"/>
      <c r="BY940" s="124"/>
      <c r="BZ940" s="124"/>
      <c r="CA940" s="124"/>
    </row>
    <row r="941">
      <c r="A941" s="106"/>
      <c r="B941" s="207"/>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c r="AA941" s="106"/>
      <c r="AB941" s="106"/>
      <c r="AC941" s="106"/>
      <c r="AD941" s="106"/>
      <c r="AE941" s="106"/>
      <c r="AF941" s="106"/>
      <c r="AG941" s="106"/>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c r="BK941" s="124"/>
      <c r="BL941" s="124"/>
      <c r="BM941" s="124"/>
      <c r="BN941" s="124"/>
      <c r="BO941" s="124"/>
      <c r="BP941" s="124"/>
      <c r="BQ941" s="124"/>
      <c r="BR941" s="124"/>
      <c r="BS941" s="124"/>
      <c r="BT941" s="124"/>
      <c r="BU941" s="124"/>
      <c r="BV941" s="124"/>
      <c r="BW941" s="124"/>
      <c r="BX941" s="124"/>
      <c r="BY941" s="124"/>
      <c r="BZ941" s="124"/>
      <c r="CA941" s="124"/>
    </row>
    <row r="942">
      <c r="A942" s="106"/>
      <c r="B942" s="207"/>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c r="AA942" s="106"/>
      <c r="AB942" s="106"/>
      <c r="AC942" s="106"/>
      <c r="AD942" s="106"/>
      <c r="AE942" s="106"/>
      <c r="AF942" s="106"/>
      <c r="AG942" s="106"/>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c r="BK942" s="124"/>
      <c r="BL942" s="124"/>
      <c r="BM942" s="124"/>
      <c r="BN942" s="124"/>
      <c r="BO942" s="124"/>
      <c r="BP942" s="124"/>
      <c r="BQ942" s="124"/>
      <c r="BR942" s="124"/>
      <c r="BS942" s="124"/>
      <c r="BT942" s="124"/>
      <c r="BU942" s="124"/>
      <c r="BV942" s="124"/>
      <c r="BW942" s="124"/>
      <c r="BX942" s="124"/>
      <c r="BY942" s="124"/>
      <c r="BZ942" s="124"/>
      <c r="CA942" s="124"/>
    </row>
    <row r="943">
      <c r="A943" s="106"/>
      <c r="B943" s="207"/>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c r="AA943" s="106"/>
      <c r="AB943" s="106"/>
      <c r="AC943" s="106"/>
      <c r="AD943" s="106"/>
      <c r="AE943" s="106"/>
      <c r="AF943" s="106"/>
      <c r="AG943" s="106"/>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c r="BK943" s="124"/>
      <c r="BL943" s="124"/>
      <c r="BM943" s="124"/>
      <c r="BN943" s="124"/>
      <c r="BO943" s="124"/>
      <c r="BP943" s="124"/>
      <c r="BQ943" s="124"/>
      <c r="BR943" s="124"/>
      <c r="BS943" s="124"/>
      <c r="BT943" s="124"/>
      <c r="BU943" s="124"/>
      <c r="BV943" s="124"/>
      <c r="BW943" s="124"/>
      <c r="BX943" s="124"/>
      <c r="BY943" s="124"/>
      <c r="BZ943" s="124"/>
      <c r="CA943" s="124"/>
    </row>
    <row r="944">
      <c r="A944" s="106"/>
      <c r="B944" s="207"/>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c r="AA944" s="106"/>
      <c r="AB944" s="106"/>
      <c r="AC944" s="106"/>
      <c r="AD944" s="106"/>
      <c r="AE944" s="106"/>
      <c r="AF944" s="106"/>
      <c r="AG944" s="106"/>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c r="BK944" s="124"/>
      <c r="BL944" s="124"/>
      <c r="BM944" s="124"/>
      <c r="BN944" s="124"/>
      <c r="BO944" s="124"/>
      <c r="BP944" s="124"/>
      <c r="BQ944" s="124"/>
      <c r="BR944" s="124"/>
      <c r="BS944" s="124"/>
      <c r="BT944" s="124"/>
      <c r="BU944" s="124"/>
      <c r="BV944" s="124"/>
      <c r="BW944" s="124"/>
      <c r="BX944" s="124"/>
      <c r="BY944" s="124"/>
      <c r="BZ944" s="124"/>
      <c r="CA944" s="124"/>
    </row>
    <row r="945">
      <c r="A945" s="106"/>
      <c r="B945" s="207"/>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c r="AA945" s="106"/>
      <c r="AB945" s="106"/>
      <c r="AC945" s="106"/>
      <c r="AD945" s="106"/>
      <c r="AE945" s="106"/>
      <c r="AF945" s="106"/>
      <c r="AG945" s="106"/>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c r="BK945" s="124"/>
      <c r="BL945" s="124"/>
      <c r="BM945" s="124"/>
      <c r="BN945" s="124"/>
      <c r="BO945" s="124"/>
      <c r="BP945" s="124"/>
      <c r="BQ945" s="124"/>
      <c r="BR945" s="124"/>
      <c r="BS945" s="124"/>
      <c r="BT945" s="124"/>
      <c r="BU945" s="124"/>
      <c r="BV945" s="124"/>
      <c r="BW945" s="124"/>
      <c r="BX945" s="124"/>
      <c r="BY945" s="124"/>
      <c r="BZ945" s="124"/>
      <c r="CA945" s="124"/>
    </row>
    <row r="946">
      <c r="A946" s="106"/>
      <c r="B946" s="207"/>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c r="AA946" s="106"/>
      <c r="AB946" s="106"/>
      <c r="AC946" s="106"/>
      <c r="AD946" s="106"/>
      <c r="AE946" s="106"/>
      <c r="AF946" s="106"/>
      <c r="AG946" s="106"/>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c r="BK946" s="124"/>
      <c r="BL946" s="124"/>
      <c r="BM946" s="124"/>
      <c r="BN946" s="124"/>
      <c r="BO946" s="124"/>
      <c r="BP946" s="124"/>
      <c r="BQ946" s="124"/>
      <c r="BR946" s="124"/>
      <c r="BS946" s="124"/>
      <c r="BT946" s="124"/>
      <c r="BU946" s="124"/>
      <c r="BV946" s="124"/>
      <c r="BW946" s="124"/>
      <c r="BX946" s="124"/>
      <c r="BY946" s="124"/>
      <c r="BZ946" s="124"/>
      <c r="CA946" s="124"/>
    </row>
    <row r="947">
      <c r="A947" s="106"/>
      <c r="B947" s="207"/>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c r="AA947" s="106"/>
      <c r="AB947" s="106"/>
      <c r="AC947" s="106"/>
      <c r="AD947" s="106"/>
      <c r="AE947" s="106"/>
      <c r="AF947" s="106"/>
      <c r="AG947" s="106"/>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c r="BK947" s="124"/>
      <c r="BL947" s="124"/>
      <c r="BM947" s="124"/>
      <c r="BN947" s="124"/>
      <c r="BO947" s="124"/>
      <c r="BP947" s="124"/>
      <c r="BQ947" s="124"/>
      <c r="BR947" s="124"/>
      <c r="BS947" s="124"/>
      <c r="BT947" s="124"/>
      <c r="BU947" s="124"/>
      <c r="BV947" s="124"/>
      <c r="BW947" s="124"/>
      <c r="BX947" s="124"/>
      <c r="BY947" s="124"/>
      <c r="BZ947" s="124"/>
      <c r="CA947" s="124"/>
    </row>
    <row r="948">
      <c r="A948" s="106"/>
      <c r="B948" s="207"/>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c r="AA948" s="106"/>
      <c r="AB948" s="106"/>
      <c r="AC948" s="106"/>
      <c r="AD948" s="106"/>
      <c r="AE948" s="106"/>
      <c r="AF948" s="106"/>
      <c r="AG948" s="106"/>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c r="BK948" s="124"/>
      <c r="BL948" s="124"/>
      <c r="BM948" s="124"/>
      <c r="BN948" s="124"/>
      <c r="BO948" s="124"/>
      <c r="BP948" s="124"/>
      <c r="BQ948" s="124"/>
      <c r="BR948" s="124"/>
      <c r="BS948" s="124"/>
      <c r="BT948" s="124"/>
      <c r="BU948" s="124"/>
      <c r="BV948" s="124"/>
      <c r="BW948" s="124"/>
      <c r="BX948" s="124"/>
      <c r="BY948" s="124"/>
      <c r="BZ948" s="124"/>
      <c r="CA948" s="124"/>
    </row>
    <row r="949">
      <c r="A949" s="106"/>
      <c r="B949" s="207"/>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c r="AA949" s="106"/>
      <c r="AB949" s="106"/>
      <c r="AC949" s="106"/>
      <c r="AD949" s="106"/>
      <c r="AE949" s="106"/>
      <c r="AF949" s="106"/>
      <c r="AG949" s="106"/>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c r="BK949" s="124"/>
      <c r="BL949" s="124"/>
      <c r="BM949" s="124"/>
      <c r="BN949" s="124"/>
      <c r="BO949" s="124"/>
      <c r="BP949" s="124"/>
      <c r="BQ949" s="124"/>
      <c r="BR949" s="124"/>
      <c r="BS949" s="124"/>
      <c r="BT949" s="124"/>
      <c r="BU949" s="124"/>
      <c r="BV949" s="124"/>
      <c r="BW949" s="124"/>
      <c r="BX949" s="124"/>
      <c r="BY949" s="124"/>
      <c r="BZ949" s="124"/>
      <c r="CA949" s="124"/>
    </row>
    <row r="950">
      <c r="A950" s="106"/>
      <c r="B950" s="207"/>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c r="AA950" s="106"/>
      <c r="AB950" s="106"/>
      <c r="AC950" s="106"/>
      <c r="AD950" s="106"/>
      <c r="AE950" s="106"/>
      <c r="AF950" s="106"/>
      <c r="AG950" s="106"/>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c r="BK950" s="124"/>
      <c r="BL950" s="124"/>
      <c r="BM950" s="124"/>
      <c r="BN950" s="124"/>
      <c r="BO950" s="124"/>
      <c r="BP950" s="124"/>
      <c r="BQ950" s="124"/>
      <c r="BR950" s="124"/>
      <c r="BS950" s="124"/>
      <c r="BT950" s="124"/>
      <c r="BU950" s="124"/>
      <c r="BV950" s="124"/>
      <c r="BW950" s="124"/>
      <c r="BX950" s="124"/>
      <c r="BY950" s="124"/>
      <c r="BZ950" s="124"/>
      <c r="CA950" s="124"/>
    </row>
    <row r="951">
      <c r="A951" s="106"/>
      <c r="B951" s="207"/>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c r="AA951" s="106"/>
      <c r="AB951" s="106"/>
      <c r="AC951" s="106"/>
      <c r="AD951" s="106"/>
      <c r="AE951" s="106"/>
      <c r="AF951" s="106"/>
      <c r="AG951" s="106"/>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c r="BK951" s="124"/>
      <c r="BL951" s="124"/>
      <c r="BM951" s="124"/>
      <c r="BN951" s="124"/>
      <c r="BO951" s="124"/>
      <c r="BP951" s="124"/>
      <c r="BQ951" s="124"/>
      <c r="BR951" s="124"/>
      <c r="BS951" s="124"/>
      <c r="BT951" s="124"/>
      <c r="BU951" s="124"/>
      <c r="BV951" s="124"/>
      <c r="BW951" s="124"/>
      <c r="BX951" s="124"/>
      <c r="BY951" s="124"/>
      <c r="BZ951" s="124"/>
      <c r="CA951" s="124"/>
    </row>
    <row r="952">
      <c r="A952" s="106"/>
      <c r="B952" s="207"/>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c r="AA952" s="106"/>
      <c r="AB952" s="106"/>
      <c r="AC952" s="106"/>
      <c r="AD952" s="106"/>
      <c r="AE952" s="106"/>
      <c r="AF952" s="106"/>
      <c r="AG952" s="106"/>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c r="BK952" s="124"/>
      <c r="BL952" s="124"/>
      <c r="BM952" s="124"/>
      <c r="BN952" s="124"/>
      <c r="BO952" s="124"/>
      <c r="BP952" s="124"/>
      <c r="BQ952" s="124"/>
      <c r="BR952" s="124"/>
      <c r="BS952" s="124"/>
      <c r="BT952" s="124"/>
      <c r="BU952" s="124"/>
      <c r="BV952" s="124"/>
      <c r="BW952" s="124"/>
      <c r="BX952" s="124"/>
      <c r="BY952" s="124"/>
      <c r="BZ952" s="124"/>
      <c r="CA952" s="124"/>
    </row>
    <row r="953">
      <c r="A953" s="106"/>
      <c r="B953" s="207"/>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c r="AA953" s="106"/>
      <c r="AB953" s="106"/>
      <c r="AC953" s="106"/>
      <c r="AD953" s="106"/>
      <c r="AE953" s="106"/>
      <c r="AF953" s="106"/>
      <c r="AG953" s="106"/>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c r="BK953" s="124"/>
      <c r="BL953" s="124"/>
      <c r="BM953" s="124"/>
      <c r="BN953" s="124"/>
      <c r="BO953" s="124"/>
      <c r="BP953" s="124"/>
      <c r="BQ953" s="124"/>
      <c r="BR953" s="124"/>
      <c r="BS953" s="124"/>
      <c r="BT953" s="124"/>
      <c r="BU953" s="124"/>
      <c r="BV953" s="124"/>
      <c r="BW953" s="124"/>
      <c r="BX953" s="124"/>
      <c r="BY953" s="124"/>
      <c r="BZ953" s="124"/>
      <c r="CA953" s="124"/>
    </row>
    <row r="954">
      <c r="A954" s="106"/>
      <c r="B954" s="207"/>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c r="AA954" s="106"/>
      <c r="AB954" s="106"/>
      <c r="AC954" s="106"/>
      <c r="AD954" s="106"/>
      <c r="AE954" s="106"/>
      <c r="AF954" s="106"/>
      <c r="AG954" s="106"/>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c r="BK954" s="124"/>
      <c r="BL954" s="124"/>
      <c r="BM954" s="124"/>
      <c r="BN954" s="124"/>
      <c r="BO954" s="124"/>
      <c r="BP954" s="124"/>
      <c r="BQ954" s="124"/>
      <c r="BR954" s="124"/>
      <c r="BS954" s="124"/>
      <c r="BT954" s="124"/>
      <c r="BU954" s="124"/>
      <c r="BV954" s="124"/>
      <c r="BW954" s="124"/>
      <c r="BX954" s="124"/>
      <c r="BY954" s="124"/>
      <c r="BZ954" s="124"/>
      <c r="CA954" s="124"/>
    </row>
    <row r="955">
      <c r="A955" s="106"/>
      <c r="B955" s="207"/>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c r="AA955" s="106"/>
      <c r="AB955" s="106"/>
      <c r="AC955" s="106"/>
      <c r="AD955" s="106"/>
      <c r="AE955" s="106"/>
      <c r="AF955" s="106"/>
      <c r="AG955" s="106"/>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c r="BK955" s="124"/>
      <c r="BL955" s="124"/>
      <c r="BM955" s="124"/>
      <c r="BN955" s="124"/>
      <c r="BO955" s="124"/>
      <c r="BP955" s="124"/>
      <c r="BQ955" s="124"/>
      <c r="BR955" s="124"/>
      <c r="BS955" s="124"/>
      <c r="BT955" s="124"/>
      <c r="BU955" s="124"/>
      <c r="BV955" s="124"/>
      <c r="BW955" s="124"/>
      <c r="BX955" s="124"/>
      <c r="BY955" s="124"/>
      <c r="BZ955" s="124"/>
      <c r="CA955" s="124"/>
    </row>
    <row r="956">
      <c r="A956" s="106"/>
      <c r="B956" s="207"/>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c r="AA956" s="106"/>
      <c r="AB956" s="106"/>
      <c r="AC956" s="106"/>
      <c r="AD956" s="106"/>
      <c r="AE956" s="106"/>
      <c r="AF956" s="106"/>
      <c r="AG956" s="106"/>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c r="BK956" s="124"/>
      <c r="BL956" s="124"/>
      <c r="BM956" s="124"/>
      <c r="BN956" s="124"/>
      <c r="BO956" s="124"/>
      <c r="BP956" s="124"/>
      <c r="BQ956" s="124"/>
      <c r="BR956" s="124"/>
      <c r="BS956" s="124"/>
      <c r="BT956" s="124"/>
      <c r="BU956" s="124"/>
      <c r="BV956" s="124"/>
      <c r="BW956" s="124"/>
      <c r="BX956" s="124"/>
      <c r="BY956" s="124"/>
      <c r="BZ956" s="124"/>
      <c r="CA956" s="124"/>
    </row>
    <row r="957">
      <c r="A957" s="106"/>
      <c r="B957" s="207"/>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c r="AA957" s="106"/>
      <c r="AB957" s="106"/>
      <c r="AC957" s="106"/>
      <c r="AD957" s="106"/>
      <c r="AE957" s="106"/>
      <c r="AF957" s="106"/>
      <c r="AG957" s="106"/>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c r="BK957" s="124"/>
      <c r="BL957" s="124"/>
      <c r="BM957" s="124"/>
      <c r="BN957" s="124"/>
      <c r="BO957" s="124"/>
      <c r="BP957" s="124"/>
      <c r="BQ957" s="124"/>
      <c r="BR957" s="124"/>
      <c r="BS957" s="124"/>
      <c r="BT957" s="124"/>
      <c r="BU957" s="124"/>
      <c r="BV957" s="124"/>
      <c r="BW957" s="124"/>
      <c r="BX957" s="124"/>
      <c r="BY957" s="124"/>
      <c r="BZ957" s="124"/>
      <c r="CA957" s="124"/>
    </row>
    <row r="958">
      <c r="A958" s="106"/>
      <c r="B958" s="207"/>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c r="AA958" s="106"/>
      <c r="AB958" s="106"/>
      <c r="AC958" s="106"/>
      <c r="AD958" s="106"/>
      <c r="AE958" s="106"/>
      <c r="AF958" s="106"/>
      <c r="AG958" s="106"/>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c r="BK958" s="124"/>
      <c r="BL958" s="124"/>
      <c r="BM958" s="124"/>
      <c r="BN958" s="124"/>
      <c r="BO958" s="124"/>
      <c r="BP958" s="124"/>
      <c r="BQ958" s="124"/>
      <c r="BR958" s="124"/>
      <c r="BS958" s="124"/>
      <c r="BT958" s="124"/>
      <c r="BU958" s="124"/>
      <c r="BV958" s="124"/>
      <c r="BW958" s="124"/>
      <c r="BX958" s="124"/>
      <c r="BY958" s="124"/>
      <c r="BZ958" s="124"/>
      <c r="CA958" s="124"/>
    </row>
    <row r="959">
      <c r="A959" s="106"/>
      <c r="B959" s="207"/>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c r="AA959" s="106"/>
      <c r="AB959" s="106"/>
      <c r="AC959" s="106"/>
      <c r="AD959" s="106"/>
      <c r="AE959" s="106"/>
      <c r="AF959" s="106"/>
      <c r="AG959" s="106"/>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c r="BK959" s="124"/>
      <c r="BL959" s="124"/>
      <c r="BM959" s="124"/>
      <c r="BN959" s="124"/>
      <c r="BO959" s="124"/>
      <c r="BP959" s="124"/>
      <c r="BQ959" s="124"/>
      <c r="BR959" s="124"/>
      <c r="BS959" s="124"/>
      <c r="BT959" s="124"/>
      <c r="BU959" s="124"/>
      <c r="BV959" s="124"/>
      <c r="BW959" s="124"/>
      <c r="BX959" s="124"/>
      <c r="BY959" s="124"/>
      <c r="BZ959" s="124"/>
      <c r="CA959" s="124"/>
    </row>
    <row r="960">
      <c r="A960" s="106"/>
      <c r="B960" s="207"/>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c r="AA960" s="106"/>
      <c r="AB960" s="106"/>
      <c r="AC960" s="106"/>
      <c r="AD960" s="106"/>
      <c r="AE960" s="106"/>
      <c r="AF960" s="106"/>
      <c r="AG960" s="106"/>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c r="BK960" s="124"/>
      <c r="BL960" s="124"/>
      <c r="BM960" s="124"/>
      <c r="BN960" s="124"/>
      <c r="BO960" s="124"/>
      <c r="BP960" s="124"/>
      <c r="BQ960" s="124"/>
      <c r="BR960" s="124"/>
      <c r="BS960" s="124"/>
      <c r="BT960" s="124"/>
      <c r="BU960" s="124"/>
      <c r="BV960" s="124"/>
      <c r="BW960" s="124"/>
      <c r="BX960" s="124"/>
      <c r="BY960" s="124"/>
      <c r="BZ960" s="124"/>
      <c r="CA960" s="124"/>
    </row>
    <row r="961">
      <c r="A961" s="106"/>
      <c r="B961" s="207"/>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c r="AA961" s="106"/>
      <c r="AB961" s="106"/>
      <c r="AC961" s="106"/>
      <c r="AD961" s="106"/>
      <c r="AE961" s="106"/>
      <c r="AF961" s="106"/>
      <c r="AG961" s="106"/>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c r="BK961" s="124"/>
      <c r="BL961" s="124"/>
      <c r="BM961" s="124"/>
      <c r="BN961" s="124"/>
      <c r="BO961" s="124"/>
      <c r="BP961" s="124"/>
      <c r="BQ961" s="124"/>
      <c r="BR961" s="124"/>
      <c r="BS961" s="124"/>
      <c r="BT961" s="124"/>
      <c r="BU961" s="124"/>
      <c r="BV961" s="124"/>
      <c r="BW961" s="124"/>
      <c r="BX961" s="124"/>
      <c r="BY961" s="124"/>
      <c r="BZ961" s="124"/>
      <c r="CA961" s="124"/>
    </row>
    <row r="962">
      <c r="A962" s="106"/>
      <c r="B962" s="207"/>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c r="AA962" s="106"/>
      <c r="AB962" s="106"/>
      <c r="AC962" s="106"/>
      <c r="AD962" s="106"/>
      <c r="AE962" s="106"/>
      <c r="AF962" s="106"/>
      <c r="AG962" s="106"/>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c r="BK962" s="124"/>
      <c r="BL962" s="124"/>
      <c r="BM962" s="124"/>
      <c r="BN962" s="124"/>
      <c r="BO962" s="124"/>
      <c r="BP962" s="124"/>
      <c r="BQ962" s="124"/>
      <c r="BR962" s="124"/>
      <c r="BS962" s="124"/>
      <c r="BT962" s="124"/>
      <c r="BU962" s="124"/>
      <c r="BV962" s="124"/>
      <c r="BW962" s="124"/>
      <c r="BX962" s="124"/>
      <c r="BY962" s="124"/>
      <c r="BZ962" s="124"/>
      <c r="CA962" s="124"/>
    </row>
    <row r="963">
      <c r="A963" s="106"/>
      <c r="B963" s="207"/>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c r="AA963" s="106"/>
      <c r="AB963" s="106"/>
      <c r="AC963" s="106"/>
      <c r="AD963" s="106"/>
      <c r="AE963" s="106"/>
      <c r="AF963" s="106"/>
      <c r="AG963" s="106"/>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c r="BK963" s="124"/>
      <c r="BL963" s="124"/>
      <c r="BM963" s="124"/>
      <c r="BN963" s="124"/>
      <c r="BO963" s="124"/>
      <c r="BP963" s="124"/>
      <c r="BQ963" s="124"/>
      <c r="BR963" s="124"/>
      <c r="BS963" s="124"/>
      <c r="BT963" s="124"/>
      <c r="BU963" s="124"/>
      <c r="BV963" s="124"/>
      <c r="BW963" s="124"/>
      <c r="BX963" s="124"/>
      <c r="BY963" s="124"/>
      <c r="BZ963" s="124"/>
      <c r="CA963" s="124"/>
    </row>
    <row r="964">
      <c r="A964" s="106"/>
      <c r="B964" s="207"/>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c r="AA964" s="106"/>
      <c r="AB964" s="106"/>
      <c r="AC964" s="106"/>
      <c r="AD964" s="106"/>
      <c r="AE964" s="106"/>
      <c r="AF964" s="106"/>
      <c r="AG964" s="106"/>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c r="BK964" s="124"/>
      <c r="BL964" s="124"/>
      <c r="BM964" s="124"/>
      <c r="BN964" s="124"/>
      <c r="BO964" s="124"/>
      <c r="BP964" s="124"/>
      <c r="BQ964" s="124"/>
      <c r="BR964" s="124"/>
      <c r="BS964" s="124"/>
      <c r="BT964" s="124"/>
      <c r="BU964" s="124"/>
      <c r="BV964" s="124"/>
      <c r="BW964" s="124"/>
      <c r="BX964" s="124"/>
      <c r="BY964" s="124"/>
      <c r="BZ964" s="124"/>
      <c r="CA964" s="124"/>
    </row>
    <row r="965">
      <c r="A965" s="106"/>
      <c r="B965" s="207"/>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c r="AA965" s="106"/>
      <c r="AB965" s="106"/>
      <c r="AC965" s="106"/>
      <c r="AD965" s="106"/>
      <c r="AE965" s="106"/>
      <c r="AF965" s="106"/>
      <c r="AG965" s="106"/>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c r="BK965" s="124"/>
      <c r="BL965" s="124"/>
      <c r="BM965" s="124"/>
      <c r="BN965" s="124"/>
      <c r="BO965" s="124"/>
      <c r="BP965" s="124"/>
      <c r="BQ965" s="124"/>
      <c r="BR965" s="124"/>
      <c r="BS965" s="124"/>
      <c r="BT965" s="124"/>
      <c r="BU965" s="124"/>
      <c r="BV965" s="124"/>
      <c r="BW965" s="124"/>
      <c r="BX965" s="124"/>
      <c r="BY965" s="124"/>
      <c r="BZ965" s="124"/>
      <c r="CA965" s="124"/>
    </row>
    <row r="966">
      <c r="A966" s="106"/>
      <c r="B966" s="207"/>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c r="AA966" s="106"/>
      <c r="AB966" s="106"/>
      <c r="AC966" s="106"/>
      <c r="AD966" s="106"/>
      <c r="AE966" s="106"/>
      <c r="AF966" s="106"/>
      <c r="AG966" s="106"/>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c r="BK966" s="124"/>
      <c r="BL966" s="124"/>
      <c r="BM966" s="124"/>
      <c r="BN966" s="124"/>
      <c r="BO966" s="124"/>
      <c r="BP966" s="124"/>
      <c r="BQ966" s="124"/>
      <c r="BR966" s="124"/>
      <c r="BS966" s="124"/>
      <c r="BT966" s="124"/>
      <c r="BU966" s="124"/>
      <c r="BV966" s="124"/>
      <c r="BW966" s="124"/>
      <c r="BX966" s="124"/>
      <c r="BY966" s="124"/>
      <c r="BZ966" s="124"/>
      <c r="CA966" s="124"/>
    </row>
    <row r="967">
      <c r="A967" s="106"/>
      <c r="B967" s="207"/>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c r="AA967" s="106"/>
      <c r="AB967" s="106"/>
      <c r="AC967" s="106"/>
      <c r="AD967" s="106"/>
      <c r="AE967" s="106"/>
      <c r="AF967" s="106"/>
      <c r="AG967" s="106"/>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c r="BK967" s="124"/>
      <c r="BL967" s="124"/>
      <c r="BM967" s="124"/>
      <c r="BN967" s="124"/>
      <c r="BO967" s="124"/>
      <c r="BP967" s="124"/>
      <c r="BQ967" s="124"/>
      <c r="BR967" s="124"/>
      <c r="BS967" s="124"/>
      <c r="BT967" s="124"/>
      <c r="BU967" s="124"/>
      <c r="BV967" s="124"/>
      <c r="BW967" s="124"/>
      <c r="BX967" s="124"/>
      <c r="BY967" s="124"/>
      <c r="BZ967" s="124"/>
      <c r="CA967" s="124"/>
    </row>
    <row r="968">
      <c r="A968" s="106"/>
      <c r="B968" s="207"/>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c r="AA968" s="106"/>
      <c r="AB968" s="106"/>
      <c r="AC968" s="106"/>
      <c r="AD968" s="106"/>
      <c r="AE968" s="106"/>
      <c r="AF968" s="106"/>
      <c r="AG968" s="106"/>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c r="BK968" s="124"/>
      <c r="BL968" s="124"/>
      <c r="BM968" s="124"/>
      <c r="BN968" s="124"/>
      <c r="BO968" s="124"/>
      <c r="BP968" s="124"/>
      <c r="BQ968" s="124"/>
      <c r="BR968" s="124"/>
      <c r="BS968" s="124"/>
      <c r="BT968" s="124"/>
      <c r="BU968" s="124"/>
      <c r="BV968" s="124"/>
      <c r="BW968" s="124"/>
      <c r="BX968" s="124"/>
      <c r="BY968" s="124"/>
      <c r="BZ968" s="124"/>
      <c r="CA968" s="124"/>
    </row>
    <row r="969">
      <c r="A969" s="106"/>
      <c r="B969" s="207"/>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c r="AA969" s="106"/>
      <c r="AB969" s="106"/>
      <c r="AC969" s="106"/>
      <c r="AD969" s="106"/>
      <c r="AE969" s="106"/>
      <c r="AF969" s="106"/>
      <c r="AG969" s="106"/>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c r="BK969" s="124"/>
      <c r="BL969" s="124"/>
      <c r="BM969" s="124"/>
      <c r="BN969" s="124"/>
      <c r="BO969" s="124"/>
      <c r="BP969" s="124"/>
      <c r="BQ969" s="124"/>
      <c r="BR969" s="124"/>
      <c r="BS969" s="124"/>
      <c r="BT969" s="124"/>
      <c r="BU969" s="124"/>
      <c r="BV969" s="124"/>
      <c r="BW969" s="124"/>
      <c r="BX969" s="124"/>
      <c r="BY969" s="124"/>
      <c r="BZ969" s="124"/>
      <c r="CA969" s="124"/>
    </row>
    <row r="970">
      <c r="A970" s="106"/>
      <c r="B970" s="207"/>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c r="AA970" s="106"/>
      <c r="AB970" s="106"/>
      <c r="AC970" s="106"/>
      <c r="AD970" s="106"/>
      <c r="AE970" s="106"/>
      <c r="AF970" s="106"/>
      <c r="AG970" s="106"/>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c r="BK970" s="124"/>
      <c r="BL970" s="124"/>
      <c r="BM970" s="124"/>
      <c r="BN970" s="124"/>
      <c r="BO970" s="124"/>
      <c r="BP970" s="124"/>
      <c r="BQ970" s="124"/>
      <c r="BR970" s="124"/>
      <c r="BS970" s="124"/>
      <c r="BT970" s="124"/>
      <c r="BU970" s="124"/>
      <c r="BV970" s="124"/>
      <c r="BW970" s="124"/>
      <c r="BX970" s="124"/>
      <c r="BY970" s="124"/>
      <c r="BZ970" s="124"/>
      <c r="CA970" s="124"/>
    </row>
    <row r="971">
      <c r="A971" s="106"/>
      <c r="B971" s="207"/>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c r="AA971" s="106"/>
      <c r="AB971" s="106"/>
      <c r="AC971" s="106"/>
      <c r="AD971" s="106"/>
      <c r="AE971" s="106"/>
      <c r="AF971" s="106"/>
      <c r="AG971" s="106"/>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c r="BK971" s="124"/>
      <c r="BL971" s="124"/>
      <c r="BM971" s="124"/>
      <c r="BN971" s="124"/>
      <c r="BO971" s="124"/>
      <c r="BP971" s="124"/>
      <c r="BQ971" s="124"/>
      <c r="BR971" s="124"/>
      <c r="BS971" s="124"/>
      <c r="BT971" s="124"/>
      <c r="BU971" s="124"/>
      <c r="BV971" s="124"/>
      <c r="BW971" s="124"/>
      <c r="BX971" s="124"/>
      <c r="BY971" s="124"/>
      <c r="BZ971" s="124"/>
      <c r="CA971" s="124"/>
    </row>
    <row r="972">
      <c r="A972" s="106"/>
      <c r="B972" s="207"/>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c r="AA972" s="106"/>
      <c r="AB972" s="106"/>
      <c r="AC972" s="106"/>
      <c r="AD972" s="106"/>
      <c r="AE972" s="106"/>
      <c r="AF972" s="106"/>
      <c r="AG972" s="106"/>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c r="BK972" s="124"/>
      <c r="BL972" s="124"/>
      <c r="BM972" s="124"/>
      <c r="BN972" s="124"/>
      <c r="BO972" s="124"/>
      <c r="BP972" s="124"/>
      <c r="BQ972" s="124"/>
      <c r="BR972" s="124"/>
      <c r="BS972" s="124"/>
      <c r="BT972" s="124"/>
      <c r="BU972" s="124"/>
      <c r="BV972" s="124"/>
      <c r="BW972" s="124"/>
      <c r="BX972" s="124"/>
      <c r="BY972" s="124"/>
      <c r="BZ972" s="124"/>
      <c r="CA972" s="124"/>
    </row>
    <row r="973">
      <c r="A973" s="106"/>
      <c r="B973" s="207"/>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c r="AA973" s="106"/>
      <c r="AB973" s="106"/>
      <c r="AC973" s="106"/>
      <c r="AD973" s="106"/>
      <c r="AE973" s="106"/>
      <c r="AF973" s="106"/>
      <c r="AG973" s="106"/>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c r="BK973" s="124"/>
      <c r="BL973" s="124"/>
      <c r="BM973" s="124"/>
      <c r="BN973" s="124"/>
      <c r="BO973" s="124"/>
      <c r="BP973" s="124"/>
      <c r="BQ973" s="124"/>
      <c r="BR973" s="124"/>
      <c r="BS973" s="124"/>
      <c r="BT973" s="124"/>
      <c r="BU973" s="124"/>
      <c r="BV973" s="124"/>
      <c r="BW973" s="124"/>
      <c r="BX973" s="124"/>
      <c r="BY973" s="124"/>
      <c r="BZ973" s="124"/>
      <c r="CA973" s="124"/>
    </row>
    <row r="974">
      <c r="A974" s="106"/>
      <c r="B974" s="207"/>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c r="AA974" s="106"/>
      <c r="AB974" s="106"/>
      <c r="AC974" s="106"/>
      <c r="AD974" s="106"/>
      <c r="AE974" s="106"/>
      <c r="AF974" s="106"/>
      <c r="AG974" s="106"/>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c r="BK974" s="124"/>
      <c r="BL974" s="124"/>
      <c r="BM974" s="124"/>
      <c r="BN974" s="124"/>
      <c r="BO974" s="124"/>
      <c r="BP974" s="124"/>
      <c r="BQ974" s="124"/>
      <c r="BR974" s="124"/>
      <c r="BS974" s="124"/>
      <c r="BT974" s="124"/>
      <c r="BU974" s="124"/>
      <c r="BV974" s="124"/>
      <c r="BW974" s="124"/>
      <c r="BX974" s="124"/>
      <c r="BY974" s="124"/>
      <c r="BZ974" s="124"/>
      <c r="CA974" s="124"/>
    </row>
    <row r="975">
      <c r="A975" s="106"/>
      <c r="B975" s="207"/>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c r="AA975" s="106"/>
      <c r="AB975" s="106"/>
      <c r="AC975" s="106"/>
      <c r="AD975" s="106"/>
      <c r="AE975" s="106"/>
      <c r="AF975" s="106"/>
      <c r="AG975" s="106"/>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c r="BK975" s="124"/>
      <c r="BL975" s="124"/>
      <c r="BM975" s="124"/>
      <c r="BN975" s="124"/>
      <c r="BO975" s="124"/>
      <c r="BP975" s="124"/>
      <c r="BQ975" s="124"/>
      <c r="BR975" s="124"/>
      <c r="BS975" s="124"/>
      <c r="BT975" s="124"/>
      <c r="BU975" s="124"/>
      <c r="BV975" s="124"/>
      <c r="BW975" s="124"/>
      <c r="BX975" s="124"/>
      <c r="BY975" s="124"/>
      <c r="BZ975" s="124"/>
      <c r="CA975" s="124"/>
    </row>
    <row r="976">
      <c r="A976" s="106"/>
      <c r="B976" s="207"/>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c r="AA976" s="106"/>
      <c r="AB976" s="106"/>
      <c r="AC976" s="106"/>
      <c r="AD976" s="106"/>
      <c r="AE976" s="106"/>
      <c r="AF976" s="106"/>
      <c r="AG976" s="106"/>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c r="BK976" s="124"/>
      <c r="BL976" s="124"/>
      <c r="BM976" s="124"/>
      <c r="BN976" s="124"/>
      <c r="BO976" s="124"/>
      <c r="BP976" s="124"/>
      <c r="BQ976" s="124"/>
      <c r="BR976" s="124"/>
      <c r="BS976" s="124"/>
      <c r="BT976" s="124"/>
      <c r="BU976" s="124"/>
      <c r="BV976" s="124"/>
      <c r="BW976" s="124"/>
      <c r="BX976" s="124"/>
      <c r="BY976" s="124"/>
      <c r="BZ976" s="124"/>
      <c r="CA976" s="124"/>
    </row>
    <row r="977">
      <c r="A977" s="106"/>
      <c r="B977" s="207"/>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c r="AA977" s="106"/>
      <c r="AB977" s="106"/>
      <c r="AC977" s="106"/>
      <c r="AD977" s="106"/>
      <c r="AE977" s="106"/>
      <c r="AF977" s="106"/>
      <c r="AG977" s="106"/>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c r="BK977" s="124"/>
      <c r="BL977" s="124"/>
      <c r="BM977" s="124"/>
      <c r="BN977" s="124"/>
      <c r="BO977" s="124"/>
      <c r="BP977" s="124"/>
      <c r="BQ977" s="124"/>
      <c r="BR977" s="124"/>
      <c r="BS977" s="124"/>
      <c r="BT977" s="124"/>
      <c r="BU977" s="124"/>
      <c r="BV977" s="124"/>
      <c r="BW977" s="124"/>
      <c r="BX977" s="124"/>
      <c r="BY977" s="124"/>
      <c r="BZ977" s="124"/>
      <c r="CA977" s="124"/>
    </row>
    <row r="978">
      <c r="A978" s="106"/>
      <c r="B978" s="207"/>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c r="AA978" s="106"/>
      <c r="AB978" s="106"/>
      <c r="AC978" s="106"/>
      <c r="AD978" s="106"/>
      <c r="AE978" s="106"/>
      <c r="AF978" s="106"/>
      <c r="AG978" s="106"/>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c r="BK978" s="124"/>
      <c r="BL978" s="124"/>
      <c r="BM978" s="124"/>
      <c r="BN978" s="124"/>
      <c r="BO978" s="124"/>
      <c r="BP978" s="124"/>
      <c r="BQ978" s="124"/>
      <c r="BR978" s="124"/>
      <c r="BS978" s="124"/>
      <c r="BT978" s="124"/>
      <c r="BU978" s="124"/>
      <c r="BV978" s="124"/>
      <c r="BW978" s="124"/>
      <c r="BX978" s="124"/>
      <c r="BY978" s="124"/>
      <c r="BZ978" s="124"/>
      <c r="CA978" s="124"/>
    </row>
    <row r="979">
      <c r="A979" s="106"/>
      <c r="B979" s="207"/>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c r="AA979" s="106"/>
      <c r="AB979" s="106"/>
      <c r="AC979" s="106"/>
      <c r="AD979" s="106"/>
      <c r="AE979" s="106"/>
      <c r="AF979" s="106"/>
      <c r="AG979" s="106"/>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c r="BK979" s="124"/>
      <c r="BL979" s="124"/>
      <c r="BM979" s="124"/>
      <c r="BN979" s="124"/>
      <c r="BO979" s="124"/>
      <c r="BP979" s="124"/>
      <c r="BQ979" s="124"/>
      <c r="BR979" s="124"/>
      <c r="BS979" s="124"/>
      <c r="BT979" s="124"/>
      <c r="BU979" s="124"/>
      <c r="BV979" s="124"/>
      <c r="BW979" s="124"/>
      <c r="BX979" s="124"/>
      <c r="BY979" s="124"/>
      <c r="BZ979" s="124"/>
      <c r="CA979" s="124"/>
    </row>
    <row r="980">
      <c r="A980" s="106"/>
      <c r="B980" s="207"/>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c r="AA980" s="106"/>
      <c r="AB980" s="106"/>
      <c r="AC980" s="106"/>
      <c r="AD980" s="106"/>
      <c r="AE980" s="106"/>
      <c r="AF980" s="106"/>
      <c r="AG980" s="106"/>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c r="BK980" s="124"/>
      <c r="BL980" s="124"/>
      <c r="BM980" s="124"/>
      <c r="BN980" s="124"/>
      <c r="BO980" s="124"/>
      <c r="BP980" s="124"/>
      <c r="BQ980" s="124"/>
      <c r="BR980" s="124"/>
      <c r="BS980" s="124"/>
      <c r="BT980" s="124"/>
      <c r="BU980" s="124"/>
      <c r="BV980" s="124"/>
      <c r="BW980" s="124"/>
      <c r="BX980" s="124"/>
      <c r="BY980" s="124"/>
      <c r="BZ980" s="124"/>
      <c r="CA980" s="124"/>
    </row>
    <row r="981">
      <c r="A981" s="106"/>
      <c r="B981" s="207"/>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c r="AA981" s="106"/>
      <c r="AB981" s="106"/>
      <c r="AC981" s="106"/>
      <c r="AD981" s="106"/>
      <c r="AE981" s="106"/>
      <c r="AF981" s="106"/>
      <c r="AG981" s="106"/>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c r="BK981" s="124"/>
      <c r="BL981" s="124"/>
      <c r="BM981" s="124"/>
      <c r="BN981" s="124"/>
      <c r="BO981" s="124"/>
      <c r="BP981" s="124"/>
      <c r="BQ981" s="124"/>
      <c r="BR981" s="124"/>
      <c r="BS981" s="124"/>
      <c r="BT981" s="124"/>
      <c r="BU981" s="124"/>
      <c r="BV981" s="124"/>
      <c r="BW981" s="124"/>
      <c r="BX981" s="124"/>
      <c r="BY981" s="124"/>
      <c r="BZ981" s="124"/>
      <c r="CA981" s="124"/>
    </row>
    <row r="982">
      <c r="A982" s="106"/>
      <c r="B982" s="207"/>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c r="AA982" s="106"/>
      <c r="AB982" s="106"/>
      <c r="AC982" s="106"/>
      <c r="AD982" s="106"/>
      <c r="AE982" s="106"/>
      <c r="AF982" s="106"/>
      <c r="AG982" s="106"/>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c r="BK982" s="124"/>
      <c r="BL982" s="124"/>
      <c r="BM982" s="124"/>
      <c r="BN982" s="124"/>
      <c r="BO982" s="124"/>
      <c r="BP982" s="124"/>
      <c r="BQ982" s="124"/>
      <c r="BR982" s="124"/>
      <c r="BS982" s="124"/>
      <c r="BT982" s="124"/>
      <c r="BU982" s="124"/>
      <c r="BV982" s="124"/>
      <c r="BW982" s="124"/>
      <c r="BX982" s="124"/>
      <c r="BY982" s="124"/>
      <c r="BZ982" s="124"/>
      <c r="CA982" s="124"/>
    </row>
    <row r="983">
      <c r="A983" s="106"/>
      <c r="B983" s="207"/>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c r="AA983" s="106"/>
      <c r="AB983" s="106"/>
      <c r="AC983" s="106"/>
      <c r="AD983" s="106"/>
      <c r="AE983" s="106"/>
      <c r="AF983" s="106"/>
      <c r="AG983" s="106"/>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c r="BK983" s="124"/>
      <c r="BL983" s="124"/>
      <c r="BM983" s="124"/>
      <c r="BN983" s="124"/>
      <c r="BO983" s="124"/>
      <c r="BP983" s="124"/>
      <c r="BQ983" s="124"/>
      <c r="BR983" s="124"/>
      <c r="BS983" s="124"/>
      <c r="BT983" s="124"/>
      <c r="BU983" s="124"/>
      <c r="BV983" s="124"/>
      <c r="BW983" s="124"/>
      <c r="BX983" s="124"/>
      <c r="BY983" s="124"/>
      <c r="BZ983" s="124"/>
      <c r="CA983" s="124"/>
    </row>
    <row r="984">
      <c r="A984" s="106"/>
      <c r="B984" s="207"/>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c r="AA984" s="106"/>
      <c r="AB984" s="106"/>
      <c r="AC984" s="106"/>
      <c r="AD984" s="106"/>
      <c r="AE984" s="106"/>
      <c r="AF984" s="106"/>
      <c r="AG984" s="106"/>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c r="BK984" s="124"/>
      <c r="BL984" s="124"/>
      <c r="BM984" s="124"/>
      <c r="BN984" s="124"/>
      <c r="BO984" s="124"/>
      <c r="BP984" s="124"/>
      <c r="BQ984" s="124"/>
      <c r="BR984" s="124"/>
      <c r="BS984" s="124"/>
      <c r="BT984" s="124"/>
      <c r="BU984" s="124"/>
      <c r="BV984" s="124"/>
      <c r="BW984" s="124"/>
      <c r="BX984" s="124"/>
      <c r="BY984" s="124"/>
      <c r="BZ984" s="124"/>
      <c r="CA984" s="124"/>
    </row>
    <row r="985">
      <c r="A985" s="106"/>
      <c r="B985" s="207"/>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c r="AA985" s="106"/>
      <c r="AB985" s="106"/>
      <c r="AC985" s="106"/>
      <c r="AD985" s="106"/>
      <c r="AE985" s="106"/>
      <c r="AF985" s="106"/>
      <c r="AG985" s="106"/>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c r="BK985" s="124"/>
      <c r="BL985" s="124"/>
      <c r="BM985" s="124"/>
      <c r="BN985" s="124"/>
      <c r="BO985" s="124"/>
      <c r="BP985" s="124"/>
      <c r="BQ985" s="124"/>
      <c r="BR985" s="124"/>
      <c r="BS985" s="124"/>
      <c r="BT985" s="124"/>
      <c r="BU985" s="124"/>
      <c r="BV985" s="124"/>
      <c r="BW985" s="124"/>
      <c r="BX985" s="124"/>
      <c r="BY985" s="124"/>
      <c r="BZ985" s="124"/>
      <c r="CA985" s="124"/>
    </row>
    <row r="986">
      <c r="A986" s="106"/>
      <c r="B986" s="207"/>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c r="AA986" s="106"/>
      <c r="AB986" s="106"/>
      <c r="AC986" s="106"/>
      <c r="AD986" s="106"/>
      <c r="AE986" s="106"/>
      <c r="AF986" s="106"/>
      <c r="AG986" s="106"/>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c r="BK986" s="124"/>
      <c r="BL986" s="124"/>
      <c r="BM986" s="124"/>
      <c r="BN986" s="124"/>
      <c r="BO986" s="124"/>
      <c r="BP986" s="124"/>
      <c r="BQ986" s="124"/>
      <c r="BR986" s="124"/>
      <c r="BS986" s="124"/>
      <c r="BT986" s="124"/>
      <c r="BU986" s="124"/>
      <c r="BV986" s="124"/>
      <c r="BW986" s="124"/>
      <c r="BX986" s="124"/>
      <c r="BY986" s="124"/>
      <c r="BZ986" s="124"/>
      <c r="CA986" s="124"/>
    </row>
    <row r="987">
      <c r="A987" s="106"/>
      <c r="B987" s="207"/>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c r="AA987" s="106"/>
      <c r="AB987" s="106"/>
      <c r="AC987" s="106"/>
      <c r="AD987" s="106"/>
      <c r="AE987" s="106"/>
      <c r="AF987" s="106"/>
      <c r="AG987" s="106"/>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c r="BK987" s="124"/>
      <c r="BL987" s="124"/>
      <c r="BM987" s="124"/>
      <c r="BN987" s="124"/>
      <c r="BO987" s="124"/>
      <c r="BP987" s="124"/>
      <c r="BQ987" s="124"/>
      <c r="BR987" s="124"/>
      <c r="BS987" s="124"/>
      <c r="BT987" s="124"/>
      <c r="BU987" s="124"/>
      <c r="BV987" s="124"/>
      <c r="BW987" s="124"/>
      <c r="BX987" s="124"/>
      <c r="BY987" s="124"/>
      <c r="BZ987" s="124"/>
      <c r="CA987" s="124"/>
    </row>
    <row r="988">
      <c r="A988" s="106"/>
      <c r="B988" s="207"/>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c r="AA988" s="106"/>
      <c r="AB988" s="106"/>
      <c r="AC988" s="106"/>
      <c r="AD988" s="106"/>
      <c r="AE988" s="106"/>
      <c r="AF988" s="106"/>
      <c r="AG988" s="106"/>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c r="BK988" s="124"/>
      <c r="BL988" s="124"/>
      <c r="BM988" s="124"/>
      <c r="BN988" s="124"/>
      <c r="BO988" s="124"/>
      <c r="BP988" s="124"/>
      <c r="BQ988" s="124"/>
      <c r="BR988" s="124"/>
      <c r="BS988" s="124"/>
      <c r="BT988" s="124"/>
      <c r="BU988" s="124"/>
      <c r="BV988" s="124"/>
      <c r="BW988" s="124"/>
      <c r="BX988" s="124"/>
      <c r="BY988" s="124"/>
      <c r="BZ988" s="124"/>
      <c r="CA988" s="124"/>
    </row>
    <row r="989">
      <c r="A989" s="106"/>
      <c r="B989" s="207"/>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c r="AA989" s="106"/>
      <c r="AB989" s="106"/>
      <c r="AC989" s="106"/>
      <c r="AD989" s="106"/>
      <c r="AE989" s="106"/>
      <c r="AF989" s="106"/>
      <c r="AG989" s="106"/>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c r="BK989" s="124"/>
      <c r="BL989" s="124"/>
      <c r="BM989" s="124"/>
      <c r="BN989" s="124"/>
      <c r="BO989" s="124"/>
      <c r="BP989" s="124"/>
      <c r="BQ989" s="124"/>
      <c r="BR989" s="124"/>
      <c r="BS989" s="124"/>
      <c r="BT989" s="124"/>
      <c r="BU989" s="124"/>
      <c r="BV989" s="124"/>
      <c r="BW989" s="124"/>
      <c r="BX989" s="124"/>
      <c r="BY989" s="124"/>
      <c r="BZ989" s="124"/>
      <c r="CA989" s="124"/>
    </row>
    <row r="990">
      <c r="A990" s="106"/>
      <c r="B990" s="207"/>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c r="AA990" s="106"/>
      <c r="AB990" s="106"/>
      <c r="AC990" s="106"/>
      <c r="AD990" s="106"/>
      <c r="AE990" s="106"/>
      <c r="AF990" s="106"/>
      <c r="AG990" s="106"/>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c r="BK990" s="124"/>
      <c r="BL990" s="124"/>
      <c r="BM990" s="124"/>
      <c r="BN990" s="124"/>
      <c r="BO990" s="124"/>
      <c r="BP990" s="124"/>
      <c r="BQ990" s="124"/>
      <c r="BR990" s="124"/>
      <c r="BS990" s="124"/>
      <c r="BT990" s="124"/>
      <c r="BU990" s="124"/>
      <c r="BV990" s="124"/>
      <c r="BW990" s="124"/>
      <c r="BX990" s="124"/>
      <c r="BY990" s="124"/>
      <c r="BZ990" s="124"/>
      <c r="CA990" s="124"/>
    </row>
    <row r="991">
      <c r="A991" s="106"/>
      <c r="B991" s="207"/>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c r="AA991" s="106"/>
      <c r="AB991" s="106"/>
      <c r="AC991" s="106"/>
      <c r="AD991" s="106"/>
      <c r="AE991" s="106"/>
      <c r="AF991" s="106"/>
      <c r="AG991" s="106"/>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c r="BK991" s="124"/>
      <c r="BL991" s="124"/>
      <c r="BM991" s="124"/>
      <c r="BN991" s="124"/>
      <c r="BO991" s="124"/>
      <c r="BP991" s="124"/>
      <c r="BQ991" s="124"/>
      <c r="BR991" s="124"/>
      <c r="BS991" s="124"/>
      <c r="BT991" s="124"/>
      <c r="BU991" s="124"/>
      <c r="BV991" s="124"/>
      <c r="BW991" s="124"/>
      <c r="BX991" s="124"/>
      <c r="BY991" s="124"/>
      <c r="BZ991" s="124"/>
      <c r="CA991" s="124"/>
    </row>
    <row r="992">
      <c r="A992" s="106"/>
      <c r="B992" s="207"/>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c r="AA992" s="106"/>
      <c r="AB992" s="106"/>
      <c r="AC992" s="106"/>
      <c r="AD992" s="106"/>
      <c r="AE992" s="106"/>
      <c r="AF992" s="106"/>
      <c r="AG992" s="106"/>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c r="BK992" s="124"/>
      <c r="BL992" s="124"/>
      <c r="BM992" s="124"/>
      <c r="BN992" s="124"/>
      <c r="BO992" s="124"/>
      <c r="BP992" s="124"/>
      <c r="BQ992" s="124"/>
      <c r="BR992" s="124"/>
      <c r="BS992" s="124"/>
      <c r="BT992" s="124"/>
      <c r="BU992" s="124"/>
      <c r="BV992" s="124"/>
      <c r="BW992" s="124"/>
      <c r="BX992" s="124"/>
      <c r="BY992" s="124"/>
      <c r="BZ992" s="124"/>
      <c r="CA992" s="124"/>
    </row>
    <row r="993">
      <c r="A993" s="106"/>
      <c r="B993" s="207"/>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c r="AA993" s="106"/>
      <c r="AB993" s="106"/>
      <c r="AC993" s="106"/>
      <c r="AD993" s="106"/>
      <c r="AE993" s="106"/>
      <c r="AF993" s="106"/>
      <c r="AG993" s="106"/>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c r="BK993" s="124"/>
      <c r="BL993" s="124"/>
      <c r="BM993" s="124"/>
      <c r="BN993" s="124"/>
      <c r="BO993" s="124"/>
      <c r="BP993" s="124"/>
      <c r="BQ993" s="124"/>
      <c r="BR993" s="124"/>
      <c r="BS993" s="124"/>
      <c r="BT993" s="124"/>
      <c r="BU993" s="124"/>
      <c r="BV993" s="124"/>
      <c r="BW993" s="124"/>
      <c r="BX993" s="124"/>
      <c r="BY993" s="124"/>
      <c r="BZ993" s="124"/>
      <c r="CA993" s="124"/>
    </row>
    <row r="994">
      <c r="A994" s="106"/>
      <c r="B994" s="207"/>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c r="AA994" s="106"/>
      <c r="AB994" s="106"/>
      <c r="AC994" s="106"/>
      <c r="AD994" s="106"/>
      <c r="AE994" s="106"/>
      <c r="AF994" s="106"/>
      <c r="AG994" s="106"/>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c r="BK994" s="124"/>
      <c r="BL994" s="124"/>
      <c r="BM994" s="124"/>
      <c r="BN994" s="124"/>
      <c r="BO994" s="124"/>
      <c r="BP994" s="124"/>
      <c r="BQ994" s="124"/>
      <c r="BR994" s="124"/>
      <c r="BS994" s="124"/>
      <c r="BT994" s="124"/>
      <c r="BU994" s="124"/>
      <c r="BV994" s="124"/>
      <c r="BW994" s="124"/>
      <c r="BX994" s="124"/>
      <c r="BY994" s="124"/>
      <c r="BZ994" s="124"/>
      <c r="CA994" s="124"/>
    </row>
    <row r="995">
      <c r="A995" s="106"/>
      <c r="B995" s="207"/>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c r="AA995" s="106"/>
      <c r="AB995" s="106"/>
      <c r="AC995" s="106"/>
      <c r="AD995" s="106"/>
      <c r="AE995" s="106"/>
      <c r="AF995" s="106"/>
      <c r="AG995" s="106"/>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c r="BK995" s="124"/>
      <c r="BL995" s="124"/>
      <c r="BM995" s="124"/>
      <c r="BN995" s="124"/>
      <c r="BO995" s="124"/>
      <c r="BP995" s="124"/>
      <c r="BQ995" s="124"/>
      <c r="BR995" s="124"/>
      <c r="BS995" s="124"/>
      <c r="BT995" s="124"/>
      <c r="BU995" s="124"/>
      <c r="BV995" s="124"/>
      <c r="BW995" s="124"/>
      <c r="BX995" s="124"/>
      <c r="BY995" s="124"/>
      <c r="BZ995" s="124"/>
      <c r="CA995" s="124"/>
    </row>
    <row r="996">
      <c r="A996" s="106"/>
      <c r="B996" s="207"/>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c r="AA996" s="106"/>
      <c r="AB996" s="106"/>
      <c r="AC996" s="106"/>
      <c r="AD996" s="106"/>
      <c r="AE996" s="106"/>
      <c r="AF996" s="106"/>
      <c r="AG996" s="106"/>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c r="BK996" s="124"/>
      <c r="BL996" s="124"/>
      <c r="BM996" s="124"/>
      <c r="BN996" s="124"/>
      <c r="BO996" s="124"/>
      <c r="BP996" s="124"/>
      <c r="BQ996" s="124"/>
      <c r="BR996" s="124"/>
      <c r="BS996" s="124"/>
      <c r="BT996" s="124"/>
      <c r="BU996" s="124"/>
      <c r="BV996" s="124"/>
      <c r="BW996" s="124"/>
      <c r="BX996" s="124"/>
      <c r="BY996" s="124"/>
      <c r="BZ996" s="124"/>
      <c r="CA996" s="124"/>
    </row>
    <row r="997">
      <c r="A997" s="106"/>
      <c r="B997" s="207"/>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c r="AA997" s="106"/>
      <c r="AB997" s="106"/>
      <c r="AC997" s="106"/>
      <c r="AD997" s="106"/>
      <c r="AE997" s="106"/>
      <c r="AF997" s="106"/>
      <c r="AG997" s="106"/>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c r="BK997" s="124"/>
      <c r="BL997" s="124"/>
      <c r="BM997" s="124"/>
      <c r="BN997" s="124"/>
      <c r="BO997" s="124"/>
      <c r="BP997" s="124"/>
      <c r="BQ997" s="124"/>
      <c r="BR997" s="124"/>
      <c r="BS997" s="124"/>
      <c r="BT997" s="124"/>
      <c r="BU997" s="124"/>
      <c r="BV997" s="124"/>
      <c r="BW997" s="124"/>
      <c r="BX997" s="124"/>
      <c r="BY997" s="124"/>
      <c r="BZ997" s="124"/>
      <c r="CA997" s="124"/>
    </row>
    <row r="998">
      <c r="A998" s="106"/>
      <c r="B998" s="207"/>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c r="AA998" s="106"/>
      <c r="AB998" s="106"/>
      <c r="AC998" s="106"/>
      <c r="AD998" s="106"/>
      <c r="AE998" s="106"/>
      <c r="AF998" s="106"/>
      <c r="AG998" s="106"/>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c r="BK998" s="124"/>
      <c r="BL998" s="124"/>
      <c r="BM998" s="124"/>
      <c r="BN998" s="124"/>
      <c r="BO998" s="124"/>
      <c r="BP998" s="124"/>
      <c r="BQ998" s="124"/>
      <c r="BR998" s="124"/>
      <c r="BS998" s="124"/>
      <c r="BT998" s="124"/>
      <c r="BU998" s="124"/>
      <c r="BV998" s="124"/>
      <c r="BW998" s="124"/>
      <c r="BX998" s="124"/>
      <c r="BY998" s="124"/>
      <c r="BZ998" s="124"/>
      <c r="CA998" s="124"/>
    </row>
    <row r="999">
      <c r="A999" s="106"/>
      <c r="B999" s="207"/>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c r="AA999" s="106"/>
      <c r="AB999" s="106"/>
      <c r="AC999" s="106"/>
      <c r="AD999" s="106"/>
      <c r="AE999" s="106"/>
      <c r="AF999" s="106"/>
      <c r="AG999" s="106"/>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c r="BK999" s="124"/>
      <c r="BL999" s="124"/>
      <c r="BM999" s="124"/>
      <c r="BN999" s="124"/>
      <c r="BO999" s="124"/>
      <c r="BP999" s="124"/>
      <c r="BQ999" s="124"/>
      <c r="BR999" s="124"/>
      <c r="BS999" s="124"/>
      <c r="BT999" s="124"/>
      <c r="BU999" s="124"/>
      <c r="BV999" s="124"/>
      <c r="BW999" s="124"/>
      <c r="BX999" s="124"/>
      <c r="BY999" s="124"/>
      <c r="BZ999" s="124"/>
      <c r="CA999" s="124"/>
    </row>
    <row r="1000">
      <c r="A1000" s="106"/>
      <c r="B1000" s="207"/>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c r="AA1000" s="106"/>
      <c r="AB1000" s="106"/>
      <c r="AC1000" s="106"/>
      <c r="AD1000" s="106"/>
      <c r="AE1000" s="106"/>
      <c r="AF1000" s="106"/>
      <c r="AG1000" s="106"/>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c r="BK1000" s="124"/>
      <c r="BL1000" s="124"/>
      <c r="BM1000" s="124"/>
      <c r="BN1000" s="124"/>
      <c r="BO1000" s="124"/>
      <c r="BP1000" s="124"/>
      <c r="BQ1000" s="124"/>
      <c r="BR1000" s="124"/>
      <c r="BS1000" s="124"/>
      <c r="BT1000" s="124"/>
      <c r="BU1000" s="124"/>
      <c r="BV1000" s="124"/>
      <c r="BW1000" s="124"/>
      <c r="BX1000" s="124"/>
      <c r="BY1000" s="124"/>
      <c r="BZ1000" s="124"/>
      <c r="CA1000" s="124"/>
    </row>
    <row r="1001">
      <c r="A1001" s="106"/>
      <c r="B1001" s="207"/>
      <c r="C1001" s="106"/>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c r="AA1001" s="106"/>
      <c r="AB1001" s="106"/>
      <c r="AC1001" s="106"/>
      <c r="AD1001" s="106"/>
      <c r="AE1001" s="106"/>
      <c r="AF1001" s="106"/>
      <c r="AG1001" s="106"/>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c r="BK1001" s="124"/>
      <c r="BL1001" s="124"/>
      <c r="BM1001" s="124"/>
      <c r="BN1001" s="124"/>
      <c r="BO1001" s="124"/>
      <c r="BP1001" s="124"/>
      <c r="BQ1001" s="124"/>
      <c r="BR1001" s="124"/>
      <c r="BS1001" s="124"/>
      <c r="BT1001" s="124"/>
      <c r="BU1001" s="124"/>
      <c r="BV1001" s="124"/>
      <c r="BW1001" s="124"/>
      <c r="BX1001" s="124"/>
      <c r="BY1001" s="124"/>
      <c r="BZ1001" s="124"/>
      <c r="CA1001" s="124"/>
    </row>
  </sheetData>
  <mergeCells count="18">
    <mergeCell ref="A1:B1"/>
    <mergeCell ref="C1:D1"/>
    <mergeCell ref="F1:T1"/>
    <mergeCell ref="U1:Y1"/>
    <mergeCell ref="Z1:AA1"/>
    <mergeCell ref="AB1:AF1"/>
    <mergeCell ref="AH1:AH2"/>
    <mergeCell ref="A3:B3"/>
    <mergeCell ref="BN1:BP1"/>
    <mergeCell ref="BR1:BV1"/>
    <mergeCell ref="BW1:CA1"/>
    <mergeCell ref="AI1:AL1"/>
    <mergeCell ref="AM1:AP1"/>
    <mergeCell ref="AQ1:AS1"/>
    <mergeCell ref="AT1:BB1"/>
    <mergeCell ref="BD1:BF1"/>
    <mergeCell ref="BG1:BH1"/>
    <mergeCell ref="BI1:BM1"/>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8.71"/>
    <col customWidth="1" min="3" max="3" width="23.43"/>
    <col customWidth="1" min="4" max="4" width="32.14"/>
    <col customWidth="1" min="5" max="5" width="17.29"/>
    <col customWidth="1" min="8" max="8" width="10.86"/>
    <col customWidth="1" min="9" max="9" width="17.29"/>
    <col customWidth="1" min="10" max="10" width="69.43"/>
    <col customWidth="1" min="11" max="11" width="23.71"/>
  </cols>
  <sheetData>
    <row r="1">
      <c r="A1" s="46" t="s">
        <v>4654</v>
      </c>
      <c r="B1" s="46" t="s">
        <v>17</v>
      </c>
      <c r="C1" s="46" t="s">
        <v>16</v>
      </c>
      <c r="D1" s="46" t="s">
        <v>4655</v>
      </c>
      <c r="E1" s="46" t="s">
        <v>4656</v>
      </c>
      <c r="F1" s="46" t="s">
        <v>4657</v>
      </c>
      <c r="G1" s="46" t="s">
        <v>4658</v>
      </c>
      <c r="H1" s="189" t="s">
        <v>4659</v>
      </c>
      <c r="I1" s="162" t="s">
        <v>16</v>
      </c>
      <c r="J1" s="162" t="s">
        <v>4660</v>
      </c>
      <c r="K1" s="46" t="s">
        <v>4661</v>
      </c>
    </row>
    <row r="2">
      <c r="A2" s="209" t="s">
        <v>4662</v>
      </c>
      <c r="B2" s="210" t="str">
        <f>HYPERLINK("https://drive.google.com/open?id=0B00cIHsghs6UMjhMNklGS1JNREE","Storrle2016")</f>
        <v>Storrle2016</v>
      </c>
      <c r="C2" s="46" t="s">
        <v>88</v>
      </c>
      <c r="D2" s="138" t="str">
        <f>HYPERLINK("https://drive.google.com/open?id=1udUHGMCVraVbXnC-efjkY6U-jE0fdgT-","Abrahao2013")</f>
        <v>Abrahao2013</v>
      </c>
      <c r="E2" s="46" t="s">
        <v>4663</v>
      </c>
      <c r="F2" s="46" t="s">
        <v>4663</v>
      </c>
      <c r="G2" s="46">
        <v>1.0</v>
      </c>
      <c r="H2" s="189" t="s">
        <v>4664</v>
      </c>
      <c r="I2" s="162" t="s">
        <v>4665</v>
      </c>
      <c r="J2" s="162" t="s">
        <v>4666</v>
      </c>
      <c r="K2" s="46" t="s">
        <v>4667</v>
      </c>
    </row>
    <row r="3">
      <c r="B3" s="125" t="str">
        <f>HYPERLINK("https://drive.google.com/open?id=0B-nn5iJ29NJaUkdWb0dFSVZDNE0","Colazo2016")</f>
        <v>Colazo2016</v>
      </c>
      <c r="C3" s="140" t="s">
        <v>124</v>
      </c>
      <c r="D3" s="140" t="s">
        <v>4668</v>
      </c>
      <c r="E3" s="140" t="s">
        <v>4669</v>
      </c>
      <c r="F3" s="140" t="s">
        <v>4670</v>
      </c>
      <c r="G3" s="140">
        <v>1.0</v>
      </c>
      <c r="H3" s="201" t="s">
        <v>4665</v>
      </c>
      <c r="I3" s="211" t="s">
        <v>4665</v>
      </c>
      <c r="J3" s="211" t="s">
        <v>4671</v>
      </c>
      <c r="K3" s="140" t="s">
        <v>4672</v>
      </c>
      <c r="L3" s="212"/>
    </row>
    <row r="4">
      <c r="B4" s="88" t="str">
        <f>HYPERLINK("https://drive.google.com/open?id=0B3oar8-GeP-IT0N2dFFNc2lKZ0U","Sinha2015")</f>
        <v>Sinha2015</v>
      </c>
      <c r="C4" s="46" t="s">
        <v>4673</v>
      </c>
      <c r="D4" s="138" t="str">
        <f>HYPERLINK("https://drive.google.com/open?id=1A-fqtpQk5qcyGSMnBML6hnUPtwRFD6B4","Adelson1981")</f>
        <v>Adelson1981</v>
      </c>
      <c r="E4" s="46" t="s">
        <v>4663</v>
      </c>
      <c r="F4" s="46" t="s">
        <v>4663</v>
      </c>
      <c r="G4" s="46">
        <v>1.0</v>
      </c>
      <c r="H4" s="189" t="s">
        <v>4665</v>
      </c>
      <c r="I4" s="162" t="s">
        <v>4665</v>
      </c>
      <c r="J4" s="162" t="s">
        <v>4674</v>
      </c>
      <c r="K4" s="46" t="s">
        <v>4675</v>
      </c>
    </row>
    <row r="5">
      <c r="B5" s="210" t="str">
        <f t="shared" ref="B5:B6" si="1">HYPERLINK("https://drive.google.com/open?id=0B3oar8-GeP-IT29tMXpHQWtKQnc","Agarwal1999")</f>
        <v>Agarwal1999</v>
      </c>
      <c r="C5" s="46" t="s">
        <v>4676</v>
      </c>
      <c r="D5" s="138" t="str">
        <f>HYPERLINK("https://drive.google.com/open?id=1GGXpUzRNGEowPBrn7AhpVRMEyD7tmzkx","Agarwal1996a")</f>
        <v>Agarwal1996a</v>
      </c>
      <c r="E5" s="46" t="s">
        <v>4663</v>
      </c>
      <c r="F5" s="46" t="s">
        <v>4663</v>
      </c>
      <c r="G5" s="46">
        <v>1.0</v>
      </c>
      <c r="H5" s="189" t="s">
        <v>4665</v>
      </c>
      <c r="I5" s="162" t="s">
        <v>4665</v>
      </c>
      <c r="J5" s="162" t="s">
        <v>4677</v>
      </c>
      <c r="K5" s="46" t="s">
        <v>4678</v>
      </c>
    </row>
    <row r="6">
      <c r="B6" s="210" t="str">
        <f t="shared" si="1"/>
        <v>Agarwal1999</v>
      </c>
      <c r="C6" s="46" t="s">
        <v>4676</v>
      </c>
      <c r="D6" s="138" t="str">
        <f>HYPERLINK("https://drive.google.com/open?id=1X8v6g164iQc6AnXBh2QY8FMURxz_s3sh","Agarwal1996b")</f>
        <v>Agarwal1996b</v>
      </c>
      <c r="E6" s="46" t="s">
        <v>4679</v>
      </c>
      <c r="F6" s="46" t="s">
        <v>4663</v>
      </c>
      <c r="G6" s="46">
        <v>1.0</v>
      </c>
      <c r="H6" s="189" t="s">
        <v>4665</v>
      </c>
      <c r="I6" s="162" t="s">
        <v>4665</v>
      </c>
      <c r="J6" s="162" t="s">
        <v>4680</v>
      </c>
      <c r="K6" s="46" t="s">
        <v>4681</v>
      </c>
    </row>
    <row r="7">
      <c r="B7" s="213" t="str">
        <f>HYPERLINK("https://drive.google.com/open?id=0B1GMAYMj9v6raXVlejY2RzkwbUE","Aranda2006")</f>
        <v>Aranda2006</v>
      </c>
      <c r="C7" s="214" t="s">
        <v>116</v>
      </c>
      <c r="D7" s="214" t="s">
        <v>4682</v>
      </c>
      <c r="E7" s="212"/>
      <c r="F7" s="214"/>
      <c r="G7" s="214">
        <v>1.0</v>
      </c>
      <c r="H7" s="215"/>
      <c r="I7" s="216"/>
      <c r="J7" s="216"/>
      <c r="K7" s="214" t="s">
        <v>4683</v>
      </c>
    </row>
    <row r="8">
      <c r="B8" s="210" t="str">
        <f>HYPERLINK("https://drive.google.com/open?id=0B00cIHsghs6UVzRza2FWS3RmcWc","Aranda2010")</f>
        <v>Aranda2010</v>
      </c>
      <c r="C8" s="46" t="s">
        <v>88</v>
      </c>
      <c r="D8" s="138" t="str">
        <f>HYPERLINK("https://drive.google.com/open?id=1A-Qgl1TC-kmQI8iWXf10Tc6gafly854y","Aranda2005")</f>
        <v>Aranda2005</v>
      </c>
      <c r="E8" s="46" t="s">
        <v>4679</v>
      </c>
      <c r="F8" s="46" t="s">
        <v>4663</v>
      </c>
      <c r="G8" s="46">
        <v>1.0</v>
      </c>
      <c r="H8" s="189" t="s">
        <v>4664</v>
      </c>
      <c r="I8" s="162" t="s">
        <v>4665</v>
      </c>
      <c r="J8" s="162" t="s">
        <v>4684</v>
      </c>
      <c r="K8" s="46" t="s">
        <v>4685</v>
      </c>
    </row>
    <row r="9">
      <c r="B9" s="88" t="str">
        <f>HYPERLINK("https://drive.google.com/open?id=0B3oar8-GeP-IT0N2dFFNc2lKZ0U","Sinha2015")</f>
        <v>Sinha2015</v>
      </c>
      <c r="C9" s="46" t="s">
        <v>4673</v>
      </c>
      <c r="D9" s="138" t="str">
        <f>HYPERLINK("https://drive.google.com/open?id=1tSPIqz0LPVMrYYERBGrXa5tezBu_sKXo","Armstrong2007")</f>
        <v>Armstrong2007</v>
      </c>
      <c r="E9" s="46" t="s">
        <v>4679</v>
      </c>
      <c r="F9" s="46" t="s">
        <v>4663</v>
      </c>
      <c r="G9" s="46">
        <v>1.0</v>
      </c>
      <c r="H9" s="189" t="s">
        <v>4665</v>
      </c>
      <c r="I9" s="162" t="s">
        <v>4686</v>
      </c>
      <c r="J9" s="162" t="s">
        <v>4687</v>
      </c>
      <c r="K9" s="46" t="s">
        <v>4688</v>
      </c>
    </row>
    <row r="10">
      <c r="B10" s="210" t="str">
        <f>HYPERLINK("https://drive.google.com/open?id=0B00cIHsghs6UTnNuWGNVSE92ZlU","Mohani2014")</f>
        <v>Mohani2014</v>
      </c>
      <c r="C10" s="46" t="s">
        <v>88</v>
      </c>
      <c r="D10" s="138" t="str">
        <f>HYPERLINK("https://drive.google.com/open?id=1L61Nl17Xa4kVGW887nv5j-W5KC3kQzxE","Arnott2006")</f>
        <v>Arnott2006</v>
      </c>
      <c r="E10" s="46" t="s">
        <v>4679</v>
      </c>
      <c r="F10" s="46" t="s">
        <v>4663</v>
      </c>
      <c r="G10" s="46">
        <v>1.0</v>
      </c>
      <c r="H10" s="189" t="s">
        <v>4664</v>
      </c>
      <c r="I10" s="162" t="s">
        <v>4686</v>
      </c>
      <c r="J10" s="162" t="s">
        <v>4689</v>
      </c>
      <c r="K10" s="46" t="s">
        <v>4690</v>
      </c>
    </row>
    <row r="11">
      <c r="B11" s="88" t="str">
        <f>HYPERLINK("http://www.daniela.ece.ufl.edu/Research_files/acsac14.pdf","Oliveira2014")</f>
        <v>Oliveira2014</v>
      </c>
      <c r="C11" s="46" t="s">
        <v>4673</v>
      </c>
      <c r="D11" s="138" t="str">
        <f>HYPERLINK("https://drive.google.com/open?id=1UuDDLae1YVrFNGmfXix4X-7W7FuFAPXO","Asgapour2007")</f>
        <v>Asgapour2007</v>
      </c>
      <c r="E11" s="46" t="s">
        <v>4679</v>
      </c>
      <c r="F11" s="46" t="s">
        <v>4663</v>
      </c>
      <c r="G11" s="46">
        <v>1.0</v>
      </c>
      <c r="H11" s="189" t="s">
        <v>4665</v>
      </c>
      <c r="I11" s="162" t="s">
        <v>4686</v>
      </c>
      <c r="J11" s="162" t="s">
        <v>4691</v>
      </c>
      <c r="K11" s="46" t="s">
        <v>4692</v>
      </c>
    </row>
    <row r="12">
      <c r="B12" s="88" t="str">
        <f t="shared" ref="B12:B13" si="2">HYPERLINK("https://drive.google.com/open?id=0B1GMAYMj9v6rdm5BYVh1emNhOUE","Fritz2014")</f>
        <v>Fritz2014</v>
      </c>
      <c r="C12" s="46" t="s">
        <v>116</v>
      </c>
      <c r="D12" s="138" t="str">
        <f>HYPERLINK("https://drive.google.com/open?id=10lUjDLIUCCNUpJhPmMJ3KKnhemH3nxSF","Bednarik2006")</f>
        <v>Bednarik2006</v>
      </c>
      <c r="E12" s="46" t="s">
        <v>4663</v>
      </c>
      <c r="F12" s="46" t="s">
        <v>4663</v>
      </c>
      <c r="G12" s="46">
        <v>1.0</v>
      </c>
      <c r="H12" s="189" t="s">
        <v>4665</v>
      </c>
      <c r="I12" s="162" t="s">
        <v>4686</v>
      </c>
      <c r="J12" s="162" t="s">
        <v>4693</v>
      </c>
      <c r="K12" s="46" t="s">
        <v>4694</v>
      </c>
    </row>
    <row r="13">
      <c r="B13" s="88" t="str">
        <f t="shared" si="2"/>
        <v>Fritz2014</v>
      </c>
      <c r="C13" s="46" t="s">
        <v>116</v>
      </c>
      <c r="D13" s="138" t="str">
        <f>HYPERLINK("https://drive.google.com/open?id=153ZFMNYR_5zHDHDYEVCxkuemEU7oZWcI","Bednarik2008")</f>
        <v>Bednarik2008</v>
      </c>
      <c r="E13" s="46" t="s">
        <v>4663</v>
      </c>
      <c r="F13" s="46" t="s">
        <v>4663</v>
      </c>
      <c r="G13" s="46">
        <v>1.0</v>
      </c>
      <c r="H13" s="189" t="s">
        <v>4665</v>
      </c>
      <c r="I13" s="162" t="s">
        <v>4686</v>
      </c>
      <c r="J13" s="162" t="s">
        <v>4695</v>
      </c>
      <c r="K13" s="46" t="s">
        <v>4696</v>
      </c>
    </row>
    <row r="14">
      <c r="B14" s="88" t="str">
        <f>HYPERLINK("https://drive.google.com/open?id=0B1GMAYMj9v6rTU9zZ2NfcWd1ZVk","Wanderley2015")</f>
        <v>Wanderley2015</v>
      </c>
      <c r="C14" s="46" t="s">
        <v>116</v>
      </c>
      <c r="D14" s="46" t="s">
        <v>4613</v>
      </c>
      <c r="E14" s="46" t="s">
        <v>4663</v>
      </c>
      <c r="F14" s="46" t="s">
        <v>4670</v>
      </c>
      <c r="G14" s="46">
        <v>1.0</v>
      </c>
      <c r="H14" s="189" t="s">
        <v>4686</v>
      </c>
      <c r="I14" s="217" t="s">
        <v>4697</v>
      </c>
      <c r="J14" s="217" t="s">
        <v>4698</v>
      </c>
      <c r="K14" s="46" t="s">
        <v>4699</v>
      </c>
    </row>
    <row r="15">
      <c r="B15" s="88" t="str">
        <f>HYPERLINK("https://drive.google.com/open?id=0B1GMAYMj9v6rRTlRblZFRjA1SGs","Kirs2001")</f>
        <v>Kirs2001</v>
      </c>
      <c r="C15" s="46" t="s">
        <v>116</v>
      </c>
      <c r="D15" s="138" t="str">
        <f>HYPERLINK("https://drive.google.com/open?id=1Fhmlo8O5-dpsIegZS6zEMGeeYHMhFgau","Benbasat1982")</f>
        <v>Benbasat1982</v>
      </c>
      <c r="E15" s="46" t="s">
        <v>4679</v>
      </c>
      <c r="F15" s="46" t="s">
        <v>4663</v>
      </c>
      <c r="G15" s="46">
        <v>1.0</v>
      </c>
      <c r="H15" s="189" t="s">
        <v>4664</v>
      </c>
      <c r="I15" s="217" t="s">
        <v>4697</v>
      </c>
      <c r="J15" s="162" t="s">
        <v>4700</v>
      </c>
      <c r="K15" s="46" t="s">
        <v>4701</v>
      </c>
    </row>
    <row r="16">
      <c r="B16" s="218" t="str">
        <f>HYPERLINK("https://drive.google.com/open?id=0B1GMAYMj9v6rUTB5eU43TDVMVGc","Leveson2000")</f>
        <v>Leveson2000</v>
      </c>
      <c r="C16" s="140" t="s">
        <v>4676</v>
      </c>
      <c r="D16" s="140" t="s">
        <v>4702</v>
      </c>
      <c r="E16" s="140" t="s">
        <v>4703</v>
      </c>
      <c r="F16" s="140"/>
      <c r="G16" s="140">
        <v>1.0</v>
      </c>
      <c r="H16" s="201" t="s">
        <v>4686</v>
      </c>
      <c r="I16" s="140"/>
      <c r="J16" s="140" t="s">
        <v>4704</v>
      </c>
      <c r="K16" s="140" t="s">
        <v>4705</v>
      </c>
    </row>
    <row r="17">
      <c r="B17" s="88" t="str">
        <f>HYPERLINK("https://drive.google.com/open?id=0B1GMAYMj9v6rbm95cHhBZ1lCTk0","Leite2015")</f>
        <v>Leite2015</v>
      </c>
      <c r="C17" s="46" t="s">
        <v>116</v>
      </c>
      <c r="D17" s="138" t="str">
        <f>HYPERLINK("https://drive.google.com/open?id=1g07QiLAU4hmS6bqWeu5I-BhgMFgc8HRn","Biehl2007")</f>
        <v>Biehl2007</v>
      </c>
      <c r="E17" s="46" t="s">
        <v>4679</v>
      </c>
      <c r="F17" s="46" t="s">
        <v>4663</v>
      </c>
      <c r="G17" s="46">
        <v>1.0</v>
      </c>
      <c r="H17" s="189" t="s">
        <v>4664</v>
      </c>
      <c r="I17" s="217" t="s">
        <v>4697</v>
      </c>
      <c r="J17" s="162" t="s">
        <v>4706</v>
      </c>
      <c r="K17" s="46" t="s">
        <v>4707</v>
      </c>
    </row>
    <row r="18">
      <c r="B18" s="210" t="str">
        <f>HYPERLINK("https://drive.google.com/open?id=0B00cIHsghs6URUFSU3lCLVZYOG8","DeAlwis2007")</f>
        <v>DeAlwis2007</v>
      </c>
      <c r="C18" s="46" t="s">
        <v>88</v>
      </c>
      <c r="D18" s="138" t="str">
        <f>HYPERLINK("https://drive.google.com/open?id=1YLOWAy-JwNL4ZOiKKYW7KjXODvbMqS-1","Binkley2002")</f>
        <v>Binkley2002</v>
      </c>
      <c r="E18" s="46" t="s">
        <v>4679</v>
      </c>
      <c r="F18" s="46" t="s">
        <v>4663</v>
      </c>
      <c r="G18" s="46">
        <v>1.0</v>
      </c>
      <c r="H18" s="189" t="s">
        <v>4664</v>
      </c>
      <c r="I18" s="217" t="s">
        <v>4697</v>
      </c>
      <c r="J18" s="162" t="s">
        <v>4708</v>
      </c>
      <c r="K18" s="46" t="s">
        <v>4709</v>
      </c>
    </row>
    <row r="19">
      <c r="B19" s="210" t="str">
        <f>HYPERLINK("https://drive.google.com/open?id=0B3oar8-GeP-IYnhOWW9Jb3lTNUE","Dhukaram2016")</f>
        <v>Dhukaram2016</v>
      </c>
      <c r="C19" s="46" t="s">
        <v>4676</v>
      </c>
      <c r="D19" s="138" t="str">
        <f>HYPERLINK("https://drive.google.com/open?id=1BgWEQ71X4EDCQ7BBFpGxFsYp3ybs0ay8","Bisantz2003")</f>
        <v>Bisantz2003</v>
      </c>
      <c r="E19" s="46" t="s">
        <v>4679</v>
      </c>
      <c r="F19" s="46" t="s">
        <v>4670</v>
      </c>
      <c r="G19" s="46">
        <v>1.0</v>
      </c>
      <c r="H19" s="189" t="s">
        <v>4665</v>
      </c>
      <c r="I19" s="217" t="s">
        <v>4697</v>
      </c>
      <c r="J19" s="162" t="s">
        <v>4710</v>
      </c>
      <c r="K19" s="46" t="s">
        <v>4711</v>
      </c>
    </row>
    <row r="20">
      <c r="B20" s="218" t="str">
        <f>HYPERLINK("https://drive.google.com/open?id=0B00cIHsghs6UckpJWlhwNmhGbkE","Tudoreanu2003")</f>
        <v>Tudoreanu2003</v>
      </c>
      <c r="C20" s="140" t="s">
        <v>88</v>
      </c>
      <c r="D20" s="140" t="s">
        <v>4712</v>
      </c>
      <c r="F20" s="140"/>
      <c r="G20" s="140">
        <v>1.0</v>
      </c>
      <c r="H20" s="201" t="s">
        <v>4664</v>
      </c>
      <c r="I20" s="219"/>
      <c r="J20" s="219" t="s">
        <v>4713</v>
      </c>
      <c r="K20" s="140" t="s">
        <v>4714</v>
      </c>
    </row>
    <row r="21">
      <c r="B21" s="88" t="str">
        <f>HYPERLINK("http://www.daniela.ece.ufl.edu/Research_files/acsac14.pdf","Oliveira2014")</f>
        <v>Oliveira2014</v>
      </c>
      <c r="C21" s="46" t="s">
        <v>4673</v>
      </c>
      <c r="D21" s="46" t="s">
        <v>4715</v>
      </c>
      <c r="E21" s="46" t="s">
        <v>4679</v>
      </c>
      <c r="F21" s="46" t="s">
        <v>4670</v>
      </c>
      <c r="G21" s="46">
        <v>1.0</v>
      </c>
      <c r="H21" s="189" t="s">
        <v>4686</v>
      </c>
      <c r="I21" s="46" t="s">
        <v>4716</v>
      </c>
      <c r="J21" s="46" t="s">
        <v>4717</v>
      </c>
      <c r="K21" s="46" t="s">
        <v>4718</v>
      </c>
    </row>
    <row r="22" ht="1.5" customHeight="1">
      <c r="B22" s="218" t="str">
        <f>HYPERLINK("https://drive.google.com/open?id=0B00cIHsghs6UMjhMNklGS1JNREE","Storrle2016")</f>
        <v>Storrle2016</v>
      </c>
      <c r="C22" s="140" t="s">
        <v>88</v>
      </c>
      <c r="D22" s="140" t="s">
        <v>4719</v>
      </c>
      <c r="E22" s="140" t="s">
        <v>4669</v>
      </c>
      <c r="F22" s="140"/>
      <c r="G22" s="140">
        <v>1.0</v>
      </c>
      <c r="H22" s="201" t="s">
        <v>4665</v>
      </c>
      <c r="I22" s="211"/>
      <c r="J22" s="211" t="s">
        <v>4720</v>
      </c>
      <c r="K22" s="140" t="s">
        <v>4721</v>
      </c>
    </row>
    <row r="23">
      <c r="A23" s="60"/>
      <c r="B23" s="210" t="str">
        <f t="shared" ref="B23:B24" si="3">HYPERLINK("https://drive.google.com/open?id=0B00cIHsghs6UVHljWmNPMkF6WVE","Siegmund2014")</f>
        <v>Siegmund2014</v>
      </c>
      <c r="C23" s="46" t="s">
        <v>88</v>
      </c>
      <c r="D23" s="46" t="s">
        <v>4722</v>
      </c>
      <c r="E23" s="46" t="s">
        <v>4679</v>
      </c>
      <c r="F23" s="46" t="s">
        <v>4670</v>
      </c>
      <c r="G23" s="46">
        <v>1.0</v>
      </c>
      <c r="H23" s="189" t="s">
        <v>4686</v>
      </c>
      <c r="I23" s="46" t="s">
        <v>4716</v>
      </c>
      <c r="J23" s="46" t="s">
        <v>4723</v>
      </c>
      <c r="K23" s="46" t="s">
        <v>4724</v>
      </c>
    </row>
    <row r="24">
      <c r="B24" s="218" t="str">
        <f t="shared" si="3"/>
        <v>Siegmund2014</v>
      </c>
      <c r="C24" s="140" t="s">
        <v>88</v>
      </c>
      <c r="D24" s="140" t="s">
        <v>4725</v>
      </c>
      <c r="E24" s="140" t="s">
        <v>4726</v>
      </c>
      <c r="F24" s="140"/>
      <c r="G24" s="140">
        <v>1.0</v>
      </c>
      <c r="H24" s="201" t="s">
        <v>4686</v>
      </c>
      <c r="I24" s="140"/>
      <c r="J24" s="140" t="s">
        <v>4727</v>
      </c>
      <c r="K24" s="140" t="s">
        <v>4728</v>
      </c>
    </row>
    <row r="25">
      <c r="A25" s="60"/>
      <c r="B25" s="210" t="str">
        <f>HYPERLINK("https://drive.google.com/open?id=0B00cIHsghs6UNDBNdEQ2VHdNanc","VonMayrhauser1997")</f>
        <v>VonMayrhauser1997</v>
      </c>
      <c r="C25" s="46" t="s">
        <v>88</v>
      </c>
      <c r="D25" s="138" t="str">
        <f>HYPERLINK("https://drive.google.com/open?id=1i4TXOosnai-wnNjxWbLEkksA4W72RsvW","Brooks1983")</f>
        <v>Brooks1983</v>
      </c>
      <c r="E25" s="46" t="s">
        <v>4729</v>
      </c>
      <c r="F25" s="46" t="s">
        <v>4663</v>
      </c>
      <c r="G25" s="46">
        <v>1.0</v>
      </c>
      <c r="H25" s="189" t="s">
        <v>4686</v>
      </c>
      <c r="I25" s="46" t="s">
        <v>4716</v>
      </c>
      <c r="J25" s="162" t="s">
        <v>4730</v>
      </c>
      <c r="K25" s="46" t="s">
        <v>4731</v>
      </c>
    </row>
    <row r="26">
      <c r="A26" s="60"/>
      <c r="B26" s="210" t="str">
        <f>HYPERLINK("https://drive.google.com/open?id=0B00cIHsghs6UTnNuWGNVSE92ZlU","Mohani2014")</f>
        <v>Mohani2014</v>
      </c>
      <c r="C26" s="46" t="s">
        <v>88</v>
      </c>
      <c r="D26" s="138" t="str">
        <f>HYPERLINK("https://drive.google.com/open?id=192KK8UbQdNX2Q7NJDtZ_h23wbkprk06_","Browne2002")</f>
        <v>Browne2002</v>
      </c>
      <c r="E26" s="46" t="s">
        <v>4663</v>
      </c>
      <c r="F26" s="46" t="s">
        <v>4663</v>
      </c>
      <c r="G26" s="46">
        <v>1.0</v>
      </c>
      <c r="H26" s="189" t="s">
        <v>4686</v>
      </c>
      <c r="I26" s="46" t="s">
        <v>4716</v>
      </c>
      <c r="J26" s="162" t="s">
        <v>4732</v>
      </c>
      <c r="K26" s="46" t="s">
        <v>4733</v>
      </c>
    </row>
    <row r="27">
      <c r="A27" s="60"/>
      <c r="B27" s="210" t="str">
        <f>HYPERLINK("https://drive.google.com/open?id=0B-nn5iJ29NJaTWtVZGpyd0d4eDA","Shaft2006")</f>
        <v>Shaft2006</v>
      </c>
      <c r="C27" s="46" t="s">
        <v>88</v>
      </c>
      <c r="D27" s="138" t="str">
        <f>HYPERLINK("https://drive.google.com/open?id=17eGC-n3xmlQwz2BJvvI_OKSdZojSBlu4","Burkhardt2002")</f>
        <v>Burkhardt2002</v>
      </c>
      <c r="E27" s="46" t="s">
        <v>4663</v>
      </c>
      <c r="F27" s="46" t="s">
        <v>4663</v>
      </c>
      <c r="G27" s="46">
        <v>1.0</v>
      </c>
      <c r="H27" s="189" t="s">
        <v>4686</v>
      </c>
      <c r="I27" s="46" t="s">
        <v>4716</v>
      </c>
      <c r="J27" s="162" t="s">
        <v>4734</v>
      </c>
      <c r="K27" s="46" t="s">
        <v>4735</v>
      </c>
    </row>
    <row r="28">
      <c r="A28" s="60"/>
      <c r="B28" s="88" t="str">
        <f>HYPERLINK("https://drive.google.com/open?id=0B1GMAYMj9v6rNkJYWGVjeGZ1TnM","Nelson2008")</f>
        <v>Nelson2008</v>
      </c>
      <c r="C28" s="46" t="s">
        <v>4673</v>
      </c>
      <c r="D28" s="138" t="str">
        <f>HYPERLINK("https://drive.google.com/open?id=1wDqVM-XyISIANaZ_p2GNviZ5r-_0OFSH","Burton-Jones2006")</f>
        <v>Burton-Jones2006</v>
      </c>
      <c r="E28" s="46" t="s">
        <v>4663</v>
      </c>
      <c r="F28" s="46" t="s">
        <v>4663</v>
      </c>
      <c r="G28" s="46">
        <v>1.0</v>
      </c>
      <c r="H28" s="189" t="s">
        <v>4686</v>
      </c>
      <c r="I28" s="162" t="s">
        <v>4665</v>
      </c>
      <c r="J28" s="162" t="s">
        <v>4736</v>
      </c>
      <c r="K28" s="46" t="s">
        <v>4737</v>
      </c>
    </row>
    <row r="29">
      <c r="A29" s="60"/>
      <c r="B29" s="88" t="str">
        <f>HYPERLINK("https://drive.google.com/open?id=0B3oar8-GeP-IU096VVV1ZnQ2a0U","Conroy2012")</f>
        <v>Conroy2012</v>
      </c>
      <c r="C29" s="46" t="s">
        <v>4673</v>
      </c>
      <c r="D29" s="138" t="str">
        <f>HYPERLINK("https://drive.google.com/open?id=1fcMG7VLxvLv0V7VCK5HEmvmM37MfJUH2","Calikli2010")</f>
        <v>Calikli2010</v>
      </c>
      <c r="E29" s="46" t="s">
        <v>4679</v>
      </c>
      <c r="F29" s="46" t="s">
        <v>4663</v>
      </c>
      <c r="G29" s="46">
        <v>1.0</v>
      </c>
      <c r="H29" s="189" t="s">
        <v>4686</v>
      </c>
      <c r="I29" s="162" t="s">
        <v>4665</v>
      </c>
      <c r="J29" s="162" t="s">
        <v>4738</v>
      </c>
      <c r="K29" s="46" t="s">
        <v>4739</v>
      </c>
    </row>
    <row r="30">
      <c r="B30" s="218" t="str">
        <f>HYPERLINK("https://drive.google.com/open?id=0B00cIHsghs6URnByanBXeWRuc1E","Calikli2013")</f>
        <v>Calikli2013</v>
      </c>
      <c r="C30" s="140" t="s">
        <v>88</v>
      </c>
      <c r="D30" s="140" t="s">
        <v>4257</v>
      </c>
      <c r="E30" s="140"/>
      <c r="F30" s="140"/>
      <c r="G30" s="140">
        <v>1.0</v>
      </c>
      <c r="H30" s="201" t="s">
        <v>4686</v>
      </c>
      <c r="I30" s="219"/>
      <c r="J30" s="219" t="s">
        <v>4713</v>
      </c>
      <c r="K30" s="140" t="s">
        <v>4740</v>
      </c>
    </row>
    <row r="31">
      <c r="A31" s="60"/>
      <c r="B31" s="88" t="str">
        <f t="shared" ref="B31:B32" si="4">HYPERLINK("http://oro.open.ac.uk/45345/1/ESEM2013.pdf","Calikli2013a")</f>
        <v>Calikli2013a</v>
      </c>
      <c r="C31" s="46" t="s">
        <v>4673</v>
      </c>
      <c r="D31" s="138" t="str">
        <f>HYPERLINK("https://drive.google.com/open?id=1s4pfRkUWC9WZ87QiCrjSPmoZmsrLoN7u","Calikli2010c")</f>
        <v>Calikli2010c</v>
      </c>
      <c r="E31" s="46" t="s">
        <v>4663</v>
      </c>
      <c r="F31" s="46" t="s">
        <v>4663</v>
      </c>
      <c r="G31" s="46">
        <v>1.0</v>
      </c>
      <c r="H31" s="189" t="s">
        <v>4665</v>
      </c>
      <c r="I31" s="162" t="s">
        <v>4665</v>
      </c>
      <c r="J31" s="162" t="s">
        <v>4741</v>
      </c>
      <c r="K31" s="46" t="s">
        <v>4742</v>
      </c>
    </row>
    <row r="32">
      <c r="A32" s="60"/>
      <c r="B32" s="88" t="str">
        <f t="shared" si="4"/>
        <v>Calikli2013a</v>
      </c>
      <c r="C32" s="46" t="s">
        <v>4673</v>
      </c>
      <c r="D32" s="138" t="str">
        <f>HYPERLINK("https://drive.google.com/open?id=18g7tRYFuCAbQl_d30ozSZCjR_9zWBkQQ","Calikli2013")</f>
        <v>Calikli2013</v>
      </c>
      <c r="E32" s="46" t="s">
        <v>4663</v>
      </c>
      <c r="F32" s="46" t="s">
        <v>4663</v>
      </c>
      <c r="G32" s="46">
        <v>1.0</v>
      </c>
      <c r="H32" s="189" t="s">
        <v>4665</v>
      </c>
      <c r="I32" s="162" t="s">
        <v>4665</v>
      </c>
      <c r="J32" s="162" t="s">
        <v>4743</v>
      </c>
      <c r="K32" s="46" t="s">
        <v>4744</v>
      </c>
    </row>
    <row r="33">
      <c r="A33" s="60"/>
      <c r="B33" s="210" t="str">
        <f>HYPERLINK("https://drive.google.com/open?id=0B3oar8-GeP-IT29tMXpHQWtKQnc","Agarwal1999")</f>
        <v>Agarwal1999</v>
      </c>
      <c r="C33" s="46" t="s">
        <v>4676</v>
      </c>
      <c r="D33" s="138" t="str">
        <f>HYPERLINK("https://drive.google.com/open?id=1q2hvBxeBL4rUfCzbrz8n_Uucbc-PqiJs","Cant1995")</f>
        <v>Cant1995</v>
      </c>
      <c r="E33" s="46" t="s">
        <v>4663</v>
      </c>
      <c r="F33" s="46" t="s">
        <v>4663</v>
      </c>
      <c r="G33" s="46">
        <v>1.0</v>
      </c>
      <c r="H33" s="189" t="s">
        <v>4665</v>
      </c>
      <c r="I33" s="162" t="s">
        <v>4665</v>
      </c>
      <c r="J33" s="162" t="s">
        <v>4745</v>
      </c>
      <c r="K33" s="46" t="s">
        <v>4746</v>
      </c>
    </row>
    <row r="34">
      <c r="B34" s="88" t="str">
        <f>HYPERLINK("https://drive.google.com/open?id=0B1GMAYMj9v6raXVlejY2RzkwbUE","Aranda2006")</f>
        <v>Aranda2006</v>
      </c>
      <c r="C34" s="140" t="s">
        <v>116</v>
      </c>
      <c r="D34" s="220" t="str">
        <f>HYPERLINK("https://drive.google.com/open?id=1S3UFd1Wo5mC9rKIScjBAtV_y5mh9PSbl","Chiew2003")</f>
        <v>Chiew2003</v>
      </c>
      <c r="E34" s="140" t="s">
        <v>4747</v>
      </c>
      <c r="F34" s="140"/>
      <c r="G34" s="140">
        <v>1.0</v>
      </c>
      <c r="H34" s="201" t="s">
        <v>4665</v>
      </c>
      <c r="I34" s="211"/>
      <c r="J34" s="211" t="s">
        <v>4748</v>
      </c>
      <c r="K34" s="140" t="s">
        <v>4749</v>
      </c>
    </row>
    <row r="35">
      <c r="B35" s="125" t="str">
        <f>HYPERLINK("https://drive.google.com/open?id=0B-nn5iJ29NJaXzMzOEM0UEVreXM","Chiu2014")</f>
        <v>Chiu2014</v>
      </c>
      <c r="C35" s="140" t="s">
        <v>124</v>
      </c>
      <c r="D35" s="140" t="s">
        <v>4750</v>
      </c>
      <c r="E35" s="140" t="s">
        <v>4669</v>
      </c>
      <c r="F35" s="140"/>
      <c r="G35" s="140">
        <v>1.0</v>
      </c>
      <c r="H35" s="201" t="s">
        <v>4665</v>
      </c>
      <c r="I35" s="211"/>
      <c r="J35" s="211" t="s">
        <v>4751</v>
      </c>
      <c r="K35" s="140" t="s">
        <v>4752</v>
      </c>
    </row>
    <row r="36">
      <c r="A36" s="60"/>
      <c r="B36" s="210" t="str">
        <f>HYPERLINK("https://drive.google.com/open?id=0B-nn5iJ29NJaTWtVZGpyd0d4eDA","Shaft2006")</f>
        <v>Shaft2006</v>
      </c>
      <c r="C36" s="46" t="s">
        <v>88</v>
      </c>
      <c r="D36" s="138" t="str">
        <f>HYPERLINK("https://drive.google.com/open?id=1iqR3K7cP7KEfWXHDBqrsjxGg-EhkKSrw","Corritore1999")</f>
        <v>Corritore1999</v>
      </c>
      <c r="E36" s="46" t="s">
        <v>4663</v>
      </c>
      <c r="F36" s="46" t="s">
        <v>4663</v>
      </c>
      <c r="G36" s="46">
        <v>1.0</v>
      </c>
      <c r="H36" s="189" t="s">
        <v>4665</v>
      </c>
      <c r="I36" s="162" t="s">
        <v>4686</v>
      </c>
      <c r="J36" s="162" t="s">
        <v>4753</v>
      </c>
      <c r="K36" s="46" t="s">
        <v>4754</v>
      </c>
    </row>
    <row r="37">
      <c r="B37" s="88" t="str">
        <f>HYPERLINK("http://www.daniela.ece.ufl.edu/Research_files/acsac14.pdf","Oliveira2014")</f>
        <v>Oliveira2014</v>
      </c>
      <c r="C37" s="140" t="s">
        <v>4673</v>
      </c>
      <c r="D37" s="140" t="s">
        <v>4755</v>
      </c>
      <c r="E37" s="140" t="s">
        <v>4669</v>
      </c>
      <c r="F37" s="140"/>
      <c r="G37" s="140">
        <v>1.0</v>
      </c>
      <c r="H37" s="201" t="s">
        <v>4665</v>
      </c>
      <c r="I37" s="211"/>
      <c r="J37" s="211" t="s">
        <v>4756</v>
      </c>
      <c r="K37" s="140" t="s">
        <v>4757</v>
      </c>
    </row>
    <row r="38">
      <c r="A38" s="60"/>
      <c r="B38" s="210" t="str">
        <f>HYPERLINK("https://drive.google.com/open?id=0B00cIHsghs6UMzBmYVVTYmh5NEE","Zugal2012")</f>
        <v>Zugal2012</v>
      </c>
      <c r="C38" s="46" t="s">
        <v>88</v>
      </c>
      <c r="D38" s="138" t="str">
        <f>HYPERLINK("https://drive.google.com/open?id=14IlZpfQv8PT8Zy3ZqFGUPu9lkuFdJUM4","Cruz-Lemus2009")</f>
        <v>Cruz-Lemus2009</v>
      </c>
      <c r="E38" s="46" t="s">
        <v>4679</v>
      </c>
      <c r="F38" s="46" t="s">
        <v>4663</v>
      </c>
      <c r="G38" s="46">
        <v>1.0</v>
      </c>
      <c r="H38" s="189" t="s">
        <v>4665</v>
      </c>
      <c r="I38" s="162" t="s">
        <v>4686</v>
      </c>
      <c r="J38" s="162" t="s">
        <v>4758</v>
      </c>
      <c r="K38" s="46" t="s">
        <v>4759</v>
      </c>
    </row>
    <row r="39">
      <c r="A39" s="60"/>
      <c r="B39" s="210" t="str">
        <f>HYPERLINK("https://drive.google.com/open?id=0B00cIHsghs6UUmI0ejNXSmtOYTQ","DeAlwis2008")</f>
        <v>DeAlwis2008</v>
      </c>
      <c r="C39" s="46" t="s">
        <v>88</v>
      </c>
      <c r="D39" s="138" t="str">
        <f>HYPERLINK("https://drive.google.com/open?id=1_ak7t8NRAlUHkfNlShgYpUa0Y64up_k_","Curtis1979")</f>
        <v>Curtis1979</v>
      </c>
      <c r="E39" s="46" t="s">
        <v>4663</v>
      </c>
      <c r="F39" s="46" t="s">
        <v>4663</v>
      </c>
      <c r="G39" s="46">
        <v>1.0</v>
      </c>
      <c r="H39" s="189" t="s">
        <v>4665</v>
      </c>
      <c r="I39" s="162" t="s">
        <v>4686</v>
      </c>
      <c r="J39" s="162" t="s">
        <v>4760</v>
      </c>
      <c r="K39" s="46" t="s">
        <v>4761</v>
      </c>
    </row>
    <row r="40">
      <c r="B40" s="218" t="str">
        <f>HYPERLINK("https://drive.google.com/open?id=0B00cIHsghs6UUjlHem9FWDZOZm8","Zhou2010")</f>
        <v>Zhou2010</v>
      </c>
      <c r="C40" s="140" t="s">
        <v>88</v>
      </c>
      <c r="D40" s="220" t="str">
        <f>HYPERLINK("https://drive.google.com/open?id=1zLPFKyz9NjaAVjNIofaILMEpCe1Rkdpz","Curtis1984")</f>
        <v>Curtis1984</v>
      </c>
      <c r="E40" s="140" t="s">
        <v>4747</v>
      </c>
      <c r="F40" s="140"/>
      <c r="G40" s="140">
        <v>1.0</v>
      </c>
      <c r="H40" s="201" t="s">
        <v>4665</v>
      </c>
      <c r="I40" s="211"/>
      <c r="J40" s="211" t="s">
        <v>4762</v>
      </c>
      <c r="K40" s="140" t="s">
        <v>4763</v>
      </c>
    </row>
    <row r="41">
      <c r="B41" s="88" t="str">
        <f>HYPERLINK("https://drive.google.com/open?id=0B1GMAYMj9v6rdTZxdU9CSElObzA","Piri2012")</f>
        <v>Piri2012</v>
      </c>
      <c r="C41" s="140" t="s">
        <v>116</v>
      </c>
      <c r="D41" s="220" t="str">
        <f>HYPERLINK("https://drive.google.com/open?id=1dvz4HOB2HIcYUKsnwYvnnDv47XWxagB-","Curtis1986")</f>
        <v>Curtis1986</v>
      </c>
      <c r="E41" s="140" t="s">
        <v>4747</v>
      </c>
      <c r="F41" s="140"/>
      <c r="G41" s="140">
        <v>1.0</v>
      </c>
      <c r="H41" s="201" t="s">
        <v>4665</v>
      </c>
      <c r="I41" s="211"/>
      <c r="J41" s="211" t="s">
        <v>4764</v>
      </c>
      <c r="K41" s="140" t="s">
        <v>4765</v>
      </c>
    </row>
    <row r="42">
      <c r="A42" s="60"/>
      <c r="B42" s="88" t="str">
        <f>HYPERLINK("https://drive.google.com/open?id=0B1GMAYMj9v6rUTB5eU43TDVMVGc","Leveson2000")</f>
        <v>Leveson2000</v>
      </c>
      <c r="C42" s="46" t="s">
        <v>4673</v>
      </c>
      <c r="D42" s="138" t="str">
        <f>HYPERLINK("https://drive.google.com/open?id=1HDSfZX6mUBhrYf-hLFeafUVax6Rj7g1M","Curtis1988")</f>
        <v>Curtis1988</v>
      </c>
      <c r="E42" s="46" t="s">
        <v>4679</v>
      </c>
      <c r="F42" s="46" t="s">
        <v>4663</v>
      </c>
      <c r="G42" s="46">
        <v>1.0</v>
      </c>
      <c r="H42" s="189" t="s">
        <v>4665</v>
      </c>
      <c r="I42" s="162" t="s">
        <v>4686</v>
      </c>
      <c r="J42" s="162" t="s">
        <v>4766</v>
      </c>
      <c r="K42" s="46" t="s">
        <v>4767</v>
      </c>
    </row>
    <row r="43">
      <c r="B43" s="88" t="str">
        <f>HYPERLINK("https://drive.google.com/open?id=0B3oar8-GeP-IdTN1bmNaY2ZXTkE","Hadar2013")</f>
        <v>Hadar2013</v>
      </c>
      <c r="C43" s="140" t="s">
        <v>4673</v>
      </c>
      <c r="D43" s="140" t="s">
        <v>4768</v>
      </c>
      <c r="E43" s="140" t="s">
        <v>4669</v>
      </c>
      <c r="F43" s="140"/>
      <c r="G43" s="140">
        <v>1.0</v>
      </c>
      <c r="H43" s="201" t="s">
        <v>4665</v>
      </c>
      <c r="I43" s="211"/>
      <c r="J43" s="211" t="s">
        <v>4769</v>
      </c>
      <c r="K43" s="140" t="s">
        <v>4770</v>
      </c>
    </row>
    <row r="44">
      <c r="A44" s="60"/>
      <c r="B44" s="210" t="str">
        <f>HYPERLINK("https://drive.google.com/open?id=0B3oar8-GeP-IbHFVZjN2TUhKbms","Xu2010")</f>
        <v>Xu2010</v>
      </c>
      <c r="C44" s="46" t="s">
        <v>4676</v>
      </c>
      <c r="D44" s="138" t="str">
        <f>HYPERLINK("https://drive.google.com/open?id=10LsMmsYvJU5QcU6q_GW6uHkGNSJZjPmr","Davies1994")</f>
        <v>Davies1994</v>
      </c>
      <c r="E44" s="46" t="s">
        <v>4679</v>
      </c>
      <c r="F44" s="46" t="s">
        <v>4663</v>
      </c>
      <c r="G44" s="46">
        <v>1.0</v>
      </c>
      <c r="H44" s="189" t="s">
        <v>4665</v>
      </c>
      <c r="I44" s="162" t="s">
        <v>4686</v>
      </c>
      <c r="J44" s="162" t="s">
        <v>4771</v>
      </c>
      <c r="K44" s="46" t="s">
        <v>4772</v>
      </c>
    </row>
    <row r="45">
      <c r="A45" s="60"/>
      <c r="B45" s="192" t="str">
        <f>HYPERLINK("https://drive.google.com/open?id=0B1GMAYMj9v6rekp2WkxkWjd2bmM","Storrle2011")</f>
        <v>Storrle2011</v>
      </c>
      <c r="C45" s="46" t="s">
        <v>116</v>
      </c>
      <c r="D45" s="138" t="str">
        <f>HYPERLINK("https://drive.google.com/open?id=1-Vad87wDwpbuylTwzpdOzAM_HZXSa8T7","DeLucia2008")</f>
        <v>DeLucia2008</v>
      </c>
      <c r="E45" s="46" t="s">
        <v>4679</v>
      </c>
      <c r="F45" s="46" t="s">
        <v>4663</v>
      </c>
      <c r="G45" s="46">
        <v>1.0</v>
      </c>
      <c r="H45" s="189" t="s">
        <v>4665</v>
      </c>
      <c r="I45" s="162" t="s">
        <v>4697</v>
      </c>
      <c r="J45" s="162" t="s">
        <v>4773</v>
      </c>
      <c r="K45" s="46" t="s">
        <v>4774</v>
      </c>
    </row>
    <row r="46">
      <c r="B46" s="88" t="str">
        <f t="shared" ref="B46:B47" si="5">HYPERLINK("https://drive.google.com/open?id=0B1GMAYMj9v6rdTZxdU9CSElObzA","Piri2012")</f>
        <v>Piri2012</v>
      </c>
      <c r="C46" s="140" t="s">
        <v>116</v>
      </c>
      <c r="D46" s="140" t="s">
        <v>4775</v>
      </c>
      <c r="E46" s="140" t="s">
        <v>4670</v>
      </c>
      <c r="F46" s="140"/>
      <c r="G46" s="140">
        <v>1.0</v>
      </c>
      <c r="H46" s="201" t="s">
        <v>4665</v>
      </c>
      <c r="I46" s="211"/>
      <c r="J46" s="211"/>
      <c r="K46" s="140" t="s">
        <v>4776</v>
      </c>
    </row>
    <row r="47">
      <c r="B47" s="88" t="str">
        <f t="shared" si="5"/>
        <v>Piri2012</v>
      </c>
      <c r="C47" s="140" t="s">
        <v>116</v>
      </c>
      <c r="D47" s="140" t="s">
        <v>4777</v>
      </c>
      <c r="E47" s="140" t="s">
        <v>4669</v>
      </c>
      <c r="F47" s="140"/>
      <c r="G47" s="140">
        <v>1.0</v>
      </c>
      <c r="H47" s="201" t="s">
        <v>4665</v>
      </c>
      <c r="I47" s="211"/>
      <c r="J47" s="211" t="s">
        <v>4778</v>
      </c>
      <c r="K47" s="140" t="s">
        <v>4779</v>
      </c>
    </row>
    <row r="48">
      <c r="B48" s="88" t="str">
        <f>HYPERLINK("https://drive.google.com/open?id=0B3oar8-GeP-IdTN1bmNaY2ZXTkE","Hadar2013")</f>
        <v>Hadar2013</v>
      </c>
      <c r="C48" s="140" t="s">
        <v>4673</v>
      </c>
      <c r="D48" s="220" t="str">
        <f>HYPERLINK("https://drive.google.com/open?id=1qaqc-bzAqX53U8NcNttq2CiFPIdxwKkT","Detienne1997")</f>
        <v>Detienne1997</v>
      </c>
      <c r="E48" s="140" t="s">
        <v>4747</v>
      </c>
      <c r="F48" s="140"/>
      <c r="G48" s="140">
        <v>1.0</v>
      </c>
      <c r="H48" s="201" t="s">
        <v>4665</v>
      </c>
      <c r="I48" s="211"/>
      <c r="J48" s="211" t="s">
        <v>4780</v>
      </c>
      <c r="K48" s="140" t="s">
        <v>4781</v>
      </c>
    </row>
    <row r="49">
      <c r="B49" s="88" t="str">
        <f>HYPERLINK("https://drive.google.com/open?id=0B1GMAYMj9v6rdm5BYVh1emNhOUE","Fritz2014")</f>
        <v>Fritz2014</v>
      </c>
      <c r="C49" s="140" t="s">
        <v>116</v>
      </c>
      <c r="D49" s="140" t="s">
        <v>4782</v>
      </c>
      <c r="E49" s="140" t="s">
        <v>4670</v>
      </c>
      <c r="F49" s="140"/>
      <c r="G49" s="140">
        <v>1.0</v>
      </c>
      <c r="H49" s="201" t="s">
        <v>4665</v>
      </c>
      <c r="I49" s="211"/>
      <c r="J49" s="211" t="s">
        <v>4783</v>
      </c>
      <c r="K49" s="140" t="s">
        <v>4784</v>
      </c>
    </row>
    <row r="50">
      <c r="B50" s="125" t="str">
        <f>HYPERLINK("https://drive.google.com/open?id=0B-nn5iJ29NJaME5ka1NmWS1zems","Unkelos-Shpigel2015")</f>
        <v>Unkelos-Shpigel2015</v>
      </c>
      <c r="C50" s="140" t="s">
        <v>124</v>
      </c>
      <c r="D50" s="140" t="s">
        <v>4785</v>
      </c>
      <c r="E50" s="140" t="s">
        <v>4669</v>
      </c>
      <c r="F50" s="140"/>
      <c r="G50" s="140">
        <v>1.0</v>
      </c>
      <c r="H50" s="201" t="s">
        <v>4665</v>
      </c>
      <c r="I50" s="211"/>
      <c r="J50" s="211" t="s">
        <v>4786</v>
      </c>
      <c r="K50" s="140" t="s">
        <v>4787</v>
      </c>
    </row>
    <row r="51">
      <c r="B51" s="88" t="str">
        <f>HYPERLINK("https://drive.google.com/open?id=0B1GMAYMj9v6rbm95cHhBZ1lCTk0","Leite2015")</f>
        <v>Leite2015</v>
      </c>
      <c r="C51" s="140" t="s">
        <v>116</v>
      </c>
      <c r="D51" s="140" t="s">
        <v>4788</v>
      </c>
      <c r="E51" s="140" t="s">
        <v>4669</v>
      </c>
      <c r="F51" s="140"/>
      <c r="G51" s="140">
        <v>1.0</v>
      </c>
      <c r="H51" s="201" t="s">
        <v>4664</v>
      </c>
      <c r="I51" s="211"/>
      <c r="J51" s="211" t="s">
        <v>4789</v>
      </c>
      <c r="K51" s="140" t="s">
        <v>4790</v>
      </c>
    </row>
    <row r="52">
      <c r="B52" s="88" t="str">
        <f>HYPERLINK("https://drive.google.com/open?id=0B1GMAYMj9v6rdTZxdU9CSElObzA","Piri2012")</f>
        <v>Piri2012</v>
      </c>
      <c r="C52" s="140" t="s">
        <v>116</v>
      </c>
      <c r="D52" s="140" t="s">
        <v>4791</v>
      </c>
      <c r="E52" s="140" t="s">
        <v>4669</v>
      </c>
      <c r="F52" s="140"/>
      <c r="G52" s="140">
        <v>1.0</v>
      </c>
      <c r="H52" s="201" t="s">
        <v>4665</v>
      </c>
      <c r="I52" s="211"/>
      <c r="J52" s="211" t="s">
        <v>4792</v>
      </c>
      <c r="K52" s="140" t="s">
        <v>4793</v>
      </c>
    </row>
    <row r="53">
      <c r="A53" s="60"/>
      <c r="B53" s="210" t="str">
        <f>HYPERLINK("https://drive.google.com/open?id=0B00cIHsghs6UVHljWmNPMkF6WVE","Siegmund2014")</f>
        <v>Siegmund2014</v>
      </c>
      <c r="C53" s="46" t="s">
        <v>88</v>
      </c>
      <c r="D53" s="138" t="str">
        <f>HYPERLINK("https://drive.google.com/open?id=1anJWToRq3TTA_1Kp14KKsA0NeCxW6s3B","Feigenspan2012")</f>
        <v>Feigenspan2012</v>
      </c>
      <c r="E53" s="46" t="s">
        <v>4679</v>
      </c>
      <c r="F53" s="46" t="s">
        <v>4663</v>
      </c>
      <c r="G53" s="46">
        <v>1.0</v>
      </c>
      <c r="H53" s="189" t="s">
        <v>4665</v>
      </c>
      <c r="I53" s="162" t="s">
        <v>4697</v>
      </c>
      <c r="J53" s="162" t="s">
        <v>4794</v>
      </c>
      <c r="K53" s="46" t="s">
        <v>4795</v>
      </c>
    </row>
    <row r="54">
      <c r="A54" s="60"/>
      <c r="B54" s="221" t="str">
        <f>HYPERLINK("https://drive.google.com/open?id=0B-nn5iJ29NJacllxeGJNcm9BZE0","Dobesova2013")</f>
        <v>Dobesova2013</v>
      </c>
      <c r="C54" s="46" t="s">
        <v>124</v>
      </c>
      <c r="D54" s="138" t="str">
        <f>HYPERLINK("https://drive.google.com/open?id=1_qv_1iPfnVLKY3SyL2X6jrwnNZE-3Gj_","Figl2012")</f>
        <v>Figl2012</v>
      </c>
      <c r="E54" s="46" t="s">
        <v>4679</v>
      </c>
      <c r="F54" s="46" t="s">
        <v>4663</v>
      </c>
      <c r="G54" s="46">
        <v>1.0</v>
      </c>
      <c r="H54" s="189" t="s">
        <v>4665</v>
      </c>
      <c r="I54" s="162" t="s">
        <v>4697</v>
      </c>
      <c r="J54" s="162" t="s">
        <v>4796</v>
      </c>
      <c r="K54" s="46" t="s">
        <v>4797</v>
      </c>
    </row>
    <row r="55">
      <c r="A55" s="60"/>
      <c r="B55" s="88" t="str">
        <f>HYPERLINK("https://www.researchgate.net/profile/Senthilrajan_Moorthy/publication/224261850_Program_Comprehension_and_Implications_of_Human_Navigational_Approaches/links/542d96010cf29bbc126d4aa2.pdf","Moorthy2011")</f>
        <v>Moorthy2011</v>
      </c>
      <c r="C55" s="46" t="s">
        <v>4673</v>
      </c>
      <c r="D55" s="138" t="str">
        <f>HYPERLINK("https://drive.google.com/open?id=1l6kx0sfDNdR1ARYSSvsUwRvHP56R6rgN","Fisher2006")</f>
        <v>Fisher2006</v>
      </c>
      <c r="E55" s="46" t="s">
        <v>4663</v>
      </c>
      <c r="F55" s="46" t="s">
        <v>4663</v>
      </c>
      <c r="G55" s="46">
        <v>1.0</v>
      </c>
      <c r="H55" s="189" t="s">
        <v>4665</v>
      </c>
      <c r="I55" s="162" t="s">
        <v>4697</v>
      </c>
      <c r="J55" s="162" t="s">
        <v>4798</v>
      </c>
      <c r="K55" s="46" t="s">
        <v>4799</v>
      </c>
    </row>
    <row r="56">
      <c r="B56" s="88" t="str">
        <f>HYPERLINK("https://drive.google.com/open?id=0B1GMAYMj9v6rUTB5eU43TDVMVGc","Leveson2000")</f>
        <v>Leveson2000</v>
      </c>
      <c r="C56" s="140" t="s">
        <v>4673</v>
      </c>
      <c r="D56" s="140" t="s">
        <v>4800</v>
      </c>
      <c r="E56" s="140" t="s">
        <v>4703</v>
      </c>
      <c r="F56" s="140"/>
      <c r="G56" s="140">
        <v>1.0</v>
      </c>
      <c r="H56" s="201" t="s">
        <v>4665</v>
      </c>
      <c r="I56" s="211"/>
      <c r="J56" s="211" t="s">
        <v>4801</v>
      </c>
      <c r="K56" s="140" t="s">
        <v>4802</v>
      </c>
    </row>
    <row r="57">
      <c r="A57" s="60"/>
      <c r="B57" s="88" t="str">
        <f>HYPERLINK("https://drive.google.com/open?id=0B1GMAYMj9v6rZGVNMkVUUEoyZEE","White2005")</f>
        <v>White2005</v>
      </c>
      <c r="C57" s="46" t="s">
        <v>116</v>
      </c>
      <c r="D57" s="138" t="str">
        <f>HYPERLINK("https://drive.google.com/open?id=1KSrFo0m5Vpe8PJP54ZN_t_-bYtjf-iV8","Fletcher1984")</f>
        <v>Fletcher1984</v>
      </c>
      <c r="E57" s="46" t="s">
        <v>4663</v>
      </c>
      <c r="F57" s="46" t="s">
        <v>4663</v>
      </c>
      <c r="G57" s="46">
        <v>1.0</v>
      </c>
      <c r="H57" s="189" t="s">
        <v>4665</v>
      </c>
      <c r="I57" s="162" t="s">
        <v>4697</v>
      </c>
      <c r="J57" s="46" t="s">
        <v>4803</v>
      </c>
      <c r="K57" s="46" t="s">
        <v>4804</v>
      </c>
    </row>
    <row r="58">
      <c r="A58" s="60"/>
      <c r="B58" s="221" t="str">
        <f>HYPERLINK("https://drive.google.com/open?id=0B-nn5iJ29NJaWXdTQlYteDlReXc","Biegel2015")</f>
        <v>Biegel2015</v>
      </c>
      <c r="C58" s="46" t="s">
        <v>124</v>
      </c>
      <c r="D58" s="138" t="str">
        <f>HYPERLINK("https://drive.google.com/open?id=1cTzhfRYF-_spkdfYbSzBlduyNEcWbnEj","Fritz2014a")</f>
        <v>Fritz2014a</v>
      </c>
      <c r="E58" s="46" t="s">
        <v>4679</v>
      </c>
      <c r="F58" s="46" t="s">
        <v>4663</v>
      </c>
      <c r="G58" s="46">
        <v>1.0</v>
      </c>
      <c r="H58" s="189" t="s">
        <v>4665</v>
      </c>
      <c r="I58" s="162" t="s">
        <v>4716</v>
      </c>
      <c r="J58" s="162" t="s">
        <v>4805</v>
      </c>
      <c r="K58" s="46" t="s">
        <v>4806</v>
      </c>
    </row>
    <row r="59">
      <c r="A59" s="60"/>
      <c r="B59" s="221" t="str">
        <f>HYPERLINK("https://drive.google.com/open?id=0B-nn5iJ29NJaR2VkeTJIbjdVbEk","Chu2006")</f>
        <v>Chu2006</v>
      </c>
      <c r="C59" s="46" t="s">
        <v>124</v>
      </c>
      <c r="D59" s="138" t="str">
        <f>HYPERLINK("https://drive.google.com/open?id=1u1aBFyFg8PIHdg32ko1vBCzMGp6cCHgo","Walenstein2003")</f>
        <v>Walenstein2003</v>
      </c>
      <c r="E59" s="46" t="s">
        <v>4663</v>
      </c>
      <c r="F59" s="46" t="s">
        <v>4663</v>
      </c>
      <c r="G59" s="46">
        <v>1.0</v>
      </c>
      <c r="H59" s="189" t="s">
        <v>4665</v>
      </c>
      <c r="I59" s="162" t="s">
        <v>4716</v>
      </c>
      <c r="J59" s="162" t="s">
        <v>4807</v>
      </c>
      <c r="K59" s="46" t="s">
        <v>4808</v>
      </c>
    </row>
    <row r="60">
      <c r="A60" s="60"/>
      <c r="B60" s="210" t="str">
        <f>HYPERLINK("https://drive.google.com/open?id=0B-nn5iJ29NJaWXpmaTZHbVlUM28","Sonnentag1994")</f>
        <v>Sonnentag1994</v>
      </c>
      <c r="C60" s="46" t="s">
        <v>88</v>
      </c>
      <c r="D60" s="46" t="s">
        <v>4809</v>
      </c>
      <c r="E60" s="46" t="s">
        <v>4679</v>
      </c>
      <c r="F60" s="46" t="s">
        <v>4670</v>
      </c>
      <c r="G60" s="46">
        <v>1.0</v>
      </c>
      <c r="H60" s="189" t="s">
        <v>4665</v>
      </c>
      <c r="I60" s="162" t="s">
        <v>4716</v>
      </c>
      <c r="J60" s="162"/>
      <c r="K60" s="46" t="s">
        <v>4810</v>
      </c>
    </row>
    <row r="61">
      <c r="B61" s="218" t="str">
        <f>HYPERLINK("https://drive.google.com/open?id=0B00cIHsghs6UOWE2cmpsUzhVc2c","Klemola2002")</f>
        <v>Klemola2002</v>
      </c>
      <c r="C61" s="140" t="s">
        <v>88</v>
      </c>
      <c r="D61" s="220" t="str">
        <f>HYPERLINK("https://drive.google.com/open?id=1cLCNQzrQDAqgfCBblKRTLbRtenXgLTtp","Gardner1998")</f>
        <v>Gardner1998</v>
      </c>
      <c r="E61" s="140" t="s">
        <v>4670</v>
      </c>
      <c r="F61" s="140"/>
      <c r="G61" s="140">
        <v>1.0</v>
      </c>
      <c r="H61" s="201" t="s">
        <v>4665</v>
      </c>
      <c r="I61" s="211"/>
      <c r="J61" s="211"/>
      <c r="K61" s="140" t="s">
        <v>4811</v>
      </c>
    </row>
    <row r="62">
      <c r="B62" s="88" t="str">
        <f>HYPERLINK("http://www.daniela.ece.ufl.edu/Research_files/acsac14.pdf","Oliveira2014")</f>
        <v>Oliveira2014</v>
      </c>
      <c r="C62" s="140" t="s">
        <v>4673</v>
      </c>
      <c r="D62" s="140" t="s">
        <v>4812</v>
      </c>
      <c r="E62" s="140" t="s">
        <v>4703</v>
      </c>
      <c r="F62" s="140"/>
      <c r="G62" s="140">
        <v>1.0</v>
      </c>
      <c r="H62" s="201" t="s">
        <v>4665</v>
      </c>
      <c r="I62" s="211"/>
      <c r="J62" s="211" t="s">
        <v>4813</v>
      </c>
      <c r="K62" s="140" t="s">
        <v>4814</v>
      </c>
    </row>
    <row r="63">
      <c r="A63" s="60"/>
      <c r="B63" s="210" t="str">
        <f t="shared" ref="B63:B64" si="6">HYPERLINK("https://drive.google.com/open?id=0B3oar8-GeP-IbHFVZjN2TUhKbms","Xu2010")</f>
        <v>Xu2010</v>
      </c>
      <c r="C63" s="46" t="s">
        <v>4676</v>
      </c>
      <c r="D63" s="138" t="str">
        <f>HYPERLINK("https://drive.google.com/open?id=1Zw5V-4TpVSJtiIvX95lp_SXJPEX6Hsmo","Gilmore1988")</f>
        <v>Gilmore1988</v>
      </c>
      <c r="E63" s="46" t="s">
        <v>4679</v>
      </c>
      <c r="F63" s="46" t="s">
        <v>4663</v>
      </c>
      <c r="G63" s="46">
        <v>1.0</v>
      </c>
      <c r="H63" s="189" t="s">
        <v>4665</v>
      </c>
      <c r="I63" s="162" t="s">
        <v>4716</v>
      </c>
      <c r="J63" s="162" t="s">
        <v>4815</v>
      </c>
      <c r="K63" s="46" t="s">
        <v>4816</v>
      </c>
    </row>
    <row r="64">
      <c r="B64" s="218" t="str">
        <f t="shared" si="6"/>
        <v>Xu2010</v>
      </c>
      <c r="C64" s="140" t="s">
        <v>4676</v>
      </c>
      <c r="D64" s="140" t="s">
        <v>4817</v>
      </c>
      <c r="E64" s="140" t="s">
        <v>4670</v>
      </c>
      <c r="F64" s="140"/>
      <c r="G64" s="140">
        <v>1.0</v>
      </c>
      <c r="H64" s="201" t="s">
        <v>4665</v>
      </c>
      <c r="I64" s="222"/>
      <c r="J64" s="222"/>
      <c r="K64" s="140" t="s">
        <v>4818</v>
      </c>
    </row>
    <row r="65">
      <c r="A65" s="60"/>
      <c r="B65" s="210" t="str">
        <f>HYPERLINK("https://drive.google.com/open?id=0B-nn5iJ29NJaWXpmaTZHbVlUM28","Sonnentag1994")</f>
        <v>Sonnentag1994</v>
      </c>
      <c r="C65" s="46" t="s">
        <v>88</v>
      </c>
      <c r="D65" s="46" t="s">
        <v>4819</v>
      </c>
      <c r="E65" s="46" t="s">
        <v>4679</v>
      </c>
      <c r="F65" s="46" t="s">
        <v>4670</v>
      </c>
      <c r="G65" s="46">
        <v>1.0</v>
      </c>
      <c r="H65" s="189" t="s">
        <v>4665</v>
      </c>
      <c r="I65" s="162" t="s">
        <v>4716</v>
      </c>
      <c r="J65" s="162" t="s">
        <v>4820</v>
      </c>
      <c r="K65" s="46" t="s">
        <v>4821</v>
      </c>
    </row>
    <row r="66">
      <c r="A66" s="60"/>
      <c r="B66" s="210" t="str">
        <f>HYPERLINK("https://drive.google.com/open?id=0B-nn5iJ29NJaTWtVZGpyd0d4eDA","Shaft2006")</f>
        <v>Shaft2006</v>
      </c>
      <c r="C66" s="46" t="s">
        <v>88</v>
      </c>
      <c r="D66" s="138" t="str">
        <f>HYPERLINK("https://drive.google.com/open?id=1t2ZXUzLenlHEbPMr1-Pgq6GQznjZI8BV","Green1977")</f>
        <v>Green1977</v>
      </c>
      <c r="E66" s="46" t="s">
        <v>4679</v>
      </c>
      <c r="F66" s="46" t="s">
        <v>4663</v>
      </c>
      <c r="G66" s="46">
        <v>1.0</v>
      </c>
      <c r="H66" s="189" t="s">
        <v>4665</v>
      </c>
      <c r="I66" s="162" t="s">
        <v>4665</v>
      </c>
      <c r="J66" s="162" t="s">
        <v>4822</v>
      </c>
      <c r="K66" s="46" t="s">
        <v>4823</v>
      </c>
    </row>
    <row r="67">
      <c r="A67" s="60"/>
      <c r="B67" s="88" t="str">
        <f>HYPERLINK("https://drive.google.com/open?id=0B1GMAYMj9v6rUjNEb25DZGFWSEU","Alexandron2014")</f>
        <v>Alexandron2014</v>
      </c>
      <c r="C67" s="46" t="s">
        <v>116</v>
      </c>
      <c r="D67" s="138" t="str">
        <f>HYPERLINK("https://drive.google.com/open?id=1YFEC5svmA2WagQC8KMg8b4zk373YRXy2","Green1989")</f>
        <v>Green1989</v>
      </c>
      <c r="E67" s="46" t="s">
        <v>4679</v>
      </c>
      <c r="F67" s="46" t="s">
        <v>4663</v>
      </c>
      <c r="G67" s="46">
        <v>1.0</v>
      </c>
      <c r="H67" s="189" t="s">
        <v>4665</v>
      </c>
      <c r="I67" s="162" t="s">
        <v>4665</v>
      </c>
      <c r="J67" s="162" t="s">
        <v>4824</v>
      </c>
      <c r="K67" s="46" t="s">
        <v>4825</v>
      </c>
    </row>
    <row r="68">
      <c r="A68" s="60"/>
      <c r="B68" s="210" t="str">
        <f>HYPERLINK("https://drive.google.com/open?id=0B00cIHsghs6UckpJWlhwNmhGbkE","Tudoreanu2003")</f>
        <v>Tudoreanu2003</v>
      </c>
      <c r="C68" s="46" t="s">
        <v>88</v>
      </c>
      <c r="D68" s="138" t="str">
        <f>HYPERLINK("https://drive.google.com/open?id=1Pj5h9w1ttgOC4YH9r-_9wl_YXThPB9Ae","Green1996")</f>
        <v>Green1996</v>
      </c>
      <c r="E68" s="46" t="s">
        <v>4679</v>
      </c>
      <c r="F68" s="46" t="s">
        <v>4663</v>
      </c>
      <c r="G68" s="46">
        <v>1.0</v>
      </c>
      <c r="H68" s="189" t="s">
        <v>4665</v>
      </c>
      <c r="I68" s="162" t="s">
        <v>4665</v>
      </c>
      <c r="J68" s="162" t="s">
        <v>4826</v>
      </c>
      <c r="K68" s="46" t="s">
        <v>4827</v>
      </c>
    </row>
    <row r="69">
      <c r="A69" s="60"/>
      <c r="B69" s="223" t="str">
        <f>HYPERLINK("https://drive.google.com/open?id=0B00cIHsghs6UMjhMNklGS1JNREE","Storrle2016")</f>
        <v>Storrle2016</v>
      </c>
      <c r="C69" s="224" t="s">
        <v>88</v>
      </c>
      <c r="D69" s="224" t="s">
        <v>4828</v>
      </c>
      <c r="E69" s="224" t="s">
        <v>4663</v>
      </c>
      <c r="F69" s="224" t="s">
        <v>4829</v>
      </c>
      <c r="G69" s="224">
        <v>1.0</v>
      </c>
      <c r="H69" s="225" t="s">
        <v>4665</v>
      </c>
      <c r="I69" s="162" t="s">
        <v>4665</v>
      </c>
      <c r="J69" s="226"/>
      <c r="K69" s="224" t="s">
        <v>4830</v>
      </c>
      <c r="L69" s="212"/>
      <c r="M69" s="212"/>
      <c r="N69" s="212"/>
    </row>
    <row r="70">
      <c r="B70" s="227" t="str">
        <f>HYPERLINK("https://drive.google.com/open?id=0B3oar8-GeP-IQ05qUUhRU1dxeXc","Toomim2004")</f>
        <v>Toomim2004</v>
      </c>
      <c r="C70" s="140" t="s">
        <v>4676</v>
      </c>
      <c r="D70" s="220" t="str">
        <f>HYPERLINK("https://drive.google.com/open?id=1GZYtoxNzuTpwX2qy_gmHlQYsrfbjvXco","Green1998")</f>
        <v>Green1998</v>
      </c>
      <c r="E70" s="140" t="s">
        <v>4670</v>
      </c>
      <c r="F70" s="140"/>
      <c r="G70" s="140">
        <v>1.0</v>
      </c>
      <c r="H70" s="201" t="s">
        <v>4665</v>
      </c>
      <c r="I70" s="211"/>
      <c r="J70" s="211" t="s">
        <v>4831</v>
      </c>
      <c r="K70" s="140" t="s">
        <v>4832</v>
      </c>
    </row>
    <row r="71">
      <c r="A71" s="60"/>
      <c r="B71" s="88" t="str">
        <f>HYPERLINK("https://drive.google.com/open?id=0B1GMAYMj9v6rX3pLSm9qRU9zd2M","Gruhn2007")</f>
        <v>Gruhn2007</v>
      </c>
      <c r="C71" s="46" t="s">
        <v>116</v>
      </c>
      <c r="D71" s="138" t="str">
        <f>HYPERLINK("https://drive.google.com/open?id=1GL1XACBDv6Wp645XQjOnaZurCfKSTCJn","Gruhn2006")</f>
        <v>Gruhn2006</v>
      </c>
      <c r="E71" s="46" t="s">
        <v>4663</v>
      </c>
      <c r="F71" s="46" t="s">
        <v>4663</v>
      </c>
      <c r="G71" s="46">
        <v>1.0</v>
      </c>
      <c r="H71" s="189" t="s">
        <v>4665</v>
      </c>
      <c r="I71" s="162" t="s">
        <v>4665</v>
      </c>
      <c r="J71" s="162" t="s">
        <v>4833</v>
      </c>
      <c r="K71" s="46" t="s">
        <v>4834</v>
      </c>
    </row>
    <row r="72">
      <c r="A72" s="60"/>
      <c r="B72" s="228" t="str">
        <f>HYPERLINK("https://drive.google.com/open?id=0B3oar8-GeP-INWs5WFFsU2hxLWc","Heliades2000")</f>
        <v>Heliades2000</v>
      </c>
      <c r="C72" s="46" t="s">
        <v>4673</v>
      </c>
      <c r="D72" s="138" t="str">
        <f>HYPERLINK("https://drive.google.com/open?id=1XhePEcoTdktQOS-EKHF9Q7AqIkQ3KzM4","Guindon1986")</f>
        <v>Guindon1986</v>
      </c>
      <c r="E72" s="46" t="s">
        <v>4679</v>
      </c>
      <c r="F72" s="46" t="s">
        <v>4663</v>
      </c>
      <c r="G72" s="46">
        <v>1.0</v>
      </c>
      <c r="H72" s="189" t="s">
        <v>4665</v>
      </c>
      <c r="I72" s="162" t="s">
        <v>4686</v>
      </c>
      <c r="J72" s="229"/>
      <c r="K72" s="46" t="s">
        <v>4835</v>
      </c>
    </row>
    <row r="73">
      <c r="A73" s="60"/>
      <c r="B73" s="88" t="str">
        <f>HYPERLINK("https://drive.google.com/open?id=0B3oar8-GeP-IdTN1bmNaY2ZXTkE","Hadar2013")</f>
        <v>Hadar2013</v>
      </c>
      <c r="C73" s="46" t="s">
        <v>4673</v>
      </c>
      <c r="D73" s="46" t="s">
        <v>4548</v>
      </c>
      <c r="E73" s="46" t="s">
        <v>4679</v>
      </c>
      <c r="F73" s="46" t="s">
        <v>4670</v>
      </c>
      <c r="G73" s="46">
        <v>1.0</v>
      </c>
      <c r="H73" s="189" t="s">
        <v>4665</v>
      </c>
      <c r="I73" s="162" t="s">
        <v>4686</v>
      </c>
      <c r="J73" s="46" t="s">
        <v>4836</v>
      </c>
      <c r="K73" s="46" t="s">
        <v>4837</v>
      </c>
    </row>
    <row r="74">
      <c r="A74" s="60"/>
      <c r="B74" s="88" t="str">
        <f>HYPERLINK("https://drive.google.com/open?id=0B1GMAYMj9v6rdkVkcVg0SktoeWs","Moody2010")</f>
        <v>Moody2010</v>
      </c>
      <c r="C74" s="46" t="s">
        <v>116</v>
      </c>
      <c r="D74" s="138" t="str">
        <f>HYPERLINK("https://drive.google.com/open?id=17WyDMcyD-X-XbfHH6x7Lg2YNgZ1IOuNx","Hahn1999")</f>
        <v>Hahn1999</v>
      </c>
      <c r="E74" s="46" t="s">
        <v>4663</v>
      </c>
      <c r="F74" s="46" t="s">
        <v>4663</v>
      </c>
      <c r="G74" s="46">
        <v>1.0</v>
      </c>
      <c r="H74" s="189" t="s">
        <v>4665</v>
      </c>
      <c r="I74" s="162" t="s">
        <v>4686</v>
      </c>
      <c r="J74" s="162" t="s">
        <v>4838</v>
      </c>
      <c r="K74" s="46" t="s">
        <v>4839</v>
      </c>
    </row>
    <row r="75">
      <c r="A75" s="60"/>
      <c r="B75" s="221" t="str">
        <f>HYPERLINK("https://drive.google.com/open?id=0B-nn5iJ29NJabW9SRk9LanB5MFE","Xiao2013")</f>
        <v>Xiao2013</v>
      </c>
      <c r="C75" s="46" t="s">
        <v>124</v>
      </c>
      <c r="D75" s="138" t="str">
        <f>HYPERLINK("https://drive.google.com/open?id=1nvYFpYsWyzDg4wyic2k_LXl6V8iUx36L","Hansen2012a")</f>
        <v>Hansen2012a</v>
      </c>
      <c r="E75" s="46" t="s">
        <v>4663</v>
      </c>
      <c r="F75" s="46" t="s">
        <v>4663</v>
      </c>
      <c r="G75" s="46">
        <v>1.0</v>
      </c>
      <c r="H75" s="189" t="s">
        <v>4840</v>
      </c>
      <c r="I75" s="162" t="s">
        <v>4686</v>
      </c>
      <c r="J75" s="162" t="s">
        <v>4841</v>
      </c>
      <c r="K75" s="46" t="s">
        <v>4842</v>
      </c>
    </row>
    <row r="76">
      <c r="A76" s="60"/>
      <c r="B76" s="210" t="str">
        <f>HYPERLINK("https://drive.google.com/open?id=0B00cIHsghs6UVHljWmNPMkF6WVE","Siegmund2014")</f>
        <v>Siegmund2014</v>
      </c>
      <c r="C76" s="46" t="s">
        <v>88</v>
      </c>
      <c r="D76" s="138" t="str">
        <f>HYPERLINK("https://drive.google.com/open?id=1Ni6BexeXJyhJK7nU8e7SpC64IosRFVx4","Hansen2012b")</f>
        <v>Hansen2012b</v>
      </c>
      <c r="E76" s="46" t="s">
        <v>4663</v>
      </c>
      <c r="F76" s="46" t="s">
        <v>4663</v>
      </c>
      <c r="G76" s="46">
        <v>1.0</v>
      </c>
      <c r="H76" s="189" t="s">
        <v>4665</v>
      </c>
      <c r="I76" s="162" t="s">
        <v>4686</v>
      </c>
      <c r="J76" s="162" t="s">
        <v>4843</v>
      </c>
      <c r="K76" s="46" t="s">
        <v>4844</v>
      </c>
    </row>
    <row r="77">
      <c r="A77" s="60"/>
      <c r="B77" s="210" t="str">
        <f>HYPERLINK("https://drive.google.com/open?id=0B-nn5iJ29NJaTWtVZGpyd0d4eDA","Shaft2006")</f>
        <v>Shaft2006</v>
      </c>
      <c r="C77" s="46" t="s">
        <v>88</v>
      </c>
      <c r="D77" s="138" t="str">
        <f>HYPERLINK("https://drive.google.com/open?id=1qmphNBUezbS0H2hNHbvruAFo7F0HuqEr","Hatton1998")</f>
        <v>Hatton1998</v>
      </c>
      <c r="E77" s="46" t="s">
        <v>4679</v>
      </c>
      <c r="F77" s="46" t="s">
        <v>4663</v>
      </c>
      <c r="G77" s="46">
        <v>1.0</v>
      </c>
      <c r="H77" s="189" t="s">
        <v>4665</v>
      </c>
      <c r="I77" s="162" t="s">
        <v>4697</v>
      </c>
      <c r="J77" s="162" t="s">
        <v>4845</v>
      </c>
      <c r="K77" s="46" t="s">
        <v>4846</v>
      </c>
    </row>
    <row r="78">
      <c r="A78" s="60"/>
      <c r="B78" s="210" t="str">
        <f>HYPERLINK("https://drive.google.com/open?id=0B00cIHsghs6UbHpZbkZ4T2h4cWs","Gauvin2004")</f>
        <v>Gauvin2004</v>
      </c>
      <c r="C78" s="46" t="s">
        <v>88</v>
      </c>
      <c r="D78" s="138" t="str">
        <f>HYPERLINK("https://drive.google.com/open?id=1aMTy6YdJb8Z3UPHtqSOXEDqOypjGVmQQ","Hendrix2002")</f>
        <v>Hendrix2002</v>
      </c>
      <c r="E78" s="46" t="s">
        <v>4679</v>
      </c>
      <c r="F78" s="46" t="s">
        <v>4663</v>
      </c>
      <c r="G78" s="46">
        <v>1.0</v>
      </c>
      <c r="H78" s="189" t="s">
        <v>4665</v>
      </c>
      <c r="I78" s="162" t="s">
        <v>4697</v>
      </c>
      <c r="J78" s="162" t="s">
        <v>4847</v>
      </c>
      <c r="K78" s="46" t="s">
        <v>4848</v>
      </c>
    </row>
    <row r="79">
      <c r="B79" s="218" t="str">
        <f>HYPERLINK("https://drive.google.com/open?id=0B00cIHsghs6UX1J0NVBWZnNDY28","Siddiqi1988")</f>
        <v>Siddiqi1988</v>
      </c>
      <c r="C79" s="140" t="s">
        <v>88</v>
      </c>
      <c r="D79" s="140" t="s">
        <v>4849</v>
      </c>
      <c r="E79" s="140" t="s">
        <v>4726</v>
      </c>
      <c r="F79" s="140"/>
      <c r="G79" s="140">
        <v>1.0</v>
      </c>
      <c r="H79" s="201" t="s">
        <v>4665</v>
      </c>
      <c r="I79" s="211"/>
      <c r="J79" s="211" t="s">
        <v>4850</v>
      </c>
      <c r="K79" s="140" t="s">
        <v>4851</v>
      </c>
    </row>
    <row r="80">
      <c r="B80" s="88" t="str">
        <f>HYPERLINK("http://www.daniela.ece.ufl.edu/Research_files/acsac14.pdf","Oliveira2014")</f>
        <v>Oliveira2014</v>
      </c>
      <c r="C80" s="140" t="s">
        <v>4673</v>
      </c>
      <c r="D80" s="140" t="s">
        <v>4852</v>
      </c>
      <c r="E80" s="140" t="s">
        <v>4703</v>
      </c>
      <c r="F80" s="140"/>
      <c r="G80" s="140">
        <v>1.0</v>
      </c>
      <c r="H80" s="201" t="s">
        <v>4665</v>
      </c>
      <c r="I80" s="211"/>
      <c r="J80" s="211" t="s">
        <v>4853</v>
      </c>
      <c r="K80" s="140" t="s">
        <v>4854</v>
      </c>
    </row>
    <row r="81">
      <c r="A81" s="60"/>
      <c r="B81" s="88" t="str">
        <f>HYPERLINK("https://drive.google.com/open?id=0B3oar8-GeP-IdTN1bmNaY2ZXTkE","Hadar2013")</f>
        <v>Hadar2013</v>
      </c>
      <c r="C81" s="46" t="s">
        <v>4673</v>
      </c>
      <c r="D81" s="138" t="str">
        <f>HYPERLINK("https://drive.google.com/open?id=1wWq3iCrJ0LkhHt8fAHt4C8uN_NzLpg8V","Jeffries1981")</f>
        <v>Jeffries1981</v>
      </c>
      <c r="E81" s="46" t="s">
        <v>4679</v>
      </c>
      <c r="F81" s="46" t="s">
        <v>4663</v>
      </c>
      <c r="G81" s="46">
        <v>1.0</v>
      </c>
      <c r="H81" s="189" t="s">
        <v>4665</v>
      </c>
      <c r="I81" s="162" t="s">
        <v>4697</v>
      </c>
      <c r="J81" s="162"/>
      <c r="K81" s="46" t="s">
        <v>4855</v>
      </c>
    </row>
    <row r="82">
      <c r="A82" s="60"/>
      <c r="B82" s="88" t="str">
        <f>HYPERLINK("https://drive.google.com/open?id=0B1GMAYMj9v6rSTY1YWRkVjBlOVE","Ralph2011")</f>
        <v>Ralph2011</v>
      </c>
      <c r="C82" s="46" t="s">
        <v>116</v>
      </c>
      <c r="D82" s="138" t="str">
        <f>HYPERLINK("https://drive.google.com/open?id=17VHhhFhlgMIu7V6nuMEZfC4eMdnglotf","Jorgensen2009")</f>
        <v>Jorgensen2009</v>
      </c>
      <c r="E82" s="46" t="s">
        <v>4679</v>
      </c>
      <c r="F82" s="46" t="s">
        <v>4663</v>
      </c>
      <c r="G82" s="46">
        <v>1.0</v>
      </c>
      <c r="H82" s="189" t="s">
        <v>4665</v>
      </c>
      <c r="I82" s="162" t="s">
        <v>4697</v>
      </c>
      <c r="J82" s="162" t="s">
        <v>4856</v>
      </c>
      <c r="K82" s="46" t="s">
        <v>4857</v>
      </c>
    </row>
    <row r="83">
      <c r="B83" s="125" t="str">
        <f>HYPERLINK("https://drive.google.com/open?id=0B-nn5iJ29NJaMHBOUFpUYnVCeVk","Carod2007")</f>
        <v>Carod2007</v>
      </c>
      <c r="C83" s="140" t="s">
        <v>124</v>
      </c>
      <c r="D83" s="140" t="s">
        <v>4858</v>
      </c>
      <c r="E83" s="140" t="s">
        <v>4669</v>
      </c>
      <c r="F83" s="140"/>
      <c r="G83" s="140">
        <v>1.0</v>
      </c>
      <c r="H83" s="201" t="s">
        <v>4665</v>
      </c>
      <c r="I83" s="211"/>
      <c r="J83" s="211" t="s">
        <v>4859</v>
      </c>
      <c r="K83" s="140" t="s">
        <v>4860</v>
      </c>
    </row>
    <row r="84">
      <c r="B84" s="218" t="str">
        <f>HYPERLINK("https://drive.google.com/open?id=0B00cIHsghs6UVlVEYkRzelhyVzQ","DaCunha2016")</f>
        <v>DaCunha2016</v>
      </c>
      <c r="C84" s="140" t="s">
        <v>88</v>
      </c>
      <c r="D84" s="140" t="s">
        <v>4861</v>
      </c>
      <c r="E84" s="140" t="s">
        <v>4669</v>
      </c>
      <c r="F84" s="140"/>
      <c r="G84" s="140">
        <v>1.0</v>
      </c>
      <c r="H84" s="201" t="s">
        <v>4665</v>
      </c>
      <c r="I84" s="211"/>
      <c r="J84" s="211" t="s">
        <v>4862</v>
      </c>
      <c r="K84" s="140" t="s">
        <v>4863</v>
      </c>
    </row>
    <row r="85">
      <c r="A85" s="60"/>
      <c r="B85" s="88" t="str">
        <f>HYPERLINK("https://drive.google.com/open?id=0B3oar8-GeP-IT0N2dFFNc2lKZ0U","Sinha2015")</f>
        <v>Sinha2015</v>
      </c>
      <c r="C85" s="46" t="s">
        <v>4673</v>
      </c>
      <c r="D85" s="138" t="str">
        <f>HYPERLINK("https://drive.google.com/open?id=1Rzj_aX-HHsg2AmZpG7UVrlHHedFLDjXN","Khatri2006")</f>
        <v>Khatri2006</v>
      </c>
      <c r="E85" s="46" t="s">
        <v>4663</v>
      </c>
      <c r="F85" s="46" t="s">
        <v>4663</v>
      </c>
      <c r="G85" s="46">
        <v>1.0</v>
      </c>
      <c r="H85" s="189" t="s">
        <v>4665</v>
      </c>
      <c r="I85" s="162" t="s">
        <v>4697</v>
      </c>
      <c r="J85" s="162" t="s">
        <v>4864</v>
      </c>
      <c r="K85" s="46" t="s">
        <v>4865</v>
      </c>
    </row>
    <row r="86">
      <c r="B86" s="88" t="str">
        <f t="shared" ref="B86:B87" si="7">HYPERLINK("https://drive.google.com/open?id=0B1GMAYMj9v6rNkJYWGVjeGZ1TnM","Nelson2008")</f>
        <v>Nelson2008</v>
      </c>
      <c r="C86" s="140" t="s">
        <v>4673</v>
      </c>
      <c r="D86" s="140" t="s">
        <v>4866</v>
      </c>
      <c r="E86" s="140" t="s">
        <v>4669</v>
      </c>
      <c r="F86" s="140"/>
      <c r="G86" s="140">
        <v>1.0</v>
      </c>
      <c r="H86" s="201" t="s">
        <v>4665</v>
      </c>
      <c r="I86" s="211"/>
      <c r="J86" s="211" t="s">
        <v>4867</v>
      </c>
      <c r="K86" s="140" t="s">
        <v>4868</v>
      </c>
    </row>
    <row r="87">
      <c r="A87" s="60"/>
      <c r="B87" s="88" t="str">
        <f t="shared" si="7"/>
        <v>Nelson2008</v>
      </c>
      <c r="C87" s="46" t="s">
        <v>4673</v>
      </c>
      <c r="D87" s="138" t="str">
        <f>HYPERLINK("https://drive.google.com/open?id=1RvSRMs1q18RqLOi8q8iRpMj0I1eVkHlv","Kim1997")</f>
        <v>Kim1997</v>
      </c>
      <c r="E87" s="46" t="s">
        <v>4679</v>
      </c>
      <c r="F87" s="46" t="s">
        <v>4670</v>
      </c>
      <c r="G87" s="46">
        <v>1.0</v>
      </c>
      <c r="H87" s="189" t="s">
        <v>4665</v>
      </c>
      <c r="I87" s="162" t="s">
        <v>4716</v>
      </c>
      <c r="J87" s="162" t="s">
        <v>4869</v>
      </c>
      <c r="K87" s="46" t="s">
        <v>4870</v>
      </c>
    </row>
    <row r="88">
      <c r="A88" s="60"/>
      <c r="B88" s="88" t="str">
        <f>HYPERLINK("https://drive.google.com/open?id=0B1GMAYMj9v6rdkVkcVg0SktoeWs","Moody2010")</f>
        <v>Moody2010</v>
      </c>
      <c r="C88" s="46" t="s">
        <v>116</v>
      </c>
      <c r="D88" s="138" t="str">
        <f>HYPERLINK("https://drive.google.com/open?id=1DONVaQoLesW3o5NMQtWCvl350OPzCEMM","Kim2000")</f>
        <v>Kim2000</v>
      </c>
      <c r="E88" s="46" t="s">
        <v>4679</v>
      </c>
      <c r="F88" s="46" t="s">
        <v>4670</v>
      </c>
      <c r="G88" s="46">
        <v>1.0</v>
      </c>
      <c r="H88" s="189" t="s">
        <v>4665</v>
      </c>
      <c r="I88" s="162" t="s">
        <v>4716</v>
      </c>
      <c r="J88" s="162" t="s">
        <v>4871</v>
      </c>
      <c r="K88" s="46" t="s">
        <v>4872</v>
      </c>
    </row>
    <row r="89">
      <c r="A89" s="60"/>
      <c r="B89" s="210" t="str">
        <f>HYPERLINK("https://drive.google.com/open?id=0B00cIHsghs6UOWE2cmpsUzhVc2c","Klemola2002")</f>
        <v>Klemola2002</v>
      </c>
      <c r="C89" s="46" t="s">
        <v>88</v>
      </c>
      <c r="D89" s="138" t="str">
        <f>HYPERLINK("https://drive.google.com/open?id=1zrvNwRqw6fRON6DnkgXZnIbZ2STsq37x","Klemola2000")</f>
        <v>Klemola2000</v>
      </c>
      <c r="E89" s="46" t="s">
        <v>4663</v>
      </c>
      <c r="F89" s="46" t="s">
        <v>4663</v>
      </c>
      <c r="G89" s="46">
        <v>1.0</v>
      </c>
      <c r="H89" s="189" t="s">
        <v>4665</v>
      </c>
      <c r="I89" s="162" t="s">
        <v>4716</v>
      </c>
      <c r="J89" s="162" t="s">
        <v>4873</v>
      </c>
      <c r="K89" s="46" t="s">
        <v>4874</v>
      </c>
    </row>
    <row r="90">
      <c r="B90" s="218" t="str">
        <f>HYPERLINK("https://drive.google.com/open?id=0B-nn5iJ29NJaTWtVZGpyd0d4eDA","Shaft2006")</f>
        <v>Shaft2006</v>
      </c>
      <c r="C90" s="140" t="s">
        <v>88</v>
      </c>
      <c r="D90" s="140" t="s">
        <v>4875</v>
      </c>
      <c r="E90" s="140" t="s">
        <v>4703</v>
      </c>
      <c r="F90" s="140"/>
      <c r="G90" s="140">
        <v>1.0</v>
      </c>
      <c r="H90" s="201" t="s">
        <v>4665</v>
      </c>
      <c r="I90" s="211"/>
      <c r="J90" s="211" t="s">
        <v>4876</v>
      </c>
      <c r="K90" s="140" t="s">
        <v>4877</v>
      </c>
    </row>
    <row r="91">
      <c r="A91" s="60"/>
      <c r="B91" s="210" t="str">
        <f>HYPERLINK("https://drive.google.com/open?id=0B3oar8-GeP-IbHFVZjN2TUhKbms","Xu2010")</f>
        <v>Xu2010</v>
      </c>
      <c r="C91" s="46" t="s">
        <v>4676</v>
      </c>
      <c r="D91" s="138" t="str">
        <f>HYPERLINK("https://drive.google.com/open?id=1-T2dKg65bEJaJ51wdz_JGyzrWPUEXwom","Koenemann1991")</f>
        <v>Koenemann1991</v>
      </c>
      <c r="E91" s="46" t="s">
        <v>4679</v>
      </c>
      <c r="F91" s="46" t="s">
        <v>4663</v>
      </c>
      <c r="G91" s="46">
        <v>1.0</v>
      </c>
      <c r="H91" s="189" t="s">
        <v>4665</v>
      </c>
      <c r="I91" s="162" t="s">
        <v>4716</v>
      </c>
      <c r="J91" s="162" t="s">
        <v>4878</v>
      </c>
      <c r="K91" s="46" t="s">
        <v>4879</v>
      </c>
    </row>
    <row r="92">
      <c r="B92" s="88" t="str">
        <f>HYPERLINK("https://drive.google.com/open?id=0B1GMAYMj9v6rLXZRSWNiNk82Nms","Zayour2013")</f>
        <v>Zayour2013</v>
      </c>
      <c r="C92" s="140" t="s">
        <v>116</v>
      </c>
      <c r="D92" s="140" t="s">
        <v>4880</v>
      </c>
      <c r="E92" s="140" t="s">
        <v>4670</v>
      </c>
      <c r="F92" s="140"/>
      <c r="G92" s="140">
        <v>1.0</v>
      </c>
      <c r="H92" s="201" t="s">
        <v>4665</v>
      </c>
      <c r="I92" s="211"/>
      <c r="J92" s="211"/>
      <c r="K92" s="140" t="s">
        <v>4881</v>
      </c>
    </row>
    <row r="93">
      <c r="B93" s="88" t="str">
        <f>HYPERLINK("https://drive.google.com/open?id=0B1GMAYMj9v6rUTB5eU43TDVMVGc","Leveson2000")</f>
        <v>Leveson2000</v>
      </c>
      <c r="C93" s="140" t="s">
        <v>4673</v>
      </c>
      <c r="D93" s="140" t="s">
        <v>4882</v>
      </c>
      <c r="E93" s="140" t="s">
        <v>4703</v>
      </c>
      <c r="F93" s="140"/>
      <c r="G93" s="140">
        <v>1.0</v>
      </c>
      <c r="H93" s="201" t="s">
        <v>4665</v>
      </c>
      <c r="I93" s="211"/>
      <c r="J93" s="211" t="s">
        <v>4883</v>
      </c>
      <c r="K93" s="140" t="s">
        <v>4884</v>
      </c>
    </row>
    <row r="94">
      <c r="A94" s="60"/>
      <c r="B94" s="88" t="str">
        <f>HYPERLINK("https://drive.google.com/open?id=0B1GMAYMj9v6rZGVNMkVUUEoyZEE","White2005")</f>
        <v>White2005</v>
      </c>
      <c r="C94" s="46" t="s">
        <v>116</v>
      </c>
      <c r="D94" s="138" t="str">
        <f>HYPERLINK("https://drive.google.com/open?id=1lMA-zjB4F9V0kvpzCnlFOUv4KwTzGjHJ","Krovi1998")</f>
        <v>Krovi1998</v>
      </c>
      <c r="E94" s="46" t="s">
        <v>4663</v>
      </c>
      <c r="F94" s="46" t="s">
        <v>4663</v>
      </c>
      <c r="G94" s="46">
        <v>1.0</v>
      </c>
      <c r="H94" s="189" t="s">
        <v>4665</v>
      </c>
      <c r="I94" s="162" t="s">
        <v>4716</v>
      </c>
      <c r="J94" s="162" t="s">
        <v>4885</v>
      </c>
      <c r="K94" s="46" t="s">
        <v>4886</v>
      </c>
    </row>
    <row r="95">
      <c r="A95" s="60"/>
      <c r="B95" s="221" t="str">
        <f>HYPERLINK("https://drive.google.com/open?id=0B-nn5iJ29NJabndoY1ZFUVpLRW8","Swan2005")</f>
        <v>Swan2005</v>
      </c>
      <c r="C95" s="46" t="s">
        <v>124</v>
      </c>
      <c r="D95" s="138" t="str">
        <f>HYPERLINK("https://drive.google.com/open?id=1e-1QMK104K9ieuR1pvW8TNxvFn-DNaTM","Kutar 2003")</f>
        <v>Kutar 2003</v>
      </c>
      <c r="E95" s="46" t="s">
        <v>4679</v>
      </c>
      <c r="F95" s="46" t="s">
        <v>4670</v>
      </c>
      <c r="G95" s="46">
        <v>1.0</v>
      </c>
      <c r="H95" s="189" t="s">
        <v>4665</v>
      </c>
      <c r="I95" s="162" t="s">
        <v>4665</v>
      </c>
      <c r="J95" s="230" t="s">
        <v>4887</v>
      </c>
      <c r="K95" s="46" t="s">
        <v>4888</v>
      </c>
    </row>
    <row r="96">
      <c r="B96" s="88" t="str">
        <f>HYPERLINK("https://drive.google.com/open?id=0B1GMAYMj9v6rSi1OYkZvQWNWaE0","Chotisarn2013")</f>
        <v>Chotisarn2013</v>
      </c>
      <c r="C96" s="140" t="s">
        <v>116</v>
      </c>
      <c r="D96" s="140" t="s">
        <v>4889</v>
      </c>
      <c r="E96" s="140" t="s">
        <v>4703</v>
      </c>
      <c r="F96" s="140"/>
      <c r="G96" s="140">
        <v>1.0</v>
      </c>
      <c r="H96" s="201" t="s">
        <v>4664</v>
      </c>
      <c r="I96" s="211"/>
      <c r="J96" s="211" t="s">
        <v>4890</v>
      </c>
      <c r="K96" s="140" t="s">
        <v>4891</v>
      </c>
    </row>
    <row r="97">
      <c r="B97" s="231" t="str">
        <f>HYPERLINK("https://drive.google.com/open?id=0B-nn5iJ29NJabVVaOU4tcTJrclk","Iio1997")</f>
        <v>Iio1997</v>
      </c>
      <c r="C97" s="214" t="s">
        <v>124</v>
      </c>
      <c r="D97" s="214" t="s">
        <v>4892</v>
      </c>
      <c r="E97" s="212"/>
      <c r="F97" s="214"/>
      <c r="G97" s="214">
        <v>1.0</v>
      </c>
      <c r="H97" s="215" t="s">
        <v>4665</v>
      </c>
      <c r="I97" s="232"/>
      <c r="J97" s="232"/>
      <c r="K97" s="214" t="s">
        <v>4893</v>
      </c>
      <c r="L97" s="212"/>
      <c r="M97" s="212"/>
      <c r="N97" s="212"/>
      <c r="O97" s="212"/>
      <c r="P97" s="212"/>
      <c r="Q97" s="212"/>
    </row>
    <row r="98">
      <c r="B98" s="233" t="str">
        <f>HYPERLINK("https://drive.google.com/open?id=0B00cIHsghs6UNDBNdEQ2VHdNanc","VonMayrhauser1997")</f>
        <v>VonMayrhauser1997</v>
      </c>
      <c r="C98" s="214" t="s">
        <v>88</v>
      </c>
      <c r="D98" s="214" t="s">
        <v>4894</v>
      </c>
      <c r="E98" s="214"/>
      <c r="F98" s="214"/>
      <c r="G98" s="214">
        <v>1.0</v>
      </c>
      <c r="H98" s="215" t="s">
        <v>4665</v>
      </c>
      <c r="I98" s="216"/>
      <c r="J98" s="216"/>
      <c r="K98" s="214" t="s">
        <v>4895</v>
      </c>
    </row>
    <row r="99">
      <c r="A99" s="60"/>
      <c r="B99" s="88" t="str">
        <f>HYPERLINK("https://www.researchgate.net/profile/Senthilrajan_Moorthy/publication/224261850_Program_Comprehension_and_Implications_of_Human_Navigational_Approaches/links/542d96010cf29bbc126d4aa2.pdf","Moorthy2011")</f>
        <v>Moorthy2011</v>
      </c>
      <c r="C99" s="46" t="s">
        <v>4673</v>
      </c>
      <c r="D99" s="138" t="str">
        <f>HYPERLINK("https://drive.google.com/open?id=1b1-uaru5XKH4OO_-qBLoHDbF8brZUp94","Letovsky1987")</f>
        <v>Letovsky1987</v>
      </c>
      <c r="E99" s="46" t="s">
        <v>4663</v>
      </c>
      <c r="F99" s="46" t="s">
        <v>4663</v>
      </c>
      <c r="G99" s="46">
        <v>1.0</v>
      </c>
      <c r="H99" s="189" t="s">
        <v>4665</v>
      </c>
      <c r="I99" s="162" t="s">
        <v>4665</v>
      </c>
      <c r="J99" s="162" t="s">
        <v>4896</v>
      </c>
      <c r="K99" s="46" t="s">
        <v>4897</v>
      </c>
    </row>
    <row r="100">
      <c r="A100" s="60"/>
      <c r="B100" s="88" t="str">
        <f>HYPERLINK("https://drive.google.com/open?id=0B1GMAYMj9v6rSTY1YWRkVjBlOVE","Ralph2011")</f>
        <v>Ralph2011</v>
      </c>
      <c r="C100" s="46" t="s">
        <v>116</v>
      </c>
      <c r="D100" s="138" t="str">
        <f>HYPERLINK("https://drive.google.com/open?id=1at4y9Gxvvzw2TSHEeneE3LchDuWWnlEE","Leventhal1993")</f>
        <v>Leventhal1993</v>
      </c>
      <c r="E100" s="46" t="s">
        <v>4679</v>
      </c>
      <c r="F100" s="46" t="s">
        <v>4898</v>
      </c>
      <c r="G100" s="46">
        <v>1.0</v>
      </c>
      <c r="H100" s="189" t="s">
        <v>4665</v>
      </c>
      <c r="I100" s="162" t="s">
        <v>4665</v>
      </c>
      <c r="J100" s="162" t="s">
        <v>4899</v>
      </c>
      <c r="K100" s="46" t="s">
        <v>4900</v>
      </c>
    </row>
    <row r="101">
      <c r="B101" s="233" t="str">
        <f>HYPERLINK("https://drive.google.com/open?id=0B00cIHsghs6UNDBNdEQ2VHdNanc","VonMayrhauser1997")</f>
        <v>VonMayrhauser1997</v>
      </c>
      <c r="C101" s="214" t="s">
        <v>88</v>
      </c>
      <c r="D101" s="214" t="s">
        <v>4901</v>
      </c>
      <c r="E101" s="214"/>
      <c r="F101" s="214"/>
      <c r="G101" s="214">
        <v>1.0</v>
      </c>
      <c r="H101" s="215" t="s">
        <v>4665</v>
      </c>
      <c r="I101" s="216"/>
      <c r="J101" s="216"/>
      <c r="K101" s="214" t="s">
        <v>4902</v>
      </c>
    </row>
    <row r="102">
      <c r="A102" s="60"/>
      <c r="B102" s="210" t="str">
        <f>HYPERLINK("https://drive.google.com/open?id=0B00cIHsghs6URDZ2emFvSmJJRmc","Barik2015")</f>
        <v>Barik2015</v>
      </c>
      <c r="C102" s="46" t="s">
        <v>88</v>
      </c>
      <c r="D102" s="138" t="str">
        <f>HYPERLINK("https://drive.google.com/open?id=1Wfe29Jr8VabDGnJnaHM2f0F6jY9ySzIr","Littman1987")</f>
        <v>Littman1987</v>
      </c>
      <c r="E102" s="46" t="s">
        <v>4663</v>
      </c>
      <c r="F102" s="46" t="s">
        <v>4669</v>
      </c>
      <c r="G102" s="46">
        <v>1.0</v>
      </c>
      <c r="H102" s="189" t="s">
        <v>4665</v>
      </c>
      <c r="I102" s="162" t="s">
        <v>4665</v>
      </c>
      <c r="J102" s="162" t="s">
        <v>4903</v>
      </c>
      <c r="K102" s="46" t="s">
        <v>4904</v>
      </c>
    </row>
    <row r="103">
      <c r="A103" s="60"/>
      <c r="B103" s="210" t="str">
        <f>HYPERLINK("https://drive.google.com/open?id=0B00cIHsghs6UNzRka1l5V29fRlE","Zayour2001")</f>
        <v>Zayour2001</v>
      </c>
      <c r="C103" s="46" t="s">
        <v>88</v>
      </c>
      <c r="D103" s="138" t="str">
        <f>HYPERLINK("https://drive.google.com/open?id=1OpaLcsssrao69tyI9meh8jEUc6owWPX0","Lloyd1999")</f>
        <v>Lloyd1999</v>
      </c>
      <c r="E103" s="46" t="s">
        <v>4663</v>
      </c>
      <c r="F103" s="46" t="s">
        <v>4663</v>
      </c>
      <c r="G103" s="46">
        <v>1.0</v>
      </c>
      <c r="H103" s="189" t="s">
        <v>4665</v>
      </c>
      <c r="I103" s="162" t="s">
        <v>4665</v>
      </c>
      <c r="J103" s="162" t="s">
        <v>4905</v>
      </c>
      <c r="K103" s="46" t="s">
        <v>4906</v>
      </c>
    </row>
    <row r="104">
      <c r="A104" s="60"/>
      <c r="B104" s="234" t="str">
        <f>HYPERLINK("https://drive.google.com/open?id=0B-nn5iJ29NJad2lZOEFpNDNqVjA","Gordon1979")</f>
        <v>Gordon1979</v>
      </c>
      <c r="C104" s="46" t="s">
        <v>124</v>
      </c>
      <c r="D104" s="138" t="str">
        <f>HYPERLINK("https://drive.google.com/open?id=1wnybH-nhZRcI_fhtD5Xhg0zw6Ggq82ut","Love1977")</f>
        <v>Love1977</v>
      </c>
      <c r="E104" s="46" t="s">
        <v>4679</v>
      </c>
      <c r="F104" s="46" t="s">
        <v>4663</v>
      </c>
      <c r="G104" s="46">
        <v>1.0</v>
      </c>
      <c r="H104" s="189" t="s">
        <v>4665</v>
      </c>
      <c r="I104" s="162" t="s">
        <v>4686</v>
      </c>
      <c r="J104" s="162" t="s">
        <v>4907</v>
      </c>
      <c r="K104" s="46" t="s">
        <v>4908</v>
      </c>
    </row>
    <row r="105">
      <c r="A105" s="60"/>
      <c r="B105" s="88" t="str">
        <f>HYPERLINK("https://drive.google.com/open?id=0B3oar8-GeP-IdTN1bmNaY2ZXTkE","Hadar2013")</f>
        <v>Hadar2013</v>
      </c>
      <c r="C105" s="46" t="s">
        <v>4673</v>
      </c>
      <c r="D105" s="138" t="str">
        <f>HYPERLINK("https://drive.google.com/open?id=1FrWZcpMcD9HhHZUuGY5JfjAYJIFnczOF","Malhotra1980")</f>
        <v>Malhotra1980</v>
      </c>
      <c r="E105" s="46" t="s">
        <v>4679</v>
      </c>
      <c r="F105" s="46" t="s">
        <v>4663</v>
      </c>
      <c r="G105" s="46">
        <v>1.0</v>
      </c>
      <c r="H105" s="189" t="s">
        <v>4665</v>
      </c>
      <c r="I105" s="162" t="s">
        <v>4686</v>
      </c>
      <c r="J105" s="162" t="s">
        <v>4909</v>
      </c>
      <c r="K105" s="46" t="s">
        <v>4910</v>
      </c>
    </row>
    <row r="106">
      <c r="A106" s="60"/>
      <c r="B106" s="221" t="str">
        <f>HYPERLINK("https://drive.google.com/open?id=0B-nn5iJ29NJadmhMQXRBdzEyNWc","Shmueli2016")</f>
        <v>Shmueli2016</v>
      </c>
      <c r="C106" s="46" t="s">
        <v>124</v>
      </c>
      <c r="D106" s="138" t="str">
        <f>HYPERLINK("https://drive.google.com/open?id=1krfqDFvrztoo8N34QZSAXBCr2TQfIB3w","Malhotra2012")</f>
        <v>Malhotra2012</v>
      </c>
      <c r="E106" s="46" t="s">
        <v>4663</v>
      </c>
      <c r="F106" s="46" t="s">
        <v>4670</v>
      </c>
      <c r="G106" s="46">
        <v>1.0</v>
      </c>
      <c r="H106" s="189" t="s">
        <v>4840</v>
      </c>
      <c r="I106" s="162" t="s">
        <v>4686</v>
      </c>
      <c r="J106" s="162" t="s">
        <v>4911</v>
      </c>
      <c r="K106" s="46" t="s">
        <v>4912</v>
      </c>
    </row>
    <row r="107">
      <c r="A107" s="60"/>
      <c r="B107" s="210" t="str">
        <f>HYPERLINK("https://drive.google.com/open?id=0B00cIHsghs6UMjhMNklGS1JNREE","Storrle2016")</f>
        <v>Storrle2016</v>
      </c>
      <c r="C107" s="46" t="s">
        <v>88</v>
      </c>
      <c r="D107" s="138" t="str">
        <f>HYPERLINK("https://drive.google.com/open?id=1HqVyD5-5zkSEXYFgRz5OWioz8Pr87qJW","Maier2014")</f>
        <v>Maier2014</v>
      </c>
      <c r="E107" s="46" t="s">
        <v>4663</v>
      </c>
      <c r="F107" s="46" t="s">
        <v>4663</v>
      </c>
      <c r="G107" s="46">
        <v>1.0</v>
      </c>
      <c r="H107" s="189" t="s">
        <v>4665</v>
      </c>
      <c r="I107" s="162" t="s">
        <v>4686</v>
      </c>
      <c r="J107" s="162" t="s">
        <v>4913</v>
      </c>
      <c r="K107" s="46" t="s">
        <v>4914</v>
      </c>
    </row>
    <row r="108">
      <c r="A108" s="60"/>
      <c r="B108" s="88" t="str">
        <f>HYPERLINK("https://drive.google.com/open?id=0B3oar8-GeP-IT0N2dFFNc2lKZ0U","Sinha2015")</f>
        <v>Sinha2015</v>
      </c>
      <c r="C108" s="46" t="s">
        <v>4673</v>
      </c>
      <c r="D108" s="138" t="str">
        <f>HYPERLINK("https://drive.google.com/open?id=1PiNjew3gWjNn6w4-XfXkAHMjdkppzWpX","McKeithen1981")</f>
        <v>McKeithen1981</v>
      </c>
      <c r="E108" s="46" t="s">
        <v>4679</v>
      </c>
      <c r="F108" s="46" t="s">
        <v>4663</v>
      </c>
      <c r="G108" s="46">
        <v>1.0</v>
      </c>
      <c r="H108" s="189" t="s">
        <v>4665</v>
      </c>
      <c r="I108" s="162" t="s">
        <v>4686</v>
      </c>
      <c r="J108" s="162" t="s">
        <v>4915</v>
      </c>
      <c r="K108" s="46" t="s">
        <v>4916</v>
      </c>
    </row>
    <row r="109">
      <c r="B109" s="154" t="str">
        <f>HYPERLINK("https://drive.google.com/open?id=0B3oar8-GeP-INWs5WFFsU2hxLWc","Heliades2000")</f>
        <v>Heliades2000</v>
      </c>
      <c r="C109" s="140" t="s">
        <v>4673</v>
      </c>
      <c r="D109" s="140" t="s">
        <v>4917</v>
      </c>
      <c r="E109" s="140" t="s">
        <v>4669</v>
      </c>
      <c r="F109" s="140"/>
      <c r="G109" s="140">
        <v>1.0</v>
      </c>
      <c r="H109" s="201" t="s">
        <v>4665</v>
      </c>
      <c r="I109" s="211"/>
      <c r="J109" s="211" t="s">
        <v>4918</v>
      </c>
      <c r="K109" s="140" t="s">
        <v>4919</v>
      </c>
      <c r="L109" s="212"/>
    </row>
    <row r="110">
      <c r="A110" s="60"/>
      <c r="B110" s="210" t="str">
        <f>HYPERLINK("https://drive.google.com/open?id=0B00cIHsghs6UVzRza2FWS3RmcWc","Aranda2010")</f>
        <v>Aranda2010</v>
      </c>
      <c r="C110" s="46" t="s">
        <v>88</v>
      </c>
      <c r="D110" s="138" t="str">
        <f>HYPERLINK("https://drive.google.com/open?id=11Z3p7gDkJUxlh0gZAbm-__jK7uBIbgsq","Miller2004")</f>
        <v>Miller2004</v>
      </c>
      <c r="E110" s="46" t="s">
        <v>4679</v>
      </c>
      <c r="F110" s="46" t="s">
        <v>4663</v>
      </c>
      <c r="G110" s="46">
        <v>1.0</v>
      </c>
      <c r="H110" s="189" t="s">
        <v>4665</v>
      </c>
      <c r="I110" s="162" t="s">
        <v>4697</v>
      </c>
      <c r="J110" s="162" t="s">
        <v>4920</v>
      </c>
      <c r="K110" s="46" t="s">
        <v>4921</v>
      </c>
    </row>
    <row r="111">
      <c r="A111" s="60"/>
      <c r="B111" s="88" t="str">
        <f t="shared" ref="B111:B112" si="8">HYPERLINK("https://drive.google.com/open?id=0B1GMAYMj9v6rdkVkcVg0SktoeWs","Moody2010")</f>
        <v>Moody2010</v>
      </c>
      <c r="C111" s="46" t="s">
        <v>116</v>
      </c>
      <c r="D111" s="138" t="str">
        <f>HYPERLINK("https://drive.google.com/open?id=1stBKykgzbLlGMSlBRLOsYZ1Abc7JLvwD","Moody2006")</f>
        <v>Moody2006</v>
      </c>
      <c r="E111" s="46" t="s">
        <v>4679</v>
      </c>
      <c r="F111" s="46" t="s">
        <v>4663</v>
      </c>
      <c r="G111" s="46">
        <v>1.0</v>
      </c>
      <c r="H111" s="189" t="s">
        <v>4665</v>
      </c>
      <c r="I111" s="162" t="s">
        <v>4697</v>
      </c>
      <c r="J111" s="162" t="s">
        <v>4922</v>
      </c>
      <c r="K111" s="46" t="s">
        <v>4923</v>
      </c>
    </row>
    <row r="112">
      <c r="A112" s="60"/>
      <c r="B112" s="88" t="str">
        <f t="shared" si="8"/>
        <v>Moody2010</v>
      </c>
      <c r="C112" s="46" t="s">
        <v>116</v>
      </c>
      <c r="D112" s="138" t="str">
        <f>HYPERLINK("https://drive.google.com/open?id=1uhJ5HcG4Z1JqJUUA1mHRDHhoU2yGJUyq","Moody2008")</f>
        <v>Moody2008</v>
      </c>
      <c r="E112" s="46" t="s">
        <v>4679</v>
      </c>
      <c r="F112" s="46" t="s">
        <v>4663</v>
      </c>
      <c r="G112" s="46">
        <v>1.0</v>
      </c>
      <c r="H112" s="189" t="s">
        <v>4665</v>
      </c>
      <c r="I112" s="162" t="s">
        <v>4697</v>
      </c>
      <c r="J112" s="162" t="s">
        <v>4924</v>
      </c>
      <c r="K112" s="46" t="s">
        <v>4925</v>
      </c>
    </row>
    <row r="113">
      <c r="A113" s="60"/>
      <c r="B113" s="221" t="str">
        <f>HYPERLINK("https://drive.google.com/open?id=0B-nn5iJ29NJacllxeGJNcm9BZE0","Dobesova2013")</f>
        <v>Dobesova2013</v>
      </c>
      <c r="C113" s="46" t="s">
        <v>124</v>
      </c>
      <c r="D113" s="138" t="str">
        <f>HYPERLINK("https://drive.google.com/open?id=1IXVz3XvH97spVMg3e7LtUiM5dq11nlG4","Moody2009")</f>
        <v>Moody2009</v>
      </c>
      <c r="E113" s="46" t="s">
        <v>4663</v>
      </c>
      <c r="F113" s="46" t="s">
        <v>4663</v>
      </c>
      <c r="G113" s="46">
        <v>1.0</v>
      </c>
      <c r="H113" s="189" t="s">
        <v>4665</v>
      </c>
      <c r="I113" s="162" t="s">
        <v>4697</v>
      </c>
      <c r="J113" s="162" t="s">
        <v>4926</v>
      </c>
      <c r="K113" s="46" t="s">
        <v>4927</v>
      </c>
    </row>
    <row r="114">
      <c r="B114" s="218" t="str">
        <f>HYPERLINK("https://drive.google.com/open?id=0B00cIHsghs6URDZ2emFvSmJJRmc","Barik2015")</f>
        <v>Barik2015</v>
      </c>
      <c r="C114" s="140" t="s">
        <v>88</v>
      </c>
      <c r="D114" s="140" t="s">
        <v>4928</v>
      </c>
      <c r="E114" s="140" t="s">
        <v>4670</v>
      </c>
      <c r="F114" s="140"/>
      <c r="G114" s="140">
        <v>1.0</v>
      </c>
      <c r="H114" s="201" t="s">
        <v>4665</v>
      </c>
      <c r="I114" s="211"/>
      <c r="J114" s="211" t="s">
        <v>4929</v>
      </c>
      <c r="K114" s="140" t="s">
        <v>4930</v>
      </c>
    </row>
    <row r="115">
      <c r="A115" s="60"/>
      <c r="B115" s="138" t="str">
        <f>HYPERLINK("https://drive.google.com/open?id=0B3oar8-GeP-INWs5WFFsU2hxLWc","Heliades2000")</f>
        <v>Heliades2000</v>
      </c>
      <c r="C115" s="46" t="s">
        <v>4676</v>
      </c>
      <c r="D115" s="138" t="str">
        <f>HYPERLINK("https://drive.google.com/open?id=1X_nJpa-bk1qgkpjvnpOLQwURUbQj6RNl","Navarro-Prieto1999")</f>
        <v>Navarro-Prieto1999</v>
      </c>
      <c r="E115" s="46" t="s">
        <v>4679</v>
      </c>
      <c r="F115" s="46" t="s">
        <v>4663</v>
      </c>
      <c r="G115" s="46">
        <v>1.0</v>
      </c>
      <c r="H115" s="189" t="s">
        <v>4665</v>
      </c>
      <c r="I115" s="162" t="s">
        <v>4697</v>
      </c>
      <c r="J115" s="235"/>
      <c r="K115" s="46" t="s">
        <v>4931</v>
      </c>
    </row>
    <row r="116">
      <c r="B116" s="88" t="str">
        <f>HYPERLINK("https://drive.google.com/open?id=0B1GMAYMj9v6rOUM0aldXN3FfTTg","DaCunha2015")</f>
        <v>DaCunha2015</v>
      </c>
      <c r="C116" s="140" t="s">
        <v>116</v>
      </c>
      <c r="D116" s="140" t="s">
        <v>4932</v>
      </c>
      <c r="E116" s="140" t="s">
        <v>4669</v>
      </c>
      <c r="F116" s="140"/>
      <c r="G116" s="140">
        <v>1.0</v>
      </c>
      <c r="H116" s="201" t="s">
        <v>4665</v>
      </c>
      <c r="I116" s="211"/>
      <c r="J116" s="211" t="s">
        <v>4933</v>
      </c>
      <c r="K116" s="140" t="s">
        <v>4934</v>
      </c>
    </row>
    <row r="117">
      <c r="A117" s="60"/>
      <c r="B117" s="88" t="str">
        <f>HYPERLINK("https://drive.google.com/open?id=0B3oar8-GeP-IdTN1bmNaY2ZXTkE","Hadar2013")</f>
        <v>Hadar2013</v>
      </c>
      <c r="C117" s="46" t="s">
        <v>4673</v>
      </c>
      <c r="D117" s="138" t="str">
        <f>HYPERLINK("https://drive.google.com/open?id=1yF9bKCKsRbvyheNUb_rHLn3ewvj0xOb5","Or-bach2004")</f>
        <v>Or-bach2004</v>
      </c>
      <c r="E117" s="46" t="s">
        <v>4679</v>
      </c>
      <c r="F117" s="46" t="s">
        <v>4670</v>
      </c>
      <c r="G117" s="46">
        <v>1.0</v>
      </c>
      <c r="H117" s="189" t="s">
        <v>4665</v>
      </c>
      <c r="I117" s="162" t="s">
        <v>4716</v>
      </c>
      <c r="J117" s="162" t="s">
        <v>4935</v>
      </c>
      <c r="K117" s="46" t="s">
        <v>4936</v>
      </c>
    </row>
    <row r="118">
      <c r="B118" s="88" t="str">
        <f>HYPERLINK("https://boris.unibe.ch/39356/1/KrancherDibbernICIS2012.pdf","Krancher2012")</f>
        <v>Krancher2012</v>
      </c>
      <c r="C118" s="140" t="s">
        <v>4673</v>
      </c>
      <c r="D118" s="140" t="s">
        <v>4937</v>
      </c>
      <c r="E118" s="140" t="s">
        <v>4669</v>
      </c>
      <c r="F118" s="140"/>
      <c r="G118" s="140">
        <v>1.0</v>
      </c>
      <c r="H118" s="201" t="s">
        <v>4665</v>
      </c>
      <c r="I118" s="211"/>
      <c r="J118" s="211" t="s">
        <v>4938</v>
      </c>
      <c r="K118" s="140" t="s">
        <v>4939</v>
      </c>
    </row>
    <row r="119">
      <c r="B119" s="125" t="str">
        <f>HYPERLINK("https://drive.google.com/open?id=0B-nn5iJ29NJaWXdTQlYteDlReXc","Biegel2015")</f>
        <v>Biegel2015</v>
      </c>
      <c r="C119" s="140" t="s">
        <v>124</v>
      </c>
      <c r="D119" s="220" t="str">
        <f>HYPERLINK("https://drive.google.com/open?id=1DCqFgV3iB50BTXKBXvmY-kbXSLbdsOXe","Parnin2010")</f>
        <v>Parnin2010</v>
      </c>
      <c r="E119" s="140" t="s">
        <v>4747</v>
      </c>
      <c r="F119" s="140"/>
      <c r="G119" s="140">
        <v>1.0</v>
      </c>
      <c r="H119" s="201" t="s">
        <v>4665</v>
      </c>
      <c r="I119" s="219"/>
      <c r="J119" s="219" t="s">
        <v>4940</v>
      </c>
      <c r="K119" s="140" t="s">
        <v>4941</v>
      </c>
    </row>
    <row r="120">
      <c r="A120" s="60"/>
      <c r="B120" s="210" t="str">
        <f t="shared" ref="B120:B121" si="9">HYPERLINK("https://drive.google.com/open?id=0B00cIHsghs6UVHljWmNPMkF6WVE","Siegmund2014")</f>
        <v>Siegmund2014</v>
      </c>
      <c r="C120" s="46" t="s">
        <v>88</v>
      </c>
      <c r="D120" s="138" t="str">
        <f>HYPERLINK("https://drive.google.com/open?id=1kBDjIrzMdowIpZ06SFOC0yiXXUKwL1wy","Parnin2011")</f>
        <v>Parnin2011</v>
      </c>
      <c r="E120" s="46" t="s">
        <v>4663</v>
      </c>
      <c r="F120" s="46" t="s">
        <v>4663</v>
      </c>
      <c r="G120" s="46">
        <v>1.0</v>
      </c>
      <c r="H120" s="189" t="s">
        <v>4665</v>
      </c>
      <c r="I120" s="162" t="s">
        <v>4716</v>
      </c>
      <c r="J120" s="162" t="s">
        <v>4942</v>
      </c>
      <c r="K120" s="46" t="s">
        <v>4943</v>
      </c>
    </row>
    <row r="121">
      <c r="A121" s="60"/>
      <c r="B121" s="210" t="str">
        <f t="shared" si="9"/>
        <v>Siegmund2014</v>
      </c>
      <c r="C121" s="46" t="s">
        <v>88</v>
      </c>
      <c r="D121" s="138" t="str">
        <f>HYPERLINK("https://drive.google.com/open?id=19ek5m2izjsmBT3dJ6RcXtPcUxd9VYEx8","Parnin2012")</f>
        <v>Parnin2012</v>
      </c>
      <c r="E121" s="46" t="s">
        <v>4663</v>
      </c>
      <c r="F121" s="46" t="s">
        <v>4663</v>
      </c>
      <c r="G121" s="46">
        <v>1.0</v>
      </c>
      <c r="H121" s="189" t="s">
        <v>4665</v>
      </c>
      <c r="I121" s="162" t="s">
        <v>4716</v>
      </c>
      <c r="J121" s="162" t="s">
        <v>4944</v>
      </c>
      <c r="K121" s="46" t="s">
        <v>4945</v>
      </c>
    </row>
    <row r="122">
      <c r="B122" s="231" t="str">
        <f>HYPERLINK("https://drive.google.com/open?id=0B-nn5iJ29NJaS0dmc3dPN1pZZlU","Vasilescu2016")</f>
        <v>Vasilescu2016</v>
      </c>
      <c r="C122" s="214" t="s">
        <v>124</v>
      </c>
      <c r="D122" s="214" t="s">
        <v>4946</v>
      </c>
      <c r="E122" s="212"/>
      <c r="F122" s="214"/>
      <c r="G122" s="214">
        <v>1.0</v>
      </c>
      <c r="H122" s="215" t="s">
        <v>4665</v>
      </c>
      <c r="I122" s="232"/>
      <c r="J122" s="232"/>
      <c r="K122" s="214" t="s">
        <v>4947</v>
      </c>
      <c r="L122" s="212"/>
      <c r="M122" s="212"/>
      <c r="N122" s="212"/>
      <c r="O122" s="212"/>
    </row>
    <row r="123">
      <c r="A123" s="60"/>
      <c r="B123" s="88" t="str">
        <f>HYPERLINK("https://drive.google.com/open?id=0B1GMAYMj9v6rSi1OYkZvQWNWaE0","Chotisarn2013")</f>
        <v>Chotisarn2013</v>
      </c>
      <c r="C123" s="46" t="s">
        <v>116</v>
      </c>
      <c r="D123" s="138" t="str">
        <f>HYPERLINK("https://drive.google.com/open?id=1Rb-D34Yj2spHsoKkO0qsS3UEQdlDN96q","Parsons2004")</f>
        <v>Parsons2004</v>
      </c>
      <c r="E123" s="46" t="s">
        <v>4663</v>
      </c>
      <c r="F123" s="46" t="s">
        <v>4663</v>
      </c>
      <c r="G123" s="46">
        <v>1.0</v>
      </c>
      <c r="H123" s="189" t="s">
        <v>4664</v>
      </c>
      <c r="I123" s="162" t="s">
        <v>4716</v>
      </c>
      <c r="J123" s="162" t="s">
        <v>4948</v>
      </c>
      <c r="K123" s="46" t="s">
        <v>4949</v>
      </c>
    </row>
    <row r="124">
      <c r="A124" s="60"/>
      <c r="B124" s="210" t="str">
        <f t="shared" ref="B124:B125" si="10">HYPERLINK("https://drive.google.com/open?id=0B00cIHsghs6UNDBNdEQ2VHdNanc","VonMayrhauser1997")</f>
        <v>VonMayrhauser1997</v>
      </c>
      <c r="C124" s="46" t="s">
        <v>88</v>
      </c>
      <c r="D124" s="138" t="str">
        <f>HYPERLINK("https://drive.google.com/open?id=1TIoKe6tCHz-e-Sw0Rr0kK_5E5wk4i8cn","Pennington1987a")</f>
        <v>Pennington1987a</v>
      </c>
      <c r="E124" s="46" t="s">
        <v>4679</v>
      </c>
      <c r="F124" s="46" t="s">
        <v>4663</v>
      </c>
      <c r="G124" s="46">
        <v>1.0</v>
      </c>
      <c r="H124" s="189" t="s">
        <v>4665</v>
      </c>
      <c r="I124" s="162" t="s">
        <v>4716</v>
      </c>
      <c r="J124" s="162" t="s">
        <v>4950</v>
      </c>
      <c r="K124" s="46" t="s">
        <v>4951</v>
      </c>
    </row>
    <row r="125">
      <c r="B125" s="218" t="str">
        <f t="shared" si="10"/>
        <v>VonMayrhauser1997</v>
      </c>
      <c r="C125" s="140" t="s">
        <v>88</v>
      </c>
      <c r="D125" s="140" t="s">
        <v>4952</v>
      </c>
      <c r="F125" s="140"/>
      <c r="G125" s="140">
        <v>1.0</v>
      </c>
      <c r="H125" s="201" t="s">
        <v>4665</v>
      </c>
      <c r="I125" s="211"/>
      <c r="J125" s="211"/>
      <c r="K125" s="140" t="s">
        <v>4953</v>
      </c>
    </row>
    <row r="126">
      <c r="A126" s="60"/>
      <c r="B126" s="88" t="str">
        <f>HYPERLINK("https://drive.google.com/open?id=0B1GMAYMj9v6rZGVNMkVUUEoyZEE","White2005")</f>
        <v>White2005</v>
      </c>
      <c r="C126" s="46" t="s">
        <v>116</v>
      </c>
      <c r="D126" s="138" t="str">
        <f>HYPERLINK("https://drive.google.com/open?id=1ozJJ0g5boxpDjw1Z_n2fESt5PP_mPeYg","Pennington1995")</f>
        <v>Pennington1995</v>
      </c>
      <c r="E126" s="46" t="s">
        <v>4663</v>
      </c>
      <c r="F126" s="46" t="s">
        <v>4663</v>
      </c>
      <c r="G126" s="46">
        <v>1.0</v>
      </c>
      <c r="H126" s="189" t="s">
        <v>4665</v>
      </c>
      <c r="I126" s="162" t="s">
        <v>4665</v>
      </c>
      <c r="J126" s="162" t="s">
        <v>4954</v>
      </c>
      <c r="K126" s="46" t="s">
        <v>4955</v>
      </c>
    </row>
    <row r="127">
      <c r="A127" s="60"/>
      <c r="B127" s="88" t="str">
        <f>HYPERLINK("https://drive.google.com/open?id=0B3oar8-GeP-IdTN1bmNaY2ZXTkE","Hadar2013")</f>
        <v>Hadar2013</v>
      </c>
      <c r="C127" s="46" t="s">
        <v>4673</v>
      </c>
      <c r="D127" s="138" t="str">
        <f>HYPERLINK("https://drive.google.com/open?id=1l88QivinnO-3t5cvuZv1_CWM7Fx7jYAu","Petre1999")</f>
        <v>Petre1999</v>
      </c>
      <c r="E127" s="46" t="s">
        <v>4663</v>
      </c>
      <c r="F127" s="46" t="s">
        <v>4663</v>
      </c>
      <c r="G127" s="46">
        <v>1.0</v>
      </c>
      <c r="H127" s="189" t="s">
        <v>4665</v>
      </c>
      <c r="I127" s="162" t="s">
        <v>4665</v>
      </c>
      <c r="J127" s="162" t="s">
        <v>4956</v>
      </c>
      <c r="K127" s="46" t="s">
        <v>4957</v>
      </c>
    </row>
    <row r="128">
      <c r="B128" s="218" t="str">
        <f>HYPERLINK("https://drive.google.com/open?id=0B00cIHsghs6UMjhMNklGS1JNREE","Storrle2016")</f>
        <v>Storrle2016</v>
      </c>
      <c r="C128" s="140" t="s">
        <v>88</v>
      </c>
      <c r="D128" s="140" t="s">
        <v>4958</v>
      </c>
      <c r="E128" s="140" t="s">
        <v>4669</v>
      </c>
      <c r="F128" s="140"/>
      <c r="G128" s="140">
        <v>1.0</v>
      </c>
      <c r="H128" s="201" t="s">
        <v>4665</v>
      </c>
      <c r="I128" s="211"/>
      <c r="J128" s="211" t="s">
        <v>4959</v>
      </c>
      <c r="K128" s="140" t="s">
        <v>4960</v>
      </c>
    </row>
    <row r="129">
      <c r="A129" s="60"/>
      <c r="B129" s="210" t="str">
        <f>HYPERLINK("https://drive.google.com/open?id=0B3oar8-GeP-IbHFVZjN2TUhKbms","Xu2010")</f>
        <v>Xu2010</v>
      </c>
      <c r="C129" s="46" t="s">
        <v>4676</v>
      </c>
      <c r="D129" s="138" t="str">
        <f>HYPERLINK("https://drive.google.com/open?id=1PyEN2zttEGQNpQm8RU1gjLrqYxO2nPg6","Petre1997")</f>
        <v>Petre1997</v>
      </c>
      <c r="E129" s="46" t="s">
        <v>4663</v>
      </c>
      <c r="F129" s="46" t="s">
        <v>4663</v>
      </c>
      <c r="G129" s="46">
        <v>1.0</v>
      </c>
      <c r="H129" s="189" t="s">
        <v>4665</v>
      </c>
      <c r="I129" s="162" t="s">
        <v>4665</v>
      </c>
      <c r="J129" s="162" t="s">
        <v>4961</v>
      </c>
      <c r="K129" s="46" t="s">
        <v>4962</v>
      </c>
    </row>
    <row r="130">
      <c r="B130" s="154" t="str">
        <f>HYPERLINK("https://drive.google.com/open?id=0B3oar8-GeP-INWs5WFFsU2hxLWc","Heliades2000")</f>
        <v>Heliades2000</v>
      </c>
      <c r="C130" s="140" t="s">
        <v>4673</v>
      </c>
      <c r="D130" s="140" t="s">
        <v>4963</v>
      </c>
      <c r="E130" s="140" t="s">
        <v>4669</v>
      </c>
      <c r="F130" s="140"/>
      <c r="G130" s="140">
        <v>1.0</v>
      </c>
      <c r="H130" s="201" t="s">
        <v>4665</v>
      </c>
      <c r="I130" s="211"/>
      <c r="J130" s="211" t="s">
        <v>4964</v>
      </c>
      <c r="K130" s="140" t="s">
        <v>4965</v>
      </c>
    </row>
    <row r="131">
      <c r="A131" s="60"/>
      <c r="B131" s="88" t="str">
        <f>HYPERLINK("http://www.daniela.ece.ufl.edu/Research_files/acsac14.pdf","Oliveira2014")</f>
        <v>Oliveira2014</v>
      </c>
      <c r="C131" s="46" t="s">
        <v>4673</v>
      </c>
      <c r="D131" s="138" t="str">
        <f>HYPERLINK("https://drive.google.com/open?id=1vgN9WoEu0Rc1qVP32TU_tP4zvjj4na5q","Purchase2001")</f>
        <v>Purchase2001</v>
      </c>
      <c r="E131" s="46" t="s">
        <v>4679</v>
      </c>
      <c r="F131" s="46" t="s">
        <v>4669</v>
      </c>
      <c r="G131" s="46">
        <v>1.0</v>
      </c>
      <c r="H131" s="189" t="s">
        <v>4665</v>
      </c>
      <c r="I131" s="162" t="s">
        <v>4665</v>
      </c>
      <c r="J131" s="162" t="s">
        <v>4966</v>
      </c>
      <c r="K131" s="46" t="s">
        <v>4967</v>
      </c>
    </row>
    <row r="132">
      <c r="B132" s="218" t="str">
        <f t="shared" ref="B132:B133" si="11">HYPERLINK("https://drive.google.com/open?id=0B00cIHsghs6UMjhMNklGS1JNREE","Storrle2016")</f>
        <v>Storrle2016</v>
      </c>
      <c r="C132" s="140" t="s">
        <v>88</v>
      </c>
      <c r="D132" s="140" t="s">
        <v>4968</v>
      </c>
      <c r="E132" s="140" t="s">
        <v>4669</v>
      </c>
      <c r="F132" s="140"/>
      <c r="G132" s="140">
        <v>1.0</v>
      </c>
      <c r="H132" s="201" t="s">
        <v>4665</v>
      </c>
      <c r="I132" s="211"/>
      <c r="J132" s="211" t="s">
        <v>4969</v>
      </c>
      <c r="K132" s="140" t="s">
        <v>4970</v>
      </c>
    </row>
    <row r="133">
      <c r="B133" s="218" t="str">
        <f t="shared" si="11"/>
        <v>Storrle2016</v>
      </c>
      <c r="C133" s="140" t="s">
        <v>88</v>
      </c>
      <c r="D133" s="140" t="s">
        <v>4971</v>
      </c>
      <c r="E133" s="140" t="s">
        <v>4669</v>
      </c>
      <c r="F133" s="140"/>
      <c r="G133" s="140">
        <v>1.0</v>
      </c>
      <c r="H133" s="201" t="s">
        <v>4665</v>
      </c>
      <c r="I133" s="211"/>
      <c r="J133" s="211" t="s">
        <v>4972</v>
      </c>
      <c r="K133" s="140" t="s">
        <v>4973</v>
      </c>
    </row>
    <row r="134">
      <c r="A134" s="236"/>
      <c r="B134" s="218" t="str">
        <f>HYPERLINK("https://drive.google.com/open?id=0B00cIHsghs6URUFSU3lCLVZYOG8","DeAlwis2007")</f>
        <v>DeAlwis2007</v>
      </c>
      <c r="C134" s="140" t="s">
        <v>88</v>
      </c>
      <c r="D134" s="140" t="s">
        <v>4974</v>
      </c>
      <c r="E134" s="140" t="s">
        <v>4669</v>
      </c>
      <c r="F134" s="140"/>
      <c r="G134" s="140">
        <v>1.0</v>
      </c>
      <c r="H134" s="201" t="s">
        <v>4665</v>
      </c>
      <c r="I134" s="211"/>
      <c r="J134" s="211" t="s">
        <v>4975</v>
      </c>
      <c r="K134" s="140" t="s">
        <v>4976</v>
      </c>
      <c r="O134" s="236"/>
      <c r="P134" s="236"/>
      <c r="Q134" s="236"/>
      <c r="R134" s="236"/>
      <c r="S134" s="236"/>
      <c r="T134" s="236"/>
      <c r="U134" s="236"/>
      <c r="V134" s="236"/>
      <c r="W134" s="236"/>
      <c r="X134" s="236"/>
      <c r="Y134" s="236"/>
      <c r="Z134" s="236"/>
      <c r="AA134" s="236"/>
      <c r="AB134" s="236"/>
      <c r="AC134" s="236"/>
      <c r="AD134" s="236"/>
      <c r="AE134" s="236"/>
    </row>
    <row r="135">
      <c r="A135" s="60"/>
      <c r="B135" s="210" t="str">
        <f>HYPERLINK("https://drive.google.com/open?id=0B3oar8-GeP-IbHFVZjN2TUhKbms","Xu2010")</f>
        <v>Xu2010</v>
      </c>
      <c r="C135" s="46" t="s">
        <v>4676</v>
      </c>
      <c r="D135" s="138" t="str">
        <f>HYPERLINK("https://drive.google.com/open?id=11inbpmov3IMenaOzrS9jj_KO-G-bDbOB","Rajlich2003")</f>
        <v>Rajlich2003</v>
      </c>
      <c r="E135" s="46" t="s">
        <v>4679</v>
      </c>
      <c r="F135" s="46" t="s">
        <v>4669</v>
      </c>
      <c r="G135" s="46">
        <v>1.0</v>
      </c>
      <c r="H135" s="189" t="s">
        <v>4665</v>
      </c>
      <c r="I135" s="162" t="s">
        <v>4665</v>
      </c>
      <c r="J135" s="162" t="s">
        <v>4977</v>
      </c>
      <c r="K135" s="46" t="s">
        <v>4978</v>
      </c>
    </row>
    <row r="136">
      <c r="B136" s="88" t="str">
        <f>HYPERLINK("https://drive.google.com/open?id=0B1GMAYMj9v6rUTB5eU43TDVMVGc","Leveson2000")</f>
        <v>Leveson2000</v>
      </c>
      <c r="C136" s="140" t="s">
        <v>4673</v>
      </c>
      <c r="D136" s="140" t="s">
        <v>4979</v>
      </c>
      <c r="E136" s="140" t="s">
        <v>4669</v>
      </c>
      <c r="F136" s="140"/>
      <c r="G136" s="140">
        <v>1.0</v>
      </c>
      <c r="H136" s="201" t="s">
        <v>4665</v>
      </c>
      <c r="I136" s="211"/>
      <c r="J136" s="211" t="s">
        <v>4980</v>
      </c>
      <c r="K136" s="140" t="s">
        <v>4981</v>
      </c>
    </row>
    <row r="137">
      <c r="A137" s="60"/>
      <c r="B137" s="210" t="str">
        <f>HYPERLINK("https://drive.google.com/open?id=0B00cIHsghs6UMjhMNklGS1JNREE","Storrle2016")</f>
        <v>Storrle2016</v>
      </c>
      <c r="C137" s="46" t="s">
        <v>88</v>
      </c>
      <c r="D137" s="138" t="str">
        <f>HYPERLINK("https://drive.google.com/open?id=1J0G-4q-o4jLVgqWldTs3OBrQh6Mtzzs1","Ricca2010")</f>
        <v>Ricca2010</v>
      </c>
      <c r="E137" s="46" t="s">
        <v>4679</v>
      </c>
      <c r="F137" s="46" t="s">
        <v>4663</v>
      </c>
      <c r="G137" s="46">
        <v>1.0</v>
      </c>
      <c r="H137" s="189" t="s">
        <v>4665</v>
      </c>
      <c r="I137" s="162" t="s">
        <v>4686</v>
      </c>
      <c r="J137" s="162" t="s">
        <v>4982</v>
      </c>
      <c r="K137" s="46" t="s">
        <v>4983</v>
      </c>
    </row>
    <row r="138">
      <c r="A138" s="60"/>
      <c r="B138" s="210" t="str">
        <f t="shared" ref="B138:B139" si="12">HYPERLINK("https://drive.google.com/open?id=0B00cIHsghs6UX1J0NVBWZnNDY28","Siddiqi1988")</f>
        <v>Siddiqi1988</v>
      </c>
      <c r="C138" s="46" t="s">
        <v>88</v>
      </c>
      <c r="D138" s="46" t="s">
        <v>4650</v>
      </c>
      <c r="E138" s="46" t="s">
        <v>4679</v>
      </c>
      <c r="F138" s="46" t="s">
        <v>4670</v>
      </c>
      <c r="G138" s="46">
        <v>1.0</v>
      </c>
      <c r="H138" s="189" t="s">
        <v>4665</v>
      </c>
      <c r="I138" s="162" t="s">
        <v>4686</v>
      </c>
      <c r="J138" s="162"/>
      <c r="K138" s="46" t="s">
        <v>4984</v>
      </c>
    </row>
    <row r="139">
      <c r="B139" s="218" t="str">
        <f t="shared" si="12"/>
        <v>Siddiqi1988</v>
      </c>
      <c r="C139" s="140" t="s">
        <v>88</v>
      </c>
      <c r="D139" s="140" t="s">
        <v>4985</v>
      </c>
      <c r="F139" s="140"/>
      <c r="G139" s="140">
        <v>1.0</v>
      </c>
      <c r="H139" s="201" t="s">
        <v>4665</v>
      </c>
      <c r="I139" s="211"/>
      <c r="J139" s="211"/>
      <c r="K139" s="140" t="s">
        <v>4986</v>
      </c>
    </row>
    <row r="140">
      <c r="A140" s="60"/>
      <c r="B140" s="210" t="str">
        <f>HYPERLINK("https://drive.google.com/open?id=0B00cIHsghs6UUjlHem9FWDZOZm8","Zhou2010")</f>
        <v>Zhou2010</v>
      </c>
      <c r="C140" s="46" t="s">
        <v>88</v>
      </c>
      <c r="D140" s="138" t="str">
        <f>HYPERLINK("https://drive.google.com/open?id=1Irk-Nr-xegGvbWycBecHkcychEbefqZm","Robillard1999")</f>
        <v>Robillard1999</v>
      </c>
      <c r="E140" s="46" t="s">
        <v>4679</v>
      </c>
      <c r="F140" s="46" t="s">
        <v>4663</v>
      </c>
      <c r="G140" s="46">
        <v>1.0</v>
      </c>
      <c r="H140" s="189" t="s">
        <v>4665</v>
      </c>
      <c r="I140" s="162" t="s">
        <v>4686</v>
      </c>
      <c r="J140" s="162" t="s">
        <v>4987</v>
      </c>
      <c r="K140" s="46" t="s">
        <v>4988</v>
      </c>
    </row>
    <row r="141">
      <c r="A141" s="60"/>
      <c r="B141" s="210" t="str">
        <f>HYPERLINK("https://drive.google.com/open?id=0B00cIHsghs6URUFSU3lCLVZYOG8","DeAlwis2007")</f>
        <v>DeAlwis2007</v>
      </c>
      <c r="C141" s="46" t="s">
        <v>88</v>
      </c>
      <c r="D141" s="138" t="str">
        <f>HYPERLINK("https://drive.google.com/open?id=1U_wWs3hw59Qsy0U9jbcv3Y3dudy1Zy0h","Robillard2004")</f>
        <v>Robillard2004</v>
      </c>
      <c r="E141" s="46" t="s">
        <v>4679</v>
      </c>
      <c r="F141" s="46" t="s">
        <v>4663</v>
      </c>
      <c r="G141" s="46">
        <v>1.0</v>
      </c>
      <c r="H141" s="189" t="s">
        <v>4665</v>
      </c>
      <c r="I141" s="162" t="s">
        <v>4686</v>
      </c>
      <c r="J141" s="46" t="s">
        <v>4989</v>
      </c>
      <c r="K141" s="46" t="s">
        <v>4990</v>
      </c>
    </row>
    <row r="142">
      <c r="A142" s="60"/>
      <c r="B142" s="88" t="str">
        <f>HYPERLINK("https://drive.google.com/open?id=0B3oar8-GeP-IdTN1bmNaY2ZXTkE","Hadar2013")</f>
        <v>Hadar2013</v>
      </c>
      <c r="C142" s="46" t="s">
        <v>4673</v>
      </c>
      <c r="D142" s="138" t="str">
        <f>HYPERLINK("https://drive.google.com/open?id=1ysEOW9hHePjvp6Pn144PgBmSdeT3hZBf","Rosson1990")</f>
        <v>Rosson1990</v>
      </c>
      <c r="E142" s="46" t="s">
        <v>4663</v>
      </c>
      <c r="F142" s="46" t="s">
        <v>4663</v>
      </c>
      <c r="G142" s="46">
        <v>1.0</v>
      </c>
      <c r="H142" s="189" t="s">
        <v>4665</v>
      </c>
      <c r="I142" s="162" t="s">
        <v>4686</v>
      </c>
      <c r="J142" s="162" t="s">
        <v>4991</v>
      </c>
      <c r="K142" s="46" t="s">
        <v>4992</v>
      </c>
    </row>
    <row r="143">
      <c r="A143" s="60"/>
      <c r="B143" s="210" t="str">
        <f>HYPERLINK("https://drive.google.com/open?id=0B00cIHsghs6UUmI0ejNXSmtOYTQ","DeAlwis2008")</f>
        <v>DeAlwis2008</v>
      </c>
      <c r="C143" s="46" t="s">
        <v>88</v>
      </c>
      <c r="D143" s="138" t="str">
        <f>HYPERLINK("https://drive.google.com/open?id=1JjJoxYuNp_KZu5_C0NuBMH3nZX3N1Sao","Rosson1996")</f>
        <v>Rosson1996</v>
      </c>
      <c r="E143" s="46" t="s">
        <v>4663</v>
      </c>
      <c r="F143" s="46" t="s">
        <v>4663</v>
      </c>
      <c r="G143" s="46">
        <v>1.0</v>
      </c>
      <c r="H143" s="189" t="s">
        <v>4665</v>
      </c>
      <c r="I143" s="162" t="s">
        <v>4697</v>
      </c>
      <c r="J143" s="162" t="s">
        <v>4993</v>
      </c>
      <c r="K143" s="46" t="s">
        <v>4994</v>
      </c>
      <c r="L143" s="236"/>
      <c r="M143" s="236"/>
    </row>
    <row r="144">
      <c r="B144" s="218" t="str">
        <f>HYPERLINK("https://drive.google.com/open?id=0B-nn5iJ29NJaTWtVZGpyd0d4eDA","Shaft2006")</f>
        <v>Shaft2006</v>
      </c>
      <c r="C144" s="140" t="s">
        <v>88</v>
      </c>
      <c r="D144" s="140" t="s">
        <v>4995</v>
      </c>
      <c r="E144" s="140" t="s">
        <v>4669</v>
      </c>
      <c r="F144" s="140"/>
      <c r="G144" s="140">
        <v>1.0</v>
      </c>
      <c r="H144" s="201" t="s">
        <v>4665</v>
      </c>
      <c r="I144" s="211"/>
      <c r="J144" s="211" t="s">
        <v>4996</v>
      </c>
      <c r="K144" s="140" t="s">
        <v>4997</v>
      </c>
    </row>
    <row r="145">
      <c r="A145" s="60"/>
      <c r="B145" s="88" t="str">
        <f>HYPERLINK("https://drive.google.com/open?id=0B1GMAYMj9v6rRTlRblZFRjA1SGs","Kirs2001")</f>
        <v>Kirs2001</v>
      </c>
      <c r="C145" s="46" t="s">
        <v>116</v>
      </c>
      <c r="D145" s="138" t="str">
        <f>HYPERLINK("https://drive.google.com/open?id=1Yv_UBIcPdV5nX5riIT-BbXydKQKJM4up","Sage1981")</f>
        <v>Sage1981</v>
      </c>
      <c r="E145" s="46" t="s">
        <v>4679</v>
      </c>
      <c r="F145" s="46" t="s">
        <v>4663</v>
      </c>
      <c r="G145" s="46">
        <v>1.0</v>
      </c>
      <c r="H145" s="189" t="s">
        <v>4664</v>
      </c>
      <c r="I145" s="162" t="s">
        <v>4697</v>
      </c>
      <c r="J145" s="162" t="s">
        <v>4998</v>
      </c>
      <c r="K145" s="46" t="s">
        <v>4999</v>
      </c>
    </row>
    <row r="146">
      <c r="B146" s="88" t="str">
        <f>HYPERLINK("https://drive.google.com/open?id=0B1GMAYMj9v6rdkVkcVg0SktoeWs","Moody2010")</f>
        <v>Moody2010</v>
      </c>
      <c r="C146" s="140" t="s">
        <v>116</v>
      </c>
      <c r="D146" s="140" t="s">
        <v>5000</v>
      </c>
      <c r="E146" s="140" t="s">
        <v>4703</v>
      </c>
      <c r="F146" s="140"/>
      <c r="G146" s="140">
        <v>1.0</v>
      </c>
      <c r="H146" s="201" t="s">
        <v>4665</v>
      </c>
      <c r="I146" s="211"/>
      <c r="J146" s="211" t="s">
        <v>5001</v>
      </c>
      <c r="K146" s="140" t="s">
        <v>5002</v>
      </c>
    </row>
    <row r="147">
      <c r="A147" s="60"/>
      <c r="B147" s="88" t="str">
        <f>HYPERLINK("https://drive.google.com/open?id=0B3oar8-GeP-IdTN1bmNaY2ZXTkE","Hadar2013")</f>
        <v>Hadar2013</v>
      </c>
      <c r="C147" s="46" t="s">
        <v>4673</v>
      </c>
      <c r="D147" s="138" t="str">
        <f>HYPERLINK("https://drive.google.com/open?id=11X0vA1uM-IcNV3FYu-tvy2akLnL4vZsb","Shneiderman1979")</f>
        <v>Shneiderman1979</v>
      </c>
      <c r="E147" s="46" t="s">
        <v>4663</v>
      </c>
      <c r="F147" s="46" t="s">
        <v>4663</v>
      </c>
      <c r="G147" s="46">
        <v>1.0</v>
      </c>
      <c r="H147" s="189" t="s">
        <v>4665</v>
      </c>
      <c r="I147" s="162" t="s">
        <v>4697</v>
      </c>
      <c r="J147" s="162" t="s">
        <v>5003</v>
      </c>
      <c r="K147" s="46" t="s">
        <v>5004</v>
      </c>
    </row>
    <row r="148">
      <c r="A148" s="60"/>
      <c r="B148" s="237" t="str">
        <f>HYPERLINK("https://drive.google.com/open?id=0B-nn5iJ29NJabUROLUNvbE5BMUk","Sharif2016")</f>
        <v>Sharif2016</v>
      </c>
      <c r="C148" s="46" t="s">
        <v>124</v>
      </c>
      <c r="D148" s="138" t="str">
        <f>HYPERLINK("https://drive.google.com/open?id=1yVyN4VblbfQzXhFRaSYno1I20E7Yq2Zr","Shaffer2015")</f>
        <v>Shaffer2015</v>
      </c>
      <c r="E148" s="46" t="s">
        <v>4679</v>
      </c>
      <c r="F148" s="46" t="s">
        <v>4663</v>
      </c>
      <c r="G148" s="46">
        <v>1.0</v>
      </c>
      <c r="H148" s="189" t="s">
        <v>4665</v>
      </c>
      <c r="I148" s="162" t="s">
        <v>4697</v>
      </c>
      <c r="J148" s="162" t="s">
        <v>5005</v>
      </c>
      <c r="K148" s="46" t="s">
        <v>5006</v>
      </c>
    </row>
    <row r="149">
      <c r="A149" s="60"/>
      <c r="B149" s="88" t="str">
        <f>HYPERLINK("https://drive.google.com/open?id=0B1GMAYMj9v6rX3pLSm9qRU9zd2M","Gruhn2007")</f>
        <v>Gruhn2007</v>
      </c>
      <c r="C149" s="46" t="s">
        <v>116</v>
      </c>
      <c r="D149" s="138" t="str">
        <f>HYPERLINK("https://drive.google.com/open?id=1QWfHsa38Rz0Hq7wi2vtW3FggtVMBA2-V","Shao2003")</f>
        <v>Shao2003</v>
      </c>
      <c r="E149" s="46" t="s">
        <v>4663</v>
      </c>
      <c r="F149" s="46" t="s">
        <v>4663</v>
      </c>
      <c r="G149" s="46">
        <v>1.0</v>
      </c>
      <c r="H149" s="189" t="s">
        <v>4665</v>
      </c>
      <c r="I149" s="162" t="s">
        <v>4697</v>
      </c>
      <c r="J149" s="162" t="s">
        <v>5007</v>
      </c>
      <c r="K149" s="46" t="s">
        <v>5008</v>
      </c>
    </row>
    <row r="150">
      <c r="A150" s="60"/>
      <c r="B150" s="88" t="str">
        <f>HYPERLINK("https://drive.google.com/open?id=0B1GMAYMj9v6rdm5BYVh1emNhOUE","Fritz2014")</f>
        <v>Fritz2014</v>
      </c>
      <c r="C150" s="46" t="s">
        <v>116</v>
      </c>
      <c r="D150" s="138" t="str">
        <f>HYPERLINK("https://drive.google.com/open?id=1DIrQztc2iyOXdYbkTtjFYTLktt49lseS","Sharafi2013")</f>
        <v>Sharafi2013</v>
      </c>
      <c r="E150" s="46" t="s">
        <v>4679</v>
      </c>
      <c r="F150" s="46" t="s">
        <v>4663</v>
      </c>
      <c r="G150" s="46">
        <v>1.0</v>
      </c>
      <c r="H150" s="189" t="s">
        <v>4665</v>
      </c>
      <c r="I150" s="162" t="s">
        <v>4716</v>
      </c>
      <c r="J150" s="162" t="s">
        <v>5009</v>
      </c>
      <c r="K150" s="46" t="s">
        <v>5010</v>
      </c>
    </row>
    <row r="151">
      <c r="A151" s="60"/>
      <c r="B151" s="210" t="str">
        <f t="shared" ref="B151:B152" si="13">HYPERLINK("https://drive.google.com/open?id=0B00cIHsghs6UMjhMNklGS1JNREE","Storrle2016")</f>
        <v>Storrle2016</v>
      </c>
      <c r="C151" s="46" t="s">
        <v>88</v>
      </c>
      <c r="D151" s="138" t="str">
        <f>HYPERLINK("https://drive.google.com/open?id=1nBuZnHYAILgH2wb_2DvfsmbG_1xh8meU","Sharif2009a")</f>
        <v>Sharif2009a</v>
      </c>
      <c r="E151" s="46" t="s">
        <v>4663</v>
      </c>
      <c r="F151" s="46" t="s">
        <v>4663</v>
      </c>
      <c r="G151" s="46">
        <v>1.0</v>
      </c>
      <c r="H151" s="189" t="s">
        <v>4665</v>
      </c>
      <c r="I151" s="162" t="s">
        <v>4716</v>
      </c>
      <c r="J151" s="162" t="s">
        <v>5011</v>
      </c>
      <c r="K151" s="46" t="s">
        <v>5012</v>
      </c>
    </row>
    <row r="152">
      <c r="A152" s="60"/>
      <c r="B152" s="210" t="str">
        <f t="shared" si="13"/>
        <v>Storrle2016</v>
      </c>
      <c r="C152" s="46" t="s">
        <v>88</v>
      </c>
      <c r="D152" s="138" t="str">
        <f>HYPERLINK("https://drive.google.com/open?id=1Akgz5tXhaeoAkZIgnFCinjHoP1_DmziM","Sharif2009b")</f>
        <v>Sharif2009b</v>
      </c>
      <c r="E152" s="46" t="s">
        <v>4663</v>
      </c>
      <c r="F152" s="46" t="s">
        <v>4663</v>
      </c>
      <c r="G152" s="46">
        <v>1.0</v>
      </c>
      <c r="H152" s="189" t="s">
        <v>4665</v>
      </c>
      <c r="I152" s="162" t="s">
        <v>4716</v>
      </c>
      <c r="J152" s="162" t="s">
        <v>5013</v>
      </c>
      <c r="K152" s="46" t="s">
        <v>5014</v>
      </c>
    </row>
    <row r="153">
      <c r="B153" s="213" t="str">
        <f>HYPERLINK("https://drive.google.com/open?id=0B1GMAYMj9v6rdm5BYVh1emNhOUE","Fritz2014")</f>
        <v>Fritz2014</v>
      </c>
      <c r="C153" s="214" t="s">
        <v>116</v>
      </c>
      <c r="D153" s="214" t="s">
        <v>5015</v>
      </c>
      <c r="E153" s="212"/>
      <c r="F153" s="214"/>
      <c r="G153" s="214">
        <v>1.0</v>
      </c>
      <c r="H153" s="215" t="s">
        <v>4665</v>
      </c>
      <c r="I153" s="216"/>
      <c r="J153" s="216"/>
      <c r="K153" s="214" t="s">
        <v>5016</v>
      </c>
    </row>
    <row r="154">
      <c r="A154" s="60"/>
      <c r="B154" s="210" t="str">
        <f>HYPERLINK("https://drive.google.com/open?id=0B00cIHsghs6UMjhMNklGS1JNREE","Storrle2016")</f>
        <v>Storrle2016</v>
      </c>
      <c r="C154" s="46" t="s">
        <v>88</v>
      </c>
      <c r="D154" s="138" t="str">
        <f>HYPERLINK("https://drive.google.com/open?id=1Bldk_ahFE2e5ysjUuMhXScrawqCwEnuj","Sharif2010a")</f>
        <v>Sharif2010a</v>
      </c>
      <c r="E154" s="46" t="s">
        <v>4663</v>
      </c>
      <c r="F154" s="46" t="s">
        <v>4663</v>
      </c>
      <c r="G154" s="46">
        <v>1.0</v>
      </c>
      <c r="H154" s="189" t="s">
        <v>4665</v>
      </c>
      <c r="I154" s="162" t="s">
        <v>4716</v>
      </c>
      <c r="J154" s="162" t="s">
        <v>5017</v>
      </c>
      <c r="K154" s="46" t="s">
        <v>5018</v>
      </c>
    </row>
    <row r="155">
      <c r="A155" s="60"/>
      <c r="B155" s="210" t="str">
        <f>HYPERLINK("https://drive.google.com/open?id=0B00cIHsghs6UVHljWmNPMkF6WVE","Siegmund2014")</f>
        <v>Siegmund2014</v>
      </c>
      <c r="C155" s="46" t="s">
        <v>88</v>
      </c>
      <c r="D155" s="138" t="str">
        <f>HYPERLINK("https://drive.google.com/open?id=14xNvnYgrUjeB0bh4M3ixKkxRB6A1lAii","Sharif2010b")</f>
        <v>Sharif2010b</v>
      </c>
      <c r="E155" s="46" t="s">
        <v>4679</v>
      </c>
      <c r="F155" s="46" t="s">
        <v>4663</v>
      </c>
      <c r="G155" s="46">
        <v>1.0</v>
      </c>
      <c r="H155" s="189" t="s">
        <v>4686</v>
      </c>
      <c r="I155" s="162" t="s">
        <v>4716</v>
      </c>
      <c r="J155" s="238" t="s">
        <v>5019</v>
      </c>
      <c r="K155" s="46" t="s">
        <v>5020</v>
      </c>
      <c r="N155" s="236"/>
    </row>
    <row r="156">
      <c r="B156" s="192" t="str">
        <f>HYPERLINK("https://drive.google.com/open?id=0B1GMAYMj9v6rekp2WkxkWjd2bmM","Storrle2011")</f>
        <v>Storrle2011</v>
      </c>
      <c r="C156" s="140" t="s">
        <v>116</v>
      </c>
      <c r="D156" s="140" t="s">
        <v>5021</v>
      </c>
      <c r="E156" s="140" t="s">
        <v>5022</v>
      </c>
      <c r="F156" s="140"/>
      <c r="G156" s="140">
        <v>1.0</v>
      </c>
      <c r="H156" s="201" t="s">
        <v>4686</v>
      </c>
      <c r="I156" s="239"/>
      <c r="J156" s="239" t="s">
        <v>5023</v>
      </c>
      <c r="K156" s="140" t="s">
        <v>5024</v>
      </c>
    </row>
    <row r="157">
      <c r="A157" s="60"/>
      <c r="B157" s="88" t="str">
        <f>HYPERLINK("https://drive.google.com/open?id=0B1GMAYMj9v6rdm5BYVh1emNhOUE","Fritz2014")</f>
        <v>Fritz2014</v>
      </c>
      <c r="C157" s="46" t="s">
        <v>116</v>
      </c>
      <c r="D157" s="138" t="str">
        <f>HYPERLINK("https://drive.google.com/open?id=1PFfdtfTRJ72D9zUXpinLq_GUvjeeqXCq","Sharif2012")</f>
        <v>Sharif2012</v>
      </c>
      <c r="E157" s="46" t="s">
        <v>4679</v>
      </c>
      <c r="F157" s="46" t="s">
        <v>4669</v>
      </c>
      <c r="G157" s="46">
        <v>1.0</v>
      </c>
      <c r="H157" s="189" t="s">
        <v>4686</v>
      </c>
      <c r="I157" s="240" t="s">
        <v>4665</v>
      </c>
      <c r="J157" s="240" t="s">
        <v>5025</v>
      </c>
      <c r="K157" s="46" t="s">
        <v>5026</v>
      </c>
    </row>
    <row r="158">
      <c r="A158" s="60"/>
      <c r="B158" s="88" t="str">
        <f>HYPERLINK("https://drive.google.com/open?id=0B3oar8-GeP-IdTN1bmNaY2ZXTkE","Hadar2013")</f>
        <v>Hadar2013</v>
      </c>
      <c r="C158" s="46" t="s">
        <v>4673</v>
      </c>
      <c r="D158" s="138" t="str">
        <f>HYPERLINK("https://drive.google.com/open?id=1tgGltRu4TPSGOjLCxP7Z2HXyFZlRjE9t","Sheetz2001")</f>
        <v>Sheetz2001</v>
      </c>
      <c r="E158" s="46" t="s">
        <v>4663</v>
      </c>
      <c r="F158" s="46" t="s">
        <v>4663</v>
      </c>
      <c r="G158" s="46">
        <v>1.0</v>
      </c>
      <c r="H158" s="189" t="s">
        <v>4686</v>
      </c>
      <c r="I158" s="240" t="s">
        <v>4665</v>
      </c>
      <c r="J158" s="241" t="s">
        <v>5027</v>
      </c>
      <c r="K158" s="46" t="s">
        <v>5028</v>
      </c>
    </row>
    <row r="159">
      <c r="A159" s="60"/>
      <c r="B159" s="210" t="str">
        <f>HYPERLINK("https://drive.google.com/open?id=0B-nn5iJ29NJaTWtVZGpyd0d4eDA","Shaft2006")</f>
        <v>Shaft2006</v>
      </c>
      <c r="C159" s="46" t="s">
        <v>88</v>
      </c>
      <c r="D159" s="138" t="str">
        <f>HYPERLINK("https://drive.google.com/open?id=1a2XKZRRm8RRCZqab8wwBni5VO2qbdjRi","Sheil1981")</f>
        <v>Sheil1981</v>
      </c>
      <c r="E159" s="46" t="s">
        <v>4679</v>
      </c>
      <c r="F159" s="46" t="s">
        <v>4747</v>
      </c>
      <c r="G159" s="46">
        <v>1.0</v>
      </c>
      <c r="H159" s="189" t="s">
        <v>4686</v>
      </c>
      <c r="I159" s="240" t="s">
        <v>4665</v>
      </c>
      <c r="J159" s="217" t="s">
        <v>5029</v>
      </c>
      <c r="K159" s="46" t="s">
        <v>5030</v>
      </c>
    </row>
    <row r="160">
      <c r="B160" s="218" t="str">
        <f>HYPERLINK("https://drive.google.com/open?id=1C879kkuAmjVC34ynYjQ3dn16vinOliiZ","Shmueli2015")</f>
        <v>Shmueli2015</v>
      </c>
      <c r="C160" s="140" t="s">
        <v>4676</v>
      </c>
      <c r="D160" s="140" t="s">
        <v>2218</v>
      </c>
      <c r="E160" s="140" t="s">
        <v>5031</v>
      </c>
      <c r="F160" s="140"/>
      <c r="G160" s="140">
        <v>1.0</v>
      </c>
      <c r="H160" s="201" t="s">
        <v>4686</v>
      </c>
      <c r="I160" s="242"/>
      <c r="J160" s="242" t="s">
        <v>5032</v>
      </c>
      <c r="K160" s="140" t="s">
        <v>5033</v>
      </c>
    </row>
    <row r="161">
      <c r="A161" s="236"/>
      <c r="B161" s="243" t="str">
        <f>HYPERLINK("https://drive.google.com/open?id=0B-nn5iJ29NJabVVaOU4tcTJrclk","Iio1997")</f>
        <v>Iio1997</v>
      </c>
      <c r="C161" s="244" t="s">
        <v>124</v>
      </c>
      <c r="D161" s="244" t="s">
        <v>5034</v>
      </c>
      <c r="E161" s="236"/>
      <c r="F161" s="244"/>
      <c r="G161" s="244">
        <v>1.0</v>
      </c>
      <c r="H161" s="245"/>
      <c r="I161" s="246"/>
      <c r="J161" s="246"/>
      <c r="K161" s="244" t="s">
        <v>5035</v>
      </c>
      <c r="L161" s="236"/>
      <c r="M161" s="236"/>
      <c r="N161" s="236"/>
      <c r="O161" s="236"/>
      <c r="P161" s="236"/>
      <c r="Q161" s="236"/>
      <c r="R161" s="236"/>
      <c r="S161" s="236"/>
      <c r="T161" s="236"/>
      <c r="U161" s="236"/>
      <c r="V161" s="236"/>
      <c r="W161" s="236"/>
      <c r="X161" s="236"/>
      <c r="Y161" s="236"/>
      <c r="Z161" s="236"/>
      <c r="AA161" s="236"/>
      <c r="AB161" s="236"/>
      <c r="AC161" s="236"/>
      <c r="AD161" s="236"/>
      <c r="AE161" s="236"/>
    </row>
    <row r="162">
      <c r="A162" s="236"/>
      <c r="B162" s="247" t="str">
        <f>HYPERLINK("https://drive.google.com/open?id=0B00cIHsghs6UVHljWmNPMkF6WVE","Siegmund2014")</f>
        <v>Siegmund2014</v>
      </c>
      <c r="C162" s="244" t="s">
        <v>88</v>
      </c>
      <c r="D162" s="244" t="s">
        <v>5034</v>
      </c>
      <c r="E162" s="236"/>
      <c r="F162" s="244"/>
      <c r="G162" s="244">
        <v>1.0</v>
      </c>
      <c r="H162" s="248"/>
      <c r="I162" s="249"/>
      <c r="J162" s="249"/>
      <c r="K162" s="244" t="s">
        <v>5036</v>
      </c>
      <c r="L162" s="236"/>
      <c r="M162" s="236"/>
      <c r="N162" s="236"/>
      <c r="O162" s="236"/>
      <c r="P162" s="236"/>
      <c r="Q162" s="236"/>
      <c r="R162" s="236"/>
      <c r="S162" s="236"/>
      <c r="T162" s="236"/>
      <c r="U162" s="236"/>
      <c r="V162" s="236"/>
      <c r="W162" s="236"/>
      <c r="X162" s="236"/>
      <c r="Y162" s="236"/>
      <c r="Z162" s="236"/>
      <c r="AA162" s="236"/>
      <c r="AB162" s="236"/>
      <c r="AC162" s="236"/>
      <c r="AD162" s="236"/>
      <c r="AE162" s="236"/>
    </row>
    <row r="163">
      <c r="A163" s="60"/>
      <c r="B163" s="228" t="str">
        <f>HYPERLINK("https://drive.google.com/open?id=0B3oar8-GeP-INWs5WFFsU2hxLWc","Heliades2000")</f>
        <v>Heliades2000</v>
      </c>
      <c r="C163" s="46" t="s">
        <v>4673</v>
      </c>
      <c r="D163" s="138" t="str">
        <f>HYPERLINK("https://drive.google.com/open?id=1kdvJv1yx3DFibXn4WyYaVVMsKsmmA1VC","Shum1994")</f>
        <v>Shum1994</v>
      </c>
      <c r="E163" s="46" t="s">
        <v>4679</v>
      </c>
      <c r="F163" s="46" t="s">
        <v>4669</v>
      </c>
      <c r="G163" s="60"/>
      <c r="H163" s="189" t="s">
        <v>4686</v>
      </c>
      <c r="I163" s="240" t="s">
        <v>4665</v>
      </c>
      <c r="J163" s="241" t="s">
        <v>5037</v>
      </c>
      <c r="K163" s="46" t="s">
        <v>5038</v>
      </c>
    </row>
    <row r="164">
      <c r="A164" s="60"/>
      <c r="B164" s="88" t="str">
        <f>HYPERLINK("https://drive.google.com/open?id=0B1GMAYMj9v6rN1lFRVpJb0tIN00","Shum2006")</f>
        <v>Shum2006</v>
      </c>
      <c r="C164" s="46" t="s">
        <v>116</v>
      </c>
      <c r="D164" s="138" t="str">
        <f>HYPERLINK("https://drive.google.com/open?id=1rEBXK4H94pv2rySvtXqs5lUXrEnkw0nX","Shum1997")</f>
        <v>Shum1997</v>
      </c>
      <c r="E164" s="46" t="s">
        <v>5039</v>
      </c>
      <c r="F164" s="46" t="s">
        <v>4663</v>
      </c>
      <c r="G164" s="46">
        <v>1.0</v>
      </c>
      <c r="H164" s="189" t="s">
        <v>4686</v>
      </c>
      <c r="I164" s="240" t="s">
        <v>4665</v>
      </c>
      <c r="J164" s="250" t="s">
        <v>5040</v>
      </c>
      <c r="K164" s="46" t="s">
        <v>5041</v>
      </c>
    </row>
    <row r="165">
      <c r="A165" s="60"/>
      <c r="B165" s="88" t="str">
        <f>HYPERLINK("https://drive.google.com/open?id=0B1GMAYMj9v6rSTY1YWRkVjBlOVE","Ralph2011")</f>
        <v>Ralph2011</v>
      </c>
      <c r="C165" s="46" t="s">
        <v>116</v>
      </c>
      <c r="D165" s="138" t="str">
        <f>HYPERLINK("https://drive.google.com/open?id=17PWH79etvFNbgkdKlNAMyzoeDa-Tsz0v","Siau1996")</f>
        <v>Siau1996</v>
      </c>
      <c r="E165" s="46" t="s">
        <v>5039</v>
      </c>
      <c r="F165" s="46" t="s">
        <v>4663</v>
      </c>
      <c r="G165" s="46">
        <v>1.0</v>
      </c>
      <c r="H165" s="189" t="s">
        <v>4686</v>
      </c>
      <c r="I165" s="251" t="s">
        <v>4686</v>
      </c>
      <c r="J165" s="251" t="s">
        <v>5042</v>
      </c>
      <c r="K165" s="46" t="s">
        <v>5043</v>
      </c>
    </row>
    <row r="166">
      <c r="B166" s="88" t="str">
        <f>HYPERLINK("https://pdfs.semanticscholar.org/b585/4a4953099818013e8ceae9d002e761bd0eb2.pdf","Siau2004")</f>
        <v>Siau2004</v>
      </c>
      <c r="C166" s="140" t="s">
        <v>4673</v>
      </c>
      <c r="D166" s="140" t="s">
        <v>5044</v>
      </c>
      <c r="E166" s="140" t="s">
        <v>5045</v>
      </c>
      <c r="F166" s="140"/>
      <c r="G166" s="140">
        <v>1.0</v>
      </c>
      <c r="H166" s="201" t="s">
        <v>4686</v>
      </c>
      <c r="I166" s="252"/>
      <c r="J166" s="252" t="s">
        <v>5046</v>
      </c>
      <c r="K166" s="140" t="s">
        <v>5047</v>
      </c>
    </row>
    <row r="167">
      <c r="A167" s="60"/>
      <c r="B167" s="221" t="str">
        <f>HYPERLINK("https://drive.google.com/open?id=0B-nn5iJ29NJaYnVLNkkxVjlXMnc","Siau2010")</f>
        <v>Siau2010</v>
      </c>
      <c r="C167" s="46" t="s">
        <v>124</v>
      </c>
      <c r="D167" s="138" t="str">
        <f>HYPERLINK("https://drive.google.com/open?id=1RPplDpdnmPhn78DHnapSLnM_hg0y1aLs","Siau2005")</f>
        <v>Siau2005</v>
      </c>
      <c r="E167" s="46" t="s">
        <v>4679</v>
      </c>
      <c r="F167" s="46" t="s">
        <v>4663</v>
      </c>
      <c r="G167" s="46">
        <v>1.0</v>
      </c>
      <c r="H167" s="189" t="s">
        <v>4686</v>
      </c>
      <c r="I167" s="251" t="s">
        <v>4686</v>
      </c>
      <c r="J167" s="238" t="s">
        <v>5048</v>
      </c>
      <c r="K167" s="46" t="s">
        <v>5049</v>
      </c>
    </row>
    <row r="168" ht="1.5" customHeight="1">
      <c r="A168" s="60"/>
      <c r="B168" s="210" t="str">
        <f t="shared" ref="B168:B169" si="14">HYPERLINK("https://drive.google.com/open?id=0B00cIHsghs6UX1J0NVBWZnNDY28","Siddiqi1988")</f>
        <v>Siddiqi1988</v>
      </c>
      <c r="C168" s="46" t="s">
        <v>88</v>
      </c>
      <c r="D168" s="206" t="str">
        <f>HYPERLINK("https://drive.google.com/open?id=0B00cIHsghs6UX1J0NVBWZnNDY28","Siddigi1986")</f>
        <v>Siddigi1986</v>
      </c>
      <c r="E168" s="46" t="s">
        <v>4679</v>
      </c>
      <c r="F168" s="46" t="s">
        <v>4670</v>
      </c>
      <c r="G168" s="46">
        <v>1.0</v>
      </c>
      <c r="H168" s="189" t="s">
        <v>4686</v>
      </c>
      <c r="I168" s="251" t="s">
        <v>4686</v>
      </c>
      <c r="J168" s="251" t="s">
        <v>5050</v>
      </c>
      <c r="K168" s="46" t="s">
        <v>5051</v>
      </c>
    </row>
    <row r="169">
      <c r="A169" s="60"/>
      <c r="B169" s="210" t="str">
        <f t="shared" si="14"/>
        <v>Siddiqi1988</v>
      </c>
      <c r="C169" s="46" t="s">
        <v>88</v>
      </c>
      <c r="D169" s="46" t="s">
        <v>4653</v>
      </c>
      <c r="E169" s="46" t="s">
        <v>4663</v>
      </c>
      <c r="F169" s="46" t="s">
        <v>4670</v>
      </c>
      <c r="G169" s="46">
        <v>1.0</v>
      </c>
      <c r="H169" s="189" t="s">
        <v>4686</v>
      </c>
      <c r="I169" s="251" t="s">
        <v>4686</v>
      </c>
      <c r="J169" s="238" t="s">
        <v>5052</v>
      </c>
      <c r="K169" s="46" t="s">
        <v>5053</v>
      </c>
    </row>
    <row r="170">
      <c r="A170" s="60"/>
      <c r="B170" s="210" t="str">
        <f>HYPERLINK("https://drive.google.com/open?id=0B00cIHsghs6UVHljWmNPMkF6WVE","Siegmund2014")</f>
        <v>Siegmund2014</v>
      </c>
      <c r="C170" s="46" t="s">
        <v>88</v>
      </c>
      <c r="D170" s="138" t="str">
        <f>HYPERLINK("https://drive.google.com/open?id=1WPx7gz8zAyR8LuCdxS7mURW9NjFjR7mb","Siegmund2012")</f>
        <v>Siegmund2012</v>
      </c>
      <c r="E170" s="46" t="s">
        <v>5054</v>
      </c>
      <c r="F170" s="46" t="s">
        <v>4663</v>
      </c>
      <c r="G170" s="46">
        <v>1.0</v>
      </c>
      <c r="H170" s="189" t="s">
        <v>4686</v>
      </c>
      <c r="I170" s="251" t="s">
        <v>4686</v>
      </c>
      <c r="J170" s="217" t="s">
        <v>5055</v>
      </c>
      <c r="K170" s="46" t="s">
        <v>5056</v>
      </c>
    </row>
    <row r="171">
      <c r="A171" s="60"/>
      <c r="B171" s="88" t="str">
        <f>HYPERLINK("https://drive.google.com/open?id=0B3oar8-GeP-IdTN1bmNaY2ZXTkE","Hadar2013")</f>
        <v>Hadar2013</v>
      </c>
      <c r="C171" s="46" t="s">
        <v>4673</v>
      </c>
      <c r="D171" s="46" t="s">
        <v>5057</v>
      </c>
      <c r="E171" s="46" t="s">
        <v>4679</v>
      </c>
      <c r="F171" s="46" t="s">
        <v>4663</v>
      </c>
      <c r="G171" s="46">
        <v>1.0</v>
      </c>
      <c r="H171" s="189" t="s">
        <v>4686</v>
      </c>
      <c r="I171" s="241" t="s">
        <v>4697</v>
      </c>
      <c r="J171" s="241" t="s">
        <v>5058</v>
      </c>
      <c r="K171" s="46" t="s">
        <v>5059</v>
      </c>
    </row>
    <row r="172">
      <c r="A172" s="60"/>
      <c r="B172" s="210" t="str">
        <f>HYPERLINK("https://drive.google.com/open?id=0B3oar8-GeP-IT29tMXpHQWtKQnc","Agarwal1999")</f>
        <v>Agarwal1999</v>
      </c>
      <c r="C172" s="46" t="s">
        <v>4676</v>
      </c>
      <c r="D172" s="46" t="s">
        <v>5060</v>
      </c>
      <c r="E172" s="46" t="s">
        <v>4663</v>
      </c>
      <c r="F172" s="46" t="s">
        <v>4663</v>
      </c>
      <c r="G172" s="46">
        <v>1.0</v>
      </c>
      <c r="H172" s="189" t="s">
        <v>4686</v>
      </c>
      <c r="I172" s="241" t="s">
        <v>4697</v>
      </c>
      <c r="J172" s="238" t="s">
        <v>5061</v>
      </c>
      <c r="K172" s="46" t="s">
        <v>5062</v>
      </c>
    </row>
    <row r="173">
      <c r="A173" s="60"/>
      <c r="B173" s="88" t="str">
        <f>HYPERLINK("https://drive.google.com/open?id=0B1GMAYMj9v6rUTB5eU43TDVMVGc","Leveson2000")</f>
        <v>Leveson2000</v>
      </c>
      <c r="C173" s="46" t="s">
        <v>4673</v>
      </c>
      <c r="D173" s="46" t="s">
        <v>5063</v>
      </c>
      <c r="E173" s="46" t="s">
        <v>5039</v>
      </c>
      <c r="F173" s="46" t="s">
        <v>4670</v>
      </c>
      <c r="G173" s="46">
        <v>1.0</v>
      </c>
      <c r="H173" s="189" t="s">
        <v>4686</v>
      </c>
      <c r="I173" s="241" t="s">
        <v>4697</v>
      </c>
      <c r="J173" s="238" t="s">
        <v>5064</v>
      </c>
      <c r="K173" s="46" t="s">
        <v>5065</v>
      </c>
    </row>
    <row r="174">
      <c r="A174" s="60"/>
      <c r="B174" s="88" t="str">
        <f>HYPERLINK("https://drive.google.com/open?id=0B1GMAYMj9v6rSi1OYkZvQWNWaE0","Chotisarn2013")</f>
        <v>Chotisarn2013</v>
      </c>
      <c r="C174" s="46" t="s">
        <v>116</v>
      </c>
      <c r="D174" s="46" t="s">
        <v>5066</v>
      </c>
      <c r="E174" s="46" t="s">
        <v>4663</v>
      </c>
      <c r="F174" s="46" t="s">
        <v>4663</v>
      </c>
      <c r="G174" s="46">
        <v>1.0</v>
      </c>
      <c r="H174" s="189" t="s">
        <v>4664</v>
      </c>
      <c r="I174" s="241" t="s">
        <v>4697</v>
      </c>
      <c r="J174" s="162" t="s">
        <v>5067</v>
      </c>
      <c r="K174" s="46" t="s">
        <v>5068</v>
      </c>
    </row>
    <row r="175">
      <c r="A175" s="60"/>
      <c r="B175" s="210" t="str">
        <f>HYPERLINK("https://drive.google.com/open?id=0B3oar8-GeP-IT29tMXpHQWtKQnc","Agarwal1999")</f>
        <v>Agarwal1999</v>
      </c>
      <c r="C175" s="46" t="s">
        <v>4676</v>
      </c>
      <c r="D175" s="46" t="s">
        <v>5069</v>
      </c>
      <c r="E175" s="46" t="s">
        <v>4663</v>
      </c>
      <c r="F175" s="46" t="s">
        <v>4663</v>
      </c>
      <c r="G175" s="46">
        <v>1.0</v>
      </c>
      <c r="H175" s="189" t="s">
        <v>4686</v>
      </c>
      <c r="I175" s="241" t="s">
        <v>4697</v>
      </c>
      <c r="J175" s="217" t="s">
        <v>5070</v>
      </c>
      <c r="K175" s="46" t="s">
        <v>5071</v>
      </c>
    </row>
    <row r="176">
      <c r="A176" s="60"/>
      <c r="B176" s="210" t="str">
        <f>HYPERLINK("https://drive.google.com/open?id=0B00cIHsghs6UNDBNdEQ2VHdNanc","VonMayrhauser1997")</f>
        <v>VonMayrhauser1997</v>
      </c>
      <c r="C176" s="46" t="s">
        <v>88</v>
      </c>
      <c r="D176" s="138" t="str">
        <f>HYPERLINK("https://drive.google.com/open?id=1yN4ki3bfd77330PH4epO_duZmVENiZc7","Soloway1984a")</f>
        <v>Soloway1984a</v>
      </c>
      <c r="E176" s="46" t="s">
        <v>4663</v>
      </c>
      <c r="F176" s="46" t="s">
        <v>4663</v>
      </c>
      <c r="G176" s="46">
        <v>1.0</v>
      </c>
      <c r="H176" s="189" t="s">
        <v>4686</v>
      </c>
      <c r="I176" s="238" t="s">
        <v>4716</v>
      </c>
      <c r="J176" s="238" t="s">
        <v>5072</v>
      </c>
      <c r="K176" s="46" t="s">
        <v>5073</v>
      </c>
    </row>
    <row r="177">
      <c r="A177" s="60"/>
      <c r="B177" s="210" t="str">
        <f>HYPERLINK("https://drive.google.com/open?id=0B3oar8-GeP-IUUNiU0lndVRoemc","Snodgrass1988")</f>
        <v>Snodgrass1988</v>
      </c>
      <c r="C177" s="46" t="s">
        <v>4676</v>
      </c>
      <c r="D177" s="138" t="str">
        <f>HYPERLINK("https://drive.google.com/open?id=1qWgLTNbcbDrJp-zekxwBBZAD0ntbvZc4","Soloway1984b")</f>
        <v>Soloway1984b</v>
      </c>
      <c r="E177" s="46" t="s">
        <v>4679</v>
      </c>
      <c r="F177" s="46" t="s">
        <v>4663</v>
      </c>
      <c r="G177" s="46">
        <v>1.0</v>
      </c>
      <c r="H177" s="189" t="s">
        <v>4686</v>
      </c>
      <c r="I177" s="238" t="s">
        <v>4716</v>
      </c>
      <c r="J177" s="240" t="s">
        <v>5074</v>
      </c>
      <c r="K177" s="46" t="s">
        <v>5075</v>
      </c>
    </row>
    <row r="178">
      <c r="A178" s="60"/>
      <c r="B178" s="210" t="str">
        <f>HYPERLINK("https://drive.google.com/open?id=0B00cIHsghs6UNDBNdEQ2VHdNanc","VonMayrhauser1997")</f>
        <v>VonMayrhauser1997</v>
      </c>
      <c r="C178" s="46" t="s">
        <v>88</v>
      </c>
      <c r="D178" s="46" t="s">
        <v>5076</v>
      </c>
      <c r="E178" s="46" t="s">
        <v>4679</v>
      </c>
      <c r="F178" s="46" t="s">
        <v>4670</v>
      </c>
      <c r="G178" s="46">
        <v>1.0</v>
      </c>
      <c r="H178" s="189" t="s">
        <v>4686</v>
      </c>
      <c r="I178" s="238" t="s">
        <v>4716</v>
      </c>
      <c r="J178" s="162" t="s">
        <v>5077</v>
      </c>
      <c r="K178" s="46" t="s">
        <v>5078</v>
      </c>
    </row>
    <row r="179">
      <c r="A179" s="60"/>
      <c r="B179" s="210" t="str">
        <f>HYPERLINK("https://drive.google.com/open?id=0B00cIHsghs6UTnNuWGNVSE92ZlU","Mohani2014")</f>
        <v>Mohani2014</v>
      </c>
      <c r="C179" s="46" t="s">
        <v>88</v>
      </c>
      <c r="D179" s="253" t="s">
        <v>5079</v>
      </c>
      <c r="E179" s="46"/>
      <c r="F179" s="46"/>
      <c r="G179" s="253">
        <v>1.0</v>
      </c>
      <c r="H179" s="189" t="s">
        <v>4686</v>
      </c>
      <c r="I179" s="238" t="s">
        <v>4716</v>
      </c>
      <c r="J179" s="240" t="s">
        <v>5080</v>
      </c>
      <c r="K179" s="46" t="s">
        <v>5081</v>
      </c>
    </row>
    <row r="180">
      <c r="A180" s="60"/>
      <c r="B180" s="88" t="str">
        <f>HYPERLINK("https://drive.google.com/open?id=0B1GMAYMj9v6rLXZRSWNiNk82Nms","Zayour2013")</f>
        <v>Zayour2013</v>
      </c>
      <c r="C180" s="46" t="s">
        <v>116</v>
      </c>
      <c r="D180" s="138" t="str">
        <f>HYPERLINK("https://drive.google.com/open?id=1lYlzQ_3ly6Cz6Ln8T2uSAtFmZnFrFLOA","Storey1999")</f>
        <v>Storey1999</v>
      </c>
      <c r="E180" s="46" t="s">
        <v>4663</v>
      </c>
      <c r="F180" s="46" t="s">
        <v>4663</v>
      </c>
      <c r="G180" s="46">
        <v>1.0</v>
      </c>
      <c r="H180" s="189" t="s">
        <v>4686</v>
      </c>
      <c r="I180" s="238" t="s">
        <v>4716</v>
      </c>
      <c r="J180" s="241" t="s">
        <v>5082</v>
      </c>
      <c r="K180" s="46" t="s">
        <v>5083</v>
      </c>
    </row>
    <row r="181">
      <c r="A181" s="60"/>
      <c r="B181" s="210" t="str">
        <f>HYPERLINK("https://drive.google.com/open?id=0B00cIHsghs6URUFSU3lCLVZYOG8","DeAlwis2007")</f>
        <v>DeAlwis2007</v>
      </c>
      <c r="C181" s="46" t="s">
        <v>88</v>
      </c>
      <c r="D181" s="138" t="str">
        <f>HYPERLINK("https://drive.google.com/open?id=1ms10HcgZSRqphPss2Uy7-7YXN35sstau","Storey2000")</f>
        <v>Storey2000</v>
      </c>
      <c r="E181" s="46" t="s">
        <v>4663</v>
      </c>
      <c r="F181" s="46" t="s">
        <v>5084</v>
      </c>
      <c r="G181" s="46">
        <v>1.0</v>
      </c>
      <c r="H181" s="189" t="s">
        <v>4686</v>
      </c>
      <c r="I181" s="238" t="s">
        <v>4665</v>
      </c>
      <c r="J181" s="238" t="s">
        <v>5085</v>
      </c>
      <c r="K181" s="46" t="s">
        <v>5086</v>
      </c>
    </row>
    <row r="182">
      <c r="A182" s="60"/>
      <c r="B182" s="210" t="str">
        <f>HYPERLINK("https://drive.google.com/open?id=0B3oar8-GeP-IQ1JMc0pkN29KR2c","Murphy2010")</f>
        <v>Murphy2010</v>
      </c>
      <c r="C182" s="46" t="s">
        <v>4676</v>
      </c>
      <c r="D182" s="138" t="str">
        <f>HYPERLINK("https://drive.google.com/open?id=18mIWKh5mFSzhfXRABt3w17dYRhU8G8Vc","Storey2006")</f>
        <v>Storey2006</v>
      </c>
      <c r="E182" s="46" t="s">
        <v>4663</v>
      </c>
      <c r="F182" s="46" t="s">
        <v>4747</v>
      </c>
      <c r="G182" s="46">
        <v>1.0</v>
      </c>
      <c r="H182" s="189" t="s">
        <v>4686</v>
      </c>
      <c r="I182" s="238" t="s">
        <v>4665</v>
      </c>
      <c r="J182" s="251" t="s">
        <v>5087</v>
      </c>
      <c r="K182" s="46" t="s">
        <v>5088</v>
      </c>
    </row>
    <row r="183">
      <c r="A183" s="60"/>
      <c r="B183" s="88" t="str">
        <f>HYPERLINK("https://drive.google.com/open?id=0B1GMAYMj9v6rRTlRblZFRjA1SGs","Kirs2001")</f>
        <v>Kirs2001</v>
      </c>
      <c r="C183" s="46" t="s">
        <v>116</v>
      </c>
      <c r="D183" s="46" t="s">
        <v>5089</v>
      </c>
      <c r="E183" s="46" t="s">
        <v>4663</v>
      </c>
      <c r="F183" s="46" t="s">
        <v>5090</v>
      </c>
      <c r="G183" s="46">
        <v>1.0</v>
      </c>
      <c r="H183" s="189" t="s">
        <v>4664</v>
      </c>
      <c r="I183" s="238" t="s">
        <v>4665</v>
      </c>
      <c r="J183" s="162" t="s">
        <v>5091</v>
      </c>
      <c r="K183" s="46" t="s">
        <v>5092</v>
      </c>
    </row>
    <row r="184">
      <c r="A184" s="60"/>
      <c r="B184" s="210" t="str">
        <f>HYPERLINK("https://drive.google.com/open?id=0B00cIHsghs6URnByanBXeWRuc1E","Calikli2013")</f>
        <v>Calikli2013</v>
      </c>
      <c r="C184" s="46" t="s">
        <v>88</v>
      </c>
      <c r="D184" s="138" t="str">
        <f>HYPERLINK("https://drive.google.com/open?id=1RegAOKR5Pjgxu9_B8rtL4pZg9P-xIU5z","Teasley1994")</f>
        <v>Teasley1994</v>
      </c>
      <c r="E184" s="46" t="s">
        <v>4663</v>
      </c>
      <c r="F184" s="46" t="s">
        <v>5093</v>
      </c>
      <c r="G184" s="46">
        <v>1.0</v>
      </c>
      <c r="H184" s="189" t="s">
        <v>4686</v>
      </c>
      <c r="I184" s="238" t="s">
        <v>4665</v>
      </c>
      <c r="J184" s="162" t="s">
        <v>1101</v>
      </c>
      <c r="K184" s="46" t="s">
        <v>5094</v>
      </c>
    </row>
    <row r="185">
      <c r="A185" s="60"/>
      <c r="B185" s="88" t="str">
        <f>HYPERLINK("https://drive.google.com/open?id=0B3oar8-GeP-IdTN1bmNaY2ZXTkE","Hadar2013")</f>
        <v>Hadar2013</v>
      </c>
      <c r="C185" s="46" t="s">
        <v>4673</v>
      </c>
      <c r="D185" s="138" t="str">
        <f>HYPERLINK("https://drive.google.com/open?id=1rQISHos-ScmfiMxgckPhTdc1Taw8sqgq","Tegarden2001")</f>
        <v>Tegarden2001</v>
      </c>
      <c r="E185" s="46" t="s">
        <v>4663</v>
      </c>
      <c r="F185" s="46" t="s">
        <v>4663</v>
      </c>
      <c r="G185" s="46">
        <v>1.0</v>
      </c>
      <c r="H185" s="189" t="s">
        <v>4686</v>
      </c>
      <c r="I185" s="238" t="s">
        <v>4665</v>
      </c>
      <c r="J185" s="241" t="s">
        <v>5095</v>
      </c>
      <c r="K185" s="46" t="s">
        <v>5096</v>
      </c>
    </row>
    <row r="186">
      <c r="A186" s="60"/>
      <c r="B186" s="221" t="str">
        <f>HYPERLINK("https://drive.google.com/open?id=0B-nn5iJ29NJabW9SRk9LanB5MFE","Xiao2013")</f>
        <v>Xiao2013</v>
      </c>
      <c r="C186" s="46" t="s">
        <v>124</v>
      </c>
      <c r="D186" s="138" t="str">
        <f>HYPERLINK("https://drive.google.com/open?id=1rDKNduLMosW3kAtjRPg3ysBMESXet2O7","Thummadi2011")</f>
        <v>Thummadi2011</v>
      </c>
      <c r="E186" s="254" t="s">
        <v>4663</v>
      </c>
      <c r="F186" s="254" t="s">
        <v>4663</v>
      </c>
      <c r="G186" s="46">
        <v>1.0</v>
      </c>
      <c r="H186" s="189" t="s">
        <v>4840</v>
      </c>
      <c r="I186" s="162" t="s">
        <v>4686</v>
      </c>
      <c r="J186" s="162" t="s">
        <v>5097</v>
      </c>
      <c r="K186" s="46" t="s">
        <v>5098</v>
      </c>
    </row>
    <row r="187">
      <c r="B187" s="88" t="str">
        <f>HYPERLINK("https://drive.google.com/open?id=0B1GMAYMj9v6rUVVFaEFyNk9QaGM","Dunn2005")</f>
        <v>Dunn2005</v>
      </c>
      <c r="C187" s="140" t="s">
        <v>116</v>
      </c>
      <c r="D187" s="140" t="s">
        <v>5099</v>
      </c>
      <c r="E187" s="140" t="s">
        <v>4747</v>
      </c>
      <c r="F187" s="140"/>
      <c r="G187" s="140">
        <v>1.0</v>
      </c>
      <c r="H187" s="201" t="s">
        <v>4686</v>
      </c>
      <c r="I187" s="255"/>
      <c r="J187" s="255" t="s">
        <v>5100</v>
      </c>
      <c r="K187" s="140" t="s">
        <v>5101</v>
      </c>
    </row>
    <row r="188">
      <c r="A188" s="60"/>
      <c r="B188" s="210" t="str">
        <f>HYPERLINK("https://drive.google.com/open?id=0B00cIHsghs6UMzBmYVVTYmh5NEE","Zugal2012")</f>
        <v>Zugal2012</v>
      </c>
      <c r="C188" s="46" t="s">
        <v>88</v>
      </c>
      <c r="D188" s="138" t="str">
        <f>HYPERLINK("https://drive.google.com/open?id=1R24oUzjijPz5IRLu2_4URJOaQwYK9iCT","Tracz1979")</f>
        <v>Tracz1979</v>
      </c>
      <c r="E188" s="46" t="s">
        <v>5102</v>
      </c>
      <c r="F188" s="46" t="s">
        <v>4663</v>
      </c>
      <c r="G188" s="46">
        <v>1.0</v>
      </c>
      <c r="H188" s="189" t="s">
        <v>4686</v>
      </c>
      <c r="I188" s="162" t="s">
        <v>4686</v>
      </c>
      <c r="J188" s="162" t="s">
        <v>5103</v>
      </c>
      <c r="K188" s="46" t="s">
        <v>5104</v>
      </c>
    </row>
    <row r="189">
      <c r="A189" s="60"/>
      <c r="B189" s="88" t="str">
        <f>HYPERLINK("https://drive.google.com/open?id=0B1GMAYMj9v6rbm95cHhBZ1lCTk0","Leite2015")</f>
        <v>Leite2015</v>
      </c>
      <c r="C189" s="46" t="s">
        <v>116</v>
      </c>
      <c r="D189" s="138" t="str">
        <f>HYPERLINK("https://drive.google.com/open?id=1mhzXbBgQTIpD2ZYPpIiuQvYhFKyDjqaY","Treude2010")</f>
        <v>Treude2010</v>
      </c>
      <c r="E189" s="46" t="s">
        <v>4663</v>
      </c>
      <c r="F189" s="46" t="s">
        <v>4663</v>
      </c>
      <c r="G189" s="46">
        <v>1.0</v>
      </c>
      <c r="H189" s="189" t="s">
        <v>4664</v>
      </c>
      <c r="I189" s="162" t="s">
        <v>4686</v>
      </c>
      <c r="J189" s="162" t="s">
        <v>5105</v>
      </c>
      <c r="K189" s="46" t="s">
        <v>5106</v>
      </c>
    </row>
    <row r="190">
      <c r="A190" s="60"/>
      <c r="B190" s="210" t="str">
        <f>HYPERLINK("https://drive.google.com/open?id=0B00cIHsghs6UTjBseVl1MVZyTGs","Kamthan2006")</f>
        <v>Kamthan2006</v>
      </c>
      <c r="C190" s="46" t="s">
        <v>88</v>
      </c>
      <c r="D190" s="46" t="s">
        <v>5107</v>
      </c>
      <c r="E190" s="256" t="s">
        <v>5108</v>
      </c>
      <c r="F190" s="46" t="s">
        <v>4670</v>
      </c>
      <c r="G190" s="46">
        <v>1.0</v>
      </c>
      <c r="H190" s="189" t="s">
        <v>4686</v>
      </c>
      <c r="I190" s="162" t="s">
        <v>4686</v>
      </c>
      <c r="J190" s="217" t="s">
        <v>5109</v>
      </c>
      <c r="K190" s="46" t="s">
        <v>5110</v>
      </c>
    </row>
    <row r="191">
      <c r="A191" s="60"/>
      <c r="B191" s="210" t="str">
        <f>HYPERLINK("https://drive.google.com/open?id=0B00cIHsghs6UNDBNdEQ2VHdNanc","VonMayrhauser1997")</f>
        <v>VonMayrhauser1997</v>
      </c>
      <c r="C191" s="46" t="s">
        <v>88</v>
      </c>
      <c r="D191" s="138" t="str">
        <f>HYPERLINK("https://drive.google.com/open?id=1iUtQKNl545xhvh7IjKcWTzz1vM_SpUF0","Vessey1985")</f>
        <v>Vessey1985</v>
      </c>
      <c r="E191" s="46" t="s">
        <v>4679</v>
      </c>
      <c r="F191" s="46" t="s">
        <v>4663</v>
      </c>
      <c r="G191" s="46">
        <v>1.0</v>
      </c>
      <c r="H191" s="189" t="s">
        <v>4686</v>
      </c>
      <c r="I191" s="162" t="s">
        <v>4686</v>
      </c>
      <c r="J191" s="241" t="s">
        <v>5111</v>
      </c>
      <c r="K191" s="46" t="s">
        <v>5112</v>
      </c>
    </row>
    <row r="192">
      <c r="B192" s="88" t="str">
        <f>HYPERLINK("https://drive.google.com/open?id=0B3oar8-GeP-IT0N2dFFNc2lKZ0U","Sinha2015")</f>
        <v>Sinha2015</v>
      </c>
      <c r="C192" s="140" t="s">
        <v>4673</v>
      </c>
      <c r="D192" s="140" t="s">
        <v>5113</v>
      </c>
      <c r="E192" s="140" t="s">
        <v>4726</v>
      </c>
      <c r="F192" s="140"/>
      <c r="G192" s="140">
        <v>1.0</v>
      </c>
      <c r="H192" s="201" t="s">
        <v>4686</v>
      </c>
      <c r="I192" s="257"/>
      <c r="J192" s="257" t="s">
        <v>5114</v>
      </c>
      <c r="K192" s="140" t="s">
        <v>5115</v>
      </c>
    </row>
    <row r="193">
      <c r="A193" s="60"/>
      <c r="B193" s="221" t="str">
        <f>HYPERLINK("https://drive.google.com/open?id=0B-nn5iJ29NJaejlIeGFIMG9VSXc","Kudo2003")</f>
        <v>Kudo2003</v>
      </c>
      <c r="C193" s="46" t="s">
        <v>124</v>
      </c>
      <c r="D193" s="46" t="s">
        <v>4624</v>
      </c>
      <c r="E193" s="254" t="s">
        <v>5108</v>
      </c>
      <c r="F193" s="46" t="s">
        <v>4670</v>
      </c>
      <c r="G193" s="46">
        <v>1.0</v>
      </c>
      <c r="H193" s="189" t="s">
        <v>4686</v>
      </c>
      <c r="I193" s="258" t="s">
        <v>4697</v>
      </c>
      <c r="J193" s="258" t="s">
        <v>5116</v>
      </c>
      <c r="K193" s="46" t="s">
        <v>5117</v>
      </c>
    </row>
    <row r="194">
      <c r="A194" s="60"/>
      <c r="B194" s="210" t="str">
        <f t="shared" ref="B194:B197" si="15">HYPERLINK("https://drive.google.com/open?id=0B00cIHsghs6UNDBNdEQ2VHdNanc","VonMayrhauser1997")</f>
        <v>VonMayrhauser1997</v>
      </c>
      <c r="C194" s="46" t="s">
        <v>88</v>
      </c>
      <c r="D194" s="46" t="s">
        <v>5118</v>
      </c>
      <c r="E194" s="46" t="s">
        <v>4663</v>
      </c>
      <c r="F194" s="46" t="s">
        <v>4663</v>
      </c>
      <c r="G194" s="46">
        <v>1.0</v>
      </c>
      <c r="H194" s="189" t="s">
        <v>4686</v>
      </c>
      <c r="I194" s="258" t="s">
        <v>4697</v>
      </c>
      <c r="J194" s="238" t="s">
        <v>5119</v>
      </c>
      <c r="K194" s="46" t="s">
        <v>5120</v>
      </c>
    </row>
    <row r="195">
      <c r="A195" s="60"/>
      <c r="B195" s="210" t="str">
        <f t="shared" si="15"/>
        <v>VonMayrhauser1997</v>
      </c>
      <c r="C195" s="46" t="s">
        <v>88</v>
      </c>
      <c r="D195" s="46" t="s">
        <v>5121</v>
      </c>
      <c r="E195" s="46" t="s">
        <v>4663</v>
      </c>
      <c r="F195" s="46" t="s">
        <v>4679</v>
      </c>
      <c r="G195" s="46">
        <v>1.0</v>
      </c>
      <c r="H195" s="189" t="s">
        <v>4686</v>
      </c>
      <c r="I195" s="258" t="s">
        <v>4697</v>
      </c>
      <c r="J195" s="238" t="s">
        <v>5122</v>
      </c>
      <c r="K195" s="46" t="s">
        <v>5123</v>
      </c>
    </row>
    <row r="196">
      <c r="A196" s="60"/>
      <c r="B196" s="210" t="str">
        <f t="shared" si="15"/>
        <v>VonMayrhauser1997</v>
      </c>
      <c r="C196" s="46" t="s">
        <v>88</v>
      </c>
      <c r="D196" s="46" t="s">
        <v>5124</v>
      </c>
      <c r="E196" s="46" t="s">
        <v>4663</v>
      </c>
      <c r="F196" s="46" t="s">
        <v>4663</v>
      </c>
      <c r="G196" s="46">
        <v>1.0</v>
      </c>
      <c r="H196" s="189" t="s">
        <v>4686</v>
      </c>
      <c r="I196" s="258" t="s">
        <v>4697</v>
      </c>
      <c r="J196" s="217" t="s">
        <v>5125</v>
      </c>
      <c r="K196" s="46" t="s">
        <v>5126</v>
      </c>
    </row>
    <row r="197">
      <c r="A197" s="60"/>
      <c r="B197" s="210" t="str">
        <f t="shared" si="15"/>
        <v>VonMayrhauser1997</v>
      </c>
      <c r="C197" s="46" t="s">
        <v>88</v>
      </c>
      <c r="D197" s="46" t="s">
        <v>5127</v>
      </c>
      <c r="E197" s="46" t="s">
        <v>4663</v>
      </c>
      <c r="F197" s="46" t="s">
        <v>4670</v>
      </c>
      <c r="G197" s="46">
        <v>1.0</v>
      </c>
      <c r="H197" s="189" t="s">
        <v>4686</v>
      </c>
      <c r="I197" s="258" t="s">
        <v>4697</v>
      </c>
      <c r="J197" s="241" t="s">
        <v>5128</v>
      </c>
      <c r="K197" s="46" t="s">
        <v>5129</v>
      </c>
    </row>
    <row r="198">
      <c r="B198" s="259" t="str">
        <f>HYPERLINK("https://drive.google.com/open?id=0B3oar8-GeP-IdTN1bmNaY2ZXTkE","Hadar2013")</f>
        <v>Hadar2013</v>
      </c>
      <c r="C198" s="244" t="s">
        <v>4673</v>
      </c>
      <c r="D198" s="244" t="s">
        <v>5130</v>
      </c>
      <c r="E198" s="236"/>
      <c r="F198" s="244"/>
      <c r="G198" s="244">
        <v>1.0</v>
      </c>
      <c r="H198" s="248"/>
      <c r="K198" s="244" t="s">
        <v>5131</v>
      </c>
    </row>
    <row r="199">
      <c r="A199" s="60"/>
      <c r="B199" s="210" t="str">
        <f t="shared" ref="B199:B203" si="16">HYPERLINK("https://drive.google.com/open?id=0B00cIHsghs6UNDBNdEQ2VHdNanc","VonMayrhauser1997")</f>
        <v>VonMayrhauser1997</v>
      </c>
      <c r="C199" s="46" t="s">
        <v>88</v>
      </c>
      <c r="D199" s="138" t="str">
        <f>HYPERLINK("https://drive.google.com/open?id=1qBfWIf6NF2EbEqPuF7iqxli5VPgD5zrw","vonMayrhauser1996a")</f>
        <v>vonMayrhauser1996a</v>
      </c>
      <c r="E199" s="46" t="s">
        <v>4663</v>
      </c>
      <c r="F199" s="46" t="s">
        <v>4663</v>
      </c>
      <c r="G199" s="46">
        <v>1.0</v>
      </c>
      <c r="H199" s="189" t="s">
        <v>4686</v>
      </c>
      <c r="I199" s="238" t="s">
        <v>4716</v>
      </c>
      <c r="J199" s="238" t="s">
        <v>5132</v>
      </c>
      <c r="K199" s="46" t="s">
        <v>5133</v>
      </c>
    </row>
    <row r="200">
      <c r="A200" s="60"/>
      <c r="B200" s="210" t="str">
        <f t="shared" si="16"/>
        <v>VonMayrhauser1997</v>
      </c>
      <c r="C200" s="46" t="s">
        <v>88</v>
      </c>
      <c r="D200" s="138" t="str">
        <f>HYPERLINK("https://drive.google.com/open?id=1PqDf-Q7T0XjMWbIH5DV0VAZWAs36sz4z","vonMayrhauser1996b")</f>
        <v>vonMayrhauser1996b</v>
      </c>
      <c r="E200" s="46" t="s">
        <v>4679</v>
      </c>
      <c r="F200" s="46" t="s">
        <v>4663</v>
      </c>
      <c r="G200" s="46">
        <v>1.0</v>
      </c>
      <c r="H200" s="189" t="s">
        <v>4686</v>
      </c>
      <c r="I200" s="238" t="s">
        <v>4716</v>
      </c>
      <c r="J200" s="238" t="s">
        <v>5134</v>
      </c>
      <c r="K200" s="46" t="s">
        <v>5135</v>
      </c>
    </row>
    <row r="201">
      <c r="A201" s="60"/>
      <c r="B201" s="210" t="str">
        <f t="shared" si="16"/>
        <v>VonMayrhauser1997</v>
      </c>
      <c r="C201" s="46" t="s">
        <v>88</v>
      </c>
      <c r="D201" s="138" t="str">
        <f>HYPERLINK("https://drive.google.com/open?id=1gWS2KFYPMz1l7HMp-rEPLNRYGJ61nmKg","vonMayrhauser1996c")</f>
        <v>vonMayrhauser1996c</v>
      </c>
      <c r="E201" s="46" t="s">
        <v>4663</v>
      </c>
      <c r="F201" s="46" t="s">
        <v>4663</v>
      </c>
      <c r="G201" s="46">
        <v>1.0</v>
      </c>
      <c r="H201" s="189" t="s">
        <v>4686</v>
      </c>
      <c r="I201" s="238" t="s">
        <v>4716</v>
      </c>
      <c r="J201" s="238" t="s">
        <v>5136</v>
      </c>
      <c r="K201" s="46" t="s">
        <v>5137</v>
      </c>
    </row>
    <row r="202">
      <c r="A202" s="60"/>
      <c r="B202" s="210" t="str">
        <f t="shared" si="16"/>
        <v>VonMayrhauser1997</v>
      </c>
      <c r="C202" s="46" t="s">
        <v>88</v>
      </c>
      <c r="D202" s="138" t="str">
        <f>HYPERLINK("https://drive.google.com/open?id=1lM288i6mVd-PiTawN33KaPd_mWHkzmBC","vonMayrhauser1997a")</f>
        <v>vonMayrhauser1997a</v>
      </c>
      <c r="E202" s="46" t="s">
        <v>4679</v>
      </c>
      <c r="F202" s="46" t="s">
        <v>4663</v>
      </c>
      <c r="G202" s="46">
        <v>1.0</v>
      </c>
      <c r="H202" s="189" t="s">
        <v>4686</v>
      </c>
      <c r="I202" s="238" t="s">
        <v>4716</v>
      </c>
      <c r="J202" s="238" t="s">
        <v>5138</v>
      </c>
      <c r="K202" s="46" t="s">
        <v>5139</v>
      </c>
    </row>
    <row r="203">
      <c r="A203" s="60"/>
      <c r="B203" s="210" t="str">
        <f t="shared" si="16"/>
        <v>VonMayrhauser1997</v>
      </c>
      <c r="C203" s="46" t="s">
        <v>88</v>
      </c>
      <c r="D203" s="138" t="str">
        <f>HYPERLINK("https://drive.google.com/open?id=1l3YccjdgI1kqFNob1XtK5owypHubY7ss","vonMayrhauser1997b")</f>
        <v>vonMayrhauser1997b</v>
      </c>
      <c r="E203" s="46" t="s">
        <v>4679</v>
      </c>
      <c r="F203" s="46" t="s">
        <v>4663</v>
      </c>
      <c r="G203" s="46">
        <v>1.0</v>
      </c>
      <c r="H203" s="189" t="s">
        <v>4686</v>
      </c>
      <c r="I203" s="238" t="s">
        <v>4716</v>
      </c>
      <c r="J203" s="238" t="s">
        <v>5140</v>
      </c>
      <c r="K203" s="46" t="s">
        <v>5141</v>
      </c>
    </row>
    <row r="204">
      <c r="A204" s="60"/>
      <c r="B204" s="88" t="str">
        <f>HYPERLINK("https://drive.google.com/open?id=0B1GMAYMj9v6rLXZRSWNiNk82Nms","Zayour2013")</f>
        <v>Zayour2013</v>
      </c>
      <c r="C204" s="46" t="s">
        <v>116</v>
      </c>
      <c r="D204" s="138" t="str">
        <f>HYPERLINK("https://drive.google.com/open?id=1FB2cq7915TYGDYJ0rfaiyu28Nf8cVrka","VonMayrhauser1998")</f>
        <v>VonMayrhauser1998</v>
      </c>
      <c r="E204" s="46" t="s">
        <v>4679</v>
      </c>
      <c r="F204" s="46" t="s">
        <v>4669</v>
      </c>
      <c r="G204" s="46">
        <v>1.0</v>
      </c>
      <c r="H204" s="189" t="s">
        <v>4686</v>
      </c>
      <c r="I204" s="238" t="s">
        <v>4665</v>
      </c>
      <c r="J204" s="238" t="s">
        <v>5142</v>
      </c>
      <c r="K204" s="46" t="s">
        <v>5143</v>
      </c>
    </row>
    <row r="205">
      <c r="A205" s="60"/>
      <c r="B205" s="210" t="str">
        <f>HYPERLINK("https://drive.google.com/open?id=0B00cIHsghs6UbHpZbkZ4T2h4cWs","Gauvin2004")</f>
        <v>Gauvin2004</v>
      </c>
      <c r="C205" s="46" t="s">
        <v>88</v>
      </c>
      <c r="D205" s="138" t="str">
        <f>HYPERLINK("https://drive.google.com/open?id=1zKva1T_6Dc4p766eg8qsvGI8EK-DQH_G","Walenstein2002")</f>
        <v>Walenstein2002</v>
      </c>
      <c r="E205" s="254" t="s">
        <v>4663</v>
      </c>
      <c r="F205" s="46" t="s">
        <v>5090</v>
      </c>
      <c r="G205" s="46">
        <v>1.0</v>
      </c>
      <c r="H205" s="189" t="s">
        <v>4686</v>
      </c>
      <c r="I205" s="238" t="s">
        <v>4665</v>
      </c>
      <c r="J205" s="46" t="s">
        <v>5144</v>
      </c>
      <c r="K205" s="46" t="s">
        <v>5145</v>
      </c>
    </row>
    <row r="206">
      <c r="A206" s="60"/>
      <c r="B206" s="221" t="str">
        <f>HYPERLINK("https://drive.google.com/open?id=0B-nn5iJ29NJab19vdWtRdENOcnc","Blackwell2002")</f>
        <v>Blackwell2002</v>
      </c>
      <c r="C206" s="46" t="s">
        <v>124</v>
      </c>
      <c r="D206" s="138" t="str">
        <f>HYPERLINK("https://drive.google.com/open?id=125eRNDJt3xVZhBFUffArtb4cB9YLVv8Q","Wallace2002")</f>
        <v>Wallace2002</v>
      </c>
      <c r="E206" s="46" t="s">
        <v>5146</v>
      </c>
      <c r="F206" s="46" t="s">
        <v>4669</v>
      </c>
      <c r="G206" s="46">
        <v>1.0</v>
      </c>
      <c r="H206" s="189" t="s">
        <v>4686</v>
      </c>
      <c r="I206" s="238" t="s">
        <v>4665</v>
      </c>
      <c r="J206" s="46" t="s">
        <v>5147</v>
      </c>
      <c r="K206" s="46" t="s">
        <v>5148</v>
      </c>
    </row>
    <row r="207">
      <c r="B207" s="116" t="str">
        <f>HYPERLINK("https://drive.google.com/open?id=0B-nn5iJ29NJabUROLUNvbE5BMUk","Sharif2016")</f>
        <v>Sharif2016</v>
      </c>
      <c r="C207" s="140" t="s">
        <v>124</v>
      </c>
      <c r="D207" s="140" t="s">
        <v>5149</v>
      </c>
      <c r="E207" s="140" t="s">
        <v>4669</v>
      </c>
      <c r="F207" s="140"/>
      <c r="G207" s="140">
        <v>1.0</v>
      </c>
      <c r="H207" s="201" t="s">
        <v>4686</v>
      </c>
      <c r="I207" s="140"/>
      <c r="J207" s="140" t="s">
        <v>5150</v>
      </c>
      <c r="K207" s="140" t="s">
        <v>5151</v>
      </c>
    </row>
    <row r="208">
      <c r="A208" s="60"/>
      <c r="B208" s="210" t="str">
        <f>HYPERLINK("https://drive.google.com/open?id=0B00cIHsghs6UVzRza2FWS3RmcWc","Aranda2010")</f>
        <v>Aranda2010</v>
      </c>
      <c r="C208" s="46" t="s">
        <v>88</v>
      </c>
      <c r="D208" s="138" t="str">
        <f>HYPERLINK("https://drive.google.com/open?id=11B80O5VGkowfxe7bDPihOvTp4OgPFsdd","Wang2002")</f>
        <v>Wang2002</v>
      </c>
      <c r="E208" s="46" t="s">
        <v>4663</v>
      </c>
      <c r="F208" s="46" t="s">
        <v>5152</v>
      </c>
      <c r="G208" s="46">
        <v>1.0</v>
      </c>
      <c r="H208" s="189" t="s">
        <v>4686</v>
      </c>
      <c r="I208" s="238" t="s">
        <v>4665</v>
      </c>
      <c r="J208" s="46" t="s">
        <v>5153</v>
      </c>
      <c r="K208" s="46" t="s">
        <v>5154</v>
      </c>
    </row>
    <row r="209">
      <c r="B209" s="88" t="str">
        <f>HYPERLINK("https://www.researchgate.net/profile/Senthilrajan_Moorthy/publication/224261850_Program_Comprehension_and_Implications_of_Human_Navigational_Approaches/links/542d96010cf29bbc126d4aa2.pdf","Moorthy2011")</f>
        <v>Moorthy2011</v>
      </c>
      <c r="C209" s="140" t="s">
        <v>4673</v>
      </c>
      <c r="D209" s="140" t="s">
        <v>5155</v>
      </c>
      <c r="E209" s="140" t="s">
        <v>4703</v>
      </c>
      <c r="F209" s="140"/>
      <c r="G209" s="140">
        <v>1.0</v>
      </c>
      <c r="H209" s="201" t="s">
        <v>4686</v>
      </c>
      <c r="I209" s="239"/>
      <c r="J209" s="239" t="s">
        <v>5156</v>
      </c>
      <c r="K209" s="140" t="s">
        <v>5157</v>
      </c>
    </row>
    <row r="210">
      <c r="B210" s="218" t="str">
        <f>HYPERLINK("https://drive.google.com/open?id=0B3oar8-GeP-INnBMUWhOdjE0ODQ","Austrem2011")</f>
        <v>Austrem2011</v>
      </c>
      <c r="C210" s="140" t="s">
        <v>4676</v>
      </c>
      <c r="D210" s="140" t="s">
        <v>5158</v>
      </c>
      <c r="E210" s="140" t="s">
        <v>5159</v>
      </c>
      <c r="F210" s="140"/>
      <c r="G210" s="140">
        <v>1.0</v>
      </c>
      <c r="H210" s="201" t="s">
        <v>4686</v>
      </c>
      <c r="I210" s="239"/>
      <c r="J210" s="239" t="s">
        <v>5160</v>
      </c>
      <c r="K210" s="140" t="s">
        <v>5161</v>
      </c>
    </row>
    <row r="211">
      <c r="B211" s="88" t="str">
        <f>HYPERLINK("https://www.researchgate.net/profile/Senthilrajan_Moorthy/publication/224261850_Program_Comprehension_and_Implications_of_Human_Navigational_Approaches/links/542d96010cf29bbc126d4aa2.pdf","Moorthy2011")</f>
        <v>Moorthy2011</v>
      </c>
      <c r="C211" s="140" t="s">
        <v>4673</v>
      </c>
      <c r="D211" s="140" t="s">
        <v>5162</v>
      </c>
      <c r="E211" s="140" t="s">
        <v>4703</v>
      </c>
      <c r="F211" s="140"/>
      <c r="G211" s="140">
        <v>1.0</v>
      </c>
      <c r="H211" s="201" t="s">
        <v>4686</v>
      </c>
      <c r="I211" s="239"/>
      <c r="J211" s="239" t="s">
        <v>5163</v>
      </c>
      <c r="K211" s="140" t="s">
        <v>5164</v>
      </c>
    </row>
    <row r="212">
      <c r="A212" s="60"/>
      <c r="B212" s="88" t="str">
        <f>HYPERLINK("https://drive.google.com/open?id=0B1GMAYMj9v6ra3ZOUEtKcU9zS28","Aranda2006b")</f>
        <v>Aranda2006b</v>
      </c>
      <c r="C212" s="46" t="s">
        <v>116</v>
      </c>
      <c r="D212" s="138" t="str">
        <f>HYPERLINK("https://drive.google.com/open?id=1ykJR2qwRTh-s1jgf2XQgHEuyHYQp3WTX","Wang2004")</f>
        <v>Wang2004</v>
      </c>
      <c r="E212" s="46" t="s">
        <v>4663</v>
      </c>
      <c r="F212" s="46" t="s">
        <v>5152</v>
      </c>
      <c r="G212" s="46">
        <v>1.0</v>
      </c>
      <c r="H212" s="189" t="s">
        <v>4686</v>
      </c>
      <c r="I212" s="238" t="s">
        <v>4665</v>
      </c>
      <c r="J212" s="238" t="s">
        <v>5165</v>
      </c>
      <c r="K212" s="46" t="s">
        <v>5166</v>
      </c>
    </row>
    <row r="213">
      <c r="A213" s="60"/>
      <c r="B213" s="221" t="str">
        <f t="shared" ref="B213:B214" si="17">HYPERLINK("https://drive.google.com/open?id=0B-nn5iJ29NJaNWZ0YlZkdElhcDA","Teasley1994")</f>
        <v>Teasley1994</v>
      </c>
      <c r="C213" s="46" t="s">
        <v>124</v>
      </c>
      <c r="D213" s="138" t="str">
        <f>HYPERLINK("https://drive.google.com/open?id=1UPKh9g6W_YTNpHdP9lTJ2ViyYkqxITqp","Weidenbeck1986")</f>
        <v>Weidenbeck1986</v>
      </c>
      <c r="E213" s="46" t="s">
        <v>5167</v>
      </c>
      <c r="F213" s="46" t="s">
        <v>4663</v>
      </c>
      <c r="G213" s="46">
        <v>1.0</v>
      </c>
      <c r="H213" s="189" t="s">
        <v>4686</v>
      </c>
      <c r="I213" s="241" t="s">
        <v>4686</v>
      </c>
      <c r="J213" s="241" t="s">
        <v>5168</v>
      </c>
      <c r="K213" s="46" t="s">
        <v>5169</v>
      </c>
    </row>
    <row r="214">
      <c r="A214" s="60"/>
      <c r="B214" s="221" t="str">
        <f t="shared" si="17"/>
        <v>Teasley1994</v>
      </c>
      <c r="C214" s="46" t="s">
        <v>124</v>
      </c>
      <c r="D214" s="138" t="str">
        <f>HYPERLINK("https://drive.google.com/open?id=1taG4GbpAlVxV5OupUBF889K4Gh75rSgA","Weidenbeck1991")</f>
        <v>Weidenbeck1991</v>
      </c>
      <c r="E214" s="46" t="s">
        <v>4663</v>
      </c>
      <c r="F214" s="46" t="s">
        <v>4663</v>
      </c>
      <c r="G214" s="46">
        <v>1.0</v>
      </c>
      <c r="H214" s="189" t="s">
        <v>4686</v>
      </c>
      <c r="I214" s="241" t="s">
        <v>4686</v>
      </c>
      <c r="J214" s="241" t="s">
        <v>5170</v>
      </c>
      <c r="K214" s="46" t="s">
        <v>5171</v>
      </c>
    </row>
    <row r="215">
      <c r="A215" s="60"/>
      <c r="B215" s="88" t="str">
        <f>HYPERLINK("https://drive.google.com/open?id=0B1GMAYMj9v6rdTZxdU9CSElObzA","Piri2012")</f>
        <v>Piri2012</v>
      </c>
      <c r="C215" s="46" t="s">
        <v>116</v>
      </c>
      <c r="D215" s="46" t="s">
        <v>5172</v>
      </c>
      <c r="E215" s="46" t="s">
        <v>4679</v>
      </c>
      <c r="F215" s="46" t="s">
        <v>4670</v>
      </c>
      <c r="G215" s="46">
        <v>1.0</v>
      </c>
      <c r="H215" s="189" t="s">
        <v>4686</v>
      </c>
      <c r="I215" s="241" t="s">
        <v>4686</v>
      </c>
      <c r="J215" s="230"/>
      <c r="K215" s="46" t="s">
        <v>5173</v>
      </c>
    </row>
    <row r="216">
      <c r="A216" s="60"/>
      <c r="B216" s="210" t="str">
        <f>HYPERLINK("https://drive.google.com/open?id=0B3oar8-GeP-IT29tMXpHQWtKQnc","Agarwal1999")</f>
        <v>Agarwal1999</v>
      </c>
      <c r="C216" s="46" t="s">
        <v>4676</v>
      </c>
      <c r="D216" s="138" t="str">
        <f>HYPERLINK("https://drive.google.com/open?id=1QaR_VNIg4cEN7qkGqgO7VCHqwEFtgZxZ","Welty1981")</f>
        <v>Welty1981</v>
      </c>
      <c r="E216" s="46" t="s">
        <v>5167</v>
      </c>
      <c r="F216" s="46" t="s">
        <v>4663</v>
      </c>
      <c r="G216" s="46">
        <v>1.0</v>
      </c>
      <c r="H216" s="189" t="s">
        <v>4686</v>
      </c>
      <c r="I216" s="241" t="s">
        <v>4686</v>
      </c>
      <c r="J216" s="240" t="s">
        <v>5174</v>
      </c>
      <c r="K216" s="46" t="s">
        <v>5175</v>
      </c>
    </row>
    <row r="217">
      <c r="A217" s="60"/>
      <c r="B217" s="260" t="str">
        <f>HYPERLINK("https://drive.google.com/open?id=0B-nn5iJ29NJadGxUc194anNTNjA","Rieman1995")</f>
        <v>Rieman1995</v>
      </c>
      <c r="C217" s="46" t="s">
        <v>124</v>
      </c>
      <c r="D217" s="138" t="str">
        <f>HYPERLINK("https://drive.google.com/open?id=1CDq5caygS5RK64-BvTDxfbO51qhspKpi","Whatton1992")</f>
        <v>Whatton1992</v>
      </c>
      <c r="E217" s="46" t="s">
        <v>4663</v>
      </c>
      <c r="F217" s="46" t="s">
        <v>4663</v>
      </c>
      <c r="G217" s="46">
        <v>1.0</v>
      </c>
      <c r="H217" s="189" t="s">
        <v>4686</v>
      </c>
      <c r="I217" s="241" t="s">
        <v>4686</v>
      </c>
      <c r="J217" s="240" t="s">
        <v>5176</v>
      </c>
      <c r="K217" s="46" t="s">
        <v>5177</v>
      </c>
    </row>
    <row r="218">
      <c r="A218" s="60"/>
      <c r="B218" s="88" t="str">
        <f t="shared" ref="B218:B219" si="18">HYPERLINK("https://drive.google.com/open?id=0B1GMAYMj9v6rZGVNMkVUUEoyZEE","White2005")</f>
        <v>White2005</v>
      </c>
      <c r="C218" s="46" t="s">
        <v>116</v>
      </c>
      <c r="D218" s="46" t="s">
        <v>5178</v>
      </c>
      <c r="E218" s="46" t="s">
        <v>4663</v>
      </c>
      <c r="F218" s="46" t="s">
        <v>4670</v>
      </c>
      <c r="G218" s="46">
        <v>1.0</v>
      </c>
      <c r="H218" s="189" t="s">
        <v>4686</v>
      </c>
      <c r="I218" s="250" t="s">
        <v>4697</v>
      </c>
      <c r="J218" s="250" t="s">
        <v>5179</v>
      </c>
      <c r="K218" s="46" t="s">
        <v>5180</v>
      </c>
    </row>
    <row r="219">
      <c r="B219" s="88" t="str">
        <f t="shared" si="18"/>
        <v>White2005</v>
      </c>
      <c r="C219" s="140" t="s">
        <v>116</v>
      </c>
      <c r="D219" s="140" t="s">
        <v>5181</v>
      </c>
      <c r="E219" s="140" t="s">
        <v>4726</v>
      </c>
      <c r="F219" s="140"/>
      <c r="G219" s="140">
        <v>1.0</v>
      </c>
      <c r="H219" s="201" t="s">
        <v>4686</v>
      </c>
      <c r="I219" s="261"/>
      <c r="J219" s="261" t="s">
        <v>5182</v>
      </c>
      <c r="K219" s="140" t="s">
        <v>5183</v>
      </c>
    </row>
    <row r="220">
      <c r="A220" s="60"/>
      <c r="B220" s="210" t="str">
        <f>HYPERLINK("https://drive.google.com/open?id=0B3oar8-GeP-IbHFVZjN2TUhKbms","Xu2010")</f>
        <v>Xu2010</v>
      </c>
      <c r="C220" s="46" t="s">
        <v>4676</v>
      </c>
      <c r="D220" s="46" t="s">
        <v>5184</v>
      </c>
      <c r="E220" s="46" t="s">
        <v>4663</v>
      </c>
      <c r="F220" s="46" t="s">
        <v>4663</v>
      </c>
      <c r="G220" s="46">
        <v>1.0</v>
      </c>
      <c r="H220" s="189" t="s">
        <v>4686</v>
      </c>
      <c r="I220" s="250" t="s">
        <v>4697</v>
      </c>
      <c r="J220" s="241" t="s">
        <v>5185</v>
      </c>
      <c r="K220" s="46" t="s">
        <v>5186</v>
      </c>
    </row>
    <row r="221">
      <c r="A221" s="60"/>
      <c r="B221" s="210" t="str">
        <f>HYPERLINK("https://drive.google.com/open?id=0B00cIHsghs6UMjhMNklGS1JNREE","Storrle2016")</f>
        <v>Storrle2016</v>
      </c>
      <c r="C221" s="46" t="s">
        <v>88</v>
      </c>
      <c r="D221" s="46" t="s">
        <v>5187</v>
      </c>
      <c r="E221" s="46" t="s">
        <v>4679</v>
      </c>
      <c r="F221" s="46" t="s">
        <v>4663</v>
      </c>
      <c r="G221" s="46">
        <v>1.0</v>
      </c>
      <c r="H221" s="189" t="s">
        <v>4686</v>
      </c>
      <c r="I221" s="250" t="s">
        <v>4697</v>
      </c>
      <c r="J221" s="251" t="s">
        <v>5188</v>
      </c>
      <c r="K221" s="46" t="s">
        <v>5189</v>
      </c>
    </row>
    <row r="222">
      <c r="A222" s="60"/>
      <c r="B222" s="88" t="str">
        <f>HYPERLINK("https://drive.google.com/open?id=0B1GMAYMj9v6rUTB5eU43TDVMVGc","Leveson2000")</f>
        <v>Leveson2000</v>
      </c>
      <c r="C222" s="46" t="s">
        <v>4673</v>
      </c>
      <c r="D222" s="46" t="s">
        <v>5190</v>
      </c>
      <c r="E222" s="254" t="s">
        <v>4679</v>
      </c>
      <c r="F222" s="46" t="s">
        <v>4670</v>
      </c>
      <c r="G222" s="46">
        <v>1.0</v>
      </c>
      <c r="H222" s="189" t="s">
        <v>4686</v>
      </c>
      <c r="I222" s="250" t="s">
        <v>4697</v>
      </c>
      <c r="J222" s="235"/>
      <c r="K222" s="46" t="s">
        <v>5191</v>
      </c>
    </row>
    <row r="223">
      <c r="A223" s="60"/>
      <c r="B223" s="210" t="str">
        <f t="shared" ref="B223:B224" si="19">HYPERLINK("https://drive.google.com/open?id=0B3oar8-GeP-IbHFVZjN2TUhKbms","Xu2010")</f>
        <v>Xu2010</v>
      </c>
      <c r="C223" s="46" t="s">
        <v>4676</v>
      </c>
      <c r="D223" s="46" t="s">
        <v>5192</v>
      </c>
      <c r="E223" s="46" t="s">
        <v>4663</v>
      </c>
      <c r="F223" s="46" t="s">
        <v>4670</v>
      </c>
      <c r="G223" s="46">
        <v>1.0</v>
      </c>
      <c r="H223" s="189" t="s">
        <v>4686</v>
      </c>
      <c r="I223" s="250" t="s">
        <v>4697</v>
      </c>
      <c r="J223" s="238" t="s">
        <v>5193</v>
      </c>
      <c r="K223" s="46" t="s">
        <v>5194</v>
      </c>
    </row>
    <row r="224">
      <c r="A224" s="60"/>
      <c r="B224" s="210" t="str">
        <f t="shared" si="19"/>
        <v>Xu2010</v>
      </c>
      <c r="C224" s="46" t="s">
        <v>4676</v>
      </c>
      <c r="D224" s="46" t="s">
        <v>5195</v>
      </c>
      <c r="E224" s="46" t="s">
        <v>5039</v>
      </c>
      <c r="F224" s="46" t="s">
        <v>4670</v>
      </c>
      <c r="G224" s="46">
        <v>1.0</v>
      </c>
      <c r="H224" s="189" t="s">
        <v>4686</v>
      </c>
      <c r="I224" s="250" t="s">
        <v>4716</v>
      </c>
      <c r="J224" s="250" t="s">
        <v>5196</v>
      </c>
      <c r="K224" s="46" t="s">
        <v>5197</v>
      </c>
    </row>
    <row r="225">
      <c r="A225" s="60"/>
      <c r="B225" s="88" t="str">
        <f>HYPERLINK("https://drive.google.com/open?id=0B3oar8-GeP-IdTN1bmNaY2ZXTkE","Hadar2013")</f>
        <v>Hadar2013</v>
      </c>
      <c r="C225" s="46" t="s">
        <v>4673</v>
      </c>
      <c r="D225" s="46" t="s">
        <v>5198</v>
      </c>
      <c r="E225" s="46" t="s">
        <v>4679</v>
      </c>
      <c r="F225" s="46" t="s">
        <v>4670</v>
      </c>
      <c r="G225" s="46">
        <v>1.0</v>
      </c>
      <c r="H225" s="189" t="s">
        <v>4686</v>
      </c>
      <c r="I225" s="250" t="s">
        <v>4716</v>
      </c>
      <c r="J225" s="241" t="s">
        <v>5199</v>
      </c>
      <c r="K225" s="46" t="s">
        <v>5200</v>
      </c>
    </row>
    <row r="226">
      <c r="A226" s="60"/>
      <c r="B226" s="210" t="str">
        <f>HYPERLINK("https://drive.google.com/open?id=0B00cIHsghs6UMjhMNklGS1JNREE","Storrle2016")</f>
        <v>Storrle2016</v>
      </c>
      <c r="C226" s="46" t="s">
        <v>88</v>
      </c>
      <c r="D226" s="138" t="str">
        <f>HYPERLINK("https://drive.google.com/open?id=19su574uGkFt0od3POC4PFongwP80oqAv","Yusuf2007")</f>
        <v>Yusuf2007</v>
      </c>
      <c r="E226" s="46" t="s">
        <v>4663</v>
      </c>
      <c r="F226" s="46" t="s">
        <v>4663</v>
      </c>
      <c r="G226" s="46">
        <v>1.0</v>
      </c>
      <c r="H226" s="189" t="s">
        <v>4686</v>
      </c>
      <c r="I226" s="250" t="s">
        <v>4716</v>
      </c>
      <c r="J226" s="238" t="s">
        <v>5201</v>
      </c>
      <c r="K226" s="46" t="s">
        <v>5202</v>
      </c>
    </row>
    <row r="227">
      <c r="A227" s="60"/>
      <c r="B227" s="221" t="str">
        <f>HYPERLINK("https://drive.google.com/open?id=0B-nn5iJ29NJaTEhsUWFZZ19QbW8","Hyysalo2013")</f>
        <v>Hyysalo2013</v>
      </c>
      <c r="C227" s="46" t="s">
        <v>124</v>
      </c>
      <c r="D227" s="138" t="str">
        <f>HYPERLINK("https://drive.google.com/open?id=1q1BGIo6YzI8f6kEKYd1vQK_6mWmFZtbG","Zhuge1997")</f>
        <v>Zhuge1997</v>
      </c>
      <c r="E227" s="46" t="s">
        <v>4663</v>
      </c>
      <c r="F227" s="46" t="s">
        <v>4663</v>
      </c>
      <c r="G227" s="46">
        <v>1.0</v>
      </c>
      <c r="H227" s="189" t="s">
        <v>4686</v>
      </c>
      <c r="I227" s="250" t="s">
        <v>4716</v>
      </c>
      <c r="J227" s="241" t="s">
        <v>5203</v>
      </c>
      <c r="K227" s="46" t="s">
        <v>5204</v>
      </c>
    </row>
    <row r="228">
      <c r="A228" s="60"/>
      <c r="B228" s="88" t="str">
        <f>HYPERLINK("https://drive.google.com/open?id=0B1GMAYMj9v6rdTZxdU9CSElObzA","Piri2012")</f>
        <v>Piri2012</v>
      </c>
      <c r="C228" s="46" t="s">
        <v>116</v>
      </c>
      <c r="D228" s="138" t="str">
        <f>HYPERLINK("https://drive.google.com/open?id=1oDSryRWIMcDT_zE2rayrYOZhVBGuwoMp","Zhuge2003")</f>
        <v>Zhuge2003</v>
      </c>
      <c r="E228" s="46" t="s">
        <v>4663</v>
      </c>
      <c r="F228" s="46" t="s">
        <v>4663</v>
      </c>
      <c r="G228" s="46">
        <v>1.0</v>
      </c>
      <c r="H228" s="189" t="s">
        <v>4686</v>
      </c>
      <c r="I228" s="250" t="s">
        <v>4716</v>
      </c>
      <c r="J228" s="241" t="s">
        <v>5205</v>
      </c>
      <c r="K228" s="46" t="s">
        <v>5206</v>
      </c>
    </row>
    <row r="229">
      <c r="B229" s="218" t="str">
        <f>HYPERLINK("https://drive.google.com/open?id=0B00cIHsghs6UM1FBdzFnS0R4d2c","Aranda2005")</f>
        <v>Aranda2005</v>
      </c>
      <c r="C229" s="140" t="s">
        <v>88</v>
      </c>
      <c r="F229" s="140"/>
      <c r="G229" s="140">
        <v>1.0</v>
      </c>
      <c r="H229" s="201"/>
      <c r="I229" s="211"/>
      <c r="J229" s="211"/>
      <c r="K229" s="140" t="s">
        <v>5207</v>
      </c>
    </row>
    <row r="230">
      <c r="B230" s="88" t="str">
        <f>HYPERLINK("https://drive.google.com/open?id=0B3oar8-GeP-INTRJMWxsS1AxQnM","Ballis2008")</f>
        <v>Ballis2008</v>
      </c>
      <c r="C230" s="140" t="s">
        <v>4673</v>
      </c>
      <c r="F230" s="140"/>
      <c r="G230" s="140">
        <v>1.0</v>
      </c>
      <c r="H230" s="201"/>
      <c r="I230" s="211"/>
      <c r="J230" s="211"/>
      <c r="K230" s="140" t="s">
        <v>5207</v>
      </c>
    </row>
    <row r="231">
      <c r="B231" s="88" t="str">
        <f>HYPERLINK("https://drive.google.com/open?id=0B1GMAYMj9v6rSnFQdjVMX25kcEk","Belk2013")</f>
        <v>Belk2013</v>
      </c>
      <c r="C231" s="140" t="s">
        <v>116</v>
      </c>
      <c r="F231" s="140"/>
      <c r="G231" s="140">
        <v>1.0</v>
      </c>
      <c r="H231" s="201"/>
      <c r="I231" s="211"/>
      <c r="J231" s="211"/>
      <c r="K231" s="140" t="s">
        <v>5207</v>
      </c>
    </row>
    <row r="232">
      <c r="B232" s="218" t="str">
        <f>HYPERLINK("https://drive.google.com/open?id=0B00cIHsghs6US0hPVC04N1ZSdUk","Briggs2002")</f>
        <v>Briggs2002</v>
      </c>
      <c r="C232" s="140" t="s">
        <v>88</v>
      </c>
      <c r="F232" s="140"/>
      <c r="G232" s="140">
        <v>1.0</v>
      </c>
      <c r="H232" s="201"/>
      <c r="I232" s="211"/>
      <c r="J232" s="211"/>
      <c r="K232" s="140" t="s">
        <v>5207</v>
      </c>
    </row>
    <row r="233">
      <c r="B233" s="218" t="str">
        <f>HYPERLINK("https://drive.google.com/open?id=0B00cIHsghs6US29kUUxuaGVXS1k","Calikli2010")</f>
        <v>Calikli2010</v>
      </c>
      <c r="C233" s="140" t="s">
        <v>88</v>
      </c>
      <c r="F233" s="140"/>
      <c r="G233" s="140">
        <v>1.0</v>
      </c>
      <c r="H233" s="201"/>
      <c r="I233" s="211"/>
      <c r="J233" s="211"/>
      <c r="K233" s="140" t="s">
        <v>5207</v>
      </c>
    </row>
    <row r="234">
      <c r="B234" s="88" t="str">
        <f>HYPERLINK("https://drive.google.com/open?id=0B1GMAYMj9v6rb0V4TEo3VzJaRmc","Chou2011")</f>
        <v>Chou2011</v>
      </c>
      <c r="C234" s="140" t="s">
        <v>116</v>
      </c>
      <c r="F234" s="140"/>
      <c r="G234" s="140">
        <v>1.0</v>
      </c>
      <c r="H234" s="201"/>
      <c r="I234" s="211"/>
      <c r="J234" s="211"/>
      <c r="K234" s="140" t="s">
        <v>5207</v>
      </c>
    </row>
    <row r="235">
      <c r="B235" s="218" t="str">
        <f>HYPERLINK("https://drive.google.com/open?id=0B00cIHsghs6UamxiYTNDOGh4Mms","Dey2015")</f>
        <v>Dey2015</v>
      </c>
      <c r="C235" s="140" t="s">
        <v>88</v>
      </c>
      <c r="F235" s="140"/>
      <c r="G235" s="140">
        <v>1.0</v>
      </c>
      <c r="H235" s="201"/>
      <c r="I235" s="211"/>
      <c r="J235" s="211"/>
      <c r="K235" s="140" t="s">
        <v>5207</v>
      </c>
    </row>
    <row r="236">
      <c r="B236" s="88" t="str">
        <f>HYPERLINK("https://drive.google.com/open?id=0B1GMAYMj9v6rY3U1Z1ZTdjdLaU0","Duseau2012")</f>
        <v>Duseau2012</v>
      </c>
      <c r="C236" s="140" t="s">
        <v>116</v>
      </c>
      <c r="F236" s="140"/>
      <c r="G236" s="140">
        <v>1.0</v>
      </c>
      <c r="H236" s="201"/>
      <c r="I236" s="211"/>
      <c r="J236" s="211"/>
      <c r="K236" s="140" t="s">
        <v>5207</v>
      </c>
    </row>
    <row r="237">
      <c r="B237" s="218" t="str">
        <f>HYPERLINK("https://drive.google.com/open?id=0B00cIHsghs6UQ1hwWlRublR6MTg","Hofman2010")</f>
        <v>Hofman2010</v>
      </c>
      <c r="C237" s="140" t="s">
        <v>88</v>
      </c>
      <c r="E237" s="140" t="s">
        <v>5207</v>
      </c>
      <c r="F237" s="140"/>
      <c r="G237" s="140">
        <v>1.0</v>
      </c>
      <c r="H237" s="201"/>
      <c r="I237" s="211"/>
      <c r="J237" s="211"/>
      <c r="K237" s="140" t="s">
        <v>5207</v>
      </c>
    </row>
    <row r="238">
      <c r="B238" s="218" t="str">
        <f>HYPERLINK("https://drive.google.com/open?id=0B00cIHsghs6USGI2S0FZQXluQnc","Hofman2011")</f>
        <v>Hofman2011</v>
      </c>
      <c r="C238" s="140" t="s">
        <v>88</v>
      </c>
      <c r="F238" s="140"/>
      <c r="G238" s="140">
        <v>1.0</v>
      </c>
      <c r="H238" s="201"/>
      <c r="I238" s="211"/>
      <c r="J238" s="211"/>
      <c r="K238" s="140" t="s">
        <v>5207</v>
      </c>
    </row>
    <row r="239">
      <c r="B239" s="218" t="str">
        <f>HYPERLINK("https://drive.google.com/open?id=0B00cIHsghs6UT1VJTWwwSTZlcjQ","Kjærgaard2007")</f>
        <v>Kjærgaard2007</v>
      </c>
      <c r="C239" s="140" t="s">
        <v>88</v>
      </c>
      <c r="F239" s="140"/>
      <c r="G239" s="140">
        <v>1.0</v>
      </c>
      <c r="H239" s="201"/>
      <c r="I239" s="211"/>
      <c r="J239" s="211"/>
      <c r="K239" s="140" t="s">
        <v>5207</v>
      </c>
    </row>
    <row r="240">
      <c r="B240" s="154" t="str">
        <f>HYPERLINK("https://drive.google.com/open?id=0B1GMAYMj9v6rMXR6dVNGYW9QTVk","Ley2008")</f>
        <v>Ley2008</v>
      </c>
      <c r="C240" s="140" t="s">
        <v>116</v>
      </c>
      <c r="D240" s="140"/>
      <c r="E240" s="140"/>
      <c r="F240" s="140"/>
      <c r="G240" s="140">
        <v>1.0</v>
      </c>
      <c r="H240" s="201"/>
      <c r="I240" s="211"/>
      <c r="J240" s="211"/>
      <c r="K240" s="140" t="s">
        <v>5207</v>
      </c>
    </row>
    <row r="241">
      <c r="B241" s="218" t="str">
        <f>HYPERLINK("https://drive.google.com/open?id=0B00cIHsghs6URHMwUUhRekhaOE0","Moe2008")</f>
        <v>Moe2008</v>
      </c>
      <c r="C241" s="140" t="s">
        <v>88</v>
      </c>
      <c r="E241" s="140" t="s">
        <v>5207</v>
      </c>
      <c r="F241" s="140"/>
      <c r="G241" s="140">
        <v>1.0</v>
      </c>
      <c r="H241" s="201"/>
      <c r="I241" s="211"/>
      <c r="J241" s="211"/>
      <c r="K241" s="140" t="s">
        <v>5207</v>
      </c>
    </row>
    <row r="242">
      <c r="B242" s="88" t="str">
        <f>HYPERLINK("https://drive.google.com/open?id=0B1GMAYMj9v6rQ2FRY0REYVFHQ1E","Mohan2008")</f>
        <v>Mohan2008</v>
      </c>
      <c r="C242" s="140" t="s">
        <v>116</v>
      </c>
      <c r="F242" s="140"/>
      <c r="G242" s="140">
        <v>1.0</v>
      </c>
      <c r="H242" s="201"/>
      <c r="I242" s="211"/>
      <c r="J242" s="211"/>
      <c r="K242" s="140" t="s">
        <v>5207</v>
      </c>
    </row>
    <row r="243">
      <c r="B243" s="218" t="str">
        <f>HYPERLINK("https://drive.google.com/open?id=0B00cIHsghs6UYVVPRThpQk5GSjQ","Morris2015")</f>
        <v>Morris2015</v>
      </c>
      <c r="C243" s="140" t="s">
        <v>88</v>
      </c>
      <c r="F243" s="140"/>
      <c r="G243" s="140">
        <v>1.0</v>
      </c>
      <c r="H243" s="201"/>
      <c r="I243" s="211"/>
      <c r="J243" s="211"/>
      <c r="K243" s="140" t="s">
        <v>5207</v>
      </c>
    </row>
    <row r="244">
      <c r="B244" s="218" t="str">
        <f>HYPERLINK("https://drive.google.com/open?id=0B00cIHsghs6USUNMRXIwMWdLaHc","Mustafa2010")</f>
        <v>Mustafa2010</v>
      </c>
      <c r="C244" s="140" t="s">
        <v>88</v>
      </c>
      <c r="F244" s="140"/>
      <c r="G244" s="140">
        <v>1.0</v>
      </c>
      <c r="H244" s="201"/>
      <c r="I244" s="211"/>
      <c r="J244" s="211"/>
      <c r="K244" s="140" t="s">
        <v>5207</v>
      </c>
    </row>
    <row r="245">
      <c r="B245" s="88" t="str">
        <f>HYPERLINK("https://drive.google.com/open?id=0B1GMAYMj9v6reUtQU0ZFWDNOMUk","Parviainen2014")</f>
        <v>Parviainen2014</v>
      </c>
      <c r="C245" s="140" t="s">
        <v>116</v>
      </c>
      <c r="F245" s="140"/>
      <c r="G245" s="140">
        <v>1.0</v>
      </c>
      <c r="H245" s="201"/>
      <c r="I245" s="211"/>
      <c r="J245" s="211"/>
      <c r="K245" s="140" t="s">
        <v>5207</v>
      </c>
    </row>
    <row r="246">
      <c r="B246" s="218" t="str">
        <f>HYPERLINK("https://drive.google.com/open?id=0B00cIHsghs6UaXhwRXYzemh3SEk","Peng2011")</f>
        <v>Peng2011</v>
      </c>
      <c r="C246" s="140" t="s">
        <v>88</v>
      </c>
      <c r="F246" s="140"/>
      <c r="G246" s="140">
        <v>1.0</v>
      </c>
      <c r="H246" s="201"/>
      <c r="I246" s="211"/>
      <c r="J246" s="211"/>
      <c r="K246" s="140" t="s">
        <v>5207</v>
      </c>
    </row>
    <row r="247">
      <c r="B247" s="88" t="str">
        <f>HYPERLINK("https://drive.google.com/open?id=0B1GMAYMj9v6rWEhaTFdjaXFrajA","Read2011")</f>
        <v>Read2011</v>
      </c>
      <c r="C247" s="140" t="s">
        <v>116</v>
      </c>
      <c r="D247" s="140"/>
      <c r="F247" s="140"/>
      <c r="G247" s="140">
        <v>1.0</v>
      </c>
      <c r="H247" s="201"/>
      <c r="I247" s="211"/>
      <c r="J247" s="211"/>
      <c r="K247" s="140" t="s">
        <v>5207</v>
      </c>
    </row>
    <row r="248">
      <c r="B248" s="88" t="str">
        <f>HYPERLINK("https://drive.google.com/open?id=0B1GMAYMj9v6rRUFVTUlUbjBpMlU","Shull2013")</f>
        <v>Shull2013</v>
      </c>
      <c r="C248" s="140" t="s">
        <v>116</v>
      </c>
      <c r="F248" s="140"/>
      <c r="G248" s="140">
        <v>1.0</v>
      </c>
      <c r="H248" s="201"/>
      <c r="I248" s="211"/>
      <c r="J248" s="211"/>
      <c r="K248" s="140" t="s">
        <v>5207</v>
      </c>
    </row>
    <row r="249">
      <c r="B249" s="88" t="str">
        <f>HYPERLINK("https://drive.google.com/open?id=0B1GMAYMj9v6rMS1DZGlCNXV1VTQ","Urbach2010")</f>
        <v>Urbach2010</v>
      </c>
      <c r="C249" s="140" t="s">
        <v>116</v>
      </c>
      <c r="F249" s="140"/>
      <c r="G249" s="140">
        <v>1.0</v>
      </c>
      <c r="H249" s="201"/>
      <c r="I249" s="211"/>
      <c r="J249" s="211"/>
      <c r="K249" s="140" t="s">
        <v>5207</v>
      </c>
    </row>
    <row r="250">
      <c r="B250" s="88" t="str">
        <f>HYPERLINK("https://drive.google.com/open?id=0B1GMAYMj9v6rV2hrT0I1ZDFFQVk","Walia2013")</f>
        <v>Walia2013</v>
      </c>
      <c r="C250" s="140" t="s">
        <v>116</v>
      </c>
      <c r="F250" s="140"/>
      <c r="G250" s="140">
        <v>1.0</v>
      </c>
      <c r="H250" s="201"/>
      <c r="I250" s="211"/>
      <c r="J250" s="211"/>
      <c r="K250" s="140" t="s">
        <v>5207</v>
      </c>
    </row>
    <row r="251">
      <c r="B251" s="88" t="str">
        <f>HYPERLINK("https://drive.google.com/open?id=0B1GMAYMj9v6rc2xFZ3JoU1J5czg","Wein1992")</f>
        <v>Wein1992</v>
      </c>
      <c r="C251" s="140" t="s">
        <v>116</v>
      </c>
      <c r="F251" s="140"/>
      <c r="G251" s="140">
        <v>1.0</v>
      </c>
      <c r="H251" s="201"/>
      <c r="I251" s="211"/>
      <c r="J251" s="211"/>
      <c r="K251" s="140" t="s">
        <v>5207</v>
      </c>
    </row>
    <row r="252">
      <c r="B252" s="218" t="str">
        <f>HYPERLINK("https://drive.google.com/open?id=0B00cIHsghs6UTU5GSzlmQzlCQUk","Yang1996")</f>
        <v>Yang1996</v>
      </c>
      <c r="C252" s="140" t="s">
        <v>88</v>
      </c>
      <c r="F252" s="140"/>
      <c r="G252" s="140">
        <v>1.0</v>
      </c>
      <c r="H252" s="201"/>
      <c r="I252" s="211"/>
      <c r="J252" s="211"/>
      <c r="K252" s="140" t="s">
        <v>5207</v>
      </c>
    </row>
    <row r="253">
      <c r="B253" s="218" t="str">
        <f>HYPERLINK("https://drive.google.com/open?id=0B3oar8-GeP-IYk9CYTBHSDBDT0E","Storrle2013")</f>
        <v>Storrle2013</v>
      </c>
      <c r="C253" s="140" t="s">
        <v>4676</v>
      </c>
      <c r="F253" s="140"/>
      <c r="G253" s="140">
        <v>1.0</v>
      </c>
      <c r="H253" s="106"/>
      <c r="I253" s="222"/>
      <c r="J253" s="222"/>
      <c r="K253" s="140" t="s">
        <v>5207</v>
      </c>
    </row>
    <row r="254">
      <c r="B254" s="218" t="str">
        <f>HYPERLINK("https://drive.google.com/open?id=0B3oar8-GeP-IQVZqdHRWYTdKYkE","Furuta1994")</f>
        <v>Furuta1994</v>
      </c>
      <c r="C254" s="140" t="s">
        <v>4676</v>
      </c>
      <c r="F254" s="140"/>
      <c r="G254" s="140">
        <v>1.0</v>
      </c>
      <c r="H254" s="106"/>
      <c r="I254" s="222"/>
      <c r="J254" s="222"/>
      <c r="K254" s="140" t="s">
        <v>5207</v>
      </c>
    </row>
    <row r="255">
      <c r="B255" s="218" t="str">
        <f>HYPERLINK("https://drive.google.com/open?id=0B3oar8-GeP-IRXVORktFek45bHM","Tang2011")</f>
        <v>Tang2011</v>
      </c>
      <c r="C255" s="140" t="s">
        <v>4676</v>
      </c>
      <c r="F255" s="140"/>
      <c r="G255" s="140">
        <v>1.0</v>
      </c>
      <c r="H255" s="106"/>
      <c r="I255" s="222"/>
      <c r="J255" s="222"/>
      <c r="K255" s="140" t="s">
        <v>5207</v>
      </c>
    </row>
    <row r="256">
      <c r="B256" s="218" t="str">
        <f>HYPERLINK("https://drive.google.com/open?id=0B3oar8-GeP-IY3lHc3Z3NUdERUE","Zhan2012")</f>
        <v>Zhan2012</v>
      </c>
      <c r="C256" s="140" t="s">
        <v>4676</v>
      </c>
      <c r="F256" s="140"/>
      <c r="G256" s="140">
        <v>1.0</v>
      </c>
      <c r="H256" s="106"/>
      <c r="I256" s="222"/>
      <c r="J256" s="222"/>
      <c r="K256" s="140" t="s">
        <v>5207</v>
      </c>
    </row>
    <row r="257">
      <c r="B257" s="218" t="str">
        <f>HYPERLINK("https://drive.google.com/open?id=0B3oar8-GeP-IREU3TDZ4aFUyOVU","Stacy1995")</f>
        <v>Stacy1995</v>
      </c>
      <c r="C257" s="140" t="s">
        <v>4676</v>
      </c>
      <c r="F257" s="140"/>
      <c r="G257" s="140">
        <v>1.0</v>
      </c>
      <c r="H257" s="106"/>
      <c r="I257" s="222"/>
      <c r="J257" s="222"/>
      <c r="K257" s="140" t="s">
        <v>5207</v>
      </c>
    </row>
    <row r="258">
      <c r="B258" s="125" t="str">
        <f>HYPERLINK("https://drive.google.com/open?id=0B-nn5iJ29NJaTXd6ckdfbDlIWVU","Anu2016")</f>
        <v>Anu2016</v>
      </c>
      <c r="C258" s="140" t="s">
        <v>124</v>
      </c>
      <c r="F258" s="140"/>
      <c r="G258" s="140">
        <v>1.0</v>
      </c>
      <c r="H258" s="106"/>
      <c r="I258" s="222"/>
      <c r="J258" s="222"/>
      <c r="K258" s="140" t="s">
        <v>5207</v>
      </c>
    </row>
    <row r="259">
      <c r="B259" s="125" t="str">
        <f>HYPERLINK("https://drive.google.com/open?id=0B-nn5iJ29NJaajQ3RFR5dHpMQUE","Aranda2005a")</f>
        <v>Aranda2005a</v>
      </c>
      <c r="C259" s="140" t="s">
        <v>124</v>
      </c>
      <c r="F259" s="140"/>
      <c r="G259" s="140">
        <v>1.0</v>
      </c>
      <c r="H259" s="106"/>
      <c r="I259" s="222"/>
      <c r="J259" s="222"/>
      <c r="K259" s="140" t="s">
        <v>5207</v>
      </c>
    </row>
    <row r="260">
      <c r="B260" s="125" t="str">
        <f>HYPERLINK("https://drive.google.com/open?id=0B-nn5iJ29NJaTkt5NGtXdFRTYkE","Breaux2012")</f>
        <v>Breaux2012</v>
      </c>
      <c r="C260" s="140" t="s">
        <v>124</v>
      </c>
      <c r="F260" s="140"/>
      <c r="G260" s="140">
        <v>1.0</v>
      </c>
      <c r="H260" s="106"/>
      <c r="I260" s="222"/>
      <c r="J260" s="222"/>
      <c r="K260" s="140" t="s">
        <v>5207</v>
      </c>
    </row>
    <row r="261">
      <c r="B261" s="125" t="str">
        <f>HYPERLINK("https://drive.google.com/open?id=0B-nn5iJ29NJaeVdEbEwzZWpyWGM","Calikli2010b")</f>
        <v>Calikli2010b</v>
      </c>
      <c r="C261" s="140" t="s">
        <v>124</v>
      </c>
      <c r="F261" s="140"/>
      <c r="G261" s="140">
        <v>1.0</v>
      </c>
      <c r="H261" s="106"/>
      <c r="I261" s="222"/>
      <c r="J261" s="222"/>
      <c r="K261" s="140" t="s">
        <v>5207</v>
      </c>
    </row>
    <row r="262">
      <c r="B262" s="125" t="str">
        <f>HYPERLINK("https://drive.google.com/open?id=0B-nn5iJ29NJaaTRaYkt1MGdYbWs","Calikli2012")</f>
        <v>Calikli2012</v>
      </c>
      <c r="C262" s="140" t="s">
        <v>124</v>
      </c>
      <c r="F262" s="140"/>
      <c r="G262" s="140">
        <v>1.0</v>
      </c>
      <c r="H262" s="106"/>
      <c r="I262" s="222"/>
      <c r="J262" s="222"/>
      <c r="K262" s="140" t="s">
        <v>5207</v>
      </c>
    </row>
    <row r="263">
      <c r="B263" s="125" t="str">
        <f>HYPERLINK("https://drive.google.com/open?id=0B-nn5iJ29NJaaTAtUTk0M0psSjA","Chilton2005")</f>
        <v>Chilton2005</v>
      </c>
      <c r="C263" s="140" t="s">
        <v>124</v>
      </c>
      <c r="F263" s="140"/>
      <c r="G263" s="140">
        <v>1.0</v>
      </c>
      <c r="H263" s="106"/>
      <c r="I263" s="222"/>
      <c r="J263" s="222"/>
      <c r="K263" s="140" t="s">
        <v>5207</v>
      </c>
    </row>
    <row r="264">
      <c r="B264" s="125" t="str">
        <f>HYPERLINK("https://drive.google.com/open?id=0B-nn5iJ29NJaQ3VsQmVhSkF2QTA","Kant1984")</f>
        <v>Kant1984</v>
      </c>
      <c r="C264" s="140" t="s">
        <v>124</v>
      </c>
      <c r="F264" s="140"/>
      <c r="G264" s="140">
        <v>1.0</v>
      </c>
      <c r="H264" s="106"/>
      <c r="I264" s="222"/>
      <c r="J264" s="222"/>
      <c r="K264" s="140" t="s">
        <v>5207</v>
      </c>
    </row>
    <row r="265">
      <c r="B265" s="125" t="str">
        <f>HYPERLINK("https://drive.google.com/open?id=0B-nn5iJ29NJaQlI1Y2dKTTNOMUE","Krancher2012a")</f>
        <v>Krancher2012a</v>
      </c>
      <c r="C265" s="140" t="s">
        <v>124</v>
      </c>
      <c r="F265" s="140"/>
      <c r="G265" s="140">
        <v>1.0</v>
      </c>
      <c r="H265" s="106"/>
      <c r="I265" s="222"/>
      <c r="J265" s="222"/>
      <c r="K265" s="140" t="s">
        <v>5207</v>
      </c>
    </row>
    <row r="266">
      <c r="B266" s="108" t="str">
        <f>HYPERLINK("https://drive.google.com/open?id=0B-nn5iJ29NJaRUVlVjdSdDB6LVk","Mair2011")</f>
        <v>Mair2011</v>
      </c>
      <c r="C266" s="140" t="s">
        <v>124</v>
      </c>
      <c r="F266" s="140"/>
      <c r="G266" s="140">
        <v>1.0</v>
      </c>
      <c r="H266" s="106"/>
      <c r="I266" s="222"/>
      <c r="J266" s="222"/>
      <c r="K266" s="140" t="s">
        <v>5207</v>
      </c>
    </row>
    <row r="267">
      <c r="B267" s="125" t="str">
        <f>HYPERLINK("https://drive.google.com/open?id=0B00cIHsghs6UbXdvMmsxY0RMY0E","Potts1999")</f>
        <v>Potts1999</v>
      </c>
      <c r="C267" s="140" t="s">
        <v>124</v>
      </c>
      <c r="F267" s="140"/>
      <c r="G267" s="140">
        <v>1.0</v>
      </c>
      <c r="H267" s="106"/>
      <c r="I267" s="222"/>
      <c r="J267" s="222"/>
      <c r="K267" s="140" t="s">
        <v>5207</v>
      </c>
    </row>
    <row r="268">
      <c r="B268" s="125" t="str">
        <f>HYPERLINK("https://drive.google.com/open?id=0B-nn5iJ29NJaWlVzQzZlUTVvc1E","Wirfs-Brock2007")</f>
        <v>Wirfs-Brock2007</v>
      </c>
      <c r="C268" s="140" t="s">
        <v>124</v>
      </c>
      <c r="F268" s="140"/>
      <c r="G268" s="140">
        <v>1.0</v>
      </c>
      <c r="H268" s="106"/>
      <c r="I268" s="222"/>
      <c r="J268" s="222"/>
      <c r="K268" s="140" t="s">
        <v>5207</v>
      </c>
    </row>
    <row r="269">
      <c r="B269" s="125" t="str">
        <f>HYPERLINK("https://drive.google.com/open?id=0B-nn5iJ29NJaR1NZblBibG9RQjg","Xie2011")</f>
        <v>Xie2011</v>
      </c>
      <c r="C269" s="140" t="s">
        <v>124</v>
      </c>
      <c r="F269" s="140"/>
      <c r="G269" s="140">
        <v>1.0</v>
      </c>
      <c r="H269" s="106"/>
      <c r="I269" s="222"/>
      <c r="J269" s="222"/>
      <c r="K269" s="140" t="s">
        <v>5207</v>
      </c>
    </row>
    <row r="270">
      <c r="B270" s="88" t="str">
        <f>HYPERLINK("https://drive.google.com/open?id=0B1GMAYMj9v6rOTZBRmRkcUt5LWM","Ralph2016")</f>
        <v>Ralph2016</v>
      </c>
      <c r="C270" s="140" t="s">
        <v>4673</v>
      </c>
      <c r="F270" s="140"/>
      <c r="G270" s="140">
        <v>1.0</v>
      </c>
      <c r="H270" s="106"/>
      <c r="I270" s="222"/>
      <c r="J270" s="222"/>
      <c r="K270" s="140" t="s">
        <v>5207</v>
      </c>
    </row>
    <row r="271">
      <c r="B271" s="262"/>
      <c r="C271" s="140"/>
      <c r="F271" s="140"/>
      <c r="G271" s="140"/>
      <c r="H271" s="106"/>
      <c r="I271" s="222"/>
      <c r="J271" s="222"/>
      <c r="K271" s="140"/>
    </row>
    <row r="272">
      <c r="B272" s="262"/>
      <c r="C272" s="140"/>
      <c r="F272" s="140"/>
      <c r="G272" s="140"/>
      <c r="H272" s="106"/>
      <c r="I272" s="222"/>
      <c r="J272" s="222"/>
      <c r="K272" s="140"/>
    </row>
    <row r="273">
      <c r="B273" s="262"/>
      <c r="C273" s="140"/>
      <c r="F273" s="140"/>
      <c r="G273" s="140"/>
      <c r="H273" s="106"/>
      <c r="I273" s="222"/>
      <c r="J273" s="222"/>
      <c r="K273" s="140"/>
    </row>
    <row r="274">
      <c r="B274" s="262"/>
      <c r="C274" s="140"/>
      <c r="F274" s="140"/>
      <c r="G274" s="140"/>
      <c r="H274" s="106"/>
      <c r="I274" s="222"/>
      <c r="J274" s="222"/>
      <c r="K274" s="140"/>
    </row>
    <row r="275">
      <c r="H275" s="106"/>
      <c r="I275" s="222"/>
      <c r="J275" s="222"/>
    </row>
    <row r="276">
      <c r="H276" s="106"/>
      <c r="I276" s="222"/>
      <c r="J276" s="222"/>
    </row>
    <row r="277">
      <c r="H277" s="106"/>
      <c r="I277" s="222"/>
      <c r="J277" s="222"/>
    </row>
    <row r="278">
      <c r="H278" s="106"/>
      <c r="I278" s="222"/>
      <c r="J278" s="222"/>
    </row>
    <row r="279">
      <c r="H279" s="106"/>
      <c r="I279" s="222"/>
      <c r="J279" s="222"/>
    </row>
    <row r="280">
      <c r="H280" s="106"/>
      <c r="I280" s="222"/>
      <c r="J280" s="222"/>
    </row>
    <row r="281">
      <c r="H281" s="106"/>
      <c r="I281" s="222"/>
      <c r="J281" s="222"/>
    </row>
    <row r="282">
      <c r="H282" s="106"/>
      <c r="I282" s="222"/>
      <c r="J282" s="222"/>
    </row>
    <row r="283">
      <c r="H283" s="106"/>
      <c r="I283" s="222"/>
      <c r="J283" s="222"/>
    </row>
    <row r="284">
      <c r="H284" s="106"/>
      <c r="I284" s="222"/>
      <c r="J284" s="222"/>
    </row>
    <row r="285">
      <c r="H285" s="106"/>
      <c r="I285" s="222"/>
      <c r="J285" s="222"/>
    </row>
    <row r="286">
      <c r="H286" s="106"/>
      <c r="I286" s="222"/>
      <c r="J286" s="222"/>
    </row>
    <row r="287">
      <c r="H287" s="106"/>
      <c r="I287" s="222"/>
      <c r="J287" s="222"/>
    </row>
    <row r="288">
      <c r="H288" s="106"/>
      <c r="I288" s="222"/>
      <c r="J288" s="222"/>
    </row>
    <row r="289">
      <c r="H289" s="106"/>
      <c r="I289" s="222"/>
      <c r="J289" s="222"/>
    </row>
    <row r="290">
      <c r="H290" s="106"/>
      <c r="I290" s="222"/>
      <c r="J290" s="222"/>
    </row>
    <row r="291">
      <c r="H291" s="106"/>
      <c r="I291" s="222"/>
      <c r="J291" s="222"/>
    </row>
    <row r="292">
      <c r="H292" s="106"/>
      <c r="I292" s="222"/>
      <c r="J292" s="222"/>
    </row>
    <row r="293">
      <c r="H293" s="106"/>
      <c r="I293" s="222"/>
      <c r="J293" s="222"/>
    </row>
    <row r="294">
      <c r="H294" s="106"/>
      <c r="I294" s="222"/>
      <c r="J294" s="222"/>
    </row>
    <row r="295">
      <c r="H295" s="106"/>
      <c r="I295" s="222"/>
      <c r="J295" s="222"/>
    </row>
    <row r="296">
      <c r="H296" s="106"/>
      <c r="I296" s="222"/>
      <c r="J296" s="222"/>
    </row>
    <row r="297">
      <c r="H297" s="106"/>
      <c r="I297" s="222"/>
      <c r="J297" s="222"/>
    </row>
    <row r="298">
      <c r="H298" s="106"/>
      <c r="I298" s="222"/>
      <c r="J298" s="222"/>
    </row>
    <row r="299">
      <c r="H299" s="106"/>
      <c r="I299" s="222"/>
      <c r="J299" s="222"/>
    </row>
    <row r="300">
      <c r="H300" s="106"/>
      <c r="I300" s="222"/>
      <c r="J300" s="222"/>
    </row>
    <row r="301">
      <c r="H301" s="106"/>
      <c r="I301" s="222"/>
      <c r="J301" s="222"/>
    </row>
    <row r="302">
      <c r="H302" s="106"/>
      <c r="I302" s="222"/>
      <c r="J302" s="222"/>
    </row>
    <row r="303">
      <c r="H303" s="106"/>
      <c r="I303" s="222"/>
      <c r="J303" s="222"/>
    </row>
    <row r="304">
      <c r="H304" s="106"/>
      <c r="I304" s="222"/>
      <c r="J304" s="222"/>
    </row>
    <row r="305">
      <c r="H305" s="106"/>
      <c r="I305" s="222"/>
      <c r="J305" s="222"/>
    </row>
    <row r="306">
      <c r="H306" s="106"/>
      <c r="I306" s="222"/>
      <c r="J306" s="222"/>
    </row>
    <row r="307">
      <c r="H307" s="106"/>
      <c r="I307" s="222"/>
      <c r="J307" s="222"/>
    </row>
    <row r="308">
      <c r="H308" s="106"/>
      <c r="I308" s="222"/>
      <c r="J308" s="222"/>
    </row>
    <row r="309">
      <c r="H309" s="106"/>
      <c r="I309" s="222"/>
      <c r="J309" s="222"/>
    </row>
    <row r="310">
      <c r="H310" s="106"/>
      <c r="I310" s="222"/>
      <c r="J310" s="222"/>
    </row>
    <row r="311">
      <c r="H311" s="106"/>
      <c r="I311" s="222"/>
      <c r="J311" s="222"/>
    </row>
    <row r="312">
      <c r="H312" s="106"/>
      <c r="I312" s="222"/>
      <c r="J312" s="222"/>
    </row>
    <row r="313">
      <c r="H313" s="106"/>
      <c r="I313" s="222"/>
      <c r="J313" s="222"/>
    </row>
    <row r="314">
      <c r="H314" s="106"/>
      <c r="I314" s="222"/>
      <c r="J314" s="222"/>
    </row>
    <row r="315">
      <c r="H315" s="106"/>
      <c r="I315" s="222"/>
      <c r="J315" s="222"/>
    </row>
    <row r="316">
      <c r="H316" s="106"/>
      <c r="I316" s="222"/>
      <c r="J316" s="222"/>
    </row>
    <row r="317">
      <c r="H317" s="106"/>
      <c r="I317" s="222"/>
      <c r="J317" s="222"/>
    </row>
    <row r="318">
      <c r="H318" s="106"/>
      <c r="I318" s="222"/>
      <c r="J318" s="222"/>
    </row>
    <row r="319">
      <c r="H319" s="106"/>
      <c r="I319" s="222"/>
      <c r="J319" s="222"/>
    </row>
    <row r="320">
      <c r="H320" s="106"/>
      <c r="I320" s="222"/>
      <c r="J320" s="222"/>
    </row>
    <row r="321">
      <c r="H321" s="106"/>
      <c r="I321" s="222"/>
      <c r="J321" s="222"/>
    </row>
    <row r="322">
      <c r="H322" s="106"/>
      <c r="I322" s="222"/>
      <c r="J322" s="222"/>
    </row>
    <row r="323">
      <c r="H323" s="106"/>
      <c r="I323" s="222"/>
      <c r="J323" s="222"/>
    </row>
    <row r="324">
      <c r="H324" s="106"/>
      <c r="I324" s="222"/>
      <c r="J324" s="222"/>
    </row>
    <row r="325">
      <c r="H325" s="106"/>
      <c r="I325" s="222"/>
      <c r="J325" s="222"/>
    </row>
    <row r="326">
      <c r="H326" s="106"/>
      <c r="I326" s="222"/>
      <c r="J326" s="222"/>
    </row>
    <row r="327">
      <c r="H327" s="106"/>
      <c r="I327" s="222"/>
      <c r="J327" s="222"/>
    </row>
    <row r="328">
      <c r="H328" s="106"/>
      <c r="I328" s="222"/>
      <c r="J328" s="222"/>
    </row>
    <row r="329">
      <c r="H329" s="106"/>
      <c r="I329" s="222"/>
      <c r="J329" s="222"/>
    </row>
    <row r="330">
      <c r="H330" s="106"/>
      <c r="I330" s="222"/>
      <c r="J330" s="222"/>
    </row>
    <row r="331">
      <c r="H331" s="106"/>
      <c r="I331" s="222"/>
      <c r="J331" s="222"/>
    </row>
    <row r="332">
      <c r="H332" s="106"/>
      <c r="I332" s="222"/>
      <c r="J332" s="222"/>
    </row>
    <row r="333">
      <c r="H333" s="106"/>
      <c r="I333" s="222"/>
      <c r="J333" s="222"/>
    </row>
    <row r="334">
      <c r="H334" s="106"/>
      <c r="I334" s="222"/>
      <c r="J334" s="222"/>
    </row>
    <row r="335">
      <c r="H335" s="106"/>
      <c r="I335" s="222"/>
      <c r="J335" s="222"/>
    </row>
    <row r="336">
      <c r="H336" s="106"/>
      <c r="I336" s="222"/>
      <c r="J336" s="222"/>
    </row>
    <row r="337">
      <c r="H337" s="106"/>
      <c r="I337" s="222"/>
      <c r="J337" s="222"/>
    </row>
    <row r="338">
      <c r="H338" s="106"/>
      <c r="I338" s="222"/>
      <c r="J338" s="222"/>
    </row>
    <row r="339">
      <c r="H339" s="106"/>
      <c r="I339" s="222"/>
      <c r="J339" s="222"/>
    </row>
    <row r="340">
      <c r="H340" s="106"/>
      <c r="I340" s="222"/>
      <c r="J340" s="222"/>
    </row>
    <row r="341">
      <c r="H341" s="106"/>
      <c r="I341" s="222"/>
      <c r="J341" s="222"/>
    </row>
    <row r="342">
      <c r="H342" s="106"/>
      <c r="I342" s="222"/>
      <c r="J342" s="222"/>
    </row>
    <row r="343">
      <c r="H343" s="106"/>
      <c r="I343" s="222"/>
      <c r="J343" s="222"/>
    </row>
    <row r="344">
      <c r="H344" s="106"/>
      <c r="I344" s="222"/>
      <c r="J344" s="222"/>
    </row>
    <row r="345">
      <c r="H345" s="106"/>
      <c r="I345" s="222"/>
      <c r="J345" s="222"/>
    </row>
    <row r="346">
      <c r="H346" s="106"/>
      <c r="I346" s="222"/>
      <c r="J346" s="222"/>
    </row>
    <row r="347">
      <c r="H347" s="106"/>
      <c r="I347" s="222"/>
      <c r="J347" s="222"/>
    </row>
    <row r="348">
      <c r="H348" s="106"/>
      <c r="I348" s="222"/>
      <c r="J348" s="222"/>
    </row>
    <row r="349">
      <c r="H349" s="106"/>
      <c r="I349" s="222"/>
      <c r="J349" s="222"/>
    </row>
    <row r="350">
      <c r="H350" s="106"/>
      <c r="I350" s="222"/>
      <c r="J350" s="222"/>
    </row>
    <row r="351">
      <c r="H351" s="106"/>
      <c r="I351" s="222"/>
      <c r="J351" s="222"/>
    </row>
    <row r="352">
      <c r="H352" s="106"/>
      <c r="I352" s="222"/>
      <c r="J352" s="222"/>
    </row>
    <row r="353">
      <c r="H353" s="106"/>
      <c r="I353" s="222"/>
      <c r="J353" s="222"/>
    </row>
    <row r="354">
      <c r="H354" s="106"/>
      <c r="I354" s="222"/>
      <c r="J354" s="222"/>
    </row>
    <row r="355">
      <c r="H355" s="106"/>
      <c r="I355" s="222"/>
      <c r="J355" s="222"/>
    </row>
    <row r="356">
      <c r="H356" s="106"/>
      <c r="I356" s="222"/>
      <c r="J356" s="222"/>
    </row>
    <row r="357">
      <c r="H357" s="106"/>
      <c r="I357" s="222"/>
      <c r="J357" s="222"/>
    </row>
    <row r="358">
      <c r="H358" s="106"/>
      <c r="I358" s="222"/>
      <c r="J358" s="222"/>
    </row>
    <row r="359">
      <c r="H359" s="106"/>
      <c r="I359" s="222"/>
      <c r="J359" s="222"/>
    </row>
    <row r="360">
      <c r="H360" s="106"/>
      <c r="I360" s="222"/>
      <c r="J360" s="222"/>
    </row>
    <row r="361">
      <c r="H361" s="106"/>
      <c r="I361" s="222"/>
      <c r="J361" s="222"/>
    </row>
    <row r="362">
      <c r="H362" s="106"/>
      <c r="I362" s="222"/>
      <c r="J362" s="222"/>
    </row>
    <row r="363">
      <c r="H363" s="106"/>
      <c r="I363" s="222"/>
      <c r="J363" s="222"/>
    </row>
    <row r="364">
      <c r="H364" s="106"/>
      <c r="I364" s="222"/>
      <c r="J364" s="222"/>
    </row>
    <row r="365">
      <c r="H365" s="106"/>
      <c r="I365" s="222"/>
      <c r="J365" s="222"/>
    </row>
    <row r="366">
      <c r="H366" s="106"/>
      <c r="I366" s="222"/>
      <c r="J366" s="222"/>
    </row>
    <row r="367">
      <c r="H367" s="106"/>
      <c r="I367" s="222"/>
      <c r="J367" s="222"/>
    </row>
    <row r="368">
      <c r="H368" s="106"/>
      <c r="I368" s="222"/>
      <c r="J368" s="222"/>
    </row>
    <row r="369">
      <c r="H369" s="106"/>
      <c r="I369" s="222"/>
      <c r="J369" s="222"/>
    </row>
    <row r="370">
      <c r="H370" s="106"/>
      <c r="I370" s="222"/>
      <c r="J370" s="222"/>
    </row>
    <row r="371">
      <c r="H371" s="106"/>
      <c r="I371" s="222"/>
      <c r="J371" s="222"/>
    </row>
    <row r="372">
      <c r="H372" s="106"/>
      <c r="I372" s="222"/>
      <c r="J372" s="222"/>
    </row>
    <row r="373">
      <c r="H373" s="106"/>
      <c r="I373" s="222"/>
      <c r="J373" s="222"/>
    </row>
    <row r="374">
      <c r="H374" s="106"/>
      <c r="I374" s="222"/>
      <c r="J374" s="222"/>
    </row>
    <row r="375">
      <c r="H375" s="106"/>
      <c r="I375" s="222"/>
      <c r="J375" s="222"/>
    </row>
    <row r="376">
      <c r="H376" s="106"/>
      <c r="I376" s="222"/>
      <c r="J376" s="222"/>
    </row>
    <row r="377">
      <c r="H377" s="106"/>
      <c r="I377" s="222"/>
      <c r="J377" s="222"/>
    </row>
    <row r="378">
      <c r="H378" s="106"/>
      <c r="I378" s="222"/>
      <c r="J378" s="222"/>
    </row>
    <row r="379">
      <c r="H379" s="106"/>
      <c r="I379" s="222"/>
      <c r="J379" s="222"/>
    </row>
    <row r="380">
      <c r="H380" s="106"/>
      <c r="I380" s="222"/>
      <c r="J380" s="222"/>
    </row>
    <row r="381">
      <c r="H381" s="106"/>
      <c r="I381" s="222"/>
      <c r="J381" s="222"/>
    </row>
    <row r="382">
      <c r="H382" s="106"/>
      <c r="I382" s="222"/>
      <c r="J382" s="222"/>
    </row>
    <row r="383">
      <c r="H383" s="106"/>
      <c r="I383" s="222"/>
      <c r="J383" s="222"/>
    </row>
    <row r="384">
      <c r="H384" s="106"/>
      <c r="I384" s="222"/>
      <c r="J384" s="222"/>
    </row>
    <row r="385">
      <c r="H385" s="106"/>
      <c r="I385" s="222"/>
      <c r="J385" s="222"/>
    </row>
    <row r="386">
      <c r="H386" s="106"/>
      <c r="I386" s="222"/>
      <c r="J386" s="222"/>
    </row>
    <row r="387">
      <c r="H387" s="106"/>
      <c r="I387" s="222"/>
      <c r="J387" s="222"/>
    </row>
    <row r="388">
      <c r="H388" s="106"/>
      <c r="I388" s="222"/>
      <c r="J388" s="222"/>
    </row>
    <row r="389">
      <c r="H389" s="106"/>
      <c r="I389" s="222"/>
      <c r="J389" s="222"/>
    </row>
    <row r="390">
      <c r="H390" s="106"/>
      <c r="I390" s="222"/>
      <c r="J390" s="222"/>
    </row>
    <row r="391">
      <c r="H391" s="106"/>
      <c r="I391" s="222"/>
      <c r="J391" s="222"/>
    </row>
    <row r="392">
      <c r="H392" s="106"/>
      <c r="I392" s="222"/>
      <c r="J392" s="222"/>
    </row>
    <row r="393">
      <c r="H393" s="106"/>
      <c r="I393" s="222"/>
      <c r="J393" s="222"/>
    </row>
    <row r="394">
      <c r="H394" s="106"/>
      <c r="I394" s="222"/>
      <c r="J394" s="222"/>
    </row>
    <row r="395">
      <c r="H395" s="106"/>
      <c r="I395" s="222"/>
      <c r="J395" s="222"/>
    </row>
    <row r="396">
      <c r="H396" s="106"/>
      <c r="I396" s="222"/>
      <c r="J396" s="222"/>
    </row>
    <row r="397">
      <c r="H397" s="106"/>
      <c r="I397" s="222"/>
      <c r="J397" s="222"/>
    </row>
    <row r="398">
      <c r="H398" s="106"/>
      <c r="I398" s="222"/>
      <c r="J398" s="222"/>
    </row>
    <row r="399">
      <c r="H399" s="106"/>
      <c r="I399" s="222"/>
      <c r="J399" s="222"/>
    </row>
    <row r="400">
      <c r="H400" s="106"/>
      <c r="I400" s="222"/>
      <c r="J400" s="222"/>
    </row>
    <row r="401">
      <c r="H401" s="106"/>
      <c r="I401" s="222"/>
      <c r="J401" s="222"/>
    </row>
    <row r="402">
      <c r="H402" s="106"/>
      <c r="I402" s="222"/>
      <c r="J402" s="222"/>
    </row>
    <row r="403">
      <c r="H403" s="106"/>
      <c r="I403" s="222"/>
      <c r="J403" s="222"/>
    </row>
    <row r="404">
      <c r="H404" s="106"/>
      <c r="I404" s="222"/>
      <c r="J404" s="222"/>
    </row>
    <row r="405">
      <c r="H405" s="106"/>
      <c r="I405" s="222"/>
      <c r="J405" s="222"/>
    </row>
    <row r="406">
      <c r="H406" s="106"/>
      <c r="I406" s="222"/>
      <c r="J406" s="222"/>
    </row>
    <row r="407">
      <c r="H407" s="106"/>
      <c r="I407" s="222"/>
      <c r="J407" s="222"/>
    </row>
    <row r="408">
      <c r="H408" s="106"/>
      <c r="I408" s="222"/>
      <c r="J408" s="222"/>
    </row>
    <row r="409">
      <c r="H409" s="106"/>
      <c r="I409" s="222"/>
      <c r="J409" s="222"/>
    </row>
    <row r="410">
      <c r="H410" s="106"/>
      <c r="I410" s="222"/>
      <c r="J410" s="222"/>
    </row>
    <row r="411">
      <c r="H411" s="106"/>
      <c r="I411" s="222"/>
      <c r="J411" s="222"/>
    </row>
    <row r="412">
      <c r="H412" s="106"/>
      <c r="I412" s="222"/>
      <c r="J412" s="222"/>
    </row>
    <row r="413">
      <c r="H413" s="106"/>
      <c r="I413" s="222"/>
      <c r="J413" s="222"/>
    </row>
    <row r="414">
      <c r="H414" s="106"/>
      <c r="I414" s="222"/>
      <c r="J414" s="222"/>
    </row>
    <row r="415">
      <c r="H415" s="106"/>
      <c r="I415" s="222"/>
      <c r="J415" s="222"/>
    </row>
    <row r="416">
      <c r="H416" s="106"/>
      <c r="I416" s="222"/>
      <c r="J416" s="222"/>
    </row>
    <row r="417">
      <c r="H417" s="106"/>
      <c r="I417" s="222"/>
      <c r="J417" s="222"/>
    </row>
    <row r="418">
      <c r="H418" s="106"/>
      <c r="I418" s="222"/>
      <c r="J418" s="222"/>
    </row>
    <row r="419">
      <c r="H419" s="106"/>
      <c r="I419" s="222"/>
      <c r="J419" s="222"/>
    </row>
    <row r="420">
      <c r="H420" s="106"/>
      <c r="I420" s="222"/>
      <c r="J420" s="222"/>
    </row>
    <row r="421">
      <c r="H421" s="106"/>
      <c r="I421" s="222"/>
      <c r="J421" s="222"/>
    </row>
    <row r="422">
      <c r="H422" s="106"/>
      <c r="I422" s="222"/>
      <c r="J422" s="222"/>
    </row>
    <row r="423">
      <c r="H423" s="106"/>
      <c r="I423" s="222"/>
      <c r="J423" s="222"/>
    </row>
    <row r="424">
      <c r="H424" s="106"/>
      <c r="I424" s="222"/>
      <c r="J424" s="222"/>
    </row>
    <row r="425">
      <c r="H425" s="106"/>
      <c r="I425" s="222"/>
      <c r="J425" s="222"/>
    </row>
    <row r="426">
      <c r="H426" s="106"/>
      <c r="I426" s="222"/>
      <c r="J426" s="222"/>
    </row>
    <row r="427">
      <c r="H427" s="106"/>
      <c r="I427" s="222"/>
      <c r="J427" s="222"/>
    </row>
    <row r="428">
      <c r="H428" s="106"/>
      <c r="I428" s="222"/>
      <c r="J428" s="222"/>
    </row>
    <row r="429">
      <c r="H429" s="106"/>
      <c r="I429" s="222"/>
      <c r="J429" s="222"/>
    </row>
    <row r="430">
      <c r="H430" s="106"/>
      <c r="I430" s="222"/>
      <c r="J430" s="222"/>
    </row>
    <row r="431">
      <c r="H431" s="106"/>
      <c r="I431" s="222"/>
      <c r="J431" s="222"/>
    </row>
    <row r="432">
      <c r="H432" s="106"/>
      <c r="I432" s="222"/>
      <c r="J432" s="222"/>
    </row>
    <row r="433">
      <c r="H433" s="106"/>
      <c r="I433" s="222"/>
      <c r="J433" s="222"/>
    </row>
    <row r="434">
      <c r="H434" s="106"/>
      <c r="I434" s="222"/>
      <c r="J434" s="222"/>
    </row>
    <row r="435">
      <c r="H435" s="106"/>
      <c r="I435" s="222"/>
      <c r="J435" s="222"/>
    </row>
    <row r="436">
      <c r="H436" s="106"/>
      <c r="I436" s="222"/>
      <c r="J436" s="222"/>
    </row>
    <row r="437">
      <c r="H437" s="106"/>
      <c r="I437" s="222"/>
      <c r="J437" s="222"/>
    </row>
    <row r="438">
      <c r="H438" s="106"/>
      <c r="I438" s="222"/>
      <c r="J438" s="222"/>
    </row>
    <row r="439">
      <c r="H439" s="106"/>
      <c r="I439" s="222"/>
      <c r="J439" s="222"/>
    </row>
    <row r="440">
      <c r="H440" s="106"/>
      <c r="I440" s="222"/>
      <c r="J440" s="222"/>
    </row>
    <row r="441">
      <c r="H441" s="106"/>
      <c r="I441" s="222"/>
      <c r="J441" s="222"/>
    </row>
    <row r="442">
      <c r="H442" s="106"/>
      <c r="I442" s="222"/>
      <c r="J442" s="222"/>
    </row>
    <row r="443">
      <c r="H443" s="106"/>
      <c r="I443" s="222"/>
      <c r="J443" s="222"/>
    </row>
    <row r="444">
      <c r="H444" s="106"/>
      <c r="I444" s="222"/>
      <c r="J444" s="222"/>
    </row>
    <row r="445">
      <c r="H445" s="106"/>
      <c r="I445" s="222"/>
      <c r="J445" s="222"/>
    </row>
    <row r="446">
      <c r="H446" s="106"/>
      <c r="I446" s="222"/>
      <c r="J446" s="222"/>
    </row>
    <row r="447">
      <c r="H447" s="106"/>
      <c r="I447" s="222"/>
      <c r="J447" s="222"/>
    </row>
    <row r="448">
      <c r="H448" s="106"/>
      <c r="I448" s="222"/>
      <c r="J448" s="222"/>
    </row>
    <row r="449">
      <c r="H449" s="106"/>
      <c r="I449" s="222"/>
      <c r="J449" s="222"/>
    </row>
    <row r="450">
      <c r="H450" s="106"/>
      <c r="I450" s="222"/>
      <c r="J450" s="222"/>
    </row>
    <row r="451">
      <c r="H451" s="106"/>
      <c r="I451" s="222"/>
      <c r="J451" s="222"/>
    </row>
    <row r="452">
      <c r="H452" s="106"/>
      <c r="I452" s="222"/>
      <c r="J452" s="222"/>
    </row>
    <row r="453">
      <c r="H453" s="106"/>
      <c r="I453" s="222"/>
      <c r="J453" s="222"/>
    </row>
    <row r="454">
      <c r="H454" s="106"/>
      <c r="I454" s="222"/>
      <c r="J454" s="222"/>
    </row>
    <row r="455">
      <c r="H455" s="106"/>
      <c r="I455" s="222"/>
      <c r="J455" s="222"/>
    </row>
    <row r="456">
      <c r="H456" s="106"/>
      <c r="I456" s="222"/>
      <c r="J456" s="222"/>
    </row>
    <row r="457">
      <c r="H457" s="106"/>
      <c r="I457" s="222"/>
      <c r="J457" s="222"/>
    </row>
    <row r="458">
      <c r="H458" s="106"/>
      <c r="I458" s="222"/>
      <c r="J458" s="222"/>
    </row>
    <row r="459">
      <c r="H459" s="106"/>
      <c r="I459" s="222"/>
      <c r="J459" s="222"/>
    </row>
    <row r="460">
      <c r="H460" s="106"/>
      <c r="I460" s="222"/>
      <c r="J460" s="222"/>
    </row>
    <row r="461">
      <c r="H461" s="106"/>
      <c r="I461" s="222"/>
      <c r="J461" s="222"/>
    </row>
    <row r="462">
      <c r="H462" s="106"/>
      <c r="I462" s="222"/>
      <c r="J462" s="222"/>
    </row>
    <row r="463">
      <c r="H463" s="106"/>
      <c r="I463" s="222"/>
      <c r="J463" s="222"/>
    </row>
    <row r="464">
      <c r="H464" s="106"/>
      <c r="I464" s="222"/>
      <c r="J464" s="222"/>
    </row>
    <row r="465">
      <c r="H465" s="106"/>
      <c r="I465" s="222"/>
      <c r="J465" s="222"/>
    </row>
    <row r="466">
      <c r="H466" s="106"/>
      <c r="I466" s="222"/>
      <c r="J466" s="222"/>
    </row>
    <row r="467">
      <c r="H467" s="106"/>
      <c r="I467" s="222"/>
      <c r="J467" s="222"/>
    </row>
    <row r="468">
      <c r="H468" s="106"/>
      <c r="I468" s="222"/>
      <c r="J468" s="222"/>
    </row>
    <row r="469">
      <c r="H469" s="106"/>
      <c r="I469" s="222"/>
      <c r="J469" s="222"/>
    </row>
    <row r="470">
      <c r="H470" s="106"/>
      <c r="I470" s="222"/>
      <c r="J470" s="222"/>
    </row>
    <row r="471">
      <c r="H471" s="106"/>
      <c r="I471" s="222"/>
      <c r="J471" s="222"/>
    </row>
    <row r="472">
      <c r="H472" s="106"/>
      <c r="I472" s="222"/>
      <c r="J472" s="222"/>
    </row>
    <row r="473">
      <c r="H473" s="106"/>
      <c r="I473" s="222"/>
      <c r="J473" s="222"/>
    </row>
    <row r="474">
      <c r="H474" s="106"/>
      <c r="I474" s="222"/>
      <c r="J474" s="222"/>
    </row>
    <row r="475">
      <c r="H475" s="106"/>
      <c r="I475" s="222"/>
      <c r="J475" s="222"/>
    </row>
    <row r="476">
      <c r="H476" s="106"/>
      <c r="I476" s="222"/>
      <c r="J476" s="222"/>
    </row>
    <row r="477">
      <c r="H477" s="106"/>
      <c r="I477" s="222"/>
      <c r="J477" s="222"/>
    </row>
    <row r="478">
      <c r="H478" s="106"/>
      <c r="I478" s="222"/>
      <c r="J478" s="222"/>
    </row>
    <row r="479">
      <c r="H479" s="106"/>
      <c r="I479" s="222"/>
      <c r="J479" s="222"/>
    </row>
    <row r="480">
      <c r="H480" s="106"/>
      <c r="I480" s="222"/>
      <c r="J480" s="222"/>
    </row>
    <row r="481">
      <c r="H481" s="106"/>
      <c r="I481" s="222"/>
      <c r="J481" s="222"/>
    </row>
    <row r="482">
      <c r="H482" s="106"/>
      <c r="I482" s="222"/>
      <c r="J482" s="222"/>
    </row>
    <row r="483">
      <c r="H483" s="106"/>
      <c r="I483" s="222"/>
      <c r="J483" s="222"/>
    </row>
    <row r="484">
      <c r="H484" s="106"/>
      <c r="I484" s="222"/>
      <c r="J484" s="222"/>
    </row>
    <row r="485">
      <c r="H485" s="106"/>
      <c r="I485" s="222"/>
      <c r="J485" s="222"/>
    </row>
    <row r="486">
      <c r="H486" s="106"/>
      <c r="I486" s="222"/>
      <c r="J486" s="222"/>
    </row>
    <row r="487">
      <c r="H487" s="106"/>
      <c r="I487" s="222"/>
      <c r="J487" s="222"/>
    </row>
    <row r="488">
      <c r="H488" s="106"/>
      <c r="I488" s="222"/>
      <c r="J488" s="222"/>
    </row>
    <row r="489">
      <c r="H489" s="106"/>
      <c r="I489" s="222"/>
      <c r="J489" s="222"/>
    </row>
    <row r="490">
      <c r="H490" s="106"/>
      <c r="I490" s="222"/>
      <c r="J490" s="222"/>
    </row>
    <row r="491">
      <c r="H491" s="106"/>
      <c r="I491" s="222"/>
      <c r="J491" s="222"/>
    </row>
    <row r="492">
      <c r="H492" s="106"/>
      <c r="I492" s="222"/>
      <c r="J492" s="222"/>
    </row>
    <row r="493">
      <c r="H493" s="106"/>
      <c r="I493" s="222"/>
      <c r="J493" s="222"/>
    </row>
    <row r="494">
      <c r="H494" s="106"/>
      <c r="I494" s="222"/>
      <c r="J494" s="222"/>
    </row>
    <row r="495">
      <c r="H495" s="106"/>
      <c r="I495" s="222"/>
      <c r="J495" s="222"/>
    </row>
    <row r="496">
      <c r="H496" s="106"/>
      <c r="I496" s="222"/>
      <c r="J496" s="222"/>
    </row>
    <row r="497">
      <c r="H497" s="106"/>
      <c r="I497" s="222"/>
      <c r="J497" s="222"/>
    </row>
    <row r="498">
      <c r="H498" s="106"/>
      <c r="I498" s="222"/>
      <c r="J498" s="222"/>
    </row>
    <row r="499">
      <c r="H499" s="106"/>
      <c r="I499" s="222"/>
      <c r="J499" s="222"/>
    </row>
    <row r="500">
      <c r="H500" s="106"/>
      <c r="I500" s="222"/>
      <c r="J500" s="222"/>
    </row>
    <row r="501">
      <c r="H501" s="106"/>
      <c r="I501" s="222"/>
      <c r="J501" s="222"/>
    </row>
    <row r="502">
      <c r="H502" s="106"/>
      <c r="I502" s="222"/>
      <c r="J502" s="222"/>
    </row>
    <row r="503">
      <c r="H503" s="106"/>
      <c r="I503" s="222"/>
      <c r="J503" s="222"/>
    </row>
    <row r="504">
      <c r="H504" s="106"/>
      <c r="I504" s="222"/>
      <c r="J504" s="222"/>
    </row>
    <row r="505">
      <c r="H505" s="106"/>
      <c r="I505" s="222"/>
      <c r="J505" s="222"/>
    </row>
    <row r="506">
      <c r="H506" s="106"/>
      <c r="I506" s="222"/>
      <c r="J506" s="222"/>
    </row>
    <row r="507">
      <c r="H507" s="106"/>
      <c r="I507" s="222"/>
      <c r="J507" s="222"/>
    </row>
    <row r="508">
      <c r="H508" s="106"/>
      <c r="I508" s="222"/>
      <c r="J508" s="222"/>
    </row>
    <row r="509">
      <c r="H509" s="106"/>
      <c r="I509" s="222"/>
      <c r="J509" s="222"/>
    </row>
    <row r="510">
      <c r="H510" s="106"/>
      <c r="I510" s="222"/>
      <c r="J510" s="222"/>
    </row>
    <row r="511">
      <c r="H511" s="106"/>
      <c r="I511" s="222"/>
      <c r="J511" s="222"/>
    </row>
    <row r="512">
      <c r="H512" s="106"/>
      <c r="I512" s="222"/>
      <c r="J512" s="222"/>
    </row>
    <row r="513">
      <c r="H513" s="106"/>
      <c r="I513" s="222"/>
      <c r="J513" s="222"/>
    </row>
    <row r="514">
      <c r="H514" s="106"/>
      <c r="I514" s="222"/>
      <c r="J514" s="222"/>
    </row>
    <row r="515">
      <c r="H515" s="106"/>
      <c r="I515" s="222"/>
      <c r="J515" s="222"/>
    </row>
    <row r="516">
      <c r="H516" s="106"/>
      <c r="I516" s="222"/>
      <c r="J516" s="222"/>
    </row>
    <row r="517">
      <c r="H517" s="106"/>
      <c r="I517" s="222"/>
      <c r="J517" s="222"/>
    </row>
    <row r="518">
      <c r="H518" s="106"/>
      <c r="I518" s="222"/>
      <c r="J518" s="222"/>
    </row>
    <row r="519">
      <c r="H519" s="106"/>
      <c r="I519" s="222"/>
      <c r="J519" s="222"/>
    </row>
    <row r="520">
      <c r="H520" s="106"/>
      <c r="I520" s="222"/>
      <c r="J520" s="222"/>
    </row>
    <row r="521">
      <c r="H521" s="106"/>
      <c r="I521" s="222"/>
      <c r="J521" s="222"/>
    </row>
    <row r="522">
      <c r="H522" s="106"/>
      <c r="I522" s="222"/>
      <c r="J522" s="222"/>
    </row>
    <row r="523">
      <c r="H523" s="106"/>
      <c r="I523" s="222"/>
      <c r="J523" s="222"/>
    </row>
    <row r="524">
      <c r="H524" s="106"/>
      <c r="I524" s="222"/>
      <c r="J524" s="222"/>
    </row>
    <row r="525">
      <c r="H525" s="106"/>
      <c r="I525" s="222"/>
      <c r="J525" s="222"/>
    </row>
    <row r="526">
      <c r="H526" s="106"/>
      <c r="I526" s="222"/>
      <c r="J526" s="222"/>
    </row>
    <row r="527">
      <c r="H527" s="106"/>
      <c r="I527" s="222"/>
      <c r="J527" s="222"/>
    </row>
    <row r="528">
      <c r="H528" s="106"/>
      <c r="I528" s="222"/>
      <c r="J528" s="222"/>
    </row>
    <row r="529">
      <c r="H529" s="106"/>
      <c r="I529" s="222"/>
      <c r="J529" s="222"/>
    </row>
    <row r="530">
      <c r="H530" s="106"/>
      <c r="I530" s="222"/>
      <c r="J530" s="222"/>
    </row>
    <row r="531">
      <c r="H531" s="106"/>
      <c r="I531" s="222"/>
      <c r="J531" s="222"/>
    </row>
    <row r="532">
      <c r="H532" s="106"/>
      <c r="I532" s="222"/>
      <c r="J532" s="222"/>
    </row>
    <row r="533">
      <c r="H533" s="106"/>
      <c r="I533" s="222"/>
      <c r="J533" s="222"/>
    </row>
    <row r="534">
      <c r="H534" s="106"/>
      <c r="I534" s="222"/>
      <c r="J534" s="222"/>
    </row>
    <row r="535">
      <c r="H535" s="106"/>
      <c r="I535" s="222"/>
      <c r="J535" s="222"/>
    </row>
    <row r="536">
      <c r="H536" s="106"/>
      <c r="I536" s="222"/>
      <c r="J536" s="222"/>
    </row>
    <row r="537">
      <c r="H537" s="106"/>
      <c r="I537" s="222"/>
      <c r="J537" s="222"/>
    </row>
    <row r="538">
      <c r="H538" s="106"/>
      <c r="I538" s="222"/>
      <c r="J538" s="222"/>
    </row>
    <row r="539">
      <c r="H539" s="106"/>
      <c r="I539" s="222"/>
      <c r="J539" s="222"/>
    </row>
    <row r="540">
      <c r="H540" s="106"/>
      <c r="I540" s="222"/>
      <c r="J540" s="222"/>
    </row>
    <row r="541">
      <c r="H541" s="106"/>
      <c r="I541" s="222"/>
      <c r="J541" s="222"/>
    </row>
    <row r="542">
      <c r="H542" s="106"/>
      <c r="I542" s="222"/>
      <c r="J542" s="222"/>
    </row>
    <row r="543">
      <c r="H543" s="106"/>
      <c r="I543" s="222"/>
      <c r="J543" s="222"/>
    </row>
    <row r="544">
      <c r="H544" s="106"/>
      <c r="I544" s="222"/>
      <c r="J544" s="222"/>
    </row>
    <row r="545">
      <c r="H545" s="106"/>
      <c r="I545" s="222"/>
      <c r="J545" s="222"/>
    </row>
    <row r="546">
      <c r="H546" s="106"/>
      <c r="I546" s="222"/>
      <c r="J546" s="222"/>
    </row>
    <row r="547">
      <c r="H547" s="106"/>
      <c r="I547" s="222"/>
      <c r="J547" s="222"/>
    </row>
    <row r="548">
      <c r="H548" s="106"/>
      <c r="I548" s="222"/>
      <c r="J548" s="222"/>
    </row>
    <row r="549">
      <c r="H549" s="106"/>
      <c r="I549" s="222"/>
      <c r="J549" s="222"/>
    </row>
    <row r="550">
      <c r="H550" s="106"/>
      <c r="I550" s="222"/>
      <c r="J550" s="222"/>
    </row>
    <row r="551">
      <c r="H551" s="106"/>
      <c r="I551" s="222"/>
      <c r="J551" s="222"/>
    </row>
    <row r="552">
      <c r="H552" s="106"/>
      <c r="I552" s="222"/>
      <c r="J552" s="222"/>
    </row>
    <row r="553">
      <c r="H553" s="106"/>
      <c r="I553" s="222"/>
      <c r="J553" s="222"/>
    </row>
    <row r="554">
      <c r="H554" s="106"/>
      <c r="I554" s="222"/>
      <c r="J554" s="222"/>
    </row>
    <row r="555">
      <c r="H555" s="106"/>
      <c r="I555" s="222"/>
      <c r="J555" s="222"/>
    </row>
    <row r="556">
      <c r="H556" s="106"/>
      <c r="I556" s="222"/>
      <c r="J556" s="222"/>
    </row>
    <row r="557">
      <c r="H557" s="106"/>
      <c r="I557" s="222"/>
      <c r="J557" s="222"/>
    </row>
    <row r="558">
      <c r="H558" s="106"/>
      <c r="I558" s="222"/>
      <c r="J558" s="222"/>
    </row>
    <row r="559">
      <c r="H559" s="106"/>
      <c r="I559" s="222"/>
      <c r="J559" s="222"/>
    </row>
    <row r="560">
      <c r="H560" s="106"/>
      <c r="I560" s="222"/>
      <c r="J560" s="222"/>
    </row>
    <row r="561">
      <c r="H561" s="106"/>
      <c r="I561" s="222"/>
      <c r="J561" s="222"/>
    </row>
    <row r="562">
      <c r="H562" s="106"/>
      <c r="I562" s="222"/>
      <c r="J562" s="222"/>
    </row>
    <row r="563">
      <c r="H563" s="106"/>
      <c r="I563" s="222"/>
      <c r="J563" s="222"/>
    </row>
    <row r="564">
      <c r="H564" s="106"/>
      <c r="I564" s="222"/>
      <c r="J564" s="222"/>
    </row>
    <row r="565">
      <c r="H565" s="106"/>
      <c r="I565" s="222"/>
      <c r="J565" s="222"/>
    </row>
    <row r="566">
      <c r="H566" s="106"/>
      <c r="I566" s="222"/>
      <c r="J566" s="222"/>
    </row>
    <row r="567">
      <c r="H567" s="106"/>
      <c r="I567" s="222"/>
      <c r="J567" s="222"/>
    </row>
    <row r="568">
      <c r="H568" s="106"/>
      <c r="I568" s="222"/>
      <c r="J568" s="222"/>
    </row>
    <row r="569">
      <c r="H569" s="106"/>
      <c r="I569" s="222"/>
      <c r="J569" s="222"/>
    </row>
    <row r="570">
      <c r="H570" s="106"/>
      <c r="I570" s="222"/>
      <c r="J570" s="222"/>
    </row>
    <row r="571">
      <c r="H571" s="106"/>
      <c r="I571" s="222"/>
      <c r="J571" s="222"/>
    </row>
    <row r="572">
      <c r="H572" s="106"/>
      <c r="I572" s="222"/>
      <c r="J572" s="222"/>
    </row>
    <row r="573">
      <c r="H573" s="106"/>
      <c r="I573" s="222"/>
      <c r="J573" s="222"/>
    </row>
    <row r="574">
      <c r="H574" s="106"/>
      <c r="I574" s="222"/>
      <c r="J574" s="222"/>
    </row>
    <row r="575">
      <c r="H575" s="106"/>
      <c r="I575" s="222"/>
      <c r="J575" s="222"/>
    </row>
    <row r="576">
      <c r="H576" s="106"/>
      <c r="I576" s="222"/>
      <c r="J576" s="222"/>
    </row>
    <row r="577">
      <c r="H577" s="106"/>
      <c r="I577" s="222"/>
      <c r="J577" s="222"/>
    </row>
    <row r="578">
      <c r="H578" s="106"/>
      <c r="I578" s="222"/>
      <c r="J578" s="222"/>
    </row>
    <row r="579">
      <c r="H579" s="106"/>
      <c r="I579" s="222"/>
      <c r="J579" s="222"/>
    </row>
    <row r="580">
      <c r="H580" s="106"/>
      <c r="I580" s="222"/>
      <c r="J580" s="222"/>
    </row>
    <row r="581">
      <c r="H581" s="106"/>
      <c r="I581" s="222"/>
      <c r="J581" s="222"/>
    </row>
    <row r="582">
      <c r="H582" s="106"/>
      <c r="I582" s="222"/>
      <c r="J582" s="222"/>
    </row>
    <row r="583">
      <c r="H583" s="106"/>
      <c r="I583" s="222"/>
      <c r="J583" s="222"/>
    </row>
    <row r="584">
      <c r="H584" s="106"/>
      <c r="I584" s="222"/>
      <c r="J584" s="222"/>
    </row>
    <row r="585">
      <c r="H585" s="106"/>
      <c r="I585" s="222"/>
      <c r="J585" s="222"/>
    </row>
    <row r="586">
      <c r="H586" s="106"/>
      <c r="I586" s="222"/>
      <c r="J586" s="222"/>
    </row>
    <row r="587">
      <c r="H587" s="106"/>
      <c r="I587" s="222"/>
      <c r="J587" s="222"/>
    </row>
    <row r="588">
      <c r="H588" s="106"/>
      <c r="I588" s="222"/>
      <c r="J588" s="222"/>
    </row>
    <row r="589">
      <c r="H589" s="106"/>
      <c r="I589" s="222"/>
      <c r="J589" s="222"/>
    </row>
    <row r="590">
      <c r="H590" s="106"/>
      <c r="I590" s="222"/>
      <c r="J590" s="222"/>
    </row>
    <row r="591">
      <c r="H591" s="106"/>
      <c r="I591" s="222"/>
      <c r="J591" s="222"/>
    </row>
    <row r="592">
      <c r="H592" s="106"/>
      <c r="I592" s="222"/>
      <c r="J592" s="222"/>
    </row>
    <row r="593">
      <c r="H593" s="106"/>
      <c r="I593" s="222"/>
      <c r="J593" s="222"/>
    </row>
    <row r="594">
      <c r="H594" s="106"/>
      <c r="I594" s="222"/>
      <c r="J594" s="222"/>
    </row>
    <row r="595">
      <c r="H595" s="106"/>
      <c r="I595" s="222"/>
      <c r="J595" s="222"/>
    </row>
    <row r="596">
      <c r="H596" s="106"/>
      <c r="I596" s="222"/>
      <c r="J596" s="222"/>
    </row>
    <row r="597">
      <c r="H597" s="106"/>
      <c r="I597" s="222"/>
      <c r="J597" s="222"/>
    </row>
    <row r="598">
      <c r="H598" s="106"/>
      <c r="I598" s="222"/>
      <c r="J598" s="222"/>
    </row>
    <row r="599">
      <c r="H599" s="106"/>
      <c r="I599" s="222"/>
      <c r="J599" s="222"/>
    </row>
    <row r="600">
      <c r="H600" s="106"/>
      <c r="I600" s="222"/>
      <c r="J600" s="222"/>
    </row>
    <row r="601">
      <c r="H601" s="106"/>
      <c r="I601" s="222"/>
      <c r="J601" s="222"/>
    </row>
    <row r="602">
      <c r="H602" s="106"/>
      <c r="I602" s="222"/>
      <c r="J602" s="222"/>
    </row>
    <row r="603">
      <c r="H603" s="106"/>
      <c r="I603" s="222"/>
      <c r="J603" s="222"/>
    </row>
    <row r="604">
      <c r="H604" s="106"/>
      <c r="I604" s="222"/>
      <c r="J604" s="222"/>
    </row>
    <row r="605">
      <c r="H605" s="106"/>
      <c r="I605" s="222"/>
      <c r="J605" s="222"/>
    </row>
    <row r="606">
      <c r="H606" s="106"/>
      <c r="I606" s="222"/>
      <c r="J606" s="222"/>
    </row>
    <row r="607">
      <c r="H607" s="106"/>
      <c r="I607" s="222"/>
      <c r="J607" s="222"/>
    </row>
    <row r="608">
      <c r="H608" s="106"/>
      <c r="I608" s="222"/>
      <c r="J608" s="222"/>
    </row>
    <row r="609">
      <c r="H609" s="106"/>
      <c r="I609" s="222"/>
      <c r="J609" s="222"/>
    </row>
    <row r="610">
      <c r="H610" s="106"/>
      <c r="I610" s="222"/>
      <c r="J610" s="222"/>
    </row>
    <row r="611">
      <c r="H611" s="106"/>
      <c r="I611" s="222"/>
      <c r="J611" s="222"/>
    </row>
    <row r="612">
      <c r="H612" s="106"/>
      <c r="I612" s="222"/>
      <c r="J612" s="222"/>
    </row>
    <row r="613">
      <c r="H613" s="106"/>
      <c r="I613" s="222"/>
      <c r="J613" s="222"/>
    </row>
    <row r="614">
      <c r="H614" s="106"/>
      <c r="I614" s="222"/>
      <c r="J614" s="222"/>
    </row>
    <row r="615">
      <c r="H615" s="106"/>
      <c r="I615" s="222"/>
      <c r="J615" s="222"/>
    </row>
    <row r="616">
      <c r="H616" s="106"/>
      <c r="I616" s="222"/>
      <c r="J616" s="222"/>
    </row>
    <row r="617">
      <c r="H617" s="106"/>
      <c r="I617" s="222"/>
      <c r="J617" s="222"/>
    </row>
    <row r="618">
      <c r="H618" s="106"/>
      <c r="I618" s="222"/>
      <c r="J618" s="222"/>
    </row>
    <row r="619">
      <c r="H619" s="106"/>
      <c r="I619" s="222"/>
      <c r="J619" s="222"/>
    </row>
    <row r="620">
      <c r="H620" s="106"/>
      <c r="I620" s="222"/>
      <c r="J620" s="222"/>
    </row>
    <row r="621">
      <c r="H621" s="106"/>
      <c r="I621" s="222"/>
      <c r="J621" s="222"/>
    </row>
    <row r="622">
      <c r="H622" s="106"/>
      <c r="I622" s="222"/>
      <c r="J622" s="222"/>
    </row>
    <row r="623">
      <c r="H623" s="106"/>
      <c r="I623" s="222"/>
      <c r="J623" s="222"/>
    </row>
    <row r="624">
      <c r="H624" s="106"/>
      <c r="I624" s="222"/>
      <c r="J624" s="222"/>
    </row>
    <row r="625">
      <c r="H625" s="106"/>
      <c r="I625" s="222"/>
      <c r="J625" s="222"/>
    </row>
    <row r="626">
      <c r="H626" s="106"/>
      <c r="I626" s="222"/>
      <c r="J626" s="222"/>
    </row>
    <row r="627">
      <c r="H627" s="106"/>
      <c r="I627" s="222"/>
      <c r="J627" s="222"/>
    </row>
    <row r="628">
      <c r="H628" s="106"/>
      <c r="I628" s="222"/>
      <c r="J628" s="222"/>
    </row>
    <row r="629">
      <c r="H629" s="106"/>
      <c r="I629" s="222"/>
      <c r="J629" s="222"/>
    </row>
    <row r="630">
      <c r="H630" s="106"/>
      <c r="I630" s="222"/>
      <c r="J630" s="222"/>
    </row>
    <row r="631">
      <c r="H631" s="106"/>
      <c r="I631" s="222"/>
      <c r="J631" s="222"/>
    </row>
    <row r="632">
      <c r="H632" s="106"/>
      <c r="I632" s="222"/>
      <c r="J632" s="222"/>
    </row>
    <row r="633">
      <c r="H633" s="106"/>
      <c r="I633" s="222"/>
      <c r="J633" s="222"/>
    </row>
    <row r="634">
      <c r="H634" s="106"/>
      <c r="I634" s="222"/>
      <c r="J634" s="222"/>
    </row>
    <row r="635">
      <c r="H635" s="106"/>
      <c r="I635" s="222"/>
      <c r="J635" s="222"/>
    </row>
    <row r="636">
      <c r="H636" s="106"/>
      <c r="I636" s="222"/>
      <c r="J636" s="222"/>
    </row>
    <row r="637">
      <c r="H637" s="106"/>
      <c r="I637" s="222"/>
      <c r="J637" s="222"/>
    </row>
    <row r="638">
      <c r="H638" s="106"/>
      <c r="I638" s="222"/>
      <c r="J638" s="222"/>
    </row>
    <row r="639">
      <c r="H639" s="106"/>
      <c r="I639" s="222"/>
      <c r="J639" s="222"/>
    </row>
    <row r="640">
      <c r="H640" s="106"/>
      <c r="I640" s="222"/>
      <c r="J640" s="222"/>
    </row>
    <row r="641">
      <c r="H641" s="106"/>
      <c r="I641" s="222"/>
      <c r="J641" s="222"/>
    </row>
    <row r="642">
      <c r="H642" s="106"/>
      <c r="I642" s="222"/>
      <c r="J642" s="222"/>
    </row>
    <row r="643">
      <c r="H643" s="106"/>
      <c r="I643" s="222"/>
      <c r="J643" s="222"/>
    </row>
    <row r="644">
      <c r="H644" s="106"/>
      <c r="I644" s="222"/>
      <c r="J644" s="222"/>
    </row>
    <row r="645">
      <c r="H645" s="106"/>
      <c r="I645" s="222"/>
      <c r="J645" s="222"/>
    </row>
    <row r="646">
      <c r="H646" s="106"/>
      <c r="I646" s="222"/>
      <c r="J646" s="222"/>
    </row>
    <row r="647">
      <c r="H647" s="106"/>
      <c r="I647" s="222"/>
      <c r="J647" s="222"/>
    </row>
    <row r="648">
      <c r="H648" s="106"/>
      <c r="I648" s="222"/>
      <c r="J648" s="222"/>
    </row>
    <row r="649">
      <c r="H649" s="106"/>
      <c r="I649" s="222"/>
      <c r="J649" s="222"/>
    </row>
    <row r="650">
      <c r="H650" s="106"/>
      <c r="I650" s="222"/>
      <c r="J650" s="222"/>
    </row>
    <row r="651">
      <c r="H651" s="106"/>
      <c r="I651" s="222"/>
      <c r="J651" s="222"/>
    </row>
    <row r="652">
      <c r="H652" s="106"/>
      <c r="I652" s="222"/>
      <c r="J652" s="222"/>
    </row>
    <row r="653">
      <c r="H653" s="106"/>
      <c r="I653" s="222"/>
      <c r="J653" s="222"/>
    </row>
    <row r="654">
      <c r="H654" s="106"/>
      <c r="I654" s="222"/>
      <c r="J654" s="222"/>
    </row>
    <row r="655">
      <c r="H655" s="106"/>
      <c r="I655" s="222"/>
      <c r="J655" s="222"/>
    </row>
    <row r="656">
      <c r="H656" s="106"/>
      <c r="I656" s="222"/>
      <c r="J656" s="222"/>
    </row>
    <row r="657">
      <c r="H657" s="106"/>
      <c r="I657" s="222"/>
      <c r="J657" s="222"/>
    </row>
    <row r="658">
      <c r="H658" s="106"/>
      <c r="I658" s="222"/>
      <c r="J658" s="222"/>
    </row>
    <row r="659">
      <c r="H659" s="106"/>
      <c r="I659" s="222"/>
      <c r="J659" s="222"/>
    </row>
    <row r="660">
      <c r="H660" s="106"/>
      <c r="I660" s="222"/>
      <c r="J660" s="222"/>
    </row>
    <row r="661">
      <c r="H661" s="106"/>
      <c r="I661" s="222"/>
      <c r="J661" s="222"/>
    </row>
    <row r="662">
      <c r="H662" s="106"/>
      <c r="I662" s="222"/>
      <c r="J662" s="222"/>
    </row>
    <row r="663">
      <c r="H663" s="106"/>
      <c r="I663" s="222"/>
      <c r="J663" s="222"/>
    </row>
    <row r="664">
      <c r="H664" s="106"/>
      <c r="I664" s="222"/>
      <c r="J664" s="222"/>
    </row>
    <row r="665">
      <c r="H665" s="106"/>
      <c r="I665" s="222"/>
      <c r="J665" s="222"/>
    </row>
    <row r="666">
      <c r="H666" s="106"/>
      <c r="I666" s="222"/>
      <c r="J666" s="222"/>
    </row>
    <row r="667">
      <c r="H667" s="106"/>
      <c r="I667" s="222"/>
      <c r="J667" s="222"/>
    </row>
    <row r="668">
      <c r="H668" s="106"/>
      <c r="I668" s="222"/>
      <c r="J668" s="222"/>
    </row>
    <row r="669">
      <c r="H669" s="106"/>
      <c r="I669" s="222"/>
      <c r="J669" s="222"/>
    </row>
    <row r="670">
      <c r="H670" s="106"/>
      <c r="I670" s="222"/>
      <c r="J670" s="222"/>
    </row>
    <row r="671">
      <c r="H671" s="106"/>
      <c r="I671" s="222"/>
      <c r="J671" s="222"/>
    </row>
    <row r="672">
      <c r="H672" s="106"/>
      <c r="I672" s="222"/>
      <c r="J672" s="222"/>
    </row>
    <row r="673">
      <c r="H673" s="106"/>
      <c r="I673" s="222"/>
      <c r="J673" s="222"/>
    </row>
    <row r="674">
      <c r="H674" s="106"/>
      <c r="I674" s="222"/>
      <c r="J674" s="222"/>
    </row>
    <row r="675">
      <c r="H675" s="106"/>
      <c r="I675" s="222"/>
      <c r="J675" s="222"/>
    </row>
    <row r="676">
      <c r="H676" s="106"/>
      <c r="I676" s="222"/>
      <c r="J676" s="222"/>
    </row>
    <row r="677">
      <c r="H677" s="106"/>
      <c r="I677" s="222"/>
      <c r="J677" s="222"/>
    </row>
    <row r="678">
      <c r="H678" s="106"/>
      <c r="I678" s="222"/>
      <c r="J678" s="222"/>
    </row>
    <row r="679">
      <c r="H679" s="106"/>
      <c r="I679" s="222"/>
      <c r="J679" s="222"/>
    </row>
    <row r="680">
      <c r="H680" s="106"/>
      <c r="I680" s="222"/>
      <c r="J680" s="222"/>
    </row>
    <row r="681">
      <c r="H681" s="106"/>
      <c r="I681" s="222"/>
      <c r="J681" s="222"/>
    </row>
    <row r="682">
      <c r="H682" s="106"/>
      <c r="I682" s="222"/>
      <c r="J682" s="222"/>
    </row>
    <row r="683">
      <c r="H683" s="106"/>
      <c r="I683" s="222"/>
      <c r="J683" s="222"/>
    </row>
    <row r="684">
      <c r="H684" s="106"/>
      <c r="I684" s="222"/>
      <c r="J684" s="222"/>
    </row>
    <row r="685">
      <c r="H685" s="106"/>
      <c r="I685" s="222"/>
      <c r="J685" s="222"/>
    </row>
    <row r="686">
      <c r="H686" s="106"/>
      <c r="I686" s="222"/>
      <c r="J686" s="222"/>
    </row>
    <row r="687">
      <c r="H687" s="106"/>
      <c r="I687" s="222"/>
      <c r="J687" s="222"/>
    </row>
    <row r="688">
      <c r="H688" s="106"/>
      <c r="I688" s="222"/>
      <c r="J688" s="222"/>
    </row>
    <row r="689">
      <c r="H689" s="106"/>
      <c r="I689" s="222"/>
      <c r="J689" s="222"/>
    </row>
    <row r="690">
      <c r="H690" s="106"/>
      <c r="I690" s="222"/>
      <c r="J690" s="222"/>
    </row>
    <row r="691">
      <c r="H691" s="106"/>
      <c r="I691" s="222"/>
      <c r="J691" s="222"/>
    </row>
    <row r="692">
      <c r="H692" s="106"/>
      <c r="I692" s="222"/>
      <c r="J692" s="222"/>
    </row>
    <row r="693">
      <c r="H693" s="106"/>
      <c r="I693" s="222"/>
      <c r="J693" s="222"/>
    </row>
    <row r="694">
      <c r="H694" s="106"/>
      <c r="I694" s="222"/>
      <c r="J694" s="222"/>
    </row>
    <row r="695">
      <c r="H695" s="106"/>
      <c r="I695" s="222"/>
      <c r="J695" s="222"/>
    </row>
    <row r="696">
      <c r="H696" s="106"/>
      <c r="I696" s="222"/>
      <c r="J696" s="222"/>
    </row>
    <row r="697">
      <c r="H697" s="106"/>
      <c r="I697" s="222"/>
      <c r="J697" s="222"/>
    </row>
    <row r="698">
      <c r="H698" s="106"/>
      <c r="I698" s="222"/>
      <c r="J698" s="222"/>
    </row>
    <row r="699">
      <c r="H699" s="106"/>
      <c r="I699" s="222"/>
      <c r="J699" s="222"/>
    </row>
    <row r="700">
      <c r="H700" s="106"/>
      <c r="I700" s="222"/>
      <c r="J700" s="222"/>
    </row>
    <row r="701">
      <c r="H701" s="106"/>
      <c r="I701" s="222"/>
      <c r="J701" s="222"/>
    </row>
    <row r="702">
      <c r="H702" s="106"/>
      <c r="I702" s="222"/>
      <c r="J702" s="222"/>
    </row>
    <row r="703">
      <c r="H703" s="106"/>
      <c r="I703" s="222"/>
      <c r="J703" s="222"/>
    </row>
    <row r="704">
      <c r="H704" s="106"/>
      <c r="I704" s="222"/>
      <c r="J704" s="222"/>
    </row>
    <row r="705">
      <c r="H705" s="106"/>
      <c r="I705" s="222"/>
      <c r="J705" s="222"/>
    </row>
    <row r="706">
      <c r="H706" s="106"/>
      <c r="I706" s="222"/>
      <c r="J706" s="222"/>
    </row>
    <row r="707">
      <c r="H707" s="106"/>
      <c r="I707" s="222"/>
      <c r="J707" s="222"/>
    </row>
    <row r="708">
      <c r="H708" s="106"/>
      <c r="I708" s="222"/>
      <c r="J708" s="222"/>
    </row>
    <row r="709">
      <c r="H709" s="106"/>
      <c r="I709" s="222"/>
      <c r="J709" s="222"/>
    </row>
    <row r="710">
      <c r="H710" s="106"/>
      <c r="I710" s="222"/>
      <c r="J710" s="222"/>
    </row>
    <row r="711">
      <c r="H711" s="106"/>
      <c r="I711" s="222"/>
      <c r="J711" s="222"/>
    </row>
    <row r="712">
      <c r="H712" s="106"/>
      <c r="I712" s="222"/>
      <c r="J712" s="222"/>
    </row>
    <row r="713">
      <c r="H713" s="106"/>
      <c r="I713" s="222"/>
      <c r="J713" s="222"/>
    </row>
    <row r="714">
      <c r="H714" s="106"/>
      <c r="I714" s="222"/>
      <c r="J714" s="222"/>
    </row>
    <row r="715">
      <c r="H715" s="106"/>
      <c r="I715" s="222"/>
      <c r="J715" s="222"/>
    </row>
    <row r="716">
      <c r="H716" s="106"/>
      <c r="I716" s="222"/>
      <c r="J716" s="222"/>
    </row>
    <row r="717">
      <c r="H717" s="106"/>
      <c r="I717" s="222"/>
      <c r="J717" s="222"/>
    </row>
    <row r="718">
      <c r="H718" s="106"/>
      <c r="I718" s="222"/>
      <c r="J718" s="222"/>
    </row>
    <row r="719">
      <c r="H719" s="106"/>
      <c r="I719" s="222"/>
      <c r="J719" s="222"/>
    </row>
    <row r="720">
      <c r="H720" s="106"/>
      <c r="I720" s="222"/>
      <c r="J720" s="222"/>
    </row>
    <row r="721">
      <c r="H721" s="106"/>
      <c r="I721" s="222"/>
      <c r="J721" s="222"/>
    </row>
    <row r="722">
      <c r="H722" s="106"/>
      <c r="I722" s="222"/>
      <c r="J722" s="222"/>
    </row>
    <row r="723">
      <c r="H723" s="106"/>
      <c r="I723" s="222"/>
      <c r="J723" s="222"/>
    </row>
    <row r="724">
      <c r="H724" s="106"/>
      <c r="I724" s="222"/>
      <c r="J724" s="222"/>
    </row>
    <row r="725">
      <c r="H725" s="106"/>
      <c r="I725" s="222"/>
      <c r="J725" s="222"/>
    </row>
    <row r="726">
      <c r="H726" s="106"/>
      <c r="I726" s="222"/>
      <c r="J726" s="222"/>
    </row>
    <row r="727">
      <c r="H727" s="106"/>
      <c r="I727" s="222"/>
      <c r="J727" s="222"/>
    </row>
    <row r="728">
      <c r="H728" s="106"/>
      <c r="I728" s="222"/>
      <c r="J728" s="222"/>
    </row>
    <row r="729">
      <c r="H729" s="106"/>
      <c r="I729" s="222"/>
      <c r="J729" s="222"/>
    </row>
    <row r="730">
      <c r="H730" s="106"/>
      <c r="I730" s="222"/>
      <c r="J730" s="222"/>
    </row>
    <row r="731">
      <c r="H731" s="106"/>
      <c r="I731" s="222"/>
      <c r="J731" s="222"/>
    </row>
    <row r="732">
      <c r="H732" s="106"/>
      <c r="I732" s="222"/>
      <c r="J732" s="222"/>
    </row>
    <row r="733">
      <c r="H733" s="106"/>
      <c r="I733" s="222"/>
      <c r="J733" s="222"/>
    </row>
    <row r="734">
      <c r="H734" s="106"/>
      <c r="I734" s="222"/>
      <c r="J734" s="222"/>
    </row>
    <row r="735">
      <c r="H735" s="106"/>
      <c r="I735" s="222"/>
      <c r="J735" s="222"/>
    </row>
    <row r="736">
      <c r="H736" s="106"/>
      <c r="I736" s="222"/>
      <c r="J736" s="222"/>
    </row>
    <row r="737">
      <c r="H737" s="106"/>
      <c r="I737" s="222"/>
      <c r="J737" s="222"/>
    </row>
    <row r="738">
      <c r="H738" s="106"/>
      <c r="I738" s="222"/>
      <c r="J738" s="222"/>
    </row>
    <row r="739">
      <c r="H739" s="106"/>
      <c r="I739" s="222"/>
      <c r="J739" s="222"/>
    </row>
    <row r="740">
      <c r="H740" s="106"/>
      <c r="I740" s="222"/>
      <c r="J740" s="222"/>
    </row>
    <row r="741">
      <c r="H741" s="106"/>
      <c r="I741" s="222"/>
      <c r="J741" s="222"/>
    </row>
    <row r="742">
      <c r="H742" s="106"/>
      <c r="I742" s="222"/>
      <c r="J742" s="222"/>
    </row>
    <row r="743">
      <c r="H743" s="106"/>
      <c r="I743" s="222"/>
      <c r="J743" s="222"/>
    </row>
    <row r="744">
      <c r="H744" s="106"/>
      <c r="I744" s="222"/>
      <c r="J744" s="222"/>
    </row>
    <row r="745">
      <c r="H745" s="106"/>
      <c r="I745" s="222"/>
      <c r="J745" s="222"/>
    </row>
    <row r="746">
      <c r="H746" s="106"/>
      <c r="I746" s="222"/>
      <c r="J746" s="222"/>
    </row>
    <row r="747">
      <c r="H747" s="106"/>
      <c r="I747" s="222"/>
      <c r="J747" s="222"/>
    </row>
    <row r="748">
      <c r="H748" s="106"/>
      <c r="I748" s="222"/>
      <c r="J748" s="222"/>
    </row>
    <row r="749">
      <c r="H749" s="106"/>
      <c r="I749" s="222"/>
      <c r="J749" s="222"/>
    </row>
    <row r="750">
      <c r="H750" s="106"/>
      <c r="I750" s="222"/>
      <c r="J750" s="222"/>
    </row>
    <row r="751">
      <c r="H751" s="106"/>
      <c r="I751" s="222"/>
      <c r="J751" s="222"/>
    </row>
    <row r="752">
      <c r="H752" s="106"/>
      <c r="I752" s="222"/>
      <c r="J752" s="222"/>
    </row>
    <row r="753">
      <c r="H753" s="106"/>
      <c r="I753" s="222"/>
      <c r="J753" s="222"/>
    </row>
    <row r="754">
      <c r="H754" s="106"/>
      <c r="I754" s="222"/>
      <c r="J754" s="222"/>
    </row>
    <row r="755">
      <c r="H755" s="106"/>
      <c r="I755" s="222"/>
      <c r="J755" s="222"/>
    </row>
    <row r="756">
      <c r="H756" s="106"/>
      <c r="I756" s="222"/>
      <c r="J756" s="222"/>
    </row>
    <row r="757">
      <c r="H757" s="106"/>
      <c r="I757" s="222"/>
      <c r="J757" s="222"/>
    </row>
    <row r="758">
      <c r="H758" s="106"/>
      <c r="I758" s="222"/>
      <c r="J758" s="222"/>
    </row>
    <row r="759">
      <c r="H759" s="106"/>
      <c r="I759" s="222"/>
      <c r="J759" s="222"/>
    </row>
    <row r="760">
      <c r="H760" s="106"/>
      <c r="I760" s="222"/>
      <c r="J760" s="222"/>
    </row>
    <row r="761">
      <c r="H761" s="106"/>
      <c r="I761" s="222"/>
      <c r="J761" s="222"/>
    </row>
    <row r="762">
      <c r="H762" s="106"/>
      <c r="I762" s="222"/>
      <c r="J762" s="222"/>
    </row>
    <row r="763">
      <c r="H763" s="106"/>
      <c r="I763" s="222"/>
      <c r="J763" s="222"/>
    </row>
    <row r="764">
      <c r="H764" s="106"/>
      <c r="I764" s="222"/>
      <c r="J764" s="222"/>
    </row>
    <row r="765">
      <c r="H765" s="106"/>
      <c r="I765" s="222"/>
      <c r="J765" s="222"/>
    </row>
    <row r="766">
      <c r="H766" s="106"/>
      <c r="I766" s="222"/>
      <c r="J766" s="222"/>
    </row>
    <row r="767">
      <c r="H767" s="106"/>
      <c r="I767" s="222"/>
      <c r="J767" s="222"/>
    </row>
    <row r="768">
      <c r="H768" s="106"/>
      <c r="I768" s="222"/>
      <c r="J768" s="222"/>
    </row>
    <row r="769">
      <c r="H769" s="106"/>
      <c r="I769" s="222"/>
      <c r="J769" s="222"/>
    </row>
    <row r="770">
      <c r="H770" s="106"/>
      <c r="I770" s="222"/>
      <c r="J770" s="222"/>
    </row>
    <row r="771">
      <c r="H771" s="106"/>
      <c r="I771" s="222"/>
      <c r="J771" s="222"/>
    </row>
    <row r="772">
      <c r="H772" s="106"/>
      <c r="I772" s="222"/>
      <c r="J772" s="222"/>
    </row>
    <row r="773">
      <c r="H773" s="106"/>
      <c r="I773" s="222"/>
      <c r="J773" s="222"/>
    </row>
    <row r="774">
      <c r="H774" s="106"/>
      <c r="I774" s="222"/>
      <c r="J774" s="222"/>
    </row>
    <row r="775">
      <c r="H775" s="106"/>
      <c r="I775" s="222"/>
      <c r="J775" s="222"/>
    </row>
    <row r="776">
      <c r="H776" s="106"/>
      <c r="I776" s="222"/>
      <c r="J776" s="222"/>
    </row>
    <row r="777">
      <c r="H777" s="106"/>
      <c r="I777" s="222"/>
      <c r="J777" s="222"/>
    </row>
    <row r="778">
      <c r="H778" s="106"/>
      <c r="I778" s="222"/>
      <c r="J778" s="222"/>
    </row>
    <row r="779">
      <c r="H779" s="106"/>
      <c r="I779" s="222"/>
      <c r="J779" s="222"/>
    </row>
    <row r="780">
      <c r="H780" s="106"/>
      <c r="I780" s="222"/>
      <c r="J780" s="222"/>
    </row>
    <row r="781">
      <c r="H781" s="106"/>
      <c r="I781" s="222"/>
      <c r="J781" s="222"/>
    </row>
    <row r="782">
      <c r="H782" s="106"/>
      <c r="I782" s="222"/>
      <c r="J782" s="222"/>
    </row>
    <row r="783">
      <c r="H783" s="106"/>
      <c r="I783" s="222"/>
      <c r="J783" s="222"/>
    </row>
    <row r="784">
      <c r="H784" s="106"/>
      <c r="I784" s="222"/>
      <c r="J784" s="222"/>
    </row>
    <row r="785">
      <c r="H785" s="106"/>
      <c r="I785" s="222"/>
      <c r="J785" s="222"/>
    </row>
    <row r="786">
      <c r="H786" s="106"/>
      <c r="I786" s="222"/>
      <c r="J786" s="222"/>
    </row>
    <row r="787">
      <c r="H787" s="106"/>
      <c r="I787" s="222"/>
      <c r="J787" s="222"/>
    </row>
    <row r="788">
      <c r="H788" s="106"/>
      <c r="I788" s="222"/>
      <c r="J788" s="222"/>
    </row>
    <row r="789">
      <c r="H789" s="106"/>
      <c r="I789" s="222"/>
      <c r="J789" s="222"/>
    </row>
    <row r="790">
      <c r="H790" s="106"/>
      <c r="I790" s="222"/>
      <c r="J790" s="222"/>
    </row>
    <row r="791">
      <c r="H791" s="106"/>
      <c r="I791" s="222"/>
      <c r="J791" s="222"/>
    </row>
    <row r="792">
      <c r="H792" s="106"/>
      <c r="I792" s="222"/>
      <c r="J792" s="222"/>
    </row>
    <row r="793">
      <c r="H793" s="106"/>
      <c r="I793" s="222"/>
      <c r="J793" s="222"/>
    </row>
    <row r="794">
      <c r="H794" s="106"/>
      <c r="I794" s="222"/>
      <c r="J794" s="222"/>
    </row>
    <row r="795">
      <c r="H795" s="106"/>
      <c r="I795" s="222"/>
      <c r="J795" s="222"/>
    </row>
    <row r="796">
      <c r="H796" s="106"/>
      <c r="I796" s="222"/>
      <c r="J796" s="222"/>
    </row>
    <row r="797">
      <c r="H797" s="106"/>
      <c r="I797" s="222"/>
      <c r="J797" s="222"/>
    </row>
    <row r="798">
      <c r="H798" s="106"/>
      <c r="I798" s="222"/>
      <c r="J798" s="222"/>
    </row>
    <row r="799">
      <c r="H799" s="106"/>
      <c r="I799" s="222"/>
      <c r="J799" s="222"/>
    </row>
    <row r="800">
      <c r="H800" s="106"/>
      <c r="I800" s="222"/>
      <c r="J800" s="222"/>
    </row>
    <row r="801">
      <c r="H801" s="106"/>
      <c r="I801" s="222"/>
      <c r="J801" s="222"/>
    </row>
    <row r="802">
      <c r="H802" s="106"/>
      <c r="I802" s="222"/>
      <c r="J802" s="222"/>
    </row>
    <row r="803">
      <c r="H803" s="106"/>
      <c r="I803" s="222"/>
      <c r="J803" s="222"/>
    </row>
    <row r="804">
      <c r="H804" s="106"/>
      <c r="I804" s="222"/>
      <c r="J804" s="222"/>
    </row>
    <row r="805">
      <c r="H805" s="106"/>
      <c r="I805" s="222"/>
      <c r="J805" s="222"/>
    </row>
    <row r="806">
      <c r="H806" s="106"/>
      <c r="I806" s="222"/>
      <c r="J806" s="222"/>
    </row>
    <row r="807">
      <c r="H807" s="106"/>
      <c r="I807" s="222"/>
      <c r="J807" s="222"/>
    </row>
    <row r="808">
      <c r="H808" s="106"/>
      <c r="I808" s="222"/>
      <c r="J808" s="222"/>
    </row>
    <row r="809">
      <c r="H809" s="106"/>
      <c r="I809" s="222"/>
      <c r="J809" s="222"/>
    </row>
    <row r="810">
      <c r="H810" s="106"/>
      <c r="I810" s="222"/>
      <c r="J810" s="222"/>
    </row>
    <row r="811">
      <c r="H811" s="106"/>
      <c r="I811" s="222"/>
      <c r="J811" s="222"/>
    </row>
    <row r="812">
      <c r="H812" s="106"/>
      <c r="I812" s="222"/>
      <c r="J812" s="222"/>
    </row>
    <row r="813">
      <c r="H813" s="106"/>
      <c r="I813" s="222"/>
      <c r="J813" s="222"/>
    </row>
    <row r="814">
      <c r="H814" s="106"/>
      <c r="I814" s="222"/>
      <c r="J814" s="222"/>
    </row>
    <row r="815">
      <c r="H815" s="106"/>
      <c r="I815" s="222"/>
      <c r="J815" s="222"/>
    </row>
    <row r="816">
      <c r="H816" s="106"/>
      <c r="I816" s="222"/>
      <c r="J816" s="222"/>
    </row>
    <row r="817">
      <c r="H817" s="106"/>
      <c r="I817" s="222"/>
      <c r="J817" s="222"/>
    </row>
    <row r="818">
      <c r="H818" s="106"/>
      <c r="I818" s="222"/>
      <c r="J818" s="222"/>
    </row>
    <row r="819">
      <c r="H819" s="106"/>
      <c r="I819" s="222"/>
      <c r="J819" s="222"/>
    </row>
    <row r="820">
      <c r="H820" s="106"/>
      <c r="I820" s="222"/>
      <c r="J820" s="222"/>
    </row>
    <row r="821">
      <c r="H821" s="106"/>
      <c r="I821" s="222"/>
      <c r="J821" s="222"/>
    </row>
    <row r="822">
      <c r="H822" s="106"/>
      <c r="I822" s="222"/>
      <c r="J822" s="222"/>
    </row>
    <row r="823">
      <c r="H823" s="106"/>
      <c r="I823" s="222"/>
      <c r="J823" s="222"/>
    </row>
    <row r="824">
      <c r="H824" s="106"/>
      <c r="I824" s="222"/>
      <c r="J824" s="222"/>
    </row>
    <row r="825">
      <c r="H825" s="106"/>
      <c r="I825" s="222"/>
      <c r="J825" s="222"/>
    </row>
    <row r="826">
      <c r="H826" s="106"/>
      <c r="I826" s="222"/>
      <c r="J826" s="222"/>
    </row>
    <row r="827">
      <c r="H827" s="106"/>
      <c r="I827" s="222"/>
      <c r="J827" s="222"/>
    </row>
    <row r="828">
      <c r="H828" s="106"/>
      <c r="I828" s="222"/>
      <c r="J828" s="222"/>
    </row>
    <row r="829">
      <c r="H829" s="106"/>
      <c r="I829" s="222"/>
      <c r="J829" s="222"/>
    </row>
    <row r="830">
      <c r="H830" s="106"/>
      <c r="I830" s="222"/>
      <c r="J830" s="222"/>
    </row>
    <row r="831">
      <c r="H831" s="106"/>
      <c r="I831" s="222"/>
      <c r="J831" s="222"/>
    </row>
    <row r="832">
      <c r="H832" s="106"/>
      <c r="I832" s="222"/>
      <c r="J832" s="222"/>
    </row>
    <row r="833">
      <c r="H833" s="106"/>
      <c r="I833" s="222"/>
      <c r="J833" s="222"/>
    </row>
    <row r="834">
      <c r="H834" s="106"/>
      <c r="I834" s="222"/>
      <c r="J834" s="222"/>
    </row>
    <row r="835">
      <c r="H835" s="106"/>
      <c r="I835" s="222"/>
      <c r="J835" s="222"/>
    </row>
    <row r="836">
      <c r="H836" s="106"/>
      <c r="I836" s="222"/>
      <c r="J836" s="222"/>
    </row>
    <row r="837">
      <c r="H837" s="106"/>
      <c r="I837" s="222"/>
      <c r="J837" s="222"/>
    </row>
    <row r="838">
      <c r="H838" s="106"/>
      <c r="I838" s="222"/>
      <c r="J838" s="222"/>
    </row>
    <row r="839">
      <c r="H839" s="106"/>
      <c r="I839" s="222"/>
      <c r="J839" s="222"/>
    </row>
    <row r="840">
      <c r="H840" s="106"/>
      <c r="I840" s="222"/>
      <c r="J840" s="222"/>
    </row>
    <row r="841">
      <c r="H841" s="106"/>
      <c r="I841" s="222"/>
      <c r="J841" s="222"/>
    </row>
    <row r="842">
      <c r="H842" s="106"/>
      <c r="I842" s="222"/>
      <c r="J842" s="222"/>
    </row>
    <row r="843">
      <c r="H843" s="106"/>
      <c r="I843" s="222"/>
      <c r="J843" s="222"/>
    </row>
    <row r="844">
      <c r="H844" s="106"/>
      <c r="I844" s="222"/>
      <c r="J844" s="222"/>
    </row>
    <row r="845">
      <c r="H845" s="106"/>
      <c r="I845" s="222"/>
      <c r="J845" s="222"/>
    </row>
    <row r="846">
      <c r="H846" s="106"/>
      <c r="I846" s="222"/>
      <c r="J846" s="222"/>
    </row>
    <row r="847">
      <c r="H847" s="106"/>
      <c r="I847" s="222"/>
      <c r="J847" s="222"/>
    </row>
    <row r="848">
      <c r="H848" s="106"/>
      <c r="I848" s="222"/>
      <c r="J848" s="222"/>
    </row>
    <row r="849">
      <c r="H849" s="106"/>
      <c r="I849" s="222"/>
      <c r="J849" s="222"/>
    </row>
    <row r="850">
      <c r="H850" s="106"/>
      <c r="I850" s="222"/>
      <c r="J850" s="222"/>
    </row>
    <row r="851">
      <c r="H851" s="106"/>
      <c r="I851" s="222"/>
      <c r="J851" s="222"/>
    </row>
    <row r="852">
      <c r="H852" s="106"/>
      <c r="I852" s="222"/>
      <c r="J852" s="222"/>
    </row>
    <row r="853">
      <c r="H853" s="106"/>
      <c r="I853" s="222"/>
      <c r="J853" s="222"/>
    </row>
    <row r="854">
      <c r="H854" s="106"/>
      <c r="I854" s="222"/>
      <c r="J854" s="222"/>
    </row>
    <row r="855">
      <c r="H855" s="106"/>
      <c r="I855" s="222"/>
      <c r="J855" s="222"/>
    </row>
    <row r="856">
      <c r="H856" s="106"/>
      <c r="I856" s="222"/>
      <c r="J856" s="222"/>
    </row>
    <row r="857">
      <c r="H857" s="106"/>
      <c r="I857" s="222"/>
      <c r="J857" s="222"/>
    </row>
    <row r="858">
      <c r="H858" s="106"/>
      <c r="I858" s="222"/>
      <c r="J858" s="222"/>
    </row>
    <row r="859">
      <c r="H859" s="106"/>
      <c r="I859" s="222"/>
      <c r="J859" s="222"/>
    </row>
    <row r="860">
      <c r="H860" s="106"/>
      <c r="I860" s="222"/>
      <c r="J860" s="222"/>
    </row>
    <row r="861">
      <c r="H861" s="106"/>
      <c r="I861" s="222"/>
      <c r="J861" s="222"/>
    </row>
    <row r="862">
      <c r="H862" s="106"/>
      <c r="I862" s="222"/>
      <c r="J862" s="222"/>
    </row>
    <row r="863">
      <c r="H863" s="106"/>
      <c r="I863" s="222"/>
      <c r="J863" s="222"/>
    </row>
    <row r="864">
      <c r="H864" s="106"/>
      <c r="I864" s="222"/>
      <c r="J864" s="222"/>
    </row>
    <row r="865">
      <c r="H865" s="106"/>
      <c r="I865" s="222"/>
      <c r="J865" s="222"/>
    </row>
    <row r="866">
      <c r="H866" s="106"/>
      <c r="I866" s="222"/>
      <c r="J866" s="222"/>
    </row>
    <row r="867">
      <c r="H867" s="106"/>
      <c r="I867" s="222"/>
      <c r="J867" s="222"/>
    </row>
    <row r="868">
      <c r="H868" s="106"/>
      <c r="I868" s="222"/>
      <c r="J868" s="222"/>
    </row>
    <row r="869">
      <c r="H869" s="106"/>
      <c r="I869" s="222"/>
      <c r="J869" s="222"/>
    </row>
    <row r="870">
      <c r="H870" s="106"/>
      <c r="I870" s="222"/>
      <c r="J870" s="222"/>
    </row>
    <row r="871">
      <c r="H871" s="106"/>
      <c r="I871" s="222"/>
      <c r="J871" s="222"/>
    </row>
    <row r="872">
      <c r="H872" s="106"/>
      <c r="I872" s="222"/>
      <c r="J872" s="222"/>
    </row>
    <row r="873">
      <c r="H873" s="106"/>
      <c r="I873" s="222"/>
      <c r="J873" s="222"/>
    </row>
    <row r="874">
      <c r="H874" s="106"/>
      <c r="I874" s="222"/>
      <c r="J874" s="222"/>
    </row>
    <row r="875">
      <c r="H875" s="106"/>
      <c r="I875" s="222"/>
      <c r="J875" s="222"/>
    </row>
    <row r="876">
      <c r="H876" s="106"/>
      <c r="I876" s="222"/>
      <c r="J876" s="222"/>
    </row>
    <row r="877">
      <c r="H877" s="106"/>
      <c r="I877" s="222"/>
      <c r="J877" s="222"/>
    </row>
    <row r="878">
      <c r="H878" s="106"/>
      <c r="I878" s="222"/>
      <c r="J878" s="222"/>
    </row>
    <row r="879">
      <c r="H879" s="106"/>
      <c r="I879" s="222"/>
      <c r="J879" s="222"/>
    </row>
    <row r="880">
      <c r="H880" s="106"/>
      <c r="I880" s="222"/>
      <c r="J880" s="222"/>
    </row>
    <row r="881">
      <c r="H881" s="106"/>
      <c r="I881" s="222"/>
      <c r="J881" s="222"/>
    </row>
    <row r="882">
      <c r="H882" s="106"/>
      <c r="I882" s="222"/>
      <c r="J882" s="222"/>
    </row>
    <row r="883">
      <c r="H883" s="106"/>
      <c r="I883" s="222"/>
      <c r="J883" s="222"/>
    </row>
    <row r="884">
      <c r="H884" s="106"/>
      <c r="I884" s="222"/>
      <c r="J884" s="222"/>
    </row>
    <row r="885">
      <c r="H885" s="106"/>
      <c r="I885" s="222"/>
      <c r="J885" s="222"/>
    </row>
    <row r="886">
      <c r="H886" s="106"/>
      <c r="I886" s="222"/>
      <c r="J886" s="222"/>
    </row>
    <row r="887">
      <c r="H887" s="106"/>
      <c r="I887" s="222"/>
      <c r="J887" s="222"/>
    </row>
    <row r="888">
      <c r="H888" s="106"/>
      <c r="I888" s="222"/>
      <c r="J888" s="222"/>
    </row>
    <row r="889">
      <c r="H889" s="106"/>
      <c r="I889" s="222"/>
      <c r="J889" s="222"/>
    </row>
    <row r="890">
      <c r="H890" s="106"/>
      <c r="I890" s="222"/>
      <c r="J890" s="222"/>
    </row>
    <row r="891">
      <c r="H891" s="106"/>
      <c r="I891" s="222"/>
      <c r="J891" s="222"/>
    </row>
    <row r="892">
      <c r="H892" s="106"/>
      <c r="I892" s="222"/>
      <c r="J892" s="222"/>
    </row>
    <row r="893">
      <c r="H893" s="106"/>
      <c r="I893" s="222"/>
      <c r="J893" s="222"/>
    </row>
    <row r="894">
      <c r="H894" s="106"/>
      <c r="I894" s="222"/>
      <c r="J894" s="222"/>
    </row>
    <row r="895">
      <c r="H895" s="106"/>
      <c r="I895" s="222"/>
      <c r="J895" s="222"/>
    </row>
    <row r="896">
      <c r="H896" s="106"/>
      <c r="I896" s="222"/>
      <c r="J896" s="222"/>
    </row>
    <row r="897">
      <c r="H897" s="106"/>
      <c r="I897" s="222"/>
      <c r="J897" s="222"/>
    </row>
    <row r="898">
      <c r="H898" s="106"/>
      <c r="I898" s="222"/>
      <c r="J898" s="222"/>
    </row>
    <row r="899">
      <c r="H899" s="106"/>
      <c r="I899" s="222"/>
      <c r="J899" s="222"/>
    </row>
    <row r="900">
      <c r="H900" s="106"/>
      <c r="I900" s="222"/>
      <c r="J900" s="222"/>
    </row>
    <row r="901">
      <c r="H901" s="106"/>
      <c r="I901" s="222"/>
      <c r="J901" s="222"/>
    </row>
    <row r="902">
      <c r="H902" s="106"/>
      <c r="I902" s="222"/>
      <c r="J902" s="222"/>
    </row>
    <row r="903">
      <c r="H903" s="106"/>
      <c r="I903" s="222"/>
      <c r="J903" s="222"/>
    </row>
    <row r="904">
      <c r="H904" s="106"/>
      <c r="I904" s="222"/>
      <c r="J904" s="222"/>
    </row>
    <row r="905">
      <c r="H905" s="106"/>
      <c r="I905" s="222"/>
      <c r="J905" s="222"/>
    </row>
    <row r="906">
      <c r="H906" s="106"/>
      <c r="I906" s="222"/>
      <c r="J906" s="222"/>
    </row>
    <row r="907">
      <c r="H907" s="106"/>
      <c r="I907" s="222"/>
      <c r="J907" s="222"/>
    </row>
    <row r="908">
      <c r="H908" s="106"/>
      <c r="I908" s="222"/>
      <c r="J908" s="222"/>
    </row>
    <row r="909">
      <c r="H909" s="106"/>
      <c r="I909" s="222"/>
      <c r="J909" s="222"/>
    </row>
    <row r="910">
      <c r="H910" s="106"/>
      <c r="I910" s="222"/>
      <c r="J910" s="222"/>
    </row>
    <row r="911">
      <c r="H911" s="106"/>
      <c r="I911" s="222"/>
      <c r="J911" s="222"/>
    </row>
    <row r="912">
      <c r="H912" s="106"/>
      <c r="I912" s="222"/>
      <c r="J912" s="222"/>
    </row>
    <row r="913">
      <c r="H913" s="106"/>
      <c r="I913" s="222"/>
      <c r="J913" s="222"/>
    </row>
    <row r="914">
      <c r="H914" s="106"/>
      <c r="I914" s="222"/>
      <c r="J914" s="222"/>
    </row>
    <row r="915">
      <c r="H915" s="106"/>
      <c r="I915" s="222"/>
      <c r="J915" s="222"/>
    </row>
    <row r="916">
      <c r="H916" s="106"/>
      <c r="I916" s="222"/>
      <c r="J916" s="222"/>
    </row>
    <row r="917">
      <c r="H917" s="106"/>
      <c r="I917" s="222"/>
      <c r="J917" s="222"/>
    </row>
    <row r="918">
      <c r="H918" s="106"/>
      <c r="I918" s="222"/>
      <c r="J918" s="222"/>
    </row>
    <row r="919">
      <c r="H919" s="106"/>
      <c r="I919" s="222"/>
      <c r="J919" s="222"/>
    </row>
    <row r="920">
      <c r="H920" s="106"/>
      <c r="I920" s="222"/>
      <c r="J920" s="222"/>
    </row>
    <row r="921">
      <c r="H921" s="106"/>
      <c r="I921" s="222"/>
      <c r="J921" s="222"/>
    </row>
    <row r="922">
      <c r="H922" s="106"/>
      <c r="I922" s="222"/>
      <c r="J922" s="222"/>
    </row>
    <row r="923">
      <c r="H923" s="106"/>
      <c r="I923" s="222"/>
      <c r="J923" s="222"/>
    </row>
    <row r="924">
      <c r="H924" s="106"/>
      <c r="I924" s="222"/>
      <c r="J924" s="222"/>
    </row>
    <row r="925">
      <c r="H925" s="106"/>
      <c r="I925" s="222"/>
      <c r="J925" s="222"/>
    </row>
    <row r="926">
      <c r="H926" s="106"/>
      <c r="I926" s="222"/>
      <c r="J926" s="222"/>
    </row>
    <row r="927">
      <c r="H927" s="106"/>
      <c r="I927" s="222"/>
      <c r="J927" s="222"/>
    </row>
    <row r="928">
      <c r="H928" s="106"/>
      <c r="I928" s="222"/>
      <c r="J928" s="222"/>
    </row>
    <row r="929">
      <c r="H929" s="106"/>
      <c r="I929" s="222"/>
      <c r="J929" s="222"/>
    </row>
    <row r="930">
      <c r="H930" s="106"/>
      <c r="I930" s="222"/>
      <c r="J930" s="222"/>
    </row>
    <row r="931">
      <c r="H931" s="106"/>
      <c r="I931" s="222"/>
      <c r="J931" s="222"/>
    </row>
    <row r="932">
      <c r="H932" s="106"/>
      <c r="I932" s="222"/>
      <c r="J932" s="222"/>
    </row>
    <row r="933">
      <c r="H933" s="106"/>
      <c r="I933" s="222"/>
      <c r="J933" s="222"/>
    </row>
    <row r="934">
      <c r="H934" s="106"/>
      <c r="I934" s="222"/>
      <c r="J934" s="222"/>
    </row>
    <row r="935">
      <c r="H935" s="106"/>
      <c r="I935" s="222"/>
      <c r="J935" s="222"/>
    </row>
    <row r="936">
      <c r="H936" s="106"/>
      <c r="I936" s="222"/>
      <c r="J936" s="222"/>
    </row>
    <row r="937">
      <c r="H937" s="106"/>
      <c r="I937" s="222"/>
      <c r="J937" s="222"/>
    </row>
    <row r="938">
      <c r="H938" s="106"/>
      <c r="I938" s="222"/>
      <c r="J938" s="222"/>
    </row>
    <row r="939">
      <c r="H939" s="106"/>
      <c r="I939" s="222"/>
      <c r="J939" s="222"/>
    </row>
    <row r="940">
      <c r="H940" s="106"/>
      <c r="I940" s="222"/>
      <c r="J940" s="222"/>
    </row>
    <row r="941">
      <c r="H941" s="106"/>
      <c r="I941" s="222"/>
      <c r="J941" s="222"/>
    </row>
    <row r="942">
      <c r="H942" s="106"/>
      <c r="I942" s="222"/>
      <c r="J942" s="222"/>
    </row>
    <row r="943">
      <c r="H943" s="106"/>
      <c r="I943" s="222"/>
      <c r="J943" s="222"/>
    </row>
    <row r="944">
      <c r="H944" s="106"/>
      <c r="I944" s="222"/>
      <c r="J944" s="222"/>
    </row>
    <row r="945">
      <c r="H945" s="106"/>
      <c r="I945" s="222"/>
      <c r="J945" s="222"/>
    </row>
    <row r="946">
      <c r="H946" s="106"/>
      <c r="I946" s="222"/>
      <c r="J946" s="222"/>
    </row>
    <row r="947">
      <c r="H947" s="106"/>
      <c r="I947" s="222"/>
      <c r="J947" s="222"/>
    </row>
    <row r="948">
      <c r="H948" s="106"/>
      <c r="I948" s="222"/>
      <c r="J948" s="222"/>
    </row>
    <row r="949">
      <c r="H949" s="106"/>
      <c r="I949" s="222"/>
      <c r="J949" s="222"/>
    </row>
    <row r="950">
      <c r="H950" s="106"/>
      <c r="I950" s="222"/>
      <c r="J950" s="222"/>
    </row>
    <row r="951">
      <c r="H951" s="106"/>
      <c r="I951" s="222"/>
      <c r="J951" s="222"/>
    </row>
    <row r="952">
      <c r="H952" s="106"/>
      <c r="I952" s="222"/>
      <c r="J952" s="222"/>
    </row>
    <row r="953">
      <c r="H953" s="106"/>
      <c r="I953" s="222"/>
      <c r="J953" s="222"/>
    </row>
    <row r="954">
      <c r="H954" s="106"/>
      <c r="I954" s="222"/>
      <c r="J954" s="222"/>
    </row>
    <row r="955">
      <c r="H955" s="106"/>
      <c r="I955" s="222"/>
      <c r="J955" s="222"/>
    </row>
    <row r="956">
      <c r="H956" s="106"/>
      <c r="I956" s="222"/>
      <c r="J956" s="222"/>
    </row>
    <row r="957">
      <c r="H957" s="106"/>
      <c r="I957" s="222"/>
      <c r="J957" s="222"/>
    </row>
    <row r="958">
      <c r="H958" s="106"/>
      <c r="I958" s="222"/>
      <c r="J958" s="222"/>
    </row>
    <row r="959">
      <c r="H959" s="106"/>
      <c r="I959" s="222"/>
      <c r="J959" s="222"/>
    </row>
    <row r="960">
      <c r="H960" s="106"/>
      <c r="I960" s="222"/>
      <c r="J960" s="222"/>
    </row>
    <row r="961">
      <c r="H961" s="106"/>
      <c r="I961" s="222"/>
      <c r="J961" s="222"/>
    </row>
    <row r="962">
      <c r="H962" s="106"/>
      <c r="I962" s="222"/>
      <c r="J962" s="222"/>
    </row>
    <row r="963">
      <c r="H963" s="106"/>
      <c r="I963" s="222"/>
      <c r="J963" s="222"/>
    </row>
    <row r="964">
      <c r="H964" s="106"/>
      <c r="I964" s="222"/>
      <c r="J964" s="222"/>
    </row>
    <row r="965">
      <c r="H965" s="106"/>
      <c r="I965" s="222"/>
      <c r="J965" s="222"/>
    </row>
    <row r="966">
      <c r="H966" s="106"/>
      <c r="I966" s="222"/>
      <c r="J966" s="222"/>
    </row>
    <row r="967">
      <c r="H967" s="106"/>
      <c r="I967" s="222"/>
      <c r="J967" s="222"/>
    </row>
    <row r="968">
      <c r="H968" s="106"/>
      <c r="I968" s="222"/>
      <c r="J968" s="222"/>
    </row>
    <row r="969">
      <c r="H969" s="106"/>
      <c r="I969" s="222"/>
      <c r="J969" s="222"/>
    </row>
    <row r="970">
      <c r="H970" s="106"/>
      <c r="I970" s="222"/>
      <c r="J970" s="222"/>
    </row>
    <row r="971">
      <c r="H971" s="106"/>
      <c r="I971" s="222"/>
      <c r="J971" s="222"/>
    </row>
    <row r="972">
      <c r="H972" s="106"/>
      <c r="I972" s="222"/>
      <c r="J972" s="222"/>
    </row>
    <row r="973">
      <c r="H973" s="106"/>
      <c r="I973" s="222"/>
      <c r="J973" s="222"/>
    </row>
    <row r="974">
      <c r="H974" s="106"/>
      <c r="I974" s="222"/>
      <c r="J974" s="222"/>
    </row>
    <row r="975">
      <c r="H975" s="106"/>
      <c r="I975" s="222"/>
      <c r="J975" s="222"/>
    </row>
    <row r="976">
      <c r="H976" s="106"/>
      <c r="I976" s="222"/>
      <c r="J976" s="222"/>
    </row>
    <row r="977">
      <c r="H977" s="106"/>
      <c r="I977" s="222"/>
      <c r="J977" s="222"/>
    </row>
    <row r="978">
      <c r="H978" s="106"/>
      <c r="I978" s="222"/>
      <c r="J978" s="222"/>
    </row>
    <row r="979">
      <c r="H979" s="106"/>
      <c r="I979" s="222"/>
      <c r="J979" s="222"/>
    </row>
    <row r="980">
      <c r="H980" s="106"/>
      <c r="I980" s="222"/>
      <c r="J980" s="222"/>
    </row>
    <row r="981">
      <c r="H981" s="106"/>
      <c r="I981" s="222"/>
      <c r="J981" s="222"/>
    </row>
    <row r="982">
      <c r="H982" s="106"/>
      <c r="I982" s="222"/>
      <c r="J982" s="222"/>
    </row>
    <row r="983">
      <c r="H983" s="106"/>
      <c r="I983" s="222"/>
      <c r="J983" s="222"/>
    </row>
    <row r="984">
      <c r="H984" s="106"/>
      <c r="I984" s="222"/>
      <c r="J984" s="222"/>
    </row>
    <row r="985">
      <c r="H985" s="106"/>
      <c r="I985" s="222"/>
      <c r="J985" s="222"/>
    </row>
    <row r="986">
      <c r="H986" s="106"/>
      <c r="I986" s="222"/>
      <c r="J986" s="222"/>
    </row>
    <row r="987">
      <c r="H987" s="106"/>
      <c r="I987" s="222"/>
      <c r="J987" s="222"/>
    </row>
    <row r="988">
      <c r="H988" s="106"/>
      <c r="I988" s="222"/>
      <c r="J988" s="222"/>
    </row>
    <row r="989">
      <c r="H989" s="106"/>
      <c r="I989" s="222"/>
      <c r="J989" s="222"/>
    </row>
    <row r="990">
      <c r="H990" s="106"/>
      <c r="I990" s="222"/>
      <c r="J990" s="222"/>
    </row>
    <row r="991">
      <c r="H991" s="106"/>
      <c r="I991" s="222"/>
      <c r="J991" s="222"/>
    </row>
    <row r="992">
      <c r="H992" s="106"/>
      <c r="I992" s="222"/>
      <c r="J992" s="222"/>
    </row>
    <row r="993">
      <c r="H993" s="106"/>
      <c r="I993" s="222"/>
      <c r="J993" s="222"/>
    </row>
    <row r="994">
      <c r="H994" s="106"/>
      <c r="I994" s="222"/>
      <c r="J994" s="222"/>
    </row>
    <row r="995">
      <c r="H995" s="106"/>
      <c r="I995" s="222"/>
      <c r="J995" s="222"/>
    </row>
    <row r="996">
      <c r="H996" s="106"/>
      <c r="I996" s="222"/>
      <c r="J996" s="222"/>
    </row>
    <row r="997">
      <c r="H997" s="106"/>
      <c r="I997" s="222"/>
      <c r="J997" s="222"/>
    </row>
    <row r="998">
      <c r="H998" s="106"/>
      <c r="I998" s="222"/>
      <c r="J998" s="222"/>
    </row>
    <row r="999">
      <c r="H999" s="106"/>
      <c r="I999" s="222"/>
      <c r="J999" s="222"/>
    </row>
    <row r="1000">
      <c r="H1000" s="106"/>
      <c r="I1000" s="222"/>
      <c r="J1000" s="222"/>
    </row>
    <row r="1001">
      <c r="H1001" s="106"/>
      <c r="I1001" s="222"/>
      <c r="J1001" s="222"/>
    </row>
    <row r="1002">
      <c r="H1002" s="106"/>
      <c r="I1002" s="222"/>
      <c r="J1002" s="222"/>
    </row>
    <row r="1003">
      <c r="H1003" s="106"/>
      <c r="I1003" s="222"/>
      <c r="J1003" s="222"/>
    </row>
    <row r="1004">
      <c r="H1004" s="106"/>
      <c r="I1004" s="222"/>
      <c r="J1004" s="222"/>
    </row>
    <row r="1005">
      <c r="H1005" s="106"/>
      <c r="I1005" s="222"/>
      <c r="J1005" s="222"/>
    </row>
    <row r="1006">
      <c r="H1006" s="106"/>
      <c r="I1006" s="222"/>
      <c r="J1006" s="222"/>
    </row>
    <row r="1007">
      <c r="H1007" s="106"/>
      <c r="I1007" s="222"/>
      <c r="J1007" s="222"/>
    </row>
    <row r="1008">
      <c r="H1008" s="106"/>
      <c r="I1008" s="222"/>
      <c r="J1008" s="222"/>
    </row>
    <row r="1009">
      <c r="H1009" s="106"/>
      <c r="I1009" s="222"/>
      <c r="J1009" s="222"/>
    </row>
    <row r="1010">
      <c r="H1010" s="106"/>
      <c r="I1010" s="222"/>
      <c r="J1010" s="222"/>
    </row>
    <row r="1011">
      <c r="H1011" s="106"/>
      <c r="I1011" s="222"/>
      <c r="J1011" s="222"/>
    </row>
    <row r="1012">
      <c r="H1012" s="106"/>
      <c r="I1012" s="222"/>
      <c r="J1012" s="222"/>
    </row>
    <row r="1013">
      <c r="H1013" s="106"/>
      <c r="I1013" s="222"/>
      <c r="J1013" s="222"/>
    </row>
    <row r="1014">
      <c r="H1014" s="106"/>
      <c r="I1014" s="222"/>
      <c r="J1014" s="222"/>
    </row>
    <row r="1015">
      <c r="H1015" s="106"/>
      <c r="I1015" s="222"/>
      <c r="J1015" s="222"/>
    </row>
  </sheetData>
  <autoFilter ref="$E$1:$E$1015"/>
  <mergeCells count="1">
    <mergeCell ref="A2:A2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0" t="s">
        <v>5208</v>
      </c>
      <c r="B1" s="263" t="s">
        <v>5209</v>
      </c>
      <c r="C1" s="264" t="s">
        <v>5210</v>
      </c>
      <c r="D1" s="265" t="s">
        <v>108</v>
      </c>
      <c r="E1" s="266" t="s">
        <v>5211</v>
      </c>
    </row>
    <row r="2">
      <c r="A2" s="265" t="s">
        <v>5212</v>
      </c>
      <c r="B2" s="267" t="s">
        <v>5213</v>
      </c>
      <c r="C2" s="268" t="s">
        <v>4682</v>
      </c>
      <c r="D2" s="269" t="s">
        <v>5212</v>
      </c>
      <c r="E2" s="270" t="s">
        <v>5214</v>
      </c>
    </row>
    <row r="3">
      <c r="A3" s="266" t="s">
        <v>5214</v>
      </c>
      <c r="B3" s="267" t="s">
        <v>5215</v>
      </c>
      <c r="C3" s="268" t="s">
        <v>4480</v>
      </c>
      <c r="D3" s="269" t="s">
        <v>5216</v>
      </c>
      <c r="E3" s="271" t="s">
        <v>5217</v>
      </c>
    </row>
    <row r="4">
      <c r="A4" s="264" t="s">
        <v>4682</v>
      </c>
      <c r="B4" s="267" t="s">
        <v>5218</v>
      </c>
      <c r="C4" s="268" t="s">
        <v>5219</v>
      </c>
      <c r="D4" s="269" t="s">
        <v>5220</v>
      </c>
      <c r="E4" s="271" t="s">
        <v>2393</v>
      </c>
    </row>
    <row r="5">
      <c r="A5" s="266" t="s">
        <v>5217</v>
      </c>
      <c r="B5" s="267" t="s">
        <v>5221</v>
      </c>
      <c r="C5" s="268" t="s">
        <v>5222</v>
      </c>
      <c r="D5" s="269" t="s">
        <v>2364</v>
      </c>
      <c r="E5" s="272" t="s">
        <v>5223</v>
      </c>
    </row>
    <row r="6">
      <c r="A6" s="266" t="s">
        <v>2393</v>
      </c>
      <c r="B6" s="267" t="s">
        <v>5224</v>
      </c>
      <c r="C6" s="268" t="s">
        <v>5225</v>
      </c>
      <c r="D6" s="269" t="s">
        <v>5226</v>
      </c>
      <c r="E6" s="271" t="s">
        <v>5227</v>
      </c>
    </row>
    <row r="7">
      <c r="A7" s="264" t="s">
        <v>4480</v>
      </c>
      <c r="B7" s="267" t="s">
        <v>5225</v>
      </c>
      <c r="C7" s="268" t="s">
        <v>5228</v>
      </c>
      <c r="D7" s="269" t="s">
        <v>5229</v>
      </c>
      <c r="E7" s="271" t="s">
        <v>5230</v>
      </c>
    </row>
    <row r="8">
      <c r="A8" s="265" t="s">
        <v>5216</v>
      </c>
      <c r="B8" s="267" t="s">
        <v>4257</v>
      </c>
      <c r="C8" s="273" t="s">
        <v>4434</v>
      </c>
      <c r="D8" s="269" t="s">
        <v>5231</v>
      </c>
      <c r="E8" s="270" t="s">
        <v>5232</v>
      </c>
    </row>
    <row r="9">
      <c r="A9" s="265" t="s">
        <v>5220</v>
      </c>
      <c r="B9" s="267" t="s">
        <v>5233</v>
      </c>
      <c r="C9" s="268" t="s">
        <v>4514</v>
      </c>
      <c r="D9" s="269" t="s">
        <v>5234</v>
      </c>
      <c r="E9" s="271" t="s">
        <v>5235</v>
      </c>
    </row>
    <row r="10">
      <c r="A10" s="264" t="s">
        <v>5219</v>
      </c>
      <c r="B10" s="267" t="s">
        <v>4469</v>
      </c>
      <c r="C10" s="268" t="s">
        <v>5236</v>
      </c>
      <c r="D10" s="274" t="s">
        <v>5237</v>
      </c>
      <c r="E10" s="271" t="s">
        <v>5238</v>
      </c>
    </row>
    <row r="11">
      <c r="A11" s="275" t="s">
        <v>5223</v>
      </c>
      <c r="B11" s="267" t="s">
        <v>5239</v>
      </c>
      <c r="C11" s="268" t="s">
        <v>5240</v>
      </c>
      <c r="D11" s="269" t="s">
        <v>5241</v>
      </c>
      <c r="E11" s="270" t="s">
        <v>5242</v>
      </c>
    </row>
    <row r="12">
      <c r="A12" s="263" t="s">
        <v>5218</v>
      </c>
      <c r="B12" s="267" t="s">
        <v>5243</v>
      </c>
      <c r="C12" s="268" t="s">
        <v>5244</v>
      </c>
      <c r="D12" s="269" t="s">
        <v>5245</v>
      </c>
      <c r="E12" s="270" t="s">
        <v>5246</v>
      </c>
    </row>
    <row r="13">
      <c r="A13" s="263" t="s">
        <v>5221</v>
      </c>
      <c r="B13" s="267" t="s">
        <v>5247</v>
      </c>
      <c r="C13" s="268" t="s">
        <v>5248</v>
      </c>
      <c r="D13" s="269" t="s">
        <v>5249</v>
      </c>
      <c r="E13" s="271" t="s">
        <v>5250</v>
      </c>
    </row>
    <row r="14">
      <c r="A14" s="264" t="s">
        <v>5222</v>
      </c>
      <c r="B14" s="267" t="s">
        <v>5251</v>
      </c>
      <c r="C14" s="268" t="s">
        <v>5252</v>
      </c>
      <c r="D14" s="269" t="s">
        <v>5253</v>
      </c>
      <c r="E14" s="270" t="s">
        <v>5254</v>
      </c>
    </row>
    <row r="15">
      <c r="A15" s="263" t="s">
        <v>5225</v>
      </c>
      <c r="B15" s="267" t="s">
        <v>5236</v>
      </c>
      <c r="C15" s="268" t="s">
        <v>5255</v>
      </c>
      <c r="D15" s="269" t="s">
        <v>5256</v>
      </c>
      <c r="E15" s="272" t="s">
        <v>5257</v>
      </c>
    </row>
    <row r="16">
      <c r="A16" s="264" t="s">
        <v>5228</v>
      </c>
      <c r="B16" s="267" t="s">
        <v>5258</v>
      </c>
      <c r="C16" s="268" t="s">
        <v>5259</v>
      </c>
      <c r="D16" s="269" t="s">
        <v>5260</v>
      </c>
      <c r="E16" s="271" t="s">
        <v>5261</v>
      </c>
    </row>
    <row r="17">
      <c r="A17" s="265" t="s">
        <v>2364</v>
      </c>
      <c r="B17" s="267" t="s">
        <v>5262</v>
      </c>
      <c r="C17" s="268" t="s">
        <v>5263</v>
      </c>
      <c r="D17" s="269" t="s">
        <v>5264</v>
      </c>
      <c r="E17" s="272" t="s">
        <v>5265</v>
      </c>
    </row>
    <row r="18">
      <c r="A18" s="263" t="s">
        <v>5243</v>
      </c>
      <c r="B18" s="267" t="s">
        <v>5255</v>
      </c>
      <c r="C18" s="268" t="s">
        <v>5266</v>
      </c>
      <c r="D18" s="269" t="s">
        <v>5267</v>
      </c>
      <c r="E18" s="271" t="s">
        <v>5268</v>
      </c>
    </row>
    <row r="19">
      <c r="A19" s="266" t="s">
        <v>5227</v>
      </c>
      <c r="B19" s="267" t="s">
        <v>5269</v>
      </c>
      <c r="C19" s="268" t="s">
        <v>4521</v>
      </c>
      <c r="D19" s="269" t="s">
        <v>5270</v>
      </c>
      <c r="E19" s="270" t="s">
        <v>5271</v>
      </c>
    </row>
    <row r="20">
      <c r="A20" s="266" t="s">
        <v>5230</v>
      </c>
      <c r="B20" s="267" t="s">
        <v>5272</v>
      </c>
      <c r="C20" s="268" t="s">
        <v>5273</v>
      </c>
      <c r="D20" s="269" t="s">
        <v>5079</v>
      </c>
      <c r="E20" s="270" t="s">
        <v>5274</v>
      </c>
    </row>
    <row r="21">
      <c r="A21" s="263" t="s">
        <v>5247</v>
      </c>
      <c r="B21" s="267" t="s">
        <v>5275</v>
      </c>
      <c r="C21" s="268" t="s">
        <v>5276</v>
      </c>
      <c r="D21" s="269" t="s">
        <v>5277</v>
      </c>
      <c r="E21" s="271" t="s">
        <v>5278</v>
      </c>
    </row>
    <row r="22">
      <c r="A22" s="263" t="s">
        <v>5251</v>
      </c>
      <c r="B22" s="267" t="s">
        <v>5279</v>
      </c>
      <c r="C22" s="268" t="s">
        <v>4462</v>
      </c>
      <c r="D22" s="273" t="s">
        <v>1090</v>
      </c>
      <c r="E22" s="270" t="s">
        <v>5280</v>
      </c>
    </row>
    <row r="23">
      <c r="A23" s="265" t="s">
        <v>5226</v>
      </c>
      <c r="B23" s="267" t="s">
        <v>5281</v>
      </c>
      <c r="C23" s="268" t="s">
        <v>5282</v>
      </c>
      <c r="D23" s="269" t="s">
        <v>5283</v>
      </c>
      <c r="E23" s="271" t="s">
        <v>5284</v>
      </c>
    </row>
    <row r="24">
      <c r="A24" s="266" t="s">
        <v>5232</v>
      </c>
      <c r="B24" s="267" t="s">
        <v>4455</v>
      </c>
      <c r="C24" s="268" t="s">
        <v>4456</v>
      </c>
      <c r="D24" s="269" t="s">
        <v>5285</v>
      </c>
      <c r="E24" s="270" t="s">
        <v>5286</v>
      </c>
    </row>
    <row r="25">
      <c r="A25" s="264" t="s">
        <v>4514</v>
      </c>
      <c r="B25" s="267" t="s">
        <v>5273</v>
      </c>
      <c r="C25" s="268" t="s">
        <v>4497</v>
      </c>
      <c r="D25" s="269" t="s">
        <v>5287</v>
      </c>
      <c r="E25" s="271" t="s">
        <v>5288</v>
      </c>
    </row>
    <row r="26">
      <c r="A26" s="263" t="s">
        <v>5236</v>
      </c>
      <c r="B26" s="267" t="s">
        <v>5289</v>
      </c>
      <c r="C26" s="268" t="s">
        <v>5290</v>
      </c>
      <c r="D26" s="269" t="s">
        <v>5291</v>
      </c>
      <c r="E26" s="270" t="s">
        <v>5292</v>
      </c>
    </row>
    <row r="27">
      <c r="A27" s="264" t="s">
        <v>5240</v>
      </c>
      <c r="B27" s="267" t="s">
        <v>4456</v>
      </c>
      <c r="C27" s="268" t="s">
        <v>5293</v>
      </c>
      <c r="E27" s="271" t="s">
        <v>5294</v>
      </c>
    </row>
    <row r="28">
      <c r="A28" s="264" t="s">
        <v>5244</v>
      </c>
      <c r="B28" s="267" t="s">
        <v>5295</v>
      </c>
      <c r="C28" s="268" t="s">
        <v>5296</v>
      </c>
      <c r="E28" s="272" t="s">
        <v>5297</v>
      </c>
    </row>
    <row r="29">
      <c r="A29" s="265" t="s">
        <v>5229</v>
      </c>
      <c r="B29" s="267" t="s">
        <v>5298</v>
      </c>
      <c r="C29" s="268" t="s">
        <v>4486</v>
      </c>
      <c r="E29" s="271" t="s">
        <v>5299</v>
      </c>
    </row>
    <row r="30">
      <c r="A30" s="263" t="s">
        <v>5258</v>
      </c>
      <c r="B30" s="267" t="s">
        <v>5300</v>
      </c>
      <c r="C30" s="268" t="s">
        <v>5301</v>
      </c>
      <c r="E30" s="271" t="s">
        <v>5302</v>
      </c>
    </row>
    <row r="31">
      <c r="A31" s="266" t="s">
        <v>5235</v>
      </c>
      <c r="B31" s="267" t="s">
        <v>5293</v>
      </c>
      <c r="C31" s="268" t="s">
        <v>5303</v>
      </c>
      <c r="E31" s="271" t="s">
        <v>5304</v>
      </c>
    </row>
    <row r="32">
      <c r="A32" s="266" t="s">
        <v>5238</v>
      </c>
      <c r="B32" s="267" t="s">
        <v>5296</v>
      </c>
      <c r="C32" s="268" t="s">
        <v>5305</v>
      </c>
      <c r="E32" s="270" t="s">
        <v>5306</v>
      </c>
    </row>
    <row r="33">
      <c r="A33" s="266" t="s">
        <v>5242</v>
      </c>
      <c r="B33" s="267" t="s">
        <v>5307</v>
      </c>
      <c r="C33" s="268" t="s">
        <v>5308</v>
      </c>
      <c r="E33" s="271" t="s">
        <v>5309</v>
      </c>
    </row>
    <row r="34">
      <c r="A34" s="265" t="s">
        <v>5231</v>
      </c>
      <c r="B34" s="267" t="s">
        <v>5310</v>
      </c>
      <c r="C34" s="268" t="s">
        <v>5311</v>
      </c>
      <c r="E34" s="112"/>
    </row>
    <row r="35">
      <c r="A35" s="264" t="s">
        <v>5248</v>
      </c>
      <c r="B35" s="267" t="s">
        <v>5312</v>
      </c>
      <c r="E35" s="112"/>
    </row>
    <row r="36">
      <c r="A36" s="263" t="s">
        <v>5262</v>
      </c>
      <c r="B36" s="267" t="s">
        <v>5313</v>
      </c>
      <c r="E36" s="163"/>
    </row>
    <row r="37">
      <c r="A37" s="266" t="s">
        <v>5246</v>
      </c>
      <c r="B37" s="267" t="s">
        <v>5314</v>
      </c>
      <c r="E37" s="276"/>
    </row>
    <row r="38">
      <c r="A38" s="265" t="s">
        <v>5234</v>
      </c>
      <c r="B38" s="267" t="s">
        <v>5315</v>
      </c>
      <c r="E38" s="277"/>
    </row>
    <row r="39">
      <c r="A39" s="265" t="s">
        <v>5237</v>
      </c>
      <c r="B39" s="267" t="s">
        <v>5316</v>
      </c>
      <c r="E39" s="277"/>
    </row>
    <row r="40">
      <c r="A40" s="264" t="s">
        <v>5252</v>
      </c>
      <c r="E40" s="277"/>
    </row>
    <row r="41">
      <c r="A41" s="264" t="s">
        <v>5255</v>
      </c>
      <c r="E41" s="163"/>
    </row>
    <row r="42">
      <c r="A42" s="263" t="s">
        <v>5269</v>
      </c>
      <c r="E42" s="163"/>
    </row>
    <row r="43">
      <c r="A43" s="264" t="s">
        <v>5259</v>
      </c>
      <c r="E43" s="277"/>
    </row>
    <row r="44">
      <c r="A44" s="266" t="s">
        <v>5250</v>
      </c>
      <c r="E44" s="163"/>
    </row>
    <row r="45">
      <c r="A45" s="264" t="s">
        <v>5263</v>
      </c>
      <c r="E45" s="163"/>
    </row>
    <row r="46">
      <c r="A46" s="264" t="s">
        <v>5266</v>
      </c>
      <c r="E46" s="277"/>
    </row>
    <row r="47">
      <c r="A47" s="265" t="s">
        <v>5241</v>
      </c>
      <c r="E47" s="163"/>
    </row>
    <row r="48">
      <c r="A48" s="266" t="s">
        <v>5254</v>
      </c>
      <c r="E48" s="112"/>
    </row>
    <row r="49">
      <c r="A49" s="265" t="s">
        <v>5245</v>
      </c>
      <c r="E49" s="112"/>
    </row>
    <row r="50">
      <c r="A50" s="266" t="s">
        <v>5261</v>
      </c>
      <c r="E50" s="278"/>
    </row>
    <row r="51">
      <c r="A51" s="264" t="s">
        <v>4521</v>
      </c>
      <c r="E51" s="278"/>
    </row>
    <row r="52">
      <c r="A52" s="266" t="s">
        <v>5265</v>
      </c>
    </row>
    <row r="53">
      <c r="A53" s="264" t="s">
        <v>5273</v>
      </c>
    </row>
    <row r="54">
      <c r="A54" s="266" t="s">
        <v>5268</v>
      </c>
    </row>
    <row r="55">
      <c r="A55" s="265" t="s">
        <v>5249</v>
      </c>
    </row>
    <row r="56">
      <c r="A56" s="264" t="s">
        <v>5276</v>
      </c>
    </row>
    <row r="57">
      <c r="A57" s="265" t="s">
        <v>5253</v>
      </c>
    </row>
    <row r="58">
      <c r="A58" s="264" t="s">
        <v>4462</v>
      </c>
    </row>
    <row r="59">
      <c r="A59" s="265" t="s">
        <v>5256</v>
      </c>
    </row>
    <row r="60">
      <c r="A60" s="266" t="s">
        <v>5274</v>
      </c>
    </row>
    <row r="61">
      <c r="A61" s="264" t="s">
        <v>5282</v>
      </c>
    </row>
    <row r="62">
      <c r="A62" s="266" t="s">
        <v>5278</v>
      </c>
    </row>
    <row r="63">
      <c r="A63" s="266" t="s">
        <v>5280</v>
      </c>
    </row>
    <row r="64">
      <c r="A64" s="266" t="s">
        <v>5286</v>
      </c>
    </row>
    <row r="65">
      <c r="A65" s="140" t="s">
        <v>4460</v>
      </c>
    </row>
    <row r="66">
      <c r="A66" s="264" t="s">
        <v>4456</v>
      </c>
    </row>
    <row r="67">
      <c r="A67" s="263" t="s">
        <v>5295</v>
      </c>
    </row>
    <row r="68">
      <c r="A68" s="265" t="s">
        <v>5260</v>
      </c>
    </row>
    <row r="69">
      <c r="A69" s="263" t="s">
        <v>5298</v>
      </c>
    </row>
    <row r="70">
      <c r="A70" s="266" t="s">
        <v>5288</v>
      </c>
    </row>
    <row r="71">
      <c r="A71" s="266" t="s">
        <v>5292</v>
      </c>
    </row>
    <row r="72">
      <c r="A72" s="265" t="s">
        <v>5264</v>
      </c>
    </row>
    <row r="73">
      <c r="A73" s="263" t="s">
        <v>5300</v>
      </c>
    </row>
    <row r="74">
      <c r="A74" s="264" t="s">
        <v>4497</v>
      </c>
    </row>
    <row r="75">
      <c r="A75" s="264" t="s">
        <v>5290</v>
      </c>
    </row>
    <row r="76">
      <c r="A76" s="265" t="s">
        <v>5267</v>
      </c>
    </row>
    <row r="77">
      <c r="A77" s="265" t="s">
        <v>5270</v>
      </c>
    </row>
    <row r="78">
      <c r="A78" s="264" t="s">
        <v>5293</v>
      </c>
    </row>
    <row r="79">
      <c r="A79" s="265" t="s">
        <v>5079</v>
      </c>
    </row>
    <row r="80">
      <c r="A80" s="266" t="s">
        <v>5294</v>
      </c>
    </row>
    <row r="81">
      <c r="A81" s="265" t="s">
        <v>5277</v>
      </c>
    </row>
    <row r="82">
      <c r="A82" s="264" t="s">
        <v>5296</v>
      </c>
    </row>
    <row r="83">
      <c r="A83" s="263" t="s">
        <v>5307</v>
      </c>
    </row>
    <row r="84">
      <c r="A84" s="265" t="s">
        <v>5283</v>
      </c>
    </row>
    <row r="85">
      <c r="A85" s="265" t="s">
        <v>5285</v>
      </c>
    </row>
    <row r="86">
      <c r="A86" s="264" t="s">
        <v>4486</v>
      </c>
    </row>
    <row r="87">
      <c r="A87" s="263" t="s">
        <v>5312</v>
      </c>
    </row>
    <row r="88">
      <c r="A88" s="266" t="s">
        <v>5297</v>
      </c>
    </row>
    <row r="89">
      <c r="A89" s="263" t="s">
        <v>5313</v>
      </c>
    </row>
    <row r="90">
      <c r="A90" s="264" t="s">
        <v>5301</v>
      </c>
    </row>
    <row r="91">
      <c r="A91" s="266" t="s">
        <v>5299</v>
      </c>
    </row>
    <row r="92">
      <c r="A92" s="266" t="s">
        <v>5302</v>
      </c>
    </row>
    <row r="93">
      <c r="A93" s="279" t="s">
        <v>5304</v>
      </c>
    </row>
    <row r="94">
      <c r="A94" s="266" t="s">
        <v>5306</v>
      </c>
    </row>
    <row r="95">
      <c r="A95" s="263" t="s">
        <v>5315</v>
      </c>
    </row>
    <row r="96">
      <c r="A96" s="265" t="s">
        <v>5287</v>
      </c>
    </row>
    <row r="97">
      <c r="A97" s="264" t="s">
        <v>5303</v>
      </c>
    </row>
    <row r="98">
      <c r="A98" s="264" t="s">
        <v>5305</v>
      </c>
    </row>
    <row r="99">
      <c r="A99" s="266" t="s">
        <v>5309</v>
      </c>
    </row>
    <row r="100">
      <c r="A100" s="265" t="s">
        <v>5291</v>
      </c>
    </row>
    <row r="101">
      <c r="A101" s="264" t="s">
        <v>5308</v>
      </c>
    </row>
    <row r="102">
      <c r="A102" s="264" t="s">
        <v>5311</v>
      </c>
    </row>
    <row r="173">
      <c r="A173" s="280"/>
    </row>
    <row r="174">
      <c r="A174" s="280"/>
    </row>
    <row r="191">
      <c r="A191" s="280"/>
    </row>
  </sheetData>
  <drawing r:id="rId2"/>
  <legacyDrawing r:id="rId3"/>
</worksheet>
</file>